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.xml" ContentType="application/vnd.openxmlformats-officedocument.spreadsheetml.table+xml"/>
  <Override PartName="/xl/tables/table160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AlgorithmName="SHA-512" workbookHashValue="N0uL3+/qfcfI4oJTgQxWjvLrWGpBTJJhI3JvVrJBuAal6UhLFeZA3PQ8P5nbZB1zmmH588C9YLRzH5gGmVZATw==" workbookSaltValue="L7d40R1WduXX5UJqRRvDLg==" workbookSpinCount="100000" lockStructure="1"/>
  <bookViews>
    <workbookView windowWidth="20490" windowHeight="7620" firstSheet="2" activeTab="10"/>
  </bookViews>
  <sheets>
    <sheet name="INITIAL" sheetId="5" r:id="rId1"/>
    <sheet name="HARI 1" sheetId="1" r:id="rId2"/>
    <sheet name="HARI 2" sheetId="6" r:id="rId3"/>
    <sheet name="HARI 3" sheetId="7" r:id="rId4"/>
    <sheet name="HARI 4" sheetId="8" r:id="rId5"/>
    <sheet name="HARI 5" sheetId="9" r:id="rId6"/>
    <sheet name="HARI 6" sheetId="10" r:id="rId7"/>
    <sheet name="HARI 7" sheetId="11" r:id="rId8"/>
    <sheet name="HARI 8" sheetId="12" r:id="rId9"/>
    <sheet name="HARI 9" sheetId="13" r:id="rId10"/>
    <sheet name="HARI 10" sheetId="14" r:id="rId11"/>
    <sheet name="HARI 11" sheetId="15" r:id="rId12"/>
    <sheet name="SALES SUMMARY" sheetId="19" state="hidden" r:id="rId13"/>
    <sheet name="INVENTORY RECAP" sheetId="17" state="hidden" r:id="rId14"/>
    <sheet name="DATA PRODUK" sheetId="4" state="hidden" r:id="rId15"/>
    <sheet name="SPV RECAP" sheetId="20" state="hidden" r:id="rId16"/>
    <sheet name="SHIFT RECAP" sheetId="21" state="hidden" r:id="rId17"/>
  </sheets>
  <definedNames>
    <definedName name="LIST_ACC" localSheetId="10">DATA_ACC[PRODUK]</definedName>
    <definedName name="LIST_ACC" localSheetId="11">DATA_ACC[PRODUK]</definedName>
    <definedName name="LIST_ACC" localSheetId="2">DATA_ACC[PRODUK]</definedName>
    <definedName name="LIST_ACC" localSheetId="3">DATA_ACC[PRODUK]</definedName>
    <definedName name="LIST_ACC" localSheetId="4">DATA_ACC[PRODUK]</definedName>
    <definedName name="LIST_ACC" localSheetId="5">DATA_ACC[PRODUK]</definedName>
    <definedName name="LIST_ACC" localSheetId="6">DATA_ACC[PRODUK]</definedName>
    <definedName name="LIST_ACC" localSheetId="7">DATA_ACC[PRODUK]</definedName>
    <definedName name="LIST_ACC" localSheetId="8">DATA_ACC[PRODUK]</definedName>
    <definedName name="LIST_ACC" localSheetId="9">DATA_ACC[PRODUK]</definedName>
    <definedName name="LIST_ACC" localSheetId="16">DATA_ACC[PRODUK]</definedName>
    <definedName name="LIST_ACC">DATA_ACC[PRODUK]</definedName>
    <definedName name="LIST_HYDRO" localSheetId="10">DATA_HYDRO[PRODUK]</definedName>
    <definedName name="LIST_HYDRO" localSheetId="11">DATA_HYDRO[PRODUK]</definedName>
    <definedName name="LIST_HYDRO" localSheetId="2">DATA_HYDRO[PRODUK]</definedName>
    <definedName name="LIST_HYDRO" localSheetId="3">DATA_HYDRO[PRODUK]</definedName>
    <definedName name="LIST_HYDRO" localSheetId="4">DATA_HYDRO[PRODUK]</definedName>
    <definedName name="LIST_HYDRO" localSheetId="5">DATA_HYDRO[PRODUK]</definedName>
    <definedName name="LIST_HYDRO" localSheetId="6">DATA_HYDRO[PRODUK]</definedName>
    <definedName name="LIST_HYDRO" localSheetId="7">DATA_HYDRO[PRODUK]</definedName>
    <definedName name="LIST_HYDRO" localSheetId="8">DATA_HYDRO[PRODUK]</definedName>
    <definedName name="LIST_HYDRO" localSheetId="9">DATA_HYDRO[PRODUK]</definedName>
    <definedName name="LIST_HYDRO" localSheetId="16">DATA_HYDRO[PRODUK]</definedName>
    <definedName name="LIST_HYDRO">DATA_HYDRO[PRODUK]</definedName>
    <definedName name="LIST_ICECREAM" localSheetId="10">DATA_ICECREAM[PRODUK]</definedName>
    <definedName name="LIST_ICECREAM" localSheetId="11">DATA_ICECREAM[PRODUK]</definedName>
    <definedName name="LIST_ICECREAM" localSheetId="2">DATA_ICECREAM[PRODUK]</definedName>
    <definedName name="LIST_ICECREAM" localSheetId="3">DATA_ICECREAM[PRODUK]</definedName>
    <definedName name="LIST_ICECREAM" localSheetId="4">DATA_ICECREAM[PRODUK]</definedName>
    <definedName name="LIST_ICECREAM" localSheetId="5">DATA_ICECREAM[PRODUK]</definedName>
    <definedName name="LIST_ICECREAM" localSheetId="6">DATA_ICECREAM[PRODUK]</definedName>
    <definedName name="LIST_ICECREAM" localSheetId="7">DATA_ICECREAM[PRODUK]</definedName>
    <definedName name="LIST_ICECREAM" localSheetId="8">DATA_ICECREAM[PRODUK]</definedName>
    <definedName name="LIST_ICECREAM" localSheetId="9">DATA_ICECREAM[PRODUK]</definedName>
    <definedName name="LIST_ICECREAM" localSheetId="16">DATA_ICECREAM[PRODUK]</definedName>
    <definedName name="LIST_ICECREAM">DATA_ICECREAM[PRODUK]</definedName>
    <definedName name="LIST_PULSA">'DATA PRODUK'!$B$11:$B$15</definedName>
    <definedName name="LIST_ROKOK" localSheetId="10">DATA_ROKOK[PRODUK]</definedName>
    <definedName name="LIST_ROKOK" localSheetId="11">DATA_ROKOK[PRODUK]</definedName>
    <definedName name="LIST_ROKOK" localSheetId="2">DATA_ROKOK[PRODUK]</definedName>
    <definedName name="LIST_ROKOK" localSheetId="3">DATA_ROKOK[PRODUK]</definedName>
    <definedName name="LIST_ROKOK" localSheetId="4">DATA_ROKOK[PRODUK]</definedName>
    <definedName name="LIST_ROKOK" localSheetId="5">DATA_ROKOK[PRODUK]</definedName>
    <definedName name="LIST_ROKOK" localSheetId="6">DATA_ROKOK[PRODUK]</definedName>
    <definedName name="LIST_ROKOK" localSheetId="7">DATA_ROKOK[PRODUK]</definedName>
    <definedName name="LIST_ROKOK" localSheetId="8">DATA_ROKOK[PRODUK]</definedName>
    <definedName name="LIST_ROKOK" localSheetId="9">DATA_ROKOK[PRODUK]</definedName>
    <definedName name="LIST_ROKOK" localSheetId="16">DATA_ROKOK[PRODUK]</definedName>
    <definedName name="LIST_ROKOK">DATA_ROKOK[PRODUK]</definedName>
    <definedName name="LIST_SHIFT">'DATA PRODUK'!$B$19:$B$27</definedName>
    <definedName name="LIST_SOFTDRINK" localSheetId="10">DATA_SOFTDRINK[PRODUK]</definedName>
    <definedName name="LIST_SOFTDRINK" localSheetId="11">DATA_SOFTDRINK[PRODUK]</definedName>
    <definedName name="LIST_SOFTDRINK" localSheetId="2">DATA_SOFTDRINK[PRODUK]</definedName>
    <definedName name="LIST_SOFTDRINK" localSheetId="3">DATA_SOFTDRINK[PRODUK]</definedName>
    <definedName name="LIST_SOFTDRINK" localSheetId="4">DATA_SOFTDRINK[PRODUK]</definedName>
    <definedName name="LIST_SOFTDRINK" localSheetId="5">DATA_SOFTDRINK[PRODUK]</definedName>
    <definedName name="LIST_SOFTDRINK" localSheetId="6">DATA_SOFTDRINK[PRODUK]</definedName>
    <definedName name="LIST_SOFTDRINK" localSheetId="7">DATA_SOFTDRINK[PRODUK]</definedName>
    <definedName name="LIST_SOFTDRINK" localSheetId="8">DATA_SOFTDRINK[PRODUK]</definedName>
    <definedName name="LIST_SOFTDRINK" localSheetId="9">DATA_SOFTDRINK[PRODUK]</definedName>
    <definedName name="LIST_SOFTDRINK" localSheetId="16">DATA_SOFTDRINK[PRODUK]</definedName>
    <definedName name="LIST_SOFTDRINK">DATA_SOFTDRINK[PRODUK]</definedName>
    <definedName name="LIST_SPVOU" localSheetId="10">DATA_SPVOU[PRODUK]</definedName>
    <definedName name="LIST_SPVOU" localSheetId="11">DATA_SPVOU[PRODUK]</definedName>
    <definedName name="LIST_SPVOU" localSheetId="2">DATA_SPVOU[PRODUK]</definedName>
    <definedName name="LIST_SPVOU" localSheetId="3">DATA_SPVOU[PRODUK]</definedName>
    <definedName name="LIST_SPVOU" localSheetId="4">DATA_SPVOU[PRODUK]</definedName>
    <definedName name="LIST_SPVOU" localSheetId="5">DATA_SPVOU[PRODUK]</definedName>
    <definedName name="LIST_SPVOU" localSheetId="6">DATA_SPVOU[PRODUK]</definedName>
    <definedName name="LIST_SPVOU" localSheetId="7">DATA_SPVOU[PRODUK]</definedName>
    <definedName name="LIST_SPVOU" localSheetId="8">DATA_SPVOU[PRODUK]</definedName>
    <definedName name="LIST_SPVOU" localSheetId="9">DATA_SPVOU[PRODUK]</definedName>
    <definedName name="LIST_SPVOU" localSheetId="16">DATA_SPVOU[PRODUK]</definedName>
    <definedName name="LIST_SPVOU">DATA_SPVOU[PRODUK]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<sst xmlns="http://schemas.openxmlformats.org/spreadsheetml/2006/main" count="5802" uniqueCount="591">
  <si>
    <t>INPUT SALDO AWAL</t>
  </si>
  <si>
    <t>INPUT KAS AWAL</t>
  </si>
  <si>
    <t>KAS AWAL</t>
  </si>
  <si>
    <t>TABEL REVISI</t>
  </si>
  <si>
    <t>NO</t>
  </si>
  <si>
    <t>TANGGAL REVISI</t>
  </si>
  <si>
    <t>PIC</t>
  </si>
  <si>
    <t>SHEET</t>
  </si>
  <si>
    <t>KETERANGAN</t>
  </si>
  <si>
    <t>PATCH</t>
  </si>
  <si>
    <t>HARI 1 : PAGI</t>
  </si>
  <si>
    <t>PRODUK : PULSA</t>
  </si>
  <si>
    <t>REKAPITULASI SALDO</t>
  </si>
  <si>
    <t>HARI 1 : MALAM</t>
  </si>
  <si>
    <t>NO.</t>
  </si>
  <si>
    <t>NO. TELEPON</t>
  </si>
  <si>
    <t>DEBIT</t>
  </si>
  <si>
    <t>KREDIT</t>
  </si>
  <si>
    <t>NAMA PENGHUTANG</t>
  </si>
  <si>
    <t>SALDO MINUS</t>
  </si>
  <si>
    <t>APLIKASI</t>
  </si>
  <si>
    <t>NOMINAL TRANSFER</t>
  </si>
  <si>
    <t>NAMA REKENING</t>
  </si>
  <si>
    <t>0812-8808</t>
  </si>
  <si>
    <t>PAYFAZZ</t>
  </si>
  <si>
    <t>0878-8325</t>
  </si>
  <si>
    <t>0856-5034</t>
  </si>
  <si>
    <t>SALDO AWAL</t>
  </si>
  <si>
    <t>0831-7251</t>
  </si>
  <si>
    <t>0812-6750</t>
  </si>
  <si>
    <t>MINUS SALDO</t>
  </si>
  <si>
    <t>862-172</t>
  </si>
  <si>
    <t>0881-4743</t>
  </si>
  <si>
    <t>TOP UP</t>
  </si>
  <si>
    <t>0823-1229</t>
  </si>
  <si>
    <t>DIGIPOS</t>
  </si>
  <si>
    <t>0858-0349</t>
  </si>
  <si>
    <t>CAHSBACK</t>
  </si>
  <si>
    <t>0853-5112</t>
  </si>
  <si>
    <t>SISA SALDO</t>
  </si>
  <si>
    <t>500-226</t>
  </si>
  <si>
    <t>0821-1823</t>
  </si>
  <si>
    <t>0822-6799</t>
  </si>
  <si>
    <t>0852-7500</t>
  </si>
  <si>
    <t>0813-0810</t>
  </si>
  <si>
    <t>0856-9473</t>
  </si>
  <si>
    <t>0815-5431</t>
  </si>
  <si>
    <t>0895-9703</t>
  </si>
  <si>
    <t>RITA</t>
  </si>
  <si>
    <t>0852-6590</t>
  </si>
  <si>
    <t>0823-4070</t>
  </si>
  <si>
    <t>CASHBACK</t>
  </si>
  <si>
    <t>0858-3963</t>
  </si>
  <si>
    <t>0857-4011</t>
  </si>
  <si>
    <t>0823-6997</t>
  </si>
  <si>
    <t>MOBO</t>
  </si>
  <si>
    <t>0812-0004</t>
  </si>
  <si>
    <t>0895-8716</t>
  </si>
  <si>
    <t>0852-3955</t>
  </si>
  <si>
    <t>0851-2807</t>
  </si>
  <si>
    <t>0852-3465</t>
  </si>
  <si>
    <t>0853-4276</t>
  </si>
  <si>
    <t>SI DOMPUL</t>
  </si>
  <si>
    <t>TOTAL PENJUALAN HARIAN : PULSA</t>
  </si>
  <si>
    <t>TOTAL PENJUALAN</t>
  </si>
  <si>
    <t>PRODUK : ROKOK</t>
  </si>
  <si>
    <t>PRODUK</t>
  </si>
  <si>
    <t>QUANTITY</t>
  </si>
  <si>
    <t>HARGA</t>
  </si>
  <si>
    <t>PRICE TOLERANCE</t>
  </si>
  <si>
    <t>TOPPAS 12</t>
  </si>
  <si>
    <t>TOPPAS KRETEK</t>
  </si>
  <si>
    <t>88 PUTIH 16</t>
  </si>
  <si>
    <t>ECERAN</t>
  </si>
  <si>
    <t>88 HITAM 16</t>
  </si>
  <si>
    <t>76 KRETEK</t>
  </si>
  <si>
    <t>TOTAL PENJUALAN : ROKOK</t>
  </si>
  <si>
    <t>TOTAL PENJUALAN HARIAN : ROKOK</t>
  </si>
  <si>
    <t>REKAPITULASI TOTAL</t>
  </si>
  <si>
    <t>PRODUK : SP &amp; VOUCHER</t>
  </si>
  <si>
    <t>V. ISAT UL 1 (5.5 GB)</t>
  </si>
  <si>
    <t>VMINI1 (2.5 / 5hr)</t>
  </si>
  <si>
    <t>SP ISAT REG</t>
  </si>
  <si>
    <t>AIGO 3 / 3hr</t>
  </si>
  <si>
    <t>V. XL 5 FLEX (S)</t>
  </si>
  <si>
    <t>V. TRI 2 GB / 1hr</t>
  </si>
  <si>
    <t>V. TSEL 3 / 5hr</t>
  </si>
  <si>
    <t>VAON1 (3 GB)</t>
  </si>
  <si>
    <t>V. ISAT FREE 3</t>
  </si>
  <si>
    <t>VAON6 (8 GB)</t>
  </si>
  <si>
    <t>SP TSEL 6 GB</t>
  </si>
  <si>
    <t>TOTAL PENJUALAN : SP &amp; VOUCHER</t>
  </si>
  <si>
    <t>TOTAL PENJUALAN HARIAN : SP &amp; VOUCHER</t>
  </si>
  <si>
    <t>PRODUK : SOFT DRINK</t>
  </si>
  <si>
    <t>ADES</t>
  </si>
  <si>
    <t>KOPIKAP</t>
  </si>
  <si>
    <t>YAKULT</t>
  </si>
  <si>
    <t>NUTRIBOOST Strawberry</t>
  </si>
  <si>
    <t>GOLDA (ALL)</t>
  </si>
  <si>
    <t>TOTAL PENJUALAN : SOFT DRINK</t>
  </si>
  <si>
    <t>TOTAL PENJUALAN HARIAN : SOFT DRINK</t>
  </si>
  <si>
    <t>PRODUK : ICE CREAM</t>
  </si>
  <si>
    <t>(Waku-Waku) Choco Loop</t>
  </si>
  <si>
    <t>(Frostbite) Boba Milk Tea</t>
  </si>
  <si>
    <t>(Waku-Waku) Chocoberry Loop</t>
  </si>
  <si>
    <t>(Frostbite) Cookies &amp; Cream Mochi</t>
  </si>
  <si>
    <t>(Frostbite) Cup Chocolate Vanilla</t>
  </si>
  <si>
    <t>(Haku) Strawberry Crispy Choco Monaka</t>
  </si>
  <si>
    <t>TOTAL PENJUALAN : ICE CREAM</t>
  </si>
  <si>
    <t>TOTAL PENJUALAN HARIAN : ICE CREAM</t>
  </si>
  <si>
    <t>PRODUK : AKSESORIS</t>
  </si>
  <si>
    <t>(K.D)(Micro) Robot RGM100</t>
  </si>
  <si>
    <t>(K.D)(Type C) Olike D306C</t>
  </si>
  <si>
    <t>(ADAPTER)(1.2A) Olike C105</t>
  </si>
  <si>
    <t>TOTAL PENJUALAN : AKSESORIS</t>
  </si>
  <si>
    <t>TOTAL PENJUALAN HARIAN : AKSESORIS</t>
  </si>
  <si>
    <t>PRODUK : HYDROGEL</t>
  </si>
  <si>
    <t>TOTAL PENJUALAN : HYDROGEL</t>
  </si>
  <si>
    <t>TOTAL PENJUALAN HARIAN : HYDROGEL</t>
  </si>
  <si>
    <t>PAGI : HARI 1</t>
  </si>
  <si>
    <t>GINA</t>
  </si>
  <si>
    <t>SHIFTER 2</t>
  </si>
  <si>
    <t>TRANSACTION SUMMARY</t>
  </si>
  <si>
    <t>MALAM : HARI 1</t>
  </si>
  <si>
    <t>SHIFTER 1</t>
  </si>
  <si>
    <t>SALES SUMMARY</t>
  </si>
  <si>
    <t>TRANSAKSI ANTAR CABANG</t>
  </si>
  <si>
    <t>TRANSFER</t>
  </si>
  <si>
    <t>QTY SOLD</t>
  </si>
  <si>
    <t>ANTAR CABANG (+)</t>
  </si>
  <si>
    <t>ANTAR CABANG (-)</t>
  </si>
  <si>
    <t>PULSA</t>
  </si>
  <si>
    <t>NOMINAL</t>
  </si>
  <si>
    <t>ROKOK</t>
  </si>
  <si>
    <t>SP &amp; VOUCHER</t>
  </si>
  <si>
    <t>SOFT DRINK</t>
  </si>
  <si>
    <t xml:space="preserve"> </t>
  </si>
  <si>
    <t>ICE CREAM</t>
  </si>
  <si>
    <t>AKSESORIS</t>
  </si>
  <si>
    <t>HYDROGEL</t>
  </si>
  <si>
    <t>TOTAL ANTAR CABANG (+)</t>
  </si>
  <si>
    <t>TOTAL</t>
  </si>
  <si>
    <t>TOTAL ANTAR CABANG (-)</t>
  </si>
  <si>
    <t>TRANSAKSI RETUR</t>
  </si>
  <si>
    <t>RETUR PEMBELIAN</t>
  </si>
  <si>
    <t>RETUR PENJUALAN</t>
  </si>
  <si>
    <t>TABEL PIUTANG MASUK</t>
  </si>
  <si>
    <t>NAMA</t>
  </si>
  <si>
    <t>DETAIL UTANG</t>
  </si>
  <si>
    <t>TOTAL RETUR PEMBELIAN</t>
  </si>
  <si>
    <t>TOTAL RETUR PENJUALAN</t>
  </si>
  <si>
    <t>TRANSAKSI LAIN - LAIN</t>
  </si>
  <si>
    <t>TOTAL PIUTANG MASUK</t>
  </si>
  <si>
    <t>LAIN - LAIN (+)</t>
  </si>
  <si>
    <t>LAIN - LAIN (-)</t>
  </si>
  <si>
    <t>TRANSAKSI PEMBAYARAN PIUTANG</t>
  </si>
  <si>
    <t>TANGGAL UTANG</t>
  </si>
  <si>
    <t>TOTAL PEMBAYARAN PIUTANG</t>
  </si>
  <si>
    <t>TOTAL LAIN-LAIN (+)</t>
  </si>
  <si>
    <t>TOTAL LAIN-LAIN (-)</t>
  </si>
  <si>
    <t>UANG LAIN - LAIN</t>
  </si>
  <si>
    <t>AKUN KAS</t>
  </si>
  <si>
    <t>UANG KACANG</t>
  </si>
  <si>
    <t>TRANSAKSI BEBAN PERUSAHAAN</t>
  </si>
  <si>
    <t>UANG PARFUME</t>
  </si>
  <si>
    <t>DETAIL BEBAN</t>
  </si>
  <si>
    <t>(UANG LAINNYA)</t>
  </si>
  <si>
    <t>UANG MBA FIFI</t>
  </si>
  <si>
    <t>KAS BERJALAN</t>
  </si>
  <si>
    <t>KONDISI BARANG RETUR</t>
  </si>
  <si>
    <t>KONDISI DETAIL UANG KAS</t>
  </si>
  <si>
    <t>UANG KERTAS</t>
  </si>
  <si>
    <t>DETAIL PRODUK</t>
  </si>
  <si>
    <t>KONDISI</t>
  </si>
  <si>
    <t>TOTAL BEBAN</t>
  </si>
  <si>
    <t>UANG KOIN</t>
  </si>
  <si>
    <t>SHIFT SUMMARY</t>
  </si>
  <si>
    <t>TOTAL REVENUE</t>
  </si>
  <si>
    <t>UANG DITERIMA</t>
  </si>
  <si>
    <t>HARI 2 : PAGI</t>
  </si>
  <si>
    <t>HARI 2 : MALAM</t>
  </si>
  <si>
    <t>0857-1466</t>
  </si>
  <si>
    <t>0821-0001</t>
  </si>
  <si>
    <t>0859-0237</t>
  </si>
  <si>
    <t>0813-7449</t>
  </si>
  <si>
    <t>0851-6355</t>
  </si>
  <si>
    <t>0823-1564</t>
  </si>
  <si>
    <t>0821-7889</t>
  </si>
  <si>
    <t>LA BOLD 20</t>
  </si>
  <si>
    <t>AIGO 3 (1bln) / 4.5 GB</t>
  </si>
  <si>
    <t>V. ISAT 3.5 / 5hr</t>
  </si>
  <si>
    <t>SP ISAT 4 GB (8GB)</t>
  </si>
  <si>
    <t>V. SMART 4 / 3hr</t>
  </si>
  <si>
    <t>SP TSEL REG</t>
  </si>
  <si>
    <t>COCA-COLA (ALL)</t>
  </si>
  <si>
    <t>(K.D)(Type C) Robot RGC100</t>
  </si>
  <si>
    <t>PAGI : HARI 2</t>
  </si>
  <si>
    <t>MALAM : HARI 2</t>
  </si>
  <si>
    <t>GALON</t>
  </si>
  <si>
    <t>HARI 3 : PAGI</t>
  </si>
  <si>
    <t>HARI 3 : MALAM</t>
  </si>
  <si>
    <t>PAGI : HARI 3</t>
  </si>
  <si>
    <t>MALAM : HARI 3</t>
  </si>
  <si>
    <t>HARI 4 : PAGI</t>
  </si>
  <si>
    <t>HARI 4 : MALAM</t>
  </si>
  <si>
    <t>HARI 4: MALAM</t>
  </si>
  <si>
    <t>PAGI : HARI 4</t>
  </si>
  <si>
    <t>MALAM : HARI 4</t>
  </si>
  <si>
    <t>HARI 5 : PAGI</t>
  </si>
  <si>
    <t>HARI 5 : MALAM</t>
  </si>
  <si>
    <t>HARI 5: MALAM</t>
  </si>
  <si>
    <t>PAGI : HARI 5</t>
  </si>
  <si>
    <t>MALAM : HARI 5</t>
  </si>
  <si>
    <t>HARI 6 : PAGI</t>
  </si>
  <si>
    <t>HARI 6 : MALAM</t>
  </si>
  <si>
    <t>HARI 6: MALAM</t>
  </si>
  <si>
    <t>PAGI : HARI 6</t>
  </si>
  <si>
    <t>MALAM : HARI 6</t>
  </si>
  <si>
    <t>HARI 7 : PAGI</t>
  </si>
  <si>
    <t>HARI 7 : MALAM</t>
  </si>
  <si>
    <t>PAGI : HARI 7</t>
  </si>
  <si>
    <t>MALAM : HARI 7</t>
  </si>
  <si>
    <t>HARI 8 : PAGI</t>
  </si>
  <si>
    <t>HARI 8 : MALAM</t>
  </si>
  <si>
    <t>PAGI : HARI 8</t>
  </si>
  <si>
    <t>MALAM : HARI 8</t>
  </si>
  <si>
    <t>HARI 9 : PAGI</t>
  </si>
  <si>
    <t>HARI 9 : MALAM</t>
  </si>
  <si>
    <t>PAGI : HARI 9</t>
  </si>
  <si>
    <t>MALAM : HARI 9</t>
  </si>
  <si>
    <t>HARI 10 : PAGI</t>
  </si>
  <si>
    <t>HARI 10 : MALAM</t>
  </si>
  <si>
    <t>PAGI : HARI 10</t>
  </si>
  <si>
    <t>MALAM : HARI 10</t>
  </si>
  <si>
    <t>HARI 11 : PAGI</t>
  </si>
  <si>
    <t>HARI 11 : MALAM</t>
  </si>
  <si>
    <t>PAGI : HARI 11</t>
  </si>
  <si>
    <t>MALAM : HARI 11</t>
  </si>
  <si>
    <t>TOTAL SALES</t>
  </si>
  <si>
    <t>PENJUALAN TRANSFER TOTAL</t>
  </si>
  <si>
    <t>SHIFT HARI</t>
  </si>
  <si>
    <t>PENJUALAN DEBIT</t>
  </si>
  <si>
    <t>PENJUALAN KREDIT</t>
  </si>
  <si>
    <t>PENJUALAN TRANSFER</t>
  </si>
  <si>
    <t>PRODUCT</t>
  </si>
  <si>
    <t>HARI TRANSAKSI</t>
  </si>
  <si>
    <t>HARI 1</t>
  </si>
  <si>
    <t>HARI 2</t>
  </si>
  <si>
    <t>HARI 3</t>
  </si>
  <si>
    <t>HARI 4</t>
  </si>
  <si>
    <t>HARI 5</t>
  </si>
  <si>
    <t>HARI 6</t>
  </si>
  <si>
    <t>HARI 7</t>
  </si>
  <si>
    <t>HARI 8</t>
  </si>
  <si>
    <t>HARI 9</t>
  </si>
  <si>
    <t>HARI 10</t>
  </si>
  <si>
    <t>HARI 11</t>
  </si>
  <si>
    <t>TOTAL/PRODUK</t>
  </si>
  <si>
    <t>TOTAL TRANSFER</t>
  </si>
  <si>
    <t>DAILY SALES</t>
  </si>
  <si>
    <t>TOTAL PRICE TOLERANCE</t>
  </si>
  <si>
    <t>STOCK MOVEMENT ROKOK</t>
  </si>
  <si>
    <t>STOCK MOVEMENT SP &amp; VOUCHER</t>
  </si>
  <si>
    <t>STOCK MOVEMENT SOFT DRINK</t>
  </si>
  <si>
    <t>STOCK MOVEMENT ICE CREAM</t>
  </si>
  <si>
    <t>STOCK MOVEMENT AKSESORIS</t>
  </si>
  <si>
    <t>STOCK MOVEMENT HYDROGEL</t>
  </si>
  <si>
    <t>HARI KE</t>
  </si>
  <si>
    <t>SALDO TOP UP</t>
  </si>
  <si>
    <t>SALDO CASHBACK</t>
  </si>
  <si>
    <t>STOK AWAL</t>
  </si>
  <si>
    <t>PEMBELIAN</t>
  </si>
  <si>
    <t>DISTRIBUSI</t>
  </si>
  <si>
    <t>PENJUALAN</t>
  </si>
  <si>
    <t>TOTAL STOK TERJUAL</t>
  </si>
  <si>
    <t>STOK AKHIR</t>
  </si>
  <si>
    <t>PLUS(+)</t>
  </si>
  <si>
    <t>MINUS(-)</t>
  </si>
  <si>
    <t>TOTAL REKAPITULASI SALDO</t>
  </si>
  <si>
    <t>DATA PULSA</t>
  </si>
  <si>
    <t>DATA PRODUK ROKOK</t>
  </si>
  <si>
    <t>DATA PRODUK SP &amp; VOUCHER</t>
  </si>
  <si>
    <t>DATA PRODUK SOFTDRINK</t>
  </si>
  <si>
    <t>DATA PRODUK ICE CREAM</t>
  </si>
  <si>
    <t>DATA PRODUK AKSESORIS</t>
  </si>
  <si>
    <t>DATA PRODUK HYDROGEL</t>
  </si>
  <si>
    <t>HARGA AWAL</t>
  </si>
  <si>
    <t>MARLBORO MERAH</t>
  </si>
  <si>
    <t>FRESTEA 500ml (ALL)</t>
  </si>
  <si>
    <t>(K.D)(Micro) Olike D306M</t>
  </si>
  <si>
    <t>(SCREEN) CLEAR</t>
  </si>
  <si>
    <t>MARLBORO FILTER 12</t>
  </si>
  <si>
    <t>FRESTEA 350ml (ALL)</t>
  </si>
  <si>
    <t>(K.D)(Micro) Robot RBM100S</t>
  </si>
  <si>
    <t>(SCREEN) ANTI-BLUE</t>
  </si>
  <si>
    <t>MARLBORO KRETEK</t>
  </si>
  <si>
    <t>SP TSEL 15 GB</t>
  </si>
  <si>
    <t>PULPY ORANGE 300ml</t>
  </si>
  <si>
    <t>(Waku-Waku) Mango Loop</t>
  </si>
  <si>
    <t>(SCREEN) MATTE</t>
  </si>
  <si>
    <t>SAMPOERNA 16</t>
  </si>
  <si>
    <t>SP TSEL NOCAN</t>
  </si>
  <si>
    <t>FANTA (ALL)</t>
  </si>
  <si>
    <t>(Waku-Waku) Nanas</t>
  </si>
  <si>
    <t>(K.D)(Micro) Vivan CTM-100S</t>
  </si>
  <si>
    <t>(SCREEN) MATTE ANTI-SPY</t>
  </si>
  <si>
    <t>SAMPOERNA MENTHOL</t>
  </si>
  <si>
    <t>SP TRI 3 GB</t>
  </si>
  <si>
    <t>SPRITE (ALL)</t>
  </si>
  <si>
    <t>(Waku-Waku) Choco Dinosaur</t>
  </si>
  <si>
    <t>(K.D)(Micro)(Braided) Olike D201M</t>
  </si>
  <si>
    <t>(WATCH) CLEAR</t>
  </si>
  <si>
    <t>DATA SHIFT</t>
  </si>
  <si>
    <t>SAMPOERNA 12</t>
  </si>
  <si>
    <t>SP TRI 8.5 GB</t>
  </si>
  <si>
    <t>(Waku-Waku) Ice Lolly Lychee Melon</t>
  </si>
  <si>
    <t>(K.D)(Micro)(Braided) Rexi KSC1-M</t>
  </si>
  <si>
    <t>(WATCH) ANTI-BLUE</t>
  </si>
  <si>
    <t>SAMPOERNA KRETEK</t>
  </si>
  <si>
    <t xml:space="preserve">SP TRI 14.5 GB </t>
  </si>
  <si>
    <t>(Waku-Waku) Ice Lolly Strawberry Guava</t>
  </si>
  <si>
    <t>(K.D)(Micro)(Braided) Vivan BTK-M/MS</t>
  </si>
  <si>
    <t>(WATCH) MATTE</t>
  </si>
  <si>
    <t>ADAM</t>
  </si>
  <si>
    <t>SURYA 12</t>
  </si>
  <si>
    <t>SP XL REG</t>
  </si>
  <si>
    <t>NUTRIBOOST Orange</t>
  </si>
  <si>
    <t>(Waku-Waku) Ice Lolly Mango Grape</t>
  </si>
  <si>
    <t>(K.D)(Micro)(Gaming) Vivan BWM100S</t>
  </si>
  <si>
    <t>(BACK) HM 88 (M)</t>
  </si>
  <si>
    <t>TEGAR</t>
  </si>
  <si>
    <t>SURYA INTER</t>
  </si>
  <si>
    <t>SP XL 3 FLEX (XS)</t>
  </si>
  <si>
    <t>MILKU (ALL)</t>
  </si>
  <si>
    <t>(Waku-Waku) Dra-Cola</t>
  </si>
  <si>
    <t>(BACK) HM 42</t>
  </si>
  <si>
    <t>RIUL</t>
  </si>
  <si>
    <t>SURYA PRO MERAH</t>
  </si>
  <si>
    <t>SP XL 12 FLEX (S)</t>
  </si>
  <si>
    <t>(Waku-Waku) Cotton Candy</t>
  </si>
  <si>
    <t>(K.D)(Type C) Robot RBC100S</t>
  </si>
  <si>
    <t>(BACK) HM 122 (M)</t>
  </si>
  <si>
    <t>ZAID</t>
  </si>
  <si>
    <t>SURYA PRO PUTIH</t>
  </si>
  <si>
    <t>SP XL 33 FLEX (M)</t>
  </si>
  <si>
    <t>(Jcone) Choco Vanilla Rainbow</t>
  </si>
  <si>
    <t>(BACK) HM 60</t>
  </si>
  <si>
    <t>SP XL 90 FLEX (L)</t>
  </si>
  <si>
    <t>(Frostbite) Yakoo</t>
  </si>
  <si>
    <t>(K.D)(Type C) Vivan CTC-100S</t>
  </si>
  <si>
    <t>(BACK) HM 150 S</t>
  </si>
  <si>
    <t>ADANI</t>
  </si>
  <si>
    <t>TOPPAS 16</t>
  </si>
  <si>
    <t>ADEM SARI CINGKU</t>
  </si>
  <si>
    <t>(Frostbite) Strawberry Sakura Mochi</t>
  </si>
  <si>
    <t>(K.D)(Type C)(Braided) Olike D201C</t>
  </si>
  <si>
    <t>(BACK) HM-TG 3</t>
  </si>
  <si>
    <t>NADIFA</t>
  </si>
  <si>
    <t>TOPPAS 20</t>
  </si>
  <si>
    <t>(K.D)(Type C)(Braided) Rexi KSC1-C</t>
  </si>
  <si>
    <t>(BACK) HM-SP 2</t>
  </si>
  <si>
    <t>DONI</t>
  </si>
  <si>
    <t>SP ISAT 9 GB (25GB)</t>
  </si>
  <si>
    <t>YAKULT PACK</t>
  </si>
  <si>
    <t>(Frostbite) Choco Lava Mochi</t>
  </si>
  <si>
    <t>(K.D)(Type C)(Braided) Vivan BTK-CS</t>
  </si>
  <si>
    <t>(BACK) HM 86 (M)</t>
  </si>
  <si>
    <t>DHEA</t>
  </si>
  <si>
    <t>DJISAMSOE</t>
  </si>
  <si>
    <t>SP AXIS REG</t>
  </si>
  <si>
    <t>NEW PRODUCT (1)</t>
  </si>
  <si>
    <t>(K.D)(Type C)(Gaming) Vivan BWC100S</t>
  </si>
  <si>
    <t>(BACK) HM 124 (M)</t>
  </si>
  <si>
    <t>DJISAMSOE PREMIUM</t>
  </si>
  <si>
    <t>SP AXIS 3 GB</t>
  </si>
  <si>
    <t>NEW PRODUCT (2)</t>
  </si>
  <si>
    <t>(Frostbite) Coconut Shake Lychee</t>
  </si>
  <si>
    <t>(K.D)(Type C)(C-C) Rexi TM10-CC</t>
  </si>
  <si>
    <t>(BACK) HM 159 S</t>
  </si>
  <si>
    <t>GEO MILD</t>
  </si>
  <si>
    <t>SP AXIS 7 GB</t>
  </si>
  <si>
    <t>NEW PRODUCT (3)</t>
  </si>
  <si>
    <t>(Frostbite) Cup Strawberry Vanilla</t>
  </si>
  <si>
    <t>(K.D)(Type C)(C-C) Robot RNCC100</t>
  </si>
  <si>
    <t>(BACK) Custom Printing Film</t>
  </si>
  <si>
    <t>GEO KRETEK</t>
  </si>
  <si>
    <t>SP AXIS 12.5 GB</t>
  </si>
  <si>
    <t>(K.D)(Type C)(C-C) Robot RZCC100</t>
  </si>
  <si>
    <t>LA 16</t>
  </si>
  <si>
    <t>SP SMART 3/14hr</t>
  </si>
  <si>
    <t>(Frostbite) Cup Tutti Frutti</t>
  </si>
  <si>
    <t>(K.D)(Type C)(C-C) Vivan KPD100S</t>
  </si>
  <si>
    <t>SP SMART 10 GB</t>
  </si>
  <si>
    <t>(Frostbite) Cup Cookies &amp; Cream</t>
  </si>
  <si>
    <t>(K.D)(Type C)(C-C) Vivan VDCC120</t>
  </si>
  <si>
    <t>CAMEL UNGU 12</t>
  </si>
  <si>
    <t>SP SMART UNLI</t>
  </si>
  <si>
    <t>(Frostbite) Choco Nut &amp; Cashew</t>
  </si>
  <si>
    <t>(K.D)(Iphone) Olike D306L</t>
  </si>
  <si>
    <t>MLD HITAM 12</t>
  </si>
  <si>
    <t>SP by.U 3 GB</t>
  </si>
  <si>
    <t>(Jcone) Black &amp; Pink</t>
  </si>
  <si>
    <t>(K.D)(Iphone) Olike D304L</t>
  </si>
  <si>
    <t>DJARUM SUPER 12</t>
  </si>
  <si>
    <t>SP by.U 7 GB</t>
  </si>
  <si>
    <t>(Frostbite) Jcone Cookies &amp; Cream</t>
  </si>
  <si>
    <t>(K.D)(Iphone) Robot RGL100</t>
  </si>
  <si>
    <t/>
  </si>
  <si>
    <t>(Frostbite) Cookies &amp; Cream</t>
  </si>
  <si>
    <t>(K.D)(Iphone) Vivan CSL100</t>
  </si>
  <si>
    <t>V. TSEL 1.5 / 3hr</t>
  </si>
  <si>
    <t>(Frostbite) Crunchy Double Choco</t>
  </si>
  <si>
    <t>(K.D)(Iphone) Vivan CTL-100S</t>
  </si>
  <si>
    <t>GAJAH BARU</t>
  </si>
  <si>
    <t>(Haku) Double Crispy Choco Monaka</t>
  </si>
  <si>
    <t>(K.D)(Iphone)(Braided) Olike D201L</t>
  </si>
  <si>
    <t>V. TSEL 3.5 / 7hr</t>
  </si>
  <si>
    <t>(K.D)(Iphone)(Braided) Rexi KSC1-L</t>
  </si>
  <si>
    <t>CHIEF</t>
  </si>
  <si>
    <t>V. TSEL 2 GB</t>
  </si>
  <si>
    <t>(Haku) Vanilla &amp; Crispy Choco Monaka</t>
  </si>
  <si>
    <t>(K.D)(Iphone)(Braided) Vivan BTK-LS</t>
  </si>
  <si>
    <t>V. TSEL 5 GB</t>
  </si>
  <si>
    <t>(Haku) Blueberry Cheesecake Cup</t>
  </si>
  <si>
    <t>(K.D)(Iphone)(Gaming) Vivan BWL100S</t>
  </si>
  <si>
    <t>KOREK PANAS</t>
  </si>
  <si>
    <t>V. TSEL 9 GB</t>
  </si>
  <si>
    <t>(Haku) Vanilla Monaka</t>
  </si>
  <si>
    <t>(K.D)(Iphone)(C-L) Robot RNCL100</t>
  </si>
  <si>
    <t>V. TSEL 26 GB</t>
  </si>
  <si>
    <t>(Haku) Matcha Monaka</t>
  </si>
  <si>
    <t>(K.D)(Iphone)(C-L) Robot RZCL100</t>
  </si>
  <si>
    <t>(K.D)(Iphone)(C-L) Vivan VDCL120</t>
  </si>
  <si>
    <t>(K.D)(Universal) Robot RTF01</t>
  </si>
  <si>
    <t>BM3X (8GB / 5hr)</t>
  </si>
  <si>
    <t>(K.D)(Universal) Vivan VYT120S</t>
  </si>
  <si>
    <t>VHP9 (9GB / 10hr)</t>
  </si>
  <si>
    <t>(ADAPTER)(1A) Robot RT-K4</t>
  </si>
  <si>
    <t>VAON2 (4.5 GB)</t>
  </si>
  <si>
    <t>(ADAPTER)(2A) Robot RT-K8</t>
  </si>
  <si>
    <t>(ADAPTER)(2.4A) Olike C108</t>
  </si>
  <si>
    <t>VAON9 (12 GB)</t>
  </si>
  <si>
    <t>(ADAPTER)(3A) Robot RT-F1</t>
  </si>
  <si>
    <t>VAON12 (16 GB)</t>
  </si>
  <si>
    <t>(ADAPTER)(3A)(Type C) Robot RT-P20</t>
  </si>
  <si>
    <t>V. XL 4 / 10hr</t>
  </si>
  <si>
    <t>(ADAPTER)(3A)(Type C) Vivan Power Nano 20W</t>
  </si>
  <si>
    <t>(TRAVEL ADAPTER) Vivan VPS-T001A</t>
  </si>
  <si>
    <t>V. XL 10 FLEX (S+)</t>
  </si>
  <si>
    <t>(CHARGER SET)(Micro)(1A) Robot RT-K7</t>
  </si>
  <si>
    <t>V. XL 15 FLEX (M)</t>
  </si>
  <si>
    <t>(CHARGER SET)(Micro)(1.5A) Rexi CQ15-M</t>
  </si>
  <si>
    <t>V. XL 27 FLEX (L)</t>
  </si>
  <si>
    <t>(CHARGER SET)(Micro)(1.5A) Olike C104</t>
  </si>
  <si>
    <t>V. XL 43 FLEX (XL)</t>
  </si>
  <si>
    <t>(CHARGER SET)(Micro)(2A) Robot RT-K9</t>
  </si>
  <si>
    <t>V. ISAT 1 / 2hr</t>
  </si>
  <si>
    <t>(CHARGER SET)(Micro)(2.4A) Olike C107M</t>
  </si>
  <si>
    <t>(CHARGER SET)(Type C)(2.4A) Olike C107C</t>
  </si>
  <si>
    <t>(CHARGER SET)(Iphone)(2.4A) Olike C107L</t>
  </si>
  <si>
    <t>V. ISAT FREE 6</t>
  </si>
  <si>
    <t>(CHARGER SET)(Iphone)(2.4A) Rexi CH24-LS</t>
  </si>
  <si>
    <t>V. ISAT FREE 10</t>
  </si>
  <si>
    <t>(CHARGER SET)(C-Iphone)(3A) Olike C308CL</t>
  </si>
  <si>
    <t>(CHARGER SET)(C-Iphone)(3A) Robot RT-F6</t>
  </si>
  <si>
    <t>(CAR CHARGER) Olike R11</t>
  </si>
  <si>
    <t>AIGO 4 / 5hr</t>
  </si>
  <si>
    <t>(CAR CHARGER) Olike R1</t>
  </si>
  <si>
    <t>(CAR CHARGER) Robot RT-C06</t>
  </si>
  <si>
    <t>AIGO 6 / 9 GB</t>
  </si>
  <si>
    <t>(CAR CHARGER) Robot RT-C08</t>
  </si>
  <si>
    <t>AIGO 8 / 12 GB</t>
  </si>
  <si>
    <t>(POWERBANK)(4.500mAH)(Type C) Robot RT045C</t>
  </si>
  <si>
    <t>(POWERBANK)(4.500mAH)(Iphone) Robot RT045L</t>
  </si>
  <si>
    <t>V. SMART 6 / 7hr</t>
  </si>
  <si>
    <t>(POWERBANK)(10.000mAH) Rexi MI10</t>
  </si>
  <si>
    <t>V. SMART 11 GB</t>
  </si>
  <si>
    <t>(POWERBANK)(10.000mAH) Robot RT12</t>
  </si>
  <si>
    <t>V. SMART 6 NS (FULL)</t>
  </si>
  <si>
    <t>(POWERBANK)(10.000mAH) Robot RT180S</t>
  </si>
  <si>
    <t>V. SMART 50 GB</t>
  </si>
  <si>
    <t>(POWERBANK)(10.000mAH) Olike P102</t>
  </si>
  <si>
    <t>V. SMART MAXI</t>
  </si>
  <si>
    <t>(POWERBANK)(10.000mAH) Robot RT190S</t>
  </si>
  <si>
    <t>V. by.U 3 GB</t>
  </si>
  <si>
    <t>(POWERBANK)(10.000mAH) Vivan VPB-M10</t>
  </si>
  <si>
    <t>V. by.U 7 GB</t>
  </si>
  <si>
    <t>(POWERBANK)(20.000mAH) Redskull RSPB-A20</t>
  </si>
  <si>
    <t>(POWERBANK)(20.000mAH) Vivan VPB-C20</t>
  </si>
  <si>
    <t>(H.S)(Half-Ear) Samsung Basic Putih</t>
  </si>
  <si>
    <t>(H.S)(Half-Ear) Samsung Basic Hitam</t>
  </si>
  <si>
    <t>(H.S)(Half-Ear) Olike E20S</t>
  </si>
  <si>
    <t>(H.S)(Half-Ear) Robot RE10</t>
  </si>
  <si>
    <t>(H.S)(Half-Ear) Oase Cable E-T2H</t>
  </si>
  <si>
    <t>(H.S)(In-Ear) Olike E30S</t>
  </si>
  <si>
    <t>(H.S)(In-Ear) Robot RE20</t>
  </si>
  <si>
    <t>(H.S)(In-Ear) Olike E-11</t>
  </si>
  <si>
    <t>(H.S)(In-Ear) Robot RE101S</t>
  </si>
  <si>
    <t>(H.S)(In-Ear) Rexi EI03</t>
  </si>
  <si>
    <t>(H.S)(In-Ear) Vivan Q15</t>
  </si>
  <si>
    <t>(H.S)(In-Ear)(Type-C) Olike E202C</t>
  </si>
  <si>
    <t>(H.S)(Iphone) Olike E12</t>
  </si>
  <si>
    <t>(HEADPHONE) Robot Spirit H20</t>
  </si>
  <si>
    <t>(TWS)(Half-Ear) Robot Airbuds T60</t>
  </si>
  <si>
    <t>(TWS)(Half-Ear) Robot Flybuds T10S</t>
  </si>
  <si>
    <t>(TWS)(In-Ear) Oase Bluetooth K09</t>
  </si>
  <si>
    <t>(TWS)(In-Ear) Rexi WA03 Pro</t>
  </si>
  <si>
    <t>(TWS)(In-Ear) Olike T112</t>
  </si>
  <si>
    <t>(TWS)(In-Ear) Robot Airbuds T70</t>
  </si>
  <si>
    <t>(TWS Case) Robot Airbuds T60 Case</t>
  </si>
  <si>
    <t>(TWS Cleaning Pen) Robot RMC10</t>
  </si>
  <si>
    <t>(OWS)(Open-Ear) Acome Open Soft AE03</t>
  </si>
  <si>
    <t>(OWS)(Open-Ear) Robot Open Run 1</t>
  </si>
  <si>
    <t>(OWS)(Open-Ear) Vivan Sport S</t>
  </si>
  <si>
    <t>(SPEAKER) Robot RB20</t>
  </si>
  <si>
    <t>(SPEAKER) Robot RB30</t>
  </si>
  <si>
    <t>(SPEAKER) Olike Beatz SF3</t>
  </si>
  <si>
    <t>(SPEAKER) Robot RB120</t>
  </si>
  <si>
    <t>(SPEAKER) Vivan VS1</t>
  </si>
  <si>
    <t>(AUDIO)(Aux) Cable Basic</t>
  </si>
  <si>
    <t>(AUDIO)(Aux) Rexi TF20-AX</t>
  </si>
  <si>
    <t>(AUDIO)(Aux) Olike ATA1</t>
  </si>
  <si>
    <t>(AUDIO)(Aux) Vivan AUX01</t>
  </si>
  <si>
    <t>(Audio Converter)(C-Aux) Rexi OJ01-CX</t>
  </si>
  <si>
    <t>(Audio Converter)(C-Aux)(Braided) Olike ATC1</t>
  </si>
  <si>
    <t>(Audio Converter)(L-Aux) Robot RUL03</t>
  </si>
  <si>
    <t>(CARD READER) Robot CR102</t>
  </si>
  <si>
    <t>(OTG)(USB A - Micro&amp;Type C) ZBOX Basic</t>
  </si>
  <si>
    <t>(OTG)(Type C - Micro) Robot RT-OTG01</t>
  </si>
  <si>
    <t>(OTG)(Micro - Type C) Robot RT-OTG02</t>
  </si>
  <si>
    <t>(OTG)(USB A - Type C) Robot RT-OTG04</t>
  </si>
  <si>
    <t>(HOLDER)(Desk) Olike HC2</t>
  </si>
  <si>
    <t>(HOLDER)(Motorcycle) Olike HC10</t>
  </si>
  <si>
    <t>(HOLDER)(Car) Oase HZ08C</t>
  </si>
  <si>
    <t>(HOLDER)(Car) Olike HC1</t>
  </si>
  <si>
    <t>(HOLDER)(Car) Olike HC3</t>
  </si>
  <si>
    <t>(HOLDER)(Car) Robot RT-CH19</t>
  </si>
  <si>
    <t>(PHONE COOLER) Gamen GMR02</t>
  </si>
  <si>
    <t>(PHONE COOLER) Gamen GMR05</t>
  </si>
  <si>
    <t>(MEMORY CARD) Robot 4GB</t>
  </si>
  <si>
    <t>(MEMORY CARD) Robot 8GB</t>
  </si>
  <si>
    <t>(MEMORY CARD) Robot 16GB</t>
  </si>
  <si>
    <t>(MEMORY CARD) Vivan 16GB</t>
  </si>
  <si>
    <t>(MEMORY CARD) Robot 32GB</t>
  </si>
  <si>
    <t>(MEMORY CARD) Vivan 32GB</t>
  </si>
  <si>
    <t>(MEMORY CARD) Vivan 64GB</t>
  </si>
  <si>
    <t>(FLASHDISK) Robot RF-104 4GB</t>
  </si>
  <si>
    <t>(FLASHDISK) Robot RF-108 8GB</t>
  </si>
  <si>
    <t>(FLASHDISK) Vivan VF516 16GB</t>
  </si>
  <si>
    <t>(FLASHDISK) Vivan VF532 32GB</t>
  </si>
  <si>
    <t>(FLASHDISK) Vivan VF564 64GB</t>
  </si>
  <si>
    <t>(HDMI)(1M) Robot 4K RFH01</t>
  </si>
  <si>
    <t>(HDMI)(1.5M) Robot 4K RFH015</t>
  </si>
  <si>
    <t>(HDMI)(2M) Olike 4K AH02</t>
  </si>
  <si>
    <t>(HDMI)(2M) Robot 4K RFH02</t>
  </si>
  <si>
    <t>(HDMI)(3M) Olike 4K AH03</t>
  </si>
  <si>
    <t>(HDMI)(3M) Robot 4K RFH03</t>
  </si>
  <si>
    <t>(HDMI)(5M) Olike 4K AH05</t>
  </si>
  <si>
    <t>(HDMI)(5M) Robot 4K RFH05</t>
  </si>
  <si>
    <t>(HDMI)(8M) Robot 4K RFH08</t>
  </si>
  <si>
    <t>(HDMI)(10M) Robot 4K RFH10</t>
  </si>
  <si>
    <t>(KEYBOARD)(Wired) Robot RK10</t>
  </si>
  <si>
    <t>(MOUSE) Robot M210</t>
  </si>
  <si>
    <t>(MOUSE PAD) Robot RP01</t>
  </si>
  <si>
    <t>GURITA</t>
  </si>
  <si>
    <t>DESKTOP FOLDING FAN OASE IL-F1</t>
  </si>
  <si>
    <t>SOAP DISPENSER OASE ASD1</t>
  </si>
  <si>
    <t>UV STERILIZER OASE LSUV1</t>
  </si>
  <si>
    <t>MOSQUITO KILLER OASE IL-M1</t>
  </si>
  <si>
    <t>(WallCharger)(20W) Aukey PA-R1S</t>
  </si>
  <si>
    <t>(WallCharger)(20W) Aukey PA-F1S</t>
  </si>
  <si>
    <t>(WallCharger)(25W) Aukey PA-R1A</t>
  </si>
  <si>
    <t>(WallCharger)(30W) Aukey PA-R1T</t>
  </si>
  <si>
    <t>(WallCharger)(32W) Aukey PA-F3S</t>
  </si>
  <si>
    <t>(WallCharger)(40W) Aukey PA-R2S</t>
  </si>
  <si>
    <t>(WallCharger)(45W) Aukey PA-B2T</t>
  </si>
  <si>
    <t>UANG SETORAN</t>
  </si>
  <si>
    <t>TABEL BALANCE</t>
  </si>
  <si>
    <t>PAGI</t>
  </si>
  <si>
    <t>MALAM</t>
  </si>
  <si>
    <t>SALES DEBIT</t>
  </si>
  <si>
    <t>TRANSFER SALES</t>
  </si>
  <si>
    <t>PIUTANG LUNAS</t>
  </si>
  <si>
    <t>LAIN-LAIN (+)</t>
  </si>
  <si>
    <t>SALES KREDIT</t>
  </si>
  <si>
    <t>PIUTANG MASUK</t>
  </si>
  <si>
    <t>LAIN-LAIN (-)</t>
  </si>
  <si>
    <t>BALANCE DEBIT</t>
  </si>
  <si>
    <t>BALANCE KREDIT</t>
  </si>
  <si>
    <t>SHIFT</t>
  </si>
  <si>
    <t>TOTAL SHIFT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</si>
</sst>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  <numFmt numFmtId="180" formatCode="dd\-mmm"/>
    <numFmt numFmtId="181" formatCode="[$-F800]dddd\,\ mmmm\ dd\,\ yyyy"/>
  </numFmts>
  <fonts count="68">
    <font>
      <sz val="11"/>
      <color theme="1"/>
      <name val="Trebuchet MS"/>
      <charset val="1"/>
      <scheme val="minor"/>
    </font>
    <font>
      <b/>
      <sz val="11"/>
      <color theme="0"/>
      <name val="Trebuchet MS"/>
      <charset val="134"/>
      <scheme val="minor"/>
    </font>
    <font>
      <b/>
      <sz val="11"/>
      <color theme="1"/>
      <name val="Trebuchet MS"/>
      <charset val="134"/>
      <scheme val="minor"/>
    </font>
    <font>
      <b/>
      <sz val="12"/>
      <color theme="0"/>
      <name val="Trebuchet MS"/>
      <charset val="134"/>
      <scheme val="minor"/>
    </font>
    <font>
      <b/>
      <sz val="12"/>
      <color theme="1"/>
      <name val="TimesNewRomanPSMT"/>
      <charset val="134"/>
    </font>
    <font>
      <b/>
      <sz val="11"/>
      <color theme="2"/>
      <name val="Trebuchet MS"/>
      <charset val="134"/>
    </font>
    <font>
      <b/>
      <sz val="12"/>
      <color theme="1"/>
      <name val="Trebuchet MS"/>
      <charset val="134"/>
    </font>
    <font>
      <b/>
      <sz val="12"/>
      <color theme="2"/>
      <name val="Trebuchet MS"/>
      <charset val="134"/>
    </font>
    <font>
      <b/>
      <sz val="12"/>
      <color theme="1"/>
      <name val="Trebuchet MS"/>
      <charset val="1"/>
      <scheme val="minor"/>
    </font>
    <font>
      <b/>
      <sz val="12"/>
      <color theme="0"/>
      <name val="Trebuchet MS"/>
      <charset val="1"/>
    </font>
    <font>
      <b/>
      <sz val="12"/>
      <color theme="1"/>
      <name val="Trebuchet MS"/>
      <charset val="1"/>
    </font>
    <font>
      <b/>
      <sz val="12"/>
      <color theme="2"/>
      <name val="Trebuchet MS"/>
      <charset val="1"/>
    </font>
    <font>
      <b/>
      <sz val="12"/>
      <color rgb="FFFF0000"/>
      <name val="Trebuchet MS"/>
      <charset val="1"/>
    </font>
    <font>
      <b/>
      <sz val="12"/>
      <color theme="0"/>
      <name val="Trebuchet MS"/>
      <charset val="134"/>
    </font>
    <font>
      <b/>
      <sz val="22"/>
      <color theme="0"/>
      <name val="Trebuchet MS"/>
      <charset val="134"/>
      <scheme val="minor"/>
    </font>
    <font>
      <b/>
      <sz val="18"/>
      <color theme="2"/>
      <name val="Trebuchet MS"/>
      <charset val="134"/>
    </font>
    <font>
      <b/>
      <sz val="12"/>
      <color theme="4"/>
      <name val="Trebuchet MS"/>
      <charset val="134"/>
    </font>
    <font>
      <b/>
      <sz val="16"/>
      <color theme="2"/>
      <name val="Trebuchet MS"/>
      <charset val="134"/>
    </font>
    <font>
      <b/>
      <sz val="11"/>
      <color theme="1"/>
      <name val="Trebuchet MS"/>
      <charset val="134"/>
    </font>
    <font>
      <b/>
      <sz val="14"/>
      <color theme="1"/>
      <name val="Trebuchet MS"/>
      <charset val="134"/>
    </font>
    <font>
      <b/>
      <sz val="11"/>
      <color theme="4"/>
      <name val="Trebuchet MS"/>
      <charset val="134"/>
      <scheme val="minor"/>
    </font>
    <font>
      <sz val="11"/>
      <color theme="1"/>
      <name val="Trebuchet MS"/>
      <charset val="134"/>
      <scheme val="minor"/>
    </font>
    <font>
      <b/>
      <sz val="14"/>
      <color theme="0"/>
      <name val="Trebuchet MS"/>
      <charset val="134"/>
      <scheme val="minor"/>
    </font>
    <font>
      <sz val="12"/>
      <color theme="1"/>
      <name val="Trebuchet MS"/>
      <charset val="134"/>
    </font>
    <font>
      <b/>
      <sz val="10"/>
      <color theme="1"/>
      <name val="Trebuchet MS"/>
      <charset val="134"/>
    </font>
    <font>
      <b/>
      <sz val="10"/>
      <color theme="0"/>
      <name val="Trebuchet MS"/>
      <charset val="134"/>
    </font>
    <font>
      <b/>
      <sz val="12"/>
      <color rgb="FFFF0000"/>
      <name val="Trebuchet MS"/>
      <charset val="134"/>
    </font>
    <font>
      <b/>
      <sz val="12"/>
      <color rgb="FFFAFAFA"/>
      <name val="Trebuchet MS"/>
      <charset val="134"/>
    </font>
    <font>
      <b/>
      <sz val="16"/>
      <color theme="0"/>
      <name val="Trebuchet MS"/>
      <charset val="134"/>
      <scheme val="minor"/>
    </font>
    <font>
      <b/>
      <sz val="12"/>
      <color theme="1"/>
      <name val="Trebuchet MS"/>
      <charset val="134"/>
      <scheme val="minor"/>
    </font>
    <font>
      <b/>
      <sz val="14"/>
      <color theme="1"/>
      <name val="Trebuchet MS"/>
      <charset val="134"/>
      <scheme val="minor"/>
    </font>
    <font>
      <b/>
      <sz val="11"/>
      <color theme="1" tint="0.899990844447157"/>
      <name val="Trebuchet MS"/>
      <charset val="134"/>
      <scheme val="minor"/>
    </font>
    <font>
      <b/>
      <sz val="16"/>
      <color theme="4"/>
      <name val="Trebuchet MS"/>
      <charset val="134"/>
    </font>
    <font>
      <b/>
      <sz val="18"/>
      <color rgb="FFFAFAFA"/>
      <name val="Trebuchet MS"/>
      <charset val="134"/>
    </font>
    <font>
      <b/>
      <sz val="12"/>
      <color theme="2"/>
      <name val="Trebuchet MS"/>
      <charset val="134"/>
      <scheme val="minor"/>
    </font>
    <font>
      <b/>
      <sz val="12"/>
      <color theme="4"/>
      <name val="Trebuchet MS"/>
      <charset val="134"/>
      <scheme val="minor"/>
    </font>
    <font>
      <b/>
      <sz val="14"/>
      <color theme="2"/>
      <name val="Trebuchet MS"/>
      <charset val="134"/>
      <scheme val="minor"/>
    </font>
    <font>
      <b/>
      <sz val="14"/>
      <color theme="4"/>
      <name val="Trebuchet MS"/>
      <charset val="134"/>
      <scheme val="minor"/>
    </font>
    <font>
      <b/>
      <sz val="16"/>
      <color theme="2"/>
      <name val="Trebuchet MS"/>
      <charset val="134"/>
      <scheme val="minor"/>
    </font>
    <font>
      <b/>
      <sz val="18"/>
      <color theme="2"/>
      <name val="Trebuchet MS"/>
      <charset val="134"/>
      <scheme val="minor"/>
    </font>
    <font>
      <b/>
      <sz val="11"/>
      <color theme="2"/>
      <name val="Trebuchet MS"/>
      <charset val="134"/>
      <scheme val="minor"/>
    </font>
    <font>
      <b/>
      <sz val="16"/>
      <color theme="1"/>
      <name val="Trebuchet MS"/>
      <charset val="134"/>
      <scheme val="minor"/>
    </font>
    <font>
      <b/>
      <sz val="10"/>
      <color theme="4"/>
      <name val="Trebuchet MS"/>
      <charset val="134"/>
      <scheme val="minor"/>
    </font>
    <font>
      <b/>
      <sz val="10"/>
      <color theme="2"/>
      <name val="Trebuchet MS"/>
      <charset val="134"/>
      <scheme val="minor"/>
    </font>
    <font>
      <b/>
      <i/>
      <sz val="12"/>
      <color theme="1"/>
      <name val="Trebuchet MS"/>
      <charset val="134"/>
      <scheme val="minor"/>
    </font>
    <font>
      <b/>
      <sz val="18"/>
      <color theme="0"/>
      <name val="Trebuchet MS"/>
      <charset val="1"/>
    </font>
    <font>
      <b/>
      <sz val="18"/>
      <color rgb="FFFF0000"/>
      <name val="Trebuchet MS"/>
      <charset val="1"/>
    </font>
    <font>
      <sz val="11"/>
      <color theme="1"/>
      <name val="Trebuchet MS"/>
      <charset val="134"/>
      <scheme val="minor"/>
    </font>
    <font>
      <u/>
      <sz val="11"/>
      <color rgb="FF0000FF"/>
      <name val="Trebuchet MS"/>
      <charset val="0"/>
      <scheme val="minor"/>
    </font>
    <font>
      <u/>
      <sz val="11"/>
      <color rgb="FF800080"/>
      <name val="Trebuchet MS"/>
      <charset val="0"/>
      <scheme val="minor"/>
    </font>
    <font>
      <sz val="11"/>
      <color rgb="FFFF0000"/>
      <name val="Trebuchet MS"/>
      <charset val="0"/>
      <scheme val="minor"/>
    </font>
    <font>
      <b/>
      <sz val="18"/>
      <color theme="3"/>
      <name val="Trebuchet MS"/>
      <charset val="134"/>
      <scheme val="minor"/>
    </font>
    <font>
      <i/>
      <sz val="11"/>
      <color rgb="FF7F7F7F"/>
      <name val="Trebuchet MS"/>
      <charset val="0"/>
      <scheme val="minor"/>
    </font>
    <font>
      <b/>
      <sz val="15"/>
      <color theme="3"/>
      <name val="Trebuchet MS"/>
      <charset val="134"/>
      <scheme val="minor"/>
    </font>
    <font>
      <b/>
      <sz val="13"/>
      <color theme="3"/>
      <name val="Trebuchet MS"/>
      <charset val="134"/>
      <scheme val="minor"/>
    </font>
    <font>
      <b/>
      <sz val="11"/>
      <color theme="3"/>
      <name val="Trebuchet MS"/>
      <charset val="134"/>
      <scheme val="minor"/>
    </font>
    <font>
      <sz val="11"/>
      <color rgb="FF3F3F76"/>
      <name val="Trebuchet MS"/>
      <charset val="0"/>
      <scheme val="minor"/>
    </font>
    <font>
      <b/>
      <sz val="11"/>
      <color rgb="FF3F3F3F"/>
      <name val="Trebuchet MS"/>
      <charset val="0"/>
      <scheme val="minor"/>
    </font>
    <font>
      <b/>
      <sz val="11"/>
      <color rgb="FFFA7D00"/>
      <name val="Trebuchet MS"/>
      <charset val="0"/>
      <scheme val="minor"/>
    </font>
    <font>
      <b/>
      <sz val="11"/>
      <color rgb="FFFFFFFF"/>
      <name val="Trebuchet MS"/>
      <charset val="0"/>
      <scheme val="minor"/>
    </font>
    <font>
      <sz val="11"/>
      <color rgb="FFFA7D00"/>
      <name val="Trebuchet MS"/>
      <charset val="0"/>
      <scheme val="minor"/>
    </font>
    <font>
      <b/>
      <sz val="11"/>
      <color theme="1"/>
      <name val="Trebuchet MS"/>
      <charset val="0"/>
      <scheme val="minor"/>
    </font>
    <font>
      <sz val="11"/>
      <color rgb="FF006100"/>
      <name val="Trebuchet MS"/>
      <charset val="0"/>
      <scheme val="minor"/>
    </font>
    <font>
      <sz val="11"/>
      <color rgb="FF9C0006"/>
      <name val="Trebuchet MS"/>
      <charset val="0"/>
      <scheme val="minor"/>
    </font>
    <font>
      <sz val="11"/>
      <color rgb="FF9C6500"/>
      <name val="Trebuchet MS"/>
      <charset val="0"/>
      <scheme val="minor"/>
    </font>
    <font>
      <sz val="11"/>
      <color theme="0"/>
      <name val="Trebuchet MS"/>
      <charset val="0"/>
      <scheme val="minor"/>
    </font>
    <font>
      <sz val="11"/>
      <color theme="1"/>
      <name val="Trebuchet MS"/>
      <charset val="0"/>
      <scheme val="minor"/>
    </font>
    <font>
      <sz val="12"/>
      <color theme="1"/>
      <name val="Times New Roman"/>
      <charset val="134"/>
    </font>
  </fonts>
  <fills count="7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197ACF"/>
        <bgColor indexed="64"/>
      </patternFill>
    </fill>
    <fill>
      <patternFill patternType="solid">
        <fgColor rgb="FF133F7B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123F7B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C6DEF5"/>
        <bgColor indexed="64"/>
      </patternFill>
    </fill>
    <fill>
      <patternFill patternType="solid">
        <fgColor rgb="FFD1CE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1878CB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7E20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1" tint="0.899990844447157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799981688894314"/>
        <bgColor indexed="64"/>
      </patternFill>
    </fill>
    <fill>
      <patternFill patternType="solid">
        <fgColor rgb="FFEADA04"/>
        <bgColor indexed="64"/>
      </patternFill>
    </fill>
    <fill>
      <patternFill patternType="solid">
        <fgColor rgb="FFE05F87"/>
        <bgColor indexed="64"/>
      </patternFill>
    </fill>
    <fill>
      <patternFill patternType="solid">
        <fgColor theme="0" tint="-0.899990844447157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193E7A"/>
        <bgColor indexed="64"/>
      </patternFill>
    </fill>
    <fill>
      <patternFill patternType="solid">
        <fgColor rgb="FFE4232B"/>
        <bgColor indexed="64"/>
      </patternFill>
    </fill>
    <fill>
      <patternFill patternType="solid">
        <fgColor rgb="FFFBD304"/>
        <bgColor indexed="64"/>
      </patternFill>
    </fill>
    <fill>
      <patternFill patternType="solid">
        <fgColor rgb="FFEC548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1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auto="1"/>
      </right>
      <top style="thin">
        <color theme="0"/>
      </top>
      <bottom style="thin">
        <color theme="0"/>
      </bottom>
      <diagonal/>
    </border>
    <border>
      <left/>
      <right style="medium">
        <color auto="1"/>
      </right>
      <top style="thin">
        <color theme="0"/>
      </top>
      <bottom/>
      <diagonal/>
    </border>
    <border>
      <left style="medium">
        <color auto="1"/>
      </left>
      <right style="thin">
        <color theme="0"/>
      </right>
      <top style="thin">
        <color theme="0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theme="0"/>
      </left>
      <right/>
      <top/>
      <bottom/>
      <diagonal/>
    </border>
    <border>
      <left style="medium">
        <color auto="1"/>
      </left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/>
      <right style="medium">
        <color theme="1"/>
      </right>
      <top style="thin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/>
      <right style="thin">
        <color theme="0"/>
      </right>
      <top/>
      <bottom/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47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178" fontId="47" fillId="0" borderId="0" applyFont="0" applyFill="0" applyBorder="0" applyAlignment="0" applyProtection="0">
      <alignment vertical="center"/>
    </xf>
    <xf numFmtId="179" fontId="47" fillId="0" borderId="0" applyFon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7" fillId="44" borderId="113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0" borderId="114" applyNumberFormat="0" applyFill="0" applyAlignment="0" applyProtection="0">
      <alignment vertical="center"/>
    </xf>
    <xf numFmtId="0" fontId="54" fillId="0" borderId="114" applyNumberFormat="0" applyFill="0" applyAlignment="0" applyProtection="0">
      <alignment vertical="center"/>
    </xf>
    <xf numFmtId="0" fontId="55" fillId="0" borderId="1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45" borderId="116" applyNumberFormat="0" applyAlignment="0" applyProtection="0">
      <alignment vertical="center"/>
    </xf>
    <xf numFmtId="0" fontId="57" fillId="46" borderId="117" applyNumberFormat="0" applyAlignment="0" applyProtection="0">
      <alignment vertical="center"/>
    </xf>
    <xf numFmtId="0" fontId="58" fillId="46" borderId="116" applyNumberFormat="0" applyAlignment="0" applyProtection="0">
      <alignment vertical="center"/>
    </xf>
    <xf numFmtId="0" fontId="59" fillId="47" borderId="118" applyNumberFormat="0" applyAlignment="0" applyProtection="0">
      <alignment vertical="center"/>
    </xf>
    <xf numFmtId="0" fontId="60" fillId="0" borderId="119" applyNumberFormat="0" applyFill="0" applyAlignment="0" applyProtection="0">
      <alignment vertical="center"/>
    </xf>
    <xf numFmtId="0" fontId="61" fillId="0" borderId="120" applyNumberFormat="0" applyFill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3" fillId="49" borderId="0" applyNumberFormat="0" applyBorder="0" applyAlignment="0" applyProtection="0">
      <alignment vertical="center"/>
    </xf>
    <xf numFmtId="0" fontId="64" fillId="50" borderId="0" applyNumberFormat="0" applyBorder="0" applyAlignment="0" applyProtection="0">
      <alignment vertical="center"/>
    </xf>
    <xf numFmtId="0" fontId="65" fillId="51" borderId="0" applyNumberFormat="0" applyBorder="0" applyAlignment="0" applyProtection="0">
      <alignment vertical="center"/>
    </xf>
    <xf numFmtId="0" fontId="66" fillId="52" borderId="0" applyNumberFormat="0" applyBorder="0" applyAlignment="0" applyProtection="0">
      <alignment vertical="center"/>
    </xf>
    <xf numFmtId="0" fontId="66" fillId="53" borderId="0" applyNumberFormat="0" applyBorder="0" applyAlignment="0" applyProtection="0">
      <alignment vertical="center"/>
    </xf>
    <xf numFmtId="0" fontId="65" fillId="54" borderId="0" applyNumberFormat="0" applyBorder="0" applyAlignment="0" applyProtection="0">
      <alignment vertical="center"/>
    </xf>
    <xf numFmtId="0" fontId="65" fillId="55" borderId="0" applyNumberFormat="0" applyBorder="0" applyAlignment="0" applyProtection="0">
      <alignment vertical="center"/>
    </xf>
    <xf numFmtId="0" fontId="66" fillId="56" borderId="0" applyNumberFormat="0" applyBorder="0" applyAlignment="0" applyProtection="0">
      <alignment vertical="center"/>
    </xf>
    <xf numFmtId="0" fontId="66" fillId="57" borderId="0" applyNumberFormat="0" applyBorder="0" applyAlignment="0" applyProtection="0">
      <alignment vertical="center"/>
    </xf>
    <xf numFmtId="0" fontId="65" fillId="58" borderId="0" applyNumberFormat="0" applyBorder="0" applyAlignment="0" applyProtection="0">
      <alignment vertical="center"/>
    </xf>
    <xf numFmtId="0" fontId="65" fillId="59" borderId="0" applyNumberFormat="0" applyBorder="0" applyAlignment="0" applyProtection="0">
      <alignment vertical="center"/>
    </xf>
    <xf numFmtId="0" fontId="66" fillId="60" borderId="0" applyNumberFormat="0" applyBorder="0" applyAlignment="0" applyProtection="0">
      <alignment vertical="center"/>
    </xf>
    <xf numFmtId="0" fontId="66" fillId="61" borderId="0" applyNumberFormat="0" applyBorder="0" applyAlignment="0" applyProtection="0">
      <alignment vertical="center"/>
    </xf>
    <xf numFmtId="0" fontId="65" fillId="62" borderId="0" applyNumberFormat="0" applyBorder="0" applyAlignment="0" applyProtection="0">
      <alignment vertical="center"/>
    </xf>
    <xf numFmtId="0" fontId="65" fillId="63" borderId="0" applyNumberFormat="0" applyBorder="0" applyAlignment="0" applyProtection="0">
      <alignment vertical="center"/>
    </xf>
    <xf numFmtId="0" fontId="66" fillId="64" borderId="0" applyNumberFormat="0" applyBorder="0" applyAlignment="0" applyProtection="0">
      <alignment vertical="center"/>
    </xf>
    <xf numFmtId="0" fontId="66" fillId="65" borderId="0" applyNumberFormat="0" applyBorder="0" applyAlignment="0" applyProtection="0">
      <alignment vertical="center"/>
    </xf>
    <xf numFmtId="0" fontId="65" fillId="66" borderId="0" applyNumberFormat="0" applyBorder="0" applyAlignment="0" applyProtection="0">
      <alignment vertical="center"/>
    </xf>
    <xf numFmtId="0" fontId="65" fillId="67" borderId="0" applyNumberFormat="0" applyBorder="0" applyAlignment="0" applyProtection="0">
      <alignment vertical="center"/>
    </xf>
    <xf numFmtId="0" fontId="66" fillId="68" borderId="0" applyNumberFormat="0" applyBorder="0" applyAlignment="0" applyProtection="0">
      <alignment vertical="center"/>
    </xf>
    <xf numFmtId="0" fontId="66" fillId="69" borderId="0" applyNumberFormat="0" applyBorder="0" applyAlignment="0" applyProtection="0">
      <alignment vertical="center"/>
    </xf>
    <xf numFmtId="0" fontId="65" fillId="70" borderId="0" applyNumberFormat="0" applyBorder="0" applyAlignment="0" applyProtection="0">
      <alignment vertical="center"/>
    </xf>
    <xf numFmtId="0" fontId="65" fillId="71" borderId="0" applyNumberFormat="0" applyBorder="0" applyAlignment="0" applyProtection="0">
      <alignment vertical="center"/>
    </xf>
    <xf numFmtId="0" fontId="66" fillId="72" borderId="0" applyNumberFormat="0" applyBorder="0" applyAlignment="0" applyProtection="0">
      <alignment vertical="center"/>
    </xf>
    <xf numFmtId="0" fontId="66" fillId="73" borderId="0" applyNumberFormat="0" applyBorder="0" applyAlignment="0" applyProtection="0">
      <alignment vertical="center"/>
    </xf>
    <xf numFmtId="0" fontId="65" fillId="74" borderId="0" applyNumberFormat="0" applyBorder="0" applyAlignment="0" applyProtection="0">
      <alignment vertical="center"/>
    </xf>
    <xf numFmtId="0" fontId="67" fillId="0" borderId="0">
      <alignment horizontal="center" vertical="center"/>
    </xf>
  </cellStyleXfs>
  <cellXfs count="674">
    <xf numFmtId="0" fontId="0" fillId="0" borderId="0" xfId="0"/>
    <xf numFmtId="0" fontId="0" fillId="0" borderId="0" xfId="0" applyAlignment="1" applyProtection="1">
      <alignment horizontal="center" vertical="center"/>
      <protection hidden="1"/>
    </xf>
    <xf numFmtId="0" fontId="1" fillId="2" borderId="0" xfId="0" applyFont="1" applyFill="1" applyAlignment="1" applyProtection="1">
      <alignment horizontal="center" vertical="center"/>
      <protection hidden="1"/>
    </xf>
    <xf numFmtId="0" fontId="1" fillId="2" borderId="1" xfId="0" applyFont="1" applyFill="1" applyBorder="1" applyAlignment="1" applyProtection="1">
      <alignment horizontal="center" vertical="center"/>
      <protection hidden="1"/>
    </xf>
    <xf numFmtId="0" fontId="1" fillId="2" borderId="2" xfId="0" applyFont="1" applyFill="1" applyBorder="1" applyAlignment="1" applyProtection="1">
      <alignment horizontal="center" vertical="center"/>
      <protection hidden="1"/>
    </xf>
    <xf numFmtId="0" fontId="2" fillId="3" borderId="3" xfId="0" applyFont="1" applyFill="1" applyBorder="1" applyAlignment="1" applyProtection="1">
      <alignment horizontal="center" vertical="center"/>
      <protection hidden="1"/>
    </xf>
    <xf numFmtId="0" fontId="2" fillId="3" borderId="4" xfId="0" applyFont="1" applyFill="1" applyBorder="1" applyAlignment="1" applyProtection="1">
      <alignment horizontal="center" vertical="center"/>
      <protection hidden="1"/>
    </xf>
    <xf numFmtId="0" fontId="2" fillId="4" borderId="3" xfId="0" applyFont="1" applyFill="1" applyBorder="1" applyAlignment="1" applyProtection="1">
      <alignment horizontal="center" vertical="center"/>
      <protection hidden="1"/>
    </xf>
    <xf numFmtId="0" fontId="2" fillId="4" borderId="4" xfId="0" applyFont="1" applyFill="1" applyBorder="1" applyAlignment="1" applyProtection="1">
      <alignment horizontal="center" vertical="center"/>
      <protection hidden="1"/>
    </xf>
    <xf numFmtId="0" fontId="1" fillId="2" borderId="5" xfId="0" applyFont="1" applyFill="1" applyBorder="1" applyAlignment="1" applyProtection="1">
      <alignment horizontal="center" vertical="center"/>
      <protection hidden="1"/>
    </xf>
    <xf numFmtId="0" fontId="1" fillId="2" borderId="6" xfId="0" applyFont="1" applyFill="1" applyBorder="1" applyAlignment="1" applyProtection="1">
      <alignment horizontal="center" vertical="center"/>
      <protection hidden="1"/>
    </xf>
    <xf numFmtId="0" fontId="2" fillId="5" borderId="7" xfId="0" applyFont="1" applyFill="1" applyBorder="1" applyAlignment="1" applyProtection="1">
      <alignment horizontal="center" vertical="center"/>
      <protection hidden="1"/>
    </xf>
    <xf numFmtId="0" fontId="2" fillId="0" borderId="7" xfId="0" applyFont="1" applyBorder="1" applyAlignment="1" applyProtection="1">
      <alignment horizontal="center" vertical="center"/>
      <protection hidden="1"/>
    </xf>
    <xf numFmtId="177" fontId="0" fillId="0" borderId="7" xfId="0" applyNumberFormat="1" applyBorder="1" applyAlignment="1" applyProtection="1">
      <alignment horizontal="center" vertical="center"/>
      <protection hidden="1"/>
    </xf>
    <xf numFmtId="0" fontId="2" fillId="6" borderId="7" xfId="0" applyFont="1" applyFill="1" applyBorder="1" applyAlignment="1" applyProtection="1">
      <alignment horizontal="center" vertical="center"/>
      <protection hidden="1"/>
    </xf>
    <xf numFmtId="177" fontId="0" fillId="6" borderId="7" xfId="0" applyNumberFormat="1" applyFill="1" applyBorder="1" applyAlignment="1" applyProtection="1">
      <alignment horizontal="center" vertical="center"/>
      <protection hidden="1"/>
    </xf>
    <xf numFmtId="0" fontId="1" fillId="2" borderId="7" xfId="0" applyFont="1" applyFill="1" applyBorder="1" applyAlignment="1" applyProtection="1">
      <alignment horizontal="center" vertical="center"/>
      <protection hidden="1"/>
    </xf>
    <xf numFmtId="0" fontId="2" fillId="7" borderId="7" xfId="0" applyFont="1" applyFill="1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0" fontId="2" fillId="8" borderId="7" xfId="0" applyFont="1" applyFill="1" applyBorder="1" applyAlignment="1" applyProtection="1">
      <alignment horizontal="center" vertical="center"/>
      <protection hidden="1"/>
    </xf>
    <xf numFmtId="0" fontId="0" fillId="9" borderId="7" xfId="0" applyFill="1" applyBorder="1" applyAlignment="1" applyProtection="1">
      <alignment horizontal="center" vertical="center"/>
      <protection hidden="1"/>
    </xf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77" fontId="0" fillId="0" borderId="7" xfId="0" applyNumberFormat="1" applyBorder="1"/>
    <xf numFmtId="177" fontId="0" fillId="5" borderId="7" xfId="0" applyNumberFormat="1" applyFill="1" applyBorder="1"/>
    <xf numFmtId="177" fontId="0" fillId="0" borderId="7" xfId="0" applyNumberForma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177" fontId="0" fillId="6" borderId="7" xfId="0" applyNumberFormat="1" applyFill="1" applyBorder="1"/>
    <xf numFmtId="177" fontId="0" fillId="11" borderId="7" xfId="0" applyNumberFormat="1" applyFill="1" applyBorder="1"/>
    <xf numFmtId="177" fontId="0" fillId="6" borderId="7" xfId="0" applyNumberForma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177" fontId="2" fillId="5" borderId="7" xfId="0" applyNumberFormat="1" applyFont="1" applyFill="1" applyBorder="1" applyAlignment="1">
      <alignment horizontal="center" vertical="center"/>
    </xf>
    <xf numFmtId="177" fontId="2" fillId="9" borderId="7" xfId="0" applyNumberFormat="1" applyFont="1" applyFill="1" applyBorder="1" applyAlignment="1">
      <alignment horizontal="center" vertical="center"/>
    </xf>
    <xf numFmtId="177" fontId="1" fillId="10" borderId="7" xfId="0" applyNumberFormat="1" applyFont="1" applyFill="1" applyBorder="1" applyAlignment="1">
      <alignment horizontal="center" vertical="center"/>
    </xf>
    <xf numFmtId="177" fontId="2" fillId="3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2" fillId="9" borderId="7" xfId="0" applyFont="1" applyFill="1" applyBorder="1" applyAlignment="1">
      <alignment horizontal="center" vertical="center"/>
    </xf>
    <xf numFmtId="0" fontId="2" fillId="12" borderId="7" xfId="0" applyFont="1" applyFill="1" applyBorder="1" applyAlignment="1">
      <alignment horizontal="center" vertical="center"/>
    </xf>
    <xf numFmtId="0" fontId="2" fillId="13" borderId="7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77" fontId="2" fillId="4" borderId="7" xfId="0" applyNumberFormat="1" applyFont="1" applyFill="1" applyBorder="1" applyAlignment="1">
      <alignment horizontal="center" vertical="center"/>
    </xf>
    <xf numFmtId="177" fontId="2" fillId="12" borderId="7" xfId="0" applyNumberFormat="1" applyFont="1" applyFill="1" applyBorder="1" applyAlignment="1">
      <alignment horizontal="center" vertical="center"/>
    </xf>
    <xf numFmtId="177" fontId="2" fillId="13" borderId="7" xfId="0" applyNumberFormat="1" applyFont="1" applyFill="1" applyBorder="1" applyAlignment="1">
      <alignment horizontal="center" vertical="center"/>
    </xf>
    <xf numFmtId="177" fontId="2" fillId="14" borderId="7" xfId="0" applyNumberFormat="1" applyFont="1" applyFill="1" applyBorder="1" applyAlignment="1">
      <alignment horizontal="center" vertical="center"/>
    </xf>
    <xf numFmtId="177" fontId="2" fillId="0" borderId="7" xfId="0" applyNumberFormat="1" applyFont="1" applyBorder="1"/>
    <xf numFmtId="177" fontId="2" fillId="6" borderId="7" xfId="0" applyNumberFormat="1" applyFont="1" applyFill="1" applyBorder="1"/>
    <xf numFmtId="0" fontId="4" fillId="0" borderId="7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" fillId="2" borderId="9" xfId="0" applyFont="1" applyFill="1" applyBorder="1" applyAlignment="1" applyProtection="1">
      <alignment horizontal="center" vertical="center"/>
      <protection hidden="1"/>
    </xf>
    <xf numFmtId="0" fontId="1" fillId="2" borderId="10" xfId="0" applyFont="1" applyFill="1" applyBorder="1" applyAlignment="1" applyProtection="1">
      <alignment horizontal="center" vertical="center"/>
      <protection hidden="1"/>
    </xf>
    <xf numFmtId="0" fontId="1" fillId="2" borderId="11" xfId="0" applyFont="1" applyFill="1" applyBorder="1" applyAlignment="1" applyProtection="1">
      <alignment horizontal="center" vertical="center"/>
      <protection hidden="1"/>
    </xf>
    <xf numFmtId="0" fontId="1" fillId="2" borderId="12" xfId="0" applyFont="1" applyFill="1" applyBorder="1" applyAlignment="1" applyProtection="1">
      <alignment horizontal="center" vertical="center"/>
      <protection hidden="1"/>
    </xf>
    <xf numFmtId="0" fontId="1" fillId="2" borderId="13" xfId="0" applyFont="1" applyFill="1" applyBorder="1" applyAlignment="1" applyProtection="1">
      <alignment horizontal="center" vertical="center"/>
      <protection hidden="1"/>
    </xf>
    <xf numFmtId="0" fontId="1" fillId="2" borderId="14" xfId="0" applyFont="1" applyFill="1" applyBorder="1" applyAlignment="1" applyProtection="1">
      <alignment horizontal="center" vertical="center"/>
      <protection hidden="1"/>
    </xf>
    <xf numFmtId="0" fontId="0" fillId="0" borderId="15" xfId="0" applyBorder="1" applyAlignment="1" applyProtection="1">
      <alignment horizontal="center" vertical="center"/>
      <protection hidden="1"/>
    </xf>
    <xf numFmtId="0" fontId="0" fillId="11" borderId="6" xfId="0" applyFill="1" applyBorder="1" applyAlignment="1" applyProtection="1">
      <alignment horizontal="center" vertical="center"/>
      <protection hidden="1"/>
    </xf>
    <xf numFmtId="0" fontId="0" fillId="11" borderId="16" xfId="0" applyFill="1" applyBorder="1" applyAlignment="1" applyProtection="1">
      <alignment horizontal="center" vertical="center" wrapText="1"/>
      <protection hidden="1"/>
    </xf>
    <xf numFmtId="0" fontId="0" fillId="11" borderId="16" xfId="0" applyFill="1" applyBorder="1" applyAlignment="1" applyProtection="1">
      <alignment horizont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2" fillId="5" borderId="4" xfId="0" applyFont="1" applyFill="1" applyBorder="1" applyAlignment="1" applyProtection="1">
      <alignment horizontal="center" vertical="center"/>
      <protection hidden="1"/>
    </xf>
    <xf numFmtId="177" fontId="5" fillId="15" borderId="7" xfId="0" applyNumberFormat="1" applyFont="1" applyFill="1" applyBorder="1" applyAlignment="1" applyProtection="1">
      <alignment horizontal="center" vertical="center"/>
      <protection hidden="1"/>
    </xf>
    <xf numFmtId="0" fontId="2" fillId="0" borderId="4" xfId="0" applyFont="1" applyBorder="1" applyAlignment="1" applyProtection="1">
      <alignment horizontal="center" vertical="center"/>
      <protection hidden="1"/>
    </xf>
    <xf numFmtId="177" fontId="5" fillId="16" borderId="7" xfId="0" applyNumberFormat="1" applyFont="1" applyFill="1" applyBorder="1" applyAlignment="1" applyProtection="1">
      <alignment horizontal="center" vertical="center"/>
      <protection hidden="1"/>
    </xf>
    <xf numFmtId="177" fontId="0" fillId="17" borderId="7" xfId="0" applyNumberFormat="1" applyFill="1" applyBorder="1" applyAlignment="1" applyProtection="1">
      <alignment horizontal="center" vertical="center"/>
      <protection hidden="1"/>
    </xf>
    <xf numFmtId="0" fontId="0" fillId="0" borderId="18" xfId="0" applyBorder="1" applyAlignment="1" applyProtection="1">
      <alignment horizontal="center" vertical="center"/>
      <protection hidden="1"/>
    </xf>
    <xf numFmtId="177" fontId="5" fillId="18" borderId="7" xfId="0" applyNumberFormat="1" applyFont="1" applyFill="1" applyBorder="1" applyAlignment="1" applyProtection="1">
      <alignment horizontal="center" vertical="center"/>
      <protection hidden="1"/>
    </xf>
    <xf numFmtId="177" fontId="0" fillId="19" borderId="7" xfId="0" applyNumberFormat="1" applyFill="1" applyBorder="1" applyAlignment="1" applyProtection="1">
      <alignment horizontal="center" vertical="center"/>
      <protection hidden="1"/>
    </xf>
    <xf numFmtId="0" fontId="2" fillId="20" borderId="4" xfId="0" applyFont="1" applyFill="1" applyBorder="1" applyAlignment="1" applyProtection="1">
      <alignment horizontal="center" vertical="center"/>
      <protection hidden="1"/>
    </xf>
    <xf numFmtId="177" fontId="0" fillId="21" borderId="7" xfId="0" applyNumberForma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/>
      <protection hidden="1"/>
    </xf>
    <xf numFmtId="177" fontId="2" fillId="0" borderId="0" xfId="0" applyNumberFormat="1" applyFont="1" applyProtection="1">
      <protection hidden="1"/>
    </xf>
    <xf numFmtId="177" fontId="0" fillId="0" borderId="0" xfId="0" applyNumberFormat="1" applyProtection="1">
      <protection hidden="1"/>
    </xf>
    <xf numFmtId="0" fontId="1" fillId="2" borderId="19" xfId="0" applyFont="1" applyFill="1" applyBorder="1" applyAlignment="1" applyProtection="1">
      <alignment horizontal="center" vertical="center"/>
      <protection hidden="1"/>
    </xf>
    <xf numFmtId="0" fontId="1" fillId="2" borderId="20" xfId="0" applyFont="1" applyFill="1" applyBorder="1" applyAlignment="1" applyProtection="1">
      <alignment horizontal="center" vertical="center"/>
      <protection hidden="1"/>
    </xf>
    <xf numFmtId="0" fontId="0" fillId="11" borderId="21" xfId="0" applyFill="1" applyBorder="1" applyAlignment="1" applyProtection="1">
      <alignment horizontal="center"/>
      <protection hidden="1"/>
    </xf>
    <xf numFmtId="177" fontId="0" fillId="0" borderId="3" xfId="0" applyNumberFormat="1" applyBorder="1" applyAlignment="1" applyProtection="1">
      <alignment horizontal="center" vertical="center"/>
      <protection hidden="1"/>
    </xf>
    <xf numFmtId="177" fontId="0" fillId="17" borderId="3" xfId="0" applyNumberFormat="1" applyFill="1" applyBorder="1" applyAlignment="1" applyProtection="1">
      <alignment horizontal="center" vertical="center"/>
      <protection hidden="1"/>
    </xf>
    <xf numFmtId="177" fontId="0" fillId="19" borderId="3" xfId="0" applyNumberFormat="1" applyFill="1" applyBorder="1" applyAlignment="1" applyProtection="1">
      <alignment horizontal="center" vertical="center"/>
      <protection hidden="1"/>
    </xf>
    <xf numFmtId="177" fontId="0" fillId="21" borderId="3" xfId="0" applyNumberFormat="1" applyFill="1" applyBorder="1" applyAlignment="1" applyProtection="1">
      <alignment horizontal="center" vertical="center"/>
      <protection hidden="1"/>
    </xf>
    <xf numFmtId="0" fontId="0" fillId="11" borderId="16" xfId="0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177" fontId="7" fillId="15" borderId="7" xfId="0" applyNumberFormat="1" applyFont="1" applyFill="1" applyBorder="1" applyAlignment="1" applyProtection="1">
      <alignment horizontal="center" vertical="center"/>
      <protection hidden="1"/>
    </xf>
    <xf numFmtId="0" fontId="6" fillId="0" borderId="4" xfId="0" applyFont="1" applyBorder="1" applyAlignment="1" applyProtection="1">
      <alignment horizontal="center" vertical="center"/>
      <protection hidden="1"/>
    </xf>
    <xf numFmtId="177" fontId="7" fillId="16" borderId="7" xfId="0" applyNumberFormat="1" applyFont="1" applyFill="1" applyBorder="1" applyAlignment="1" applyProtection="1">
      <alignment horizontal="center" vertical="center"/>
      <protection hidden="1"/>
    </xf>
    <xf numFmtId="0" fontId="0" fillId="11" borderId="21" xfId="0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0" fillId="22" borderId="16" xfId="0" applyFill="1" applyBorder="1" applyAlignment="1" applyProtection="1">
      <alignment horizontal="center" vertical="center" wrapText="1"/>
      <protection hidden="1"/>
    </xf>
    <xf numFmtId="177" fontId="7" fillId="16" borderId="22" xfId="0" applyNumberFormat="1" applyFont="1" applyFill="1" applyBorder="1" applyAlignment="1" applyProtection="1">
      <alignment horizontal="center" vertical="center"/>
      <protection hidden="1"/>
    </xf>
    <xf numFmtId="177" fontId="7" fillId="23" borderId="22" xfId="0" applyNumberFormat="1" applyFont="1" applyFill="1" applyBorder="1" applyAlignment="1" applyProtection="1">
      <alignment horizontal="center" vertical="center"/>
      <protection hidden="1"/>
    </xf>
    <xf numFmtId="177" fontId="7" fillId="16" borderId="23" xfId="0" applyNumberFormat="1" applyFont="1" applyFill="1" applyBorder="1" applyAlignment="1" applyProtection="1">
      <alignment horizontal="center" vertical="center"/>
      <protection hidden="1"/>
    </xf>
    <xf numFmtId="177" fontId="7" fillId="23" borderId="23" xfId="0" applyNumberFormat="1" applyFont="1" applyFill="1" applyBorder="1" applyAlignment="1" applyProtection="1">
      <alignment horizontal="center" vertical="center"/>
      <protection hidden="1"/>
    </xf>
    <xf numFmtId="177" fontId="7" fillId="23" borderId="7" xfId="0" applyNumberFormat="1" applyFont="1" applyFill="1" applyBorder="1" applyAlignment="1" applyProtection="1">
      <alignment horizontal="center" vertical="center"/>
      <protection hidden="1"/>
    </xf>
    <xf numFmtId="177" fontId="7" fillId="18" borderId="7" xfId="0" applyNumberFormat="1" applyFont="1" applyFill="1" applyBorder="1" applyAlignment="1" applyProtection="1">
      <alignment horizontal="center" vertical="center"/>
      <protection hidden="1"/>
    </xf>
    <xf numFmtId="177" fontId="5" fillId="23" borderId="7" xfId="0" applyNumberFormat="1" applyFont="1" applyFill="1" applyBorder="1" applyAlignment="1" applyProtection="1">
      <alignment horizontal="center" vertical="center"/>
      <protection hidden="1"/>
    </xf>
    <xf numFmtId="177" fontId="7" fillId="18" borderId="22" xfId="0" applyNumberFormat="1" applyFont="1" applyFill="1" applyBorder="1" applyAlignment="1" applyProtection="1">
      <alignment horizontal="center" vertical="center"/>
      <protection hidden="1"/>
    </xf>
    <xf numFmtId="0" fontId="8" fillId="20" borderId="23" xfId="0" applyFont="1" applyFill="1" applyBorder="1" applyAlignment="1" applyProtection="1">
      <alignment horizontal="center" vertical="center"/>
      <protection hidden="1"/>
    </xf>
    <xf numFmtId="177" fontId="0" fillId="17" borderId="22" xfId="0" applyNumberFormat="1" applyFill="1" applyBorder="1" applyAlignment="1" applyProtection="1">
      <alignment horizontal="center" vertical="center"/>
      <protection hidden="1"/>
    </xf>
    <xf numFmtId="0" fontId="8" fillId="0" borderId="23" xfId="0" applyFont="1" applyBorder="1" applyAlignment="1" applyProtection="1">
      <alignment horizontal="center" vertical="center"/>
      <protection hidden="1"/>
    </xf>
    <xf numFmtId="177" fontId="0" fillId="0" borderId="22" xfId="0" applyNumberFormat="1" applyBorder="1" applyAlignment="1" applyProtection="1">
      <alignment horizontal="center" vertical="center"/>
      <protection hidden="1"/>
    </xf>
    <xf numFmtId="0" fontId="8" fillId="20" borderId="4" xfId="0" applyFont="1" applyFill="1" applyBorder="1" applyAlignment="1" applyProtection="1">
      <alignment horizontal="center" vertical="center"/>
      <protection hidden="1"/>
    </xf>
    <xf numFmtId="0" fontId="8" fillId="0" borderId="4" xfId="0" applyFont="1" applyBorder="1" applyAlignment="1" applyProtection="1">
      <alignment horizontal="center" vertical="center"/>
      <protection hidden="1"/>
    </xf>
    <xf numFmtId="0" fontId="4" fillId="20" borderId="4" xfId="0" applyFont="1" applyFill="1" applyBorder="1" applyAlignment="1" applyProtection="1">
      <alignment horizontal="center" vertical="center"/>
      <protection hidden="1"/>
    </xf>
    <xf numFmtId="177" fontId="0" fillId="19" borderId="22" xfId="0" applyNumberFormat="1" applyFill="1" applyBorder="1" applyAlignment="1" applyProtection="1">
      <alignment horizontal="center" vertical="center"/>
      <protection hidden="1"/>
    </xf>
    <xf numFmtId="177" fontId="0" fillId="21" borderId="22" xfId="0" applyNumberFormat="1" applyFill="1" applyBorder="1" applyAlignment="1" applyProtection="1">
      <alignment horizontal="center" vertical="center"/>
      <protection hidden="1"/>
    </xf>
    <xf numFmtId="177" fontId="7" fillId="23" borderId="24" xfId="0" applyNumberFormat="1" applyFont="1" applyFill="1" applyBorder="1" applyAlignment="1" applyProtection="1">
      <alignment horizontal="center" vertical="center"/>
      <protection hidden="1"/>
    </xf>
    <xf numFmtId="177" fontId="0" fillId="17" borderId="25" xfId="0" applyNumberFormat="1" applyFill="1" applyBorder="1" applyAlignment="1" applyProtection="1">
      <alignment horizontal="center" vertical="center"/>
      <protection hidden="1"/>
    </xf>
    <xf numFmtId="177" fontId="0" fillId="0" borderId="25" xfId="0" applyNumberFormat="1" applyBorder="1" applyAlignment="1" applyProtection="1">
      <alignment horizontal="center" vertical="center"/>
      <protection hidden="1"/>
    </xf>
    <xf numFmtId="177" fontId="0" fillId="19" borderId="25" xfId="0" applyNumberFormat="1" applyFill="1" applyBorder="1" applyAlignment="1" applyProtection="1">
      <alignment horizontal="center" vertical="center"/>
      <protection hidden="1"/>
    </xf>
    <xf numFmtId="177" fontId="0" fillId="21" borderId="25" xfId="0" applyNumberFormat="1" applyFill="1" applyBorder="1" applyAlignment="1" applyProtection="1">
      <alignment horizontal="center" vertical="center"/>
      <protection hidden="1"/>
    </xf>
    <xf numFmtId="0" fontId="9" fillId="2" borderId="26" xfId="0" applyFont="1" applyFill="1" applyBorder="1" applyAlignment="1" applyProtection="1">
      <alignment horizontal="center" vertical="center"/>
      <protection hidden="1"/>
    </xf>
    <xf numFmtId="0" fontId="9" fillId="2" borderId="27" xfId="0" applyFont="1" applyFill="1" applyBorder="1" applyAlignment="1" applyProtection="1">
      <alignment horizontal="center" vertical="center"/>
      <protection hidden="1"/>
    </xf>
    <xf numFmtId="0" fontId="10" fillId="24" borderId="26" xfId="0" applyFont="1" applyFill="1" applyBorder="1" applyAlignment="1" applyProtection="1">
      <alignment horizontal="center" vertical="center"/>
      <protection hidden="1"/>
    </xf>
    <xf numFmtId="177" fontId="10" fillId="24" borderId="26" xfId="0" applyNumberFormat="1" applyFont="1" applyFill="1" applyBorder="1" applyAlignment="1" applyProtection="1">
      <alignment horizontal="center" vertical="center"/>
      <protection hidden="1"/>
    </xf>
    <xf numFmtId="177" fontId="10" fillId="24" borderId="27" xfId="0" applyNumberFormat="1" applyFont="1" applyFill="1" applyBorder="1" applyAlignment="1" applyProtection="1">
      <alignment horizontal="center" vertical="center"/>
      <protection hidden="1"/>
    </xf>
    <xf numFmtId="0" fontId="10" fillId="22" borderId="26" xfId="0" applyFont="1" applyFill="1" applyBorder="1" applyAlignment="1" applyProtection="1">
      <alignment horizontal="center" vertical="center"/>
      <protection hidden="1"/>
    </xf>
    <xf numFmtId="177" fontId="10" fillId="22" borderId="26" xfId="0" applyNumberFormat="1" applyFont="1" applyFill="1" applyBorder="1" applyAlignment="1" applyProtection="1">
      <alignment horizontal="center" vertical="center"/>
      <protection hidden="1"/>
    </xf>
    <xf numFmtId="177" fontId="10" fillId="22" borderId="28" xfId="0" applyNumberFormat="1" applyFont="1" applyFill="1" applyBorder="1" applyAlignment="1" applyProtection="1">
      <alignment horizontal="center" vertical="center"/>
      <protection hidden="1"/>
    </xf>
    <xf numFmtId="0" fontId="11" fillId="2" borderId="26" xfId="0" applyFont="1" applyFill="1" applyBorder="1" applyAlignment="1" applyProtection="1">
      <alignment horizontal="center" vertical="center"/>
      <protection hidden="1"/>
    </xf>
    <xf numFmtId="177" fontId="11" fillId="2" borderId="26" xfId="0" applyNumberFormat="1" applyFont="1" applyFill="1" applyBorder="1" applyAlignment="1" applyProtection="1">
      <alignment horizontal="center" vertical="center"/>
      <protection hidden="1"/>
    </xf>
    <xf numFmtId="0" fontId="9" fillId="25" borderId="26" xfId="0" applyFont="1" applyFill="1" applyBorder="1" applyAlignment="1" applyProtection="1">
      <alignment horizontal="center" vertical="center"/>
      <protection hidden="1"/>
    </xf>
    <xf numFmtId="0" fontId="9" fillId="25" borderId="27" xfId="0" applyFont="1" applyFill="1" applyBorder="1" applyAlignment="1" applyProtection="1">
      <alignment horizontal="center" vertical="center"/>
      <protection hidden="1"/>
    </xf>
    <xf numFmtId="0" fontId="10" fillId="6" borderId="26" xfId="0" applyFont="1" applyFill="1" applyBorder="1" applyAlignment="1" applyProtection="1">
      <alignment horizontal="center" vertical="center"/>
      <protection hidden="1"/>
    </xf>
    <xf numFmtId="177" fontId="10" fillId="6" borderId="26" xfId="0" applyNumberFormat="1" applyFont="1" applyFill="1" applyBorder="1" applyAlignment="1" applyProtection="1">
      <alignment horizontal="center" vertical="center"/>
      <protection hidden="1"/>
    </xf>
    <xf numFmtId="177" fontId="10" fillId="6" borderId="27" xfId="0" applyNumberFormat="1" applyFont="1" applyFill="1" applyBorder="1" applyAlignment="1" applyProtection="1">
      <alignment horizontal="center" vertical="center"/>
      <protection hidden="1"/>
    </xf>
    <xf numFmtId="0" fontId="10" fillId="26" borderId="26" xfId="0" applyFont="1" applyFill="1" applyBorder="1" applyAlignment="1" applyProtection="1">
      <alignment horizontal="center" vertical="center"/>
      <protection hidden="1"/>
    </xf>
    <xf numFmtId="177" fontId="10" fillId="26" borderId="26" xfId="0" applyNumberFormat="1" applyFont="1" applyFill="1" applyBorder="1" applyAlignment="1" applyProtection="1">
      <alignment horizontal="center" vertical="center"/>
      <protection hidden="1"/>
    </xf>
    <xf numFmtId="177" fontId="10" fillId="26" borderId="28" xfId="0" applyNumberFormat="1" applyFont="1" applyFill="1" applyBorder="1" applyAlignment="1" applyProtection="1">
      <alignment horizontal="center" vertical="center"/>
      <protection hidden="1"/>
    </xf>
    <xf numFmtId="0" fontId="11" fillId="25" borderId="26" xfId="0" applyFont="1" applyFill="1" applyBorder="1" applyAlignment="1" applyProtection="1">
      <alignment horizontal="center" vertical="center"/>
      <protection hidden="1"/>
    </xf>
    <xf numFmtId="177" fontId="11" fillId="25" borderId="26" xfId="0" applyNumberFormat="1" applyFont="1" applyFill="1" applyBorder="1" applyAlignment="1" applyProtection="1">
      <alignment horizontal="center" vertical="center"/>
      <protection hidden="1"/>
    </xf>
    <xf numFmtId="177" fontId="11" fillId="25" borderId="29" xfId="0" applyNumberFormat="1" applyFont="1" applyFill="1" applyBorder="1" applyAlignment="1" applyProtection="1">
      <alignment horizontal="center" vertical="center"/>
      <protection hidden="1"/>
    </xf>
    <xf numFmtId="177" fontId="11" fillId="25" borderId="30" xfId="0" applyNumberFormat="1" applyFont="1" applyFill="1" applyBorder="1" applyAlignment="1" applyProtection="1">
      <alignment horizontal="center" vertical="center"/>
      <protection hidden="1"/>
    </xf>
    <xf numFmtId="0" fontId="12" fillId="27" borderId="26" xfId="0" applyFont="1" applyFill="1" applyBorder="1" applyAlignment="1" applyProtection="1">
      <alignment horizontal="center" vertical="center"/>
      <protection hidden="1"/>
    </xf>
    <xf numFmtId="0" fontId="12" fillId="27" borderId="27" xfId="0" applyFont="1" applyFill="1" applyBorder="1" applyAlignment="1" applyProtection="1">
      <alignment horizontal="center" vertical="center"/>
      <protection hidden="1"/>
    </xf>
    <xf numFmtId="177" fontId="12" fillId="27" borderId="26" xfId="0" applyNumberFormat="1" applyFont="1" applyFill="1" applyBorder="1" applyAlignment="1" applyProtection="1">
      <alignment horizontal="center" vertical="center"/>
      <protection hidden="1"/>
    </xf>
    <xf numFmtId="177" fontId="12" fillId="27" borderId="29" xfId="0" applyNumberFormat="1" applyFont="1" applyFill="1" applyBorder="1" applyAlignment="1" applyProtection="1">
      <alignment horizontal="center" vertical="center"/>
      <protection hidden="1"/>
    </xf>
    <xf numFmtId="177" fontId="12" fillId="27" borderId="30" xfId="0" applyNumberFormat="1" applyFont="1" applyFill="1" applyBorder="1" applyAlignment="1" applyProtection="1">
      <alignment horizontal="center" vertical="center"/>
      <protection hidden="1"/>
    </xf>
    <xf numFmtId="0" fontId="9" fillId="28" borderId="26" xfId="0" applyFont="1" applyFill="1" applyBorder="1" applyAlignment="1" applyProtection="1">
      <alignment horizontal="center" vertical="center"/>
      <protection hidden="1"/>
    </xf>
    <xf numFmtId="0" fontId="9" fillId="28" borderId="27" xfId="0" applyFont="1" applyFill="1" applyBorder="1" applyAlignment="1" applyProtection="1">
      <alignment horizontal="center" vertical="center"/>
      <protection hidden="1"/>
    </xf>
    <xf numFmtId="0" fontId="13" fillId="2" borderId="7" xfId="0" applyFont="1" applyFill="1" applyBorder="1" applyAlignment="1" applyProtection="1">
      <alignment horizontal="center" vertical="center"/>
      <protection hidden="1"/>
    </xf>
    <xf numFmtId="0" fontId="2" fillId="9" borderId="7" xfId="0" applyFont="1" applyFill="1" applyBorder="1" applyAlignment="1" applyProtection="1">
      <alignment horizontal="center" vertical="center"/>
      <protection hidden="1"/>
    </xf>
    <xf numFmtId="0" fontId="2" fillId="29" borderId="7" xfId="0" applyFont="1" applyFill="1" applyBorder="1" applyAlignment="1" applyProtection="1">
      <alignment horizontal="center" vertical="center"/>
      <protection hidden="1"/>
    </xf>
    <xf numFmtId="0" fontId="2" fillId="11" borderId="7" xfId="0" applyFont="1" applyFill="1" applyBorder="1" applyAlignment="1" applyProtection="1">
      <alignment horizontal="center" vertical="center"/>
      <protection hidden="1"/>
    </xf>
    <xf numFmtId="0" fontId="2" fillId="12" borderId="7" xfId="0" applyFont="1" applyFill="1" applyBorder="1" applyAlignment="1" applyProtection="1">
      <alignment horizontal="center" vertical="center"/>
      <protection hidden="1"/>
    </xf>
    <xf numFmtId="0" fontId="2" fillId="30" borderId="7" xfId="0" applyFont="1" applyFill="1" applyBorder="1" applyAlignment="1" applyProtection="1">
      <alignment horizontal="center" vertical="center"/>
      <protection hidden="1"/>
    </xf>
    <xf numFmtId="177" fontId="5" fillId="15" borderId="7" xfId="0" applyNumberFormat="1" applyFont="1" applyFill="1" applyBorder="1" applyAlignment="1">
      <alignment horizontal="center" vertical="center"/>
    </xf>
    <xf numFmtId="177" fontId="5" fillId="16" borderId="7" xfId="0" applyNumberFormat="1" applyFont="1" applyFill="1" applyBorder="1" applyAlignment="1">
      <alignment horizontal="center" vertical="center"/>
    </xf>
    <xf numFmtId="0" fontId="2" fillId="17" borderId="7" xfId="0" applyFont="1" applyFill="1" applyBorder="1" applyAlignment="1" applyProtection="1">
      <alignment horizontal="center" vertical="center"/>
      <protection hidden="1"/>
    </xf>
    <xf numFmtId="177" fontId="5" fillId="18" borderId="7" xfId="0" applyNumberFormat="1" applyFont="1" applyFill="1" applyBorder="1" applyAlignment="1">
      <alignment horizontal="center" vertical="center"/>
    </xf>
    <xf numFmtId="0" fontId="2" fillId="19" borderId="7" xfId="0" applyFont="1" applyFill="1" applyBorder="1" applyAlignment="1" applyProtection="1">
      <alignment horizontal="center" vertical="center"/>
      <protection hidden="1"/>
    </xf>
    <xf numFmtId="0" fontId="2" fillId="20" borderId="7" xfId="0" applyFont="1" applyFill="1" applyBorder="1" applyAlignment="1">
      <alignment horizontal="center" vertical="center"/>
    </xf>
    <xf numFmtId="0" fontId="2" fillId="21" borderId="7" xfId="0" applyFont="1" applyFill="1" applyBorder="1" applyAlignment="1" applyProtection="1">
      <alignment horizontal="center" vertical="center"/>
      <protection hidden="1"/>
    </xf>
    <xf numFmtId="0" fontId="3" fillId="2" borderId="8" xfId="0" applyFont="1" applyFill="1" applyBorder="1" applyAlignment="1" applyProtection="1">
      <alignment horizontal="center" vertical="center"/>
      <protection hidden="1"/>
    </xf>
    <xf numFmtId="0" fontId="2" fillId="9" borderId="22" xfId="0" applyFont="1" applyFill="1" applyBorder="1" applyAlignment="1" applyProtection="1">
      <alignment horizontal="center" vertical="center"/>
      <protection hidden="1"/>
    </xf>
    <xf numFmtId="0" fontId="2" fillId="8" borderId="22" xfId="0" applyFont="1" applyFill="1" applyBorder="1" applyAlignment="1" applyProtection="1">
      <alignment horizontal="center" vertical="center"/>
      <protection hidden="1"/>
    </xf>
    <xf numFmtId="0" fontId="2" fillId="12" borderId="22" xfId="0" applyFont="1" applyFill="1" applyBorder="1" applyAlignment="1" applyProtection="1">
      <alignment horizontal="center" vertical="center"/>
      <protection hidden="1"/>
    </xf>
    <xf numFmtId="0" fontId="2" fillId="5" borderId="22" xfId="0" applyFont="1" applyFill="1" applyBorder="1" applyAlignment="1" applyProtection="1">
      <alignment horizontal="center" vertical="center"/>
      <protection hidden="1"/>
    </xf>
    <xf numFmtId="0" fontId="3" fillId="2" borderId="0" xfId="0" applyFont="1" applyFill="1" applyAlignment="1" applyProtection="1">
      <alignment horizontal="center" vertical="center"/>
      <protection hidden="1"/>
    </xf>
    <xf numFmtId="0" fontId="2" fillId="9" borderId="16" xfId="0" applyFont="1" applyFill="1" applyBorder="1" applyAlignment="1" applyProtection="1">
      <alignment horizontal="center" vertical="center"/>
      <protection hidden="1"/>
    </xf>
    <xf numFmtId="0" fontId="2" fillId="8" borderId="16" xfId="0" applyFont="1" applyFill="1" applyBorder="1" applyAlignment="1" applyProtection="1">
      <alignment horizontal="center" vertical="center"/>
      <protection hidden="1"/>
    </xf>
    <xf numFmtId="0" fontId="2" fillId="12" borderId="16" xfId="0" applyFont="1" applyFill="1" applyBorder="1" applyAlignment="1" applyProtection="1">
      <alignment horizontal="center" vertical="center"/>
      <protection hidden="1"/>
    </xf>
    <xf numFmtId="0" fontId="2" fillId="5" borderId="16" xfId="0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177" fontId="2" fillId="0" borderId="0" xfId="0" applyNumberFormat="1" applyFont="1" applyAlignment="1" applyProtection="1">
      <alignment horizontal="center" vertical="center"/>
      <protection hidden="1"/>
    </xf>
    <xf numFmtId="0" fontId="2" fillId="22" borderId="22" xfId="0" applyFont="1" applyFill="1" applyBorder="1" applyAlignment="1" applyProtection="1">
      <alignment horizontal="center" vertical="center"/>
      <protection hidden="1"/>
    </xf>
    <xf numFmtId="0" fontId="2" fillId="22" borderId="16" xfId="0" applyFont="1" applyFill="1" applyBorder="1" applyAlignment="1" applyProtection="1">
      <alignment horizontal="center" vertical="center"/>
      <protection hidden="1"/>
    </xf>
    <xf numFmtId="0" fontId="1" fillId="31" borderId="7" xfId="0" applyFont="1" applyFill="1" applyBorder="1" applyAlignment="1" applyProtection="1">
      <alignment horizontal="center" vertical="center" wrapText="1"/>
      <protection hidden="1"/>
    </xf>
    <xf numFmtId="0" fontId="2" fillId="22" borderId="7" xfId="0" applyFont="1" applyFill="1" applyBorder="1" applyAlignment="1" applyProtection="1">
      <alignment horizontal="center" vertical="center"/>
      <protection hidden="1"/>
    </xf>
    <xf numFmtId="177" fontId="2" fillId="0" borderId="7" xfId="0" applyNumberFormat="1" applyFont="1" applyBorder="1" applyAlignment="1" applyProtection="1">
      <alignment horizontal="center" vertical="center"/>
      <protection hidden="1"/>
    </xf>
    <xf numFmtId="0" fontId="6" fillId="5" borderId="7" xfId="0" applyFont="1" applyFill="1" applyBorder="1" applyAlignment="1">
      <alignment horizontal="center" vertical="center"/>
    </xf>
    <xf numFmtId="177" fontId="7" fillId="15" borderId="7" xfId="0" applyNumberFormat="1" applyFont="1" applyFill="1" applyBorder="1" applyAlignment="1">
      <alignment horizontal="center" vertical="center"/>
    </xf>
    <xf numFmtId="177" fontId="2" fillId="17" borderId="7" xfId="0" applyNumberFormat="1" applyFont="1" applyFill="1" applyBorder="1" applyAlignment="1" applyProtection="1">
      <alignment horizontal="center" vertical="center"/>
      <protection hidden="1"/>
    </xf>
    <xf numFmtId="0" fontId="6" fillId="0" borderId="7" xfId="0" applyFont="1" applyBorder="1" applyAlignment="1">
      <alignment horizontal="center" vertical="center"/>
    </xf>
    <xf numFmtId="177" fontId="7" fillId="16" borderId="7" xfId="0" applyNumberFormat="1" applyFont="1" applyFill="1" applyBorder="1" applyAlignment="1">
      <alignment horizontal="center" vertical="center"/>
    </xf>
    <xf numFmtId="177" fontId="2" fillId="19" borderId="7" xfId="0" applyNumberFormat="1" applyFont="1" applyFill="1" applyBorder="1" applyAlignment="1" applyProtection="1">
      <alignment horizontal="center" vertical="center"/>
      <protection hidden="1"/>
    </xf>
    <xf numFmtId="177" fontId="2" fillId="21" borderId="7" xfId="0" applyNumberFormat="1" applyFont="1" applyFill="1" applyBorder="1" applyAlignment="1" applyProtection="1">
      <alignment horizontal="center" vertical="center"/>
      <protection hidden="1"/>
    </xf>
    <xf numFmtId="0" fontId="1" fillId="31" borderId="22" xfId="0" applyFont="1" applyFill="1" applyBorder="1" applyAlignment="1" applyProtection="1">
      <alignment horizontal="center" vertical="center" wrapText="1"/>
      <protection hidden="1"/>
    </xf>
    <xf numFmtId="0" fontId="2" fillId="29" borderId="22" xfId="0" applyFont="1" applyFill="1" applyBorder="1" applyAlignment="1" applyProtection="1">
      <alignment horizontal="center" vertical="center"/>
      <protection hidden="1"/>
    </xf>
    <xf numFmtId="177" fontId="1" fillId="2" borderId="7" xfId="0" applyNumberFormat="1" applyFont="1" applyFill="1" applyBorder="1" applyAlignment="1" applyProtection="1">
      <alignment horizontal="center" vertical="center"/>
      <protection hidden="1"/>
    </xf>
    <xf numFmtId="0" fontId="1" fillId="31" borderId="16" xfId="0" applyFont="1" applyFill="1" applyBorder="1" applyAlignment="1" applyProtection="1">
      <alignment horizontal="center" vertical="center" wrapText="1"/>
      <protection hidden="1"/>
    </xf>
    <xf numFmtId="0" fontId="2" fillId="29" borderId="16" xfId="0" applyFont="1" applyFill="1" applyBorder="1" applyAlignment="1" applyProtection="1">
      <alignment horizontal="center" vertical="center"/>
      <protection hidden="1"/>
    </xf>
    <xf numFmtId="177" fontId="7" fillId="15" borderId="31" xfId="0" applyNumberFormat="1" applyFont="1" applyFill="1" applyBorder="1" applyAlignment="1">
      <alignment horizontal="center" vertical="center"/>
    </xf>
    <xf numFmtId="0" fontId="6" fillId="0" borderId="7" xfId="0" applyFont="1" applyBorder="1" applyAlignment="1" applyProtection="1">
      <alignment horizontal="center" vertical="center"/>
      <protection hidden="1"/>
    </xf>
    <xf numFmtId="0" fontId="6" fillId="5" borderId="7" xfId="0" applyFont="1" applyFill="1" applyBorder="1" applyAlignment="1" applyProtection="1">
      <alignment horizontal="center" vertical="center"/>
      <protection hidden="1"/>
    </xf>
    <xf numFmtId="177" fontId="2" fillId="0" borderId="0" xfId="0" applyNumberFormat="1" applyFont="1" applyAlignment="1" applyProtection="1">
      <alignment vertical="center"/>
      <protection hidden="1"/>
    </xf>
    <xf numFmtId="177" fontId="7" fillId="23" borderId="7" xfId="0" applyNumberFormat="1" applyFont="1" applyFill="1" applyBorder="1" applyAlignment="1">
      <alignment horizontal="center" vertical="center"/>
    </xf>
    <xf numFmtId="177" fontId="1" fillId="2" borderId="22" xfId="0" applyNumberFormat="1" applyFont="1" applyFill="1" applyBorder="1" applyAlignment="1" applyProtection="1">
      <alignment horizontal="center" vertical="center"/>
      <protection hidden="1"/>
    </xf>
    <xf numFmtId="177" fontId="1" fillId="2" borderId="16" xfId="0" applyNumberFormat="1" applyFont="1" applyFill="1" applyBorder="1" applyAlignment="1" applyProtection="1">
      <alignment horizontal="center" vertical="center"/>
      <protection hidden="1"/>
    </xf>
    <xf numFmtId="177" fontId="7" fillId="15" borderId="4" xfId="0" applyNumberFormat="1" applyFont="1" applyFill="1" applyBorder="1" applyAlignment="1" applyProtection="1">
      <alignment horizontal="center" vertical="center"/>
      <protection hidden="1"/>
    </xf>
    <xf numFmtId="177" fontId="9" fillId="28" borderId="26" xfId="0" applyNumberFormat="1" applyFont="1" applyFill="1" applyBorder="1" applyAlignment="1" applyProtection="1">
      <alignment horizontal="center" vertical="center"/>
      <protection hidden="1"/>
    </xf>
    <xf numFmtId="177" fontId="9" fillId="28" borderId="29" xfId="0" applyNumberFormat="1" applyFont="1" applyFill="1" applyBorder="1" applyAlignment="1" applyProtection="1">
      <alignment horizontal="center" vertical="center"/>
      <protection hidden="1"/>
    </xf>
    <xf numFmtId="177" fontId="9" fillId="28" borderId="30" xfId="0" applyNumberFormat="1" applyFont="1" applyFill="1" applyBorder="1" applyAlignment="1" applyProtection="1">
      <alignment horizontal="center" vertical="center"/>
      <protection hidden="1"/>
    </xf>
    <xf numFmtId="177" fontId="11" fillId="2" borderId="32" xfId="0" applyNumberFormat="1" applyFont="1" applyFill="1" applyBorder="1" applyAlignment="1" applyProtection="1">
      <alignment horizontal="center" vertical="center"/>
      <protection hidden="1"/>
    </xf>
    <xf numFmtId="0" fontId="14" fillId="2" borderId="10" xfId="0" applyFont="1" applyFill="1" applyBorder="1" applyAlignment="1" applyProtection="1">
      <alignment horizontal="center" vertical="center" wrapText="1"/>
      <protection hidden="1"/>
    </xf>
    <xf numFmtId="0" fontId="14" fillId="2" borderId="11" xfId="0" applyFont="1" applyFill="1" applyBorder="1" applyAlignment="1" applyProtection="1">
      <alignment horizontal="center" vertical="center" wrapText="1"/>
      <protection hidden="1"/>
    </xf>
    <xf numFmtId="0" fontId="14" fillId="2" borderId="19" xfId="0" applyFont="1" applyFill="1" applyBorder="1" applyAlignment="1" applyProtection="1">
      <alignment horizontal="center" vertical="center" wrapText="1"/>
      <protection hidden="1"/>
    </xf>
    <xf numFmtId="0" fontId="9" fillId="2" borderId="33" xfId="0" applyFont="1" applyFill="1" applyBorder="1" applyAlignment="1" applyProtection="1">
      <alignment horizontal="center" vertical="center"/>
      <protection hidden="1"/>
    </xf>
    <xf numFmtId="0" fontId="9" fillId="2" borderId="34" xfId="0" applyFont="1" applyFill="1" applyBorder="1" applyAlignment="1" applyProtection="1">
      <alignment horizontal="center" vertical="center"/>
      <protection hidden="1"/>
    </xf>
    <xf numFmtId="0" fontId="9" fillId="2" borderId="19" xfId="0" applyFont="1" applyFill="1" applyBorder="1" applyAlignment="1" applyProtection="1">
      <alignment horizontal="center" vertical="center"/>
      <protection hidden="1"/>
    </xf>
    <xf numFmtId="0" fontId="14" fillId="2" borderId="35" xfId="0" applyFont="1" applyFill="1" applyBorder="1" applyAlignment="1" applyProtection="1">
      <alignment horizontal="center" vertical="center" wrapText="1"/>
      <protection hidden="1"/>
    </xf>
    <xf numFmtId="0" fontId="14" fillId="2" borderId="0" xfId="0" applyFont="1" applyFill="1" applyAlignment="1" applyProtection="1">
      <alignment horizontal="center" vertical="center" wrapText="1"/>
      <protection hidden="1"/>
    </xf>
    <xf numFmtId="0" fontId="14" fillId="2" borderId="36" xfId="0" applyFont="1" applyFill="1" applyBorder="1" applyAlignment="1" applyProtection="1">
      <alignment horizontal="center" vertical="center" wrapText="1"/>
      <protection hidden="1"/>
    </xf>
    <xf numFmtId="0" fontId="10" fillId="6" borderId="37" xfId="0" applyFont="1" applyFill="1" applyBorder="1" applyAlignment="1" applyProtection="1">
      <alignment horizontal="center" vertical="center"/>
      <protection hidden="1"/>
    </xf>
    <xf numFmtId="0" fontId="10" fillId="26" borderId="37" xfId="0" applyFont="1" applyFill="1" applyBorder="1" applyAlignment="1" applyProtection="1">
      <alignment horizontal="center" vertical="center"/>
      <protection hidden="1"/>
    </xf>
    <xf numFmtId="177" fontId="10" fillId="26" borderId="38" xfId="0" applyNumberFormat="1" applyFont="1" applyFill="1" applyBorder="1" applyAlignment="1" applyProtection="1">
      <alignment horizontal="center" vertical="center"/>
      <protection hidden="1"/>
    </xf>
    <xf numFmtId="177" fontId="10" fillId="6" borderId="39" xfId="0" applyNumberFormat="1" applyFont="1" applyFill="1" applyBorder="1" applyAlignment="1" applyProtection="1">
      <alignment horizontal="center" vertical="center"/>
      <protection hidden="1"/>
    </xf>
    <xf numFmtId="0" fontId="14" fillId="2" borderId="13" xfId="0" applyFont="1" applyFill="1" applyBorder="1" applyAlignment="1" applyProtection="1">
      <alignment horizontal="center" vertical="center" wrapText="1"/>
      <protection hidden="1"/>
    </xf>
    <xf numFmtId="0" fontId="14" fillId="2" borderId="14" xfId="0" applyFont="1" applyFill="1" applyBorder="1" applyAlignment="1" applyProtection="1">
      <alignment horizontal="center" vertical="center" wrapText="1"/>
      <protection hidden="1"/>
    </xf>
    <xf numFmtId="0" fontId="14" fillId="2" borderId="20" xfId="0" applyFont="1" applyFill="1" applyBorder="1" applyAlignment="1" applyProtection="1">
      <alignment horizontal="center" vertical="center" wrapText="1"/>
      <protection hidden="1"/>
    </xf>
    <xf numFmtId="0" fontId="9" fillId="2" borderId="40" xfId="0" applyFont="1" applyFill="1" applyBorder="1" applyAlignment="1" applyProtection="1">
      <alignment horizontal="center" vertical="center"/>
      <protection hidden="1"/>
    </xf>
    <xf numFmtId="177" fontId="9" fillId="2" borderId="41" xfId="0" applyNumberFormat="1" applyFont="1" applyFill="1" applyBorder="1" applyAlignment="1" applyProtection="1">
      <alignment horizontal="center" vertical="center"/>
      <protection hidden="1"/>
    </xf>
    <xf numFmtId="177" fontId="9" fillId="2" borderId="14" xfId="0" applyNumberFormat="1" applyFont="1" applyFill="1" applyBorder="1" applyAlignment="1" applyProtection="1">
      <alignment horizontal="center" vertical="center"/>
      <protection hidden="1"/>
    </xf>
    <xf numFmtId="177" fontId="9" fillId="2" borderId="42" xfId="0" applyNumberFormat="1" applyFont="1" applyFill="1" applyBorder="1" applyAlignment="1" applyProtection="1">
      <alignment horizontal="center" vertical="center"/>
      <protection hidden="1"/>
    </xf>
    <xf numFmtId="0" fontId="6" fillId="20" borderId="7" xfId="0" applyFont="1" applyFill="1" applyBorder="1" applyAlignment="1">
      <alignment horizontal="center" vertical="center"/>
    </xf>
    <xf numFmtId="177" fontId="7" fillId="18" borderId="7" xfId="0" applyNumberFormat="1" applyFont="1" applyFill="1" applyBorder="1" applyAlignment="1">
      <alignment horizontal="center" vertical="center"/>
    </xf>
    <xf numFmtId="0" fontId="15" fillId="2" borderId="10" xfId="0" applyFont="1" applyFill="1" applyBorder="1" applyAlignment="1" applyProtection="1">
      <alignment horizontal="center" vertical="center"/>
      <protection hidden="1"/>
    </xf>
    <xf numFmtId="0" fontId="15" fillId="2" borderId="11" xfId="0" applyFont="1" applyFill="1" applyBorder="1" applyAlignment="1" applyProtection="1">
      <alignment horizontal="center" vertical="center"/>
      <protection hidden="1"/>
    </xf>
    <xf numFmtId="0" fontId="15" fillId="2" borderId="19" xfId="0" applyFont="1" applyFill="1" applyBorder="1" applyAlignment="1" applyProtection="1">
      <alignment horizontal="center" vertical="center"/>
      <protection hidden="1"/>
    </xf>
    <xf numFmtId="0" fontId="15" fillId="2" borderId="43" xfId="0" applyFont="1" applyFill="1" applyBorder="1" applyAlignment="1" applyProtection="1">
      <alignment horizontal="center" vertical="center"/>
      <protection hidden="1"/>
    </xf>
    <xf numFmtId="0" fontId="15" fillId="2" borderId="35" xfId="0" applyFont="1" applyFill="1" applyBorder="1" applyAlignment="1" applyProtection="1">
      <alignment horizontal="center" vertical="center"/>
      <protection hidden="1"/>
    </xf>
    <xf numFmtId="0" fontId="15" fillId="2" borderId="0" xfId="0" applyFont="1" applyFill="1" applyAlignment="1" applyProtection="1">
      <alignment horizontal="center" vertical="center"/>
      <protection hidden="1"/>
    </xf>
    <xf numFmtId="0" fontId="15" fillId="2" borderId="36" xfId="0" applyFont="1" applyFill="1" applyBorder="1" applyAlignment="1" applyProtection="1">
      <alignment horizontal="center" vertical="center"/>
      <protection hidden="1"/>
    </xf>
    <xf numFmtId="0" fontId="15" fillId="2" borderId="44" xfId="0" applyFont="1" applyFill="1" applyBorder="1" applyAlignment="1" applyProtection="1">
      <alignment horizontal="center" vertical="center"/>
      <protection hidden="1"/>
    </xf>
    <xf numFmtId="0" fontId="16" fillId="32" borderId="45" xfId="0" applyFont="1" applyFill="1" applyBorder="1" applyAlignment="1" applyProtection="1">
      <alignment horizontal="center" vertical="center"/>
      <protection hidden="1"/>
    </xf>
    <xf numFmtId="0" fontId="16" fillId="32" borderId="46" xfId="0" applyFont="1" applyFill="1" applyBorder="1" applyAlignment="1" applyProtection="1">
      <alignment horizontal="center" vertical="center"/>
      <protection hidden="1"/>
    </xf>
    <xf numFmtId="0" fontId="16" fillId="32" borderId="47" xfId="0" applyFont="1" applyFill="1" applyBorder="1" applyAlignment="1" applyProtection="1">
      <alignment horizontal="center" vertical="center"/>
      <protection hidden="1"/>
    </xf>
    <xf numFmtId="0" fontId="13" fillId="11" borderId="46" xfId="0" applyFont="1" applyFill="1" applyBorder="1" applyAlignment="1" applyProtection="1">
      <alignment horizontal="center" vertical="center"/>
      <protection hidden="1"/>
    </xf>
    <xf numFmtId="0" fontId="6" fillId="6" borderId="48" xfId="0" applyFont="1" applyFill="1" applyBorder="1" applyAlignment="1" applyProtection="1">
      <alignment horizontal="center" vertical="center"/>
      <protection hidden="1"/>
    </xf>
    <xf numFmtId="0" fontId="16" fillId="32" borderId="49" xfId="0" applyFont="1" applyFill="1" applyBorder="1" applyAlignment="1" applyProtection="1">
      <alignment horizontal="center" vertical="center"/>
      <protection hidden="1"/>
    </xf>
    <xf numFmtId="0" fontId="16" fillId="6" borderId="50" xfId="0" applyFont="1" applyFill="1" applyBorder="1" applyAlignment="1" applyProtection="1">
      <alignment horizontal="center" vertical="center"/>
      <protection hidden="1"/>
    </xf>
    <xf numFmtId="177" fontId="16" fillId="6" borderId="50" xfId="0" applyNumberFormat="1" applyFont="1" applyFill="1" applyBorder="1" applyAlignment="1" applyProtection="1">
      <alignment horizontal="center" vertical="center"/>
      <protection hidden="1"/>
    </xf>
    <xf numFmtId="177" fontId="7" fillId="2" borderId="36" xfId="0" applyNumberFormat="1" applyFont="1" applyFill="1" applyBorder="1" applyAlignment="1" applyProtection="1">
      <alignment horizontal="center" vertical="center"/>
      <protection hidden="1"/>
    </xf>
    <xf numFmtId="0" fontId="6" fillId="32" borderId="50" xfId="0" applyFont="1" applyFill="1" applyBorder="1" applyAlignment="1" applyProtection="1">
      <alignment horizontal="center" vertical="center"/>
      <protection hidden="1"/>
    </xf>
    <xf numFmtId="0" fontId="16" fillId="32" borderId="51" xfId="0" applyFont="1" applyFill="1" applyBorder="1" applyAlignment="1" applyProtection="1">
      <alignment horizontal="center" vertical="center"/>
      <protection hidden="1"/>
    </xf>
    <xf numFmtId="177" fontId="16" fillId="32" borderId="51" xfId="0" applyNumberFormat="1" applyFont="1" applyFill="1" applyBorder="1" applyAlignment="1" applyProtection="1">
      <alignment horizontal="center" vertical="center"/>
      <protection hidden="1"/>
    </xf>
    <xf numFmtId="177" fontId="7" fillId="15" borderId="36" xfId="0" applyNumberFormat="1" applyFont="1" applyFill="1" applyBorder="1" applyAlignment="1" applyProtection="1">
      <alignment horizontal="center" vertical="center"/>
      <protection hidden="1"/>
    </xf>
    <xf numFmtId="0" fontId="6" fillId="32" borderId="51" xfId="0" applyFont="1" applyFill="1" applyBorder="1" applyAlignment="1" applyProtection="1">
      <alignment horizontal="center" vertical="center"/>
      <protection hidden="1"/>
    </xf>
    <xf numFmtId="0" fontId="16" fillId="6" borderId="51" xfId="0" applyFont="1" applyFill="1" applyBorder="1" applyAlignment="1" applyProtection="1">
      <alignment horizontal="center" vertical="center"/>
      <protection hidden="1"/>
    </xf>
    <xf numFmtId="0" fontId="7" fillId="2" borderId="52" xfId="0" applyFont="1" applyFill="1" applyBorder="1" applyAlignment="1" applyProtection="1">
      <alignment horizontal="center" vertical="center"/>
      <protection hidden="1"/>
    </xf>
    <xf numFmtId="0" fontId="7" fillId="2" borderId="13" xfId="0" applyFont="1" applyFill="1" applyBorder="1" applyAlignment="1" applyProtection="1">
      <alignment horizontal="center" vertical="center"/>
      <protection hidden="1"/>
    </xf>
    <xf numFmtId="0" fontId="16" fillId="6" borderId="53" xfId="0" applyFont="1" applyFill="1" applyBorder="1" applyAlignment="1" applyProtection="1">
      <alignment horizontal="center" vertical="center"/>
      <protection hidden="1"/>
    </xf>
    <xf numFmtId="0" fontId="7" fillId="2" borderId="9" xfId="0" applyFont="1" applyFill="1" applyBorder="1" applyAlignment="1" applyProtection="1">
      <alignment horizontal="center" vertical="center"/>
      <protection hidden="1"/>
    </xf>
    <xf numFmtId="177" fontId="16" fillId="32" borderId="9" xfId="0" applyNumberFormat="1" applyFont="1" applyFill="1" applyBorder="1" applyAlignment="1" applyProtection="1">
      <alignment horizontal="center" vertical="center"/>
      <protection hidden="1"/>
    </xf>
    <xf numFmtId="177" fontId="16" fillId="5" borderId="9" xfId="0" applyNumberFormat="1" applyFont="1" applyFill="1" applyBorder="1" applyAlignment="1" applyProtection="1">
      <alignment horizontal="center" vertical="center"/>
      <protection hidden="1"/>
    </xf>
    <xf numFmtId="177" fontId="16" fillId="6" borderId="9" xfId="0" applyNumberFormat="1" applyFont="1" applyFill="1" applyBorder="1" applyAlignment="1" applyProtection="1">
      <alignment horizontal="center" vertical="center"/>
      <protection hidden="1"/>
    </xf>
    <xf numFmtId="0" fontId="7" fillId="2" borderId="12" xfId="0" applyFont="1" applyFill="1" applyBorder="1" applyAlignment="1" applyProtection="1">
      <alignment horizontal="center" vertical="center"/>
      <protection hidden="1"/>
    </xf>
    <xf numFmtId="177" fontId="16" fillId="32" borderId="12" xfId="0" applyNumberFormat="1" applyFont="1" applyFill="1" applyBorder="1" applyAlignment="1" applyProtection="1">
      <alignment horizontal="center" vertical="center"/>
      <protection hidden="1"/>
    </xf>
    <xf numFmtId="177" fontId="16" fillId="5" borderId="12" xfId="0" applyNumberFormat="1" applyFont="1" applyFill="1" applyBorder="1" applyAlignment="1" applyProtection="1">
      <alignment horizontal="center" vertical="center"/>
      <protection hidden="1"/>
    </xf>
    <xf numFmtId="177" fontId="16" fillId="6" borderId="12" xfId="0" applyNumberFormat="1" applyFont="1" applyFill="1" applyBorder="1" applyAlignment="1" applyProtection="1">
      <alignment horizontal="center" vertical="center"/>
      <protection hidden="1"/>
    </xf>
    <xf numFmtId="0" fontId="15" fillId="2" borderId="54" xfId="0" applyFont="1" applyFill="1" applyBorder="1" applyAlignment="1" applyProtection="1">
      <alignment horizontal="center" vertical="center"/>
      <protection hidden="1"/>
    </xf>
    <xf numFmtId="0" fontId="15" fillId="2" borderId="55" xfId="0" applyFont="1" applyFill="1" applyBorder="1" applyAlignment="1" applyProtection="1">
      <alignment horizontal="center" vertical="center"/>
      <protection hidden="1"/>
    </xf>
    <xf numFmtId="0" fontId="17" fillId="2" borderId="10" xfId="0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center" vertical="center"/>
      <protection hidden="1"/>
    </xf>
    <xf numFmtId="0" fontId="15" fillId="2" borderId="56" xfId="0" applyFont="1" applyFill="1" applyBorder="1" applyAlignment="1" applyProtection="1">
      <alignment horizontal="center" vertical="center"/>
      <protection hidden="1"/>
    </xf>
    <xf numFmtId="0" fontId="15" fillId="2" borderId="57" xfId="0" applyFont="1" applyFill="1" applyBorder="1" applyAlignment="1" applyProtection="1">
      <alignment horizontal="center" vertical="center"/>
      <protection hidden="1"/>
    </xf>
    <xf numFmtId="0" fontId="17" fillId="2" borderId="13" xfId="0" applyFont="1" applyFill="1" applyBorder="1" applyAlignment="1" applyProtection="1">
      <alignment horizontal="center" vertical="center"/>
      <protection hidden="1"/>
    </xf>
    <xf numFmtId="0" fontId="17" fillId="2" borderId="14" xfId="0" applyFont="1" applyFill="1" applyBorder="1" applyAlignment="1" applyProtection="1">
      <alignment horizontal="center" vertical="center"/>
      <protection hidden="1"/>
    </xf>
    <xf numFmtId="0" fontId="16" fillId="32" borderId="58" xfId="0" applyFont="1" applyFill="1" applyBorder="1" applyAlignment="1" applyProtection="1">
      <alignment horizontal="center" vertical="center"/>
      <protection hidden="1"/>
    </xf>
    <xf numFmtId="0" fontId="16" fillId="32" borderId="48" xfId="0" applyFont="1" applyFill="1" applyBorder="1" applyAlignment="1" applyProtection="1">
      <alignment horizontal="center" vertical="center"/>
      <protection hidden="1"/>
    </xf>
    <xf numFmtId="0" fontId="16" fillId="6" borderId="48" xfId="0" applyFont="1" applyFill="1" applyBorder="1" applyAlignment="1" applyProtection="1">
      <alignment horizontal="center" vertical="center"/>
      <protection hidden="1"/>
    </xf>
    <xf numFmtId="0" fontId="6" fillId="32" borderId="49" xfId="0" applyFont="1" applyFill="1" applyBorder="1" applyAlignment="1" applyProtection="1">
      <alignment horizontal="center" vertical="center"/>
      <protection hidden="1"/>
    </xf>
    <xf numFmtId="0" fontId="6" fillId="32" borderId="59" xfId="0" applyFont="1" applyFill="1" applyBorder="1" applyAlignment="1" applyProtection="1">
      <alignment horizontal="center" vertical="center"/>
      <protection hidden="1"/>
    </xf>
    <xf numFmtId="0" fontId="6" fillId="32" borderId="60" xfId="0" applyFont="1" applyFill="1" applyBorder="1" applyAlignment="1" applyProtection="1">
      <alignment horizontal="center" vertical="center"/>
      <protection hidden="1"/>
    </xf>
    <xf numFmtId="0" fontId="6" fillId="32" borderId="16" xfId="0" applyFont="1" applyFill="1" applyBorder="1" applyAlignment="1" applyProtection="1">
      <alignment horizontal="center" vertical="center"/>
      <protection hidden="1"/>
    </xf>
    <xf numFmtId="177" fontId="6" fillId="6" borderId="16" xfId="0" applyNumberFormat="1" applyFont="1" applyFill="1" applyBorder="1" applyAlignment="1" applyProtection="1">
      <alignment horizontal="center" vertical="center"/>
      <protection hidden="1"/>
    </xf>
    <xf numFmtId="177" fontId="7" fillId="2" borderId="61" xfId="0" applyNumberFormat="1" applyFont="1" applyFill="1" applyBorder="1" applyAlignment="1" applyProtection="1">
      <alignment horizontal="center" vertical="center"/>
      <protection hidden="1"/>
    </xf>
    <xf numFmtId="0" fontId="6" fillId="6" borderId="43" xfId="0" applyFont="1" applyFill="1" applyBorder="1" applyAlignment="1" applyProtection="1">
      <alignment horizontal="center" vertical="center"/>
      <protection hidden="1"/>
    </xf>
    <xf numFmtId="177" fontId="18" fillId="6" borderId="62" xfId="0" applyNumberFormat="1" applyFont="1" applyFill="1" applyBorder="1" applyAlignment="1" applyProtection="1">
      <alignment horizontal="center" vertical="center"/>
      <protection hidden="1"/>
    </xf>
    <xf numFmtId="0" fontId="6" fillId="32" borderId="7" xfId="0" applyFont="1" applyFill="1" applyBorder="1" applyAlignment="1" applyProtection="1">
      <alignment horizontal="center" vertical="center"/>
      <protection hidden="1"/>
    </xf>
    <xf numFmtId="177" fontId="6" fillId="32" borderId="7" xfId="0" applyNumberFormat="1" applyFont="1" applyFill="1" applyBorder="1" applyAlignment="1" applyProtection="1">
      <alignment horizontal="center" vertical="center"/>
      <protection hidden="1"/>
    </xf>
    <xf numFmtId="177" fontId="7" fillId="15" borderId="63" xfId="0" applyNumberFormat="1" applyFont="1" applyFill="1" applyBorder="1" applyAlignment="1" applyProtection="1">
      <alignment horizontal="center" vertical="center"/>
      <protection hidden="1"/>
    </xf>
    <xf numFmtId="177" fontId="18" fillId="32" borderId="15" xfId="0" applyNumberFormat="1" applyFont="1" applyFill="1" applyBorder="1" applyAlignment="1" applyProtection="1">
      <alignment horizontal="center" vertical="center"/>
      <protection hidden="1"/>
    </xf>
    <xf numFmtId="177" fontId="6" fillId="6" borderId="7" xfId="0" applyNumberFormat="1" applyFont="1" applyFill="1" applyBorder="1" applyAlignment="1" applyProtection="1">
      <alignment horizontal="center" vertical="center"/>
      <protection hidden="1"/>
    </xf>
    <xf numFmtId="177" fontId="7" fillId="2" borderId="63" xfId="0" applyNumberFormat="1" applyFont="1" applyFill="1" applyBorder="1" applyAlignment="1" applyProtection="1">
      <alignment horizontal="center" vertical="center"/>
      <protection hidden="1"/>
    </xf>
    <xf numFmtId="0" fontId="6" fillId="6" borderId="51" xfId="0" applyFont="1" applyFill="1" applyBorder="1" applyAlignment="1" applyProtection="1">
      <alignment horizontal="center" vertical="center"/>
      <protection hidden="1"/>
    </xf>
    <xf numFmtId="177" fontId="18" fillId="6" borderId="15" xfId="0" applyNumberFormat="1" applyFont="1" applyFill="1" applyBorder="1" applyAlignment="1" applyProtection="1">
      <alignment horizontal="center" vertical="center"/>
      <protection hidden="1"/>
    </xf>
    <xf numFmtId="0" fontId="7" fillId="2" borderId="64" xfId="0" applyFont="1" applyFill="1" applyBorder="1" applyAlignment="1" applyProtection="1">
      <alignment horizontal="center" vertical="center"/>
      <protection hidden="1"/>
    </xf>
    <xf numFmtId="0" fontId="7" fillId="2" borderId="20" xfId="0" applyFont="1" applyFill="1" applyBorder="1" applyAlignment="1" applyProtection="1">
      <alignment horizontal="center" vertical="center"/>
      <protection hidden="1"/>
    </xf>
    <xf numFmtId="0" fontId="6" fillId="6" borderId="44" xfId="0" applyFont="1" applyFill="1" applyBorder="1" applyAlignment="1" applyProtection="1">
      <alignment horizontal="center" vertical="center"/>
      <protection hidden="1"/>
    </xf>
    <xf numFmtId="177" fontId="18" fillId="6" borderId="12" xfId="0" applyNumberFormat="1" applyFont="1" applyFill="1" applyBorder="1" applyAlignment="1" applyProtection="1">
      <alignment horizontal="center" vertical="center"/>
      <protection hidden="1"/>
    </xf>
    <xf numFmtId="0" fontId="18" fillId="5" borderId="48" xfId="0" applyFont="1" applyFill="1" applyBorder="1" applyAlignment="1" applyProtection="1">
      <alignment horizontal="center" vertical="center"/>
      <protection hidden="1"/>
    </xf>
    <xf numFmtId="177" fontId="5" fillId="2" borderId="48" xfId="0" applyNumberFormat="1" applyFont="1" applyFill="1" applyBorder="1" applyAlignment="1" applyProtection="1">
      <alignment horizontal="center" vertical="center"/>
      <protection hidden="1"/>
    </xf>
    <xf numFmtId="177" fontId="7" fillId="15" borderId="10" xfId="0" applyNumberFormat="1" applyFont="1" applyFill="1" applyBorder="1" applyAlignment="1" applyProtection="1">
      <alignment horizontal="center" vertical="center"/>
      <protection hidden="1"/>
    </xf>
    <xf numFmtId="177" fontId="7" fillId="15" borderId="19" xfId="0" applyNumberFormat="1" applyFont="1" applyFill="1" applyBorder="1" applyAlignment="1" applyProtection="1">
      <alignment horizontal="center" vertical="center"/>
      <protection hidden="1"/>
    </xf>
    <xf numFmtId="177" fontId="19" fillId="6" borderId="10" xfId="0" applyNumberFormat="1" applyFont="1" applyFill="1" applyBorder="1" applyAlignment="1" applyProtection="1">
      <alignment horizontal="center" vertical="center"/>
      <protection hidden="1"/>
    </xf>
    <xf numFmtId="177" fontId="7" fillId="15" borderId="13" xfId="0" applyNumberFormat="1" applyFont="1" applyFill="1" applyBorder="1" applyAlignment="1" applyProtection="1">
      <alignment horizontal="center" vertical="center"/>
      <protection hidden="1"/>
    </xf>
    <xf numFmtId="177" fontId="7" fillId="15" borderId="20" xfId="0" applyNumberFormat="1" applyFont="1" applyFill="1" applyBorder="1" applyAlignment="1" applyProtection="1">
      <alignment horizontal="center" vertical="center"/>
      <protection hidden="1"/>
    </xf>
    <xf numFmtId="177" fontId="19" fillId="6" borderId="13" xfId="0" applyNumberFormat="1" applyFont="1" applyFill="1" applyBorder="1" applyAlignment="1" applyProtection="1">
      <alignment horizontal="center" vertical="center"/>
      <protection hidden="1"/>
    </xf>
    <xf numFmtId="0" fontId="6" fillId="32" borderId="12" xfId="0" applyFont="1" applyFill="1" applyBorder="1" applyAlignment="1" applyProtection="1">
      <alignment horizontal="center" vertical="center"/>
      <protection hidden="1"/>
    </xf>
    <xf numFmtId="0" fontId="17" fillId="2" borderId="19" xfId="0" applyFont="1" applyFill="1" applyBorder="1" applyAlignment="1" applyProtection="1">
      <alignment horizontal="center" vertical="center"/>
      <protection hidden="1"/>
    </xf>
    <xf numFmtId="0" fontId="17" fillId="2" borderId="20" xfId="0" applyFont="1" applyFill="1" applyBorder="1" applyAlignment="1" applyProtection="1">
      <alignment horizontal="center" vertical="center"/>
      <protection hidden="1"/>
    </xf>
    <xf numFmtId="177" fontId="19" fillId="6" borderId="11" xfId="0" applyNumberFormat="1" applyFont="1" applyFill="1" applyBorder="1" applyAlignment="1" applyProtection="1">
      <alignment horizontal="center" vertical="center"/>
      <protection hidden="1"/>
    </xf>
    <xf numFmtId="177" fontId="19" fillId="6" borderId="19" xfId="0" applyNumberFormat="1" applyFont="1" applyFill="1" applyBorder="1" applyAlignment="1" applyProtection="1">
      <alignment horizontal="center" vertical="center"/>
      <protection hidden="1"/>
    </xf>
    <xf numFmtId="177" fontId="19" fillId="6" borderId="14" xfId="0" applyNumberFormat="1" applyFont="1" applyFill="1" applyBorder="1" applyAlignment="1" applyProtection="1">
      <alignment horizontal="center" vertical="center"/>
      <protection hidden="1"/>
    </xf>
    <xf numFmtId="177" fontId="19" fillId="6" borderId="20" xfId="0" applyNumberFormat="1" applyFont="1" applyFill="1" applyBorder="1" applyAlignment="1" applyProtection="1">
      <alignment horizontal="center" vertical="center"/>
      <protection hidden="1"/>
    </xf>
    <xf numFmtId="0" fontId="20" fillId="0" borderId="10" xfId="0" applyFont="1" applyBorder="1" applyAlignment="1" applyProtection="1">
      <alignment horizontal="center" vertical="center"/>
      <protection hidden="1"/>
    </xf>
    <xf numFmtId="0" fontId="20" fillId="0" borderId="19" xfId="0" applyFont="1" applyBorder="1" applyAlignment="1" applyProtection="1">
      <alignment horizontal="center" vertical="center"/>
      <protection hidden="1"/>
    </xf>
    <xf numFmtId="0" fontId="3" fillId="2" borderId="10" xfId="0" applyFont="1" applyFill="1" applyBorder="1" applyAlignment="1" applyProtection="1">
      <alignment horizontal="center" vertical="center"/>
      <protection hidden="1"/>
    </xf>
    <xf numFmtId="0" fontId="3" fillId="2" borderId="11" xfId="0" applyFont="1" applyFill="1" applyBorder="1" applyAlignment="1" applyProtection="1">
      <alignment horizontal="center" vertical="center"/>
      <protection hidden="1"/>
    </xf>
    <xf numFmtId="0" fontId="20" fillId="0" borderId="35" xfId="0" applyFont="1" applyBorder="1" applyAlignment="1" applyProtection="1">
      <alignment horizontal="center" vertical="center"/>
      <protection hidden="1"/>
    </xf>
    <xf numFmtId="0" fontId="20" fillId="0" borderId="36" xfId="0" applyFont="1" applyBorder="1" applyAlignment="1" applyProtection="1">
      <alignment horizontal="center" vertical="center"/>
      <protection hidden="1"/>
    </xf>
    <xf numFmtId="0" fontId="3" fillId="2" borderId="13" xfId="0" applyFont="1" applyFill="1" applyBorder="1" applyAlignment="1" applyProtection="1">
      <alignment horizontal="center" vertical="center"/>
      <protection hidden="1"/>
    </xf>
    <xf numFmtId="0" fontId="3" fillId="2" borderId="14" xfId="0" applyFont="1" applyFill="1" applyBorder="1" applyAlignment="1" applyProtection="1">
      <alignment horizontal="center" vertical="center"/>
      <protection hidden="1"/>
    </xf>
    <xf numFmtId="0" fontId="21" fillId="33" borderId="6" xfId="0" applyFont="1" applyFill="1" applyBorder="1" applyAlignment="1" applyProtection="1">
      <alignment horizontal="center" vertical="center"/>
      <protection hidden="1"/>
    </xf>
    <xf numFmtId="0" fontId="21" fillId="33" borderId="16" xfId="0" applyFont="1" applyFill="1" applyBorder="1" applyAlignment="1" applyProtection="1">
      <alignment horizontal="center" vertical="center"/>
      <protection hidden="1"/>
    </xf>
    <xf numFmtId="0" fontId="21" fillId="33" borderId="21" xfId="0" applyFont="1" applyFill="1" applyBorder="1" applyAlignment="1" applyProtection="1">
      <alignment horizontal="center" vertical="center"/>
      <protection hidden="1"/>
    </xf>
    <xf numFmtId="0" fontId="2" fillId="0" borderId="7" xfId="0" applyFont="1" applyBorder="1" applyAlignment="1" applyProtection="1">
      <alignment horizontal="center" vertical="center"/>
      <protection locked="0"/>
    </xf>
    <xf numFmtId="177" fontId="2" fillId="0" borderId="7" xfId="0" applyNumberFormat="1" applyFont="1" applyBorder="1" applyAlignment="1" applyProtection="1">
      <alignment horizontal="center" vertical="center"/>
      <protection locked="0"/>
    </xf>
    <xf numFmtId="177" fontId="2" fillId="0" borderId="7" xfId="0" applyNumberFormat="1" applyFont="1" applyBorder="1" applyAlignment="1">
      <alignment horizontal="center" vertical="center"/>
    </xf>
    <xf numFmtId="177" fontId="2" fillId="5" borderId="7" xfId="0" applyNumberFormat="1" applyFont="1" applyFill="1" applyBorder="1" applyAlignment="1" applyProtection="1">
      <alignment horizontal="center" vertical="center"/>
      <protection hidden="1"/>
    </xf>
    <xf numFmtId="177" fontId="2" fillId="11" borderId="7" xfId="0" applyNumberFormat="1" applyFont="1" applyFill="1" applyBorder="1" applyAlignment="1" applyProtection="1">
      <alignment horizontal="center" vertical="center"/>
      <protection hidden="1"/>
    </xf>
    <xf numFmtId="0" fontId="3" fillId="2" borderId="19" xfId="0" applyFont="1" applyFill="1" applyBorder="1" applyAlignment="1" applyProtection="1">
      <alignment horizontal="center" vertical="center"/>
      <protection hidden="1"/>
    </xf>
    <xf numFmtId="0" fontId="22" fillId="2" borderId="10" xfId="0" applyFont="1" applyFill="1" applyBorder="1" applyAlignment="1" applyProtection="1">
      <alignment horizontal="center" vertical="center"/>
      <protection hidden="1"/>
    </xf>
    <xf numFmtId="0" fontId="22" fillId="2" borderId="19" xfId="0" applyFont="1" applyFill="1" applyBorder="1" applyAlignment="1" applyProtection="1">
      <alignment horizontal="center" vertical="center"/>
      <protection hidden="1"/>
    </xf>
    <xf numFmtId="0" fontId="0" fillId="2" borderId="9" xfId="0" applyFill="1" applyBorder="1" applyAlignment="1" applyProtection="1">
      <alignment horizontal="center"/>
      <protection hidden="1"/>
    </xf>
    <xf numFmtId="0" fontId="20" fillId="0" borderId="11" xfId="0" applyFont="1" applyBorder="1" applyAlignment="1" applyProtection="1">
      <alignment horizontal="center" vertical="center"/>
      <protection hidden="1"/>
    </xf>
    <xf numFmtId="0" fontId="3" fillId="2" borderId="20" xfId="0" applyFont="1" applyFill="1" applyBorder="1" applyAlignment="1" applyProtection="1">
      <alignment horizontal="center" vertical="center"/>
      <protection hidden="1"/>
    </xf>
    <xf numFmtId="0" fontId="22" fillId="2" borderId="13" xfId="0" applyFont="1" applyFill="1" applyBorder="1" applyAlignment="1" applyProtection="1">
      <alignment horizontal="center" vertical="center"/>
      <protection hidden="1"/>
    </xf>
    <xf numFmtId="0" fontId="22" fillId="2" borderId="20" xfId="0" applyFont="1" applyFill="1" applyBorder="1" applyAlignment="1" applyProtection="1">
      <alignment horizontal="center" vertical="center"/>
      <protection hidden="1"/>
    </xf>
    <xf numFmtId="0" fontId="0" fillId="2" borderId="65" xfId="0" applyFill="1" applyBorder="1" applyAlignment="1" applyProtection="1">
      <alignment horizontal="center"/>
      <protection hidden="1"/>
    </xf>
    <xf numFmtId="0" fontId="20" fillId="0" borderId="0" xfId="0" applyFont="1" applyAlignment="1" applyProtection="1">
      <alignment horizontal="center" vertical="center"/>
      <protection hidden="1"/>
    </xf>
    <xf numFmtId="0" fontId="23" fillId="0" borderId="0" xfId="0" applyFont="1" applyAlignment="1" applyProtection="1">
      <alignment horizontal="center" vertical="center"/>
      <protection hidden="1"/>
    </xf>
    <xf numFmtId="0" fontId="7" fillId="2" borderId="43" xfId="0" applyFont="1" applyFill="1" applyBorder="1" applyAlignment="1" applyProtection="1">
      <alignment horizontal="center" vertical="center"/>
      <protection hidden="1"/>
    </xf>
    <xf numFmtId="0" fontId="7" fillId="2" borderId="55" xfId="0" applyFont="1" applyFill="1" applyBorder="1" applyAlignment="1" applyProtection="1">
      <alignment horizontal="center" vertical="center"/>
      <protection hidden="1"/>
    </xf>
    <xf numFmtId="0" fontId="2" fillId="0" borderId="4" xfId="0" applyFont="1" applyBorder="1" applyAlignment="1" applyProtection="1">
      <alignment horizontal="center" vertical="center"/>
      <protection locked="0"/>
    </xf>
    <xf numFmtId="0" fontId="24" fillId="34" borderId="51" xfId="0" applyFont="1" applyFill="1" applyBorder="1" applyAlignment="1" applyProtection="1">
      <alignment horizontal="left" vertical="center"/>
      <protection hidden="1"/>
    </xf>
    <xf numFmtId="177" fontId="6" fillId="34" borderId="63" xfId="0" applyNumberFormat="1" applyFont="1" applyFill="1" applyBorder="1" applyAlignment="1" applyProtection="1">
      <alignment horizontal="center" vertical="center"/>
      <protection hidden="1"/>
    </xf>
    <xf numFmtId="0" fontId="25" fillId="15" borderId="51" xfId="0" applyFont="1" applyFill="1" applyBorder="1" applyAlignment="1" applyProtection="1">
      <alignment horizontal="left" vertical="center"/>
      <protection hidden="1"/>
    </xf>
    <xf numFmtId="177" fontId="13" fillId="15" borderId="63" xfId="0" applyNumberFormat="1" applyFont="1" applyFill="1" applyBorder="1" applyAlignment="1" applyProtection="1">
      <alignment horizontal="center" vertical="center"/>
      <protection hidden="1"/>
    </xf>
    <xf numFmtId="0" fontId="24" fillId="0" borderId="51" xfId="0" applyFont="1" applyBorder="1" applyAlignment="1" applyProtection="1">
      <alignment horizontal="left" vertical="center"/>
      <protection hidden="1"/>
    </xf>
    <xf numFmtId="177" fontId="6" fillId="0" borderId="63" xfId="0" applyNumberFormat="1" applyFont="1" applyBorder="1" applyAlignment="1" applyProtection="1">
      <alignment horizontal="center" vertical="center"/>
      <protection locked="0" hidden="1"/>
    </xf>
    <xf numFmtId="0" fontId="24" fillId="5" borderId="44" xfId="0" applyFont="1" applyFill="1" applyBorder="1" applyAlignment="1" applyProtection="1">
      <alignment horizontal="left" vertical="center"/>
      <protection hidden="1"/>
    </xf>
    <xf numFmtId="177" fontId="7" fillId="2" borderId="57" xfId="0" applyNumberFormat="1" applyFont="1" applyFill="1" applyBorder="1" applyAlignment="1" applyProtection="1">
      <alignment horizontal="center" vertical="center"/>
      <protection hidden="1"/>
    </xf>
    <xf numFmtId="0" fontId="7" fillId="25" borderId="43" xfId="0" applyFont="1" applyFill="1" applyBorder="1" applyAlignment="1" applyProtection="1">
      <alignment horizontal="center" vertical="center"/>
      <protection hidden="1"/>
    </xf>
    <xf numFmtId="0" fontId="7" fillId="25" borderId="55" xfId="0" applyFont="1" applyFill="1" applyBorder="1" applyAlignment="1" applyProtection="1">
      <alignment horizontal="center" vertical="center"/>
      <protection hidden="1"/>
    </xf>
    <xf numFmtId="0" fontId="26" fillId="35" borderId="43" xfId="0" applyFont="1" applyFill="1" applyBorder="1" applyAlignment="1" applyProtection="1">
      <alignment horizontal="center" vertical="center"/>
      <protection hidden="1"/>
    </xf>
    <xf numFmtId="0" fontId="26" fillId="35" borderId="55" xfId="0" applyFont="1" applyFill="1" applyBorder="1" applyAlignment="1" applyProtection="1">
      <alignment horizontal="center" vertical="center"/>
      <protection hidden="1"/>
    </xf>
    <xf numFmtId="0" fontId="27" fillId="36" borderId="43" xfId="0" applyFont="1" applyFill="1" applyBorder="1" applyAlignment="1" applyProtection="1">
      <alignment horizontal="center" vertical="center"/>
      <protection hidden="1"/>
    </xf>
    <xf numFmtId="0" fontId="27" fillId="36" borderId="55" xfId="0" applyFont="1" applyFill="1" applyBorder="1" applyAlignment="1" applyProtection="1">
      <alignment horizontal="center" vertical="center"/>
      <protection hidden="1"/>
    </xf>
    <xf numFmtId="0" fontId="27" fillId="2" borderId="43" xfId="0" applyFont="1" applyFill="1" applyBorder="1" applyAlignment="1" applyProtection="1">
      <alignment horizontal="center" vertical="center"/>
      <protection hidden="1"/>
    </xf>
    <xf numFmtId="0" fontId="27" fillId="2" borderId="55" xfId="0" applyFont="1" applyFill="1" applyBorder="1" applyAlignment="1" applyProtection="1">
      <alignment horizontal="center" vertical="center"/>
      <protection hidden="1"/>
    </xf>
    <xf numFmtId="0" fontId="2" fillId="0" borderId="0" xfId="0" applyFont="1" applyProtection="1">
      <protection hidden="1"/>
    </xf>
    <xf numFmtId="0" fontId="2" fillId="0" borderId="22" xfId="0" applyFont="1" applyBorder="1" applyAlignment="1" applyProtection="1">
      <alignment horizontal="center" vertical="center"/>
      <protection locked="0"/>
    </xf>
    <xf numFmtId="177" fontId="2" fillId="0" borderId="22" xfId="0" applyNumberFormat="1" applyFont="1" applyBorder="1" applyAlignment="1" applyProtection="1">
      <alignment horizontal="center" vertical="center"/>
      <protection locked="0"/>
    </xf>
    <xf numFmtId="177" fontId="2" fillId="0" borderId="22" xfId="0" applyNumberFormat="1" applyFont="1" applyBorder="1" applyAlignment="1">
      <alignment horizontal="center" vertical="center"/>
    </xf>
    <xf numFmtId="177" fontId="2" fillId="11" borderId="22" xfId="0" applyNumberFormat="1" applyFont="1" applyFill="1" applyBorder="1" applyAlignment="1" applyProtection="1">
      <alignment horizontal="center" vertical="center"/>
      <protection hidden="1"/>
    </xf>
    <xf numFmtId="0" fontId="28" fillId="2" borderId="10" xfId="0" applyFont="1" applyFill="1" applyBorder="1" applyAlignment="1" applyProtection="1">
      <alignment horizontal="center" vertical="center"/>
      <protection hidden="1"/>
    </xf>
    <xf numFmtId="0" fontId="28" fillId="2" borderId="19" xfId="0" applyFont="1" applyFill="1" applyBorder="1" applyAlignment="1" applyProtection="1">
      <alignment horizontal="center" vertical="center"/>
      <protection hidden="1"/>
    </xf>
    <xf numFmtId="177" fontId="29" fillId="6" borderId="9" xfId="0" applyNumberFormat="1" applyFont="1" applyFill="1" applyBorder="1" applyAlignment="1" applyProtection="1">
      <alignment vertical="center"/>
      <protection hidden="1"/>
    </xf>
    <xf numFmtId="177" fontId="29" fillId="6" borderId="48" xfId="0" applyNumberFormat="1" applyFont="1" applyFill="1" applyBorder="1" applyAlignment="1" applyProtection="1">
      <alignment vertical="center"/>
      <protection hidden="1"/>
    </xf>
    <xf numFmtId="177" fontId="2" fillId="17" borderId="48" xfId="0" applyNumberFormat="1" applyFont="1" applyFill="1" applyBorder="1" applyAlignment="1" applyProtection="1">
      <alignment vertical="center"/>
      <protection hidden="1"/>
    </xf>
    <xf numFmtId="0" fontId="28" fillId="2" borderId="35" xfId="0" applyFont="1" applyFill="1" applyBorder="1" applyAlignment="1" applyProtection="1">
      <alignment horizontal="center" vertical="center"/>
      <protection hidden="1"/>
    </xf>
    <xf numFmtId="0" fontId="28" fillId="2" borderId="36" xfId="0" applyFont="1" applyFill="1" applyBorder="1" applyAlignment="1" applyProtection="1">
      <alignment horizontal="center" vertical="center"/>
      <protection hidden="1"/>
    </xf>
    <xf numFmtId="177" fontId="30" fillId="5" borderId="10" xfId="0" applyNumberFormat="1" applyFont="1" applyFill="1" applyBorder="1" applyAlignment="1" applyProtection="1">
      <alignment horizontal="center" vertical="center"/>
      <protection hidden="1"/>
    </xf>
    <xf numFmtId="177" fontId="30" fillId="5" borderId="19" xfId="0" applyNumberFormat="1" applyFont="1" applyFill="1" applyBorder="1" applyAlignment="1" applyProtection="1">
      <alignment horizontal="center" vertical="center"/>
      <protection hidden="1"/>
    </xf>
    <xf numFmtId="0" fontId="28" fillId="2" borderId="13" xfId="0" applyFont="1" applyFill="1" applyBorder="1" applyAlignment="1" applyProtection="1">
      <alignment horizontal="center" vertical="center"/>
      <protection hidden="1"/>
    </xf>
    <xf numFmtId="0" fontId="28" fillId="2" borderId="20" xfId="0" applyFont="1" applyFill="1" applyBorder="1" applyAlignment="1" applyProtection="1">
      <alignment horizontal="center" vertical="center"/>
      <protection hidden="1"/>
    </xf>
    <xf numFmtId="177" fontId="30" fillId="5" borderId="13" xfId="0" applyNumberFormat="1" applyFont="1" applyFill="1" applyBorder="1" applyAlignment="1" applyProtection="1">
      <alignment horizontal="center" vertical="center"/>
      <protection hidden="1"/>
    </xf>
    <xf numFmtId="177" fontId="30" fillId="5" borderId="20" xfId="0" applyNumberFormat="1" applyFont="1" applyFill="1" applyBorder="1" applyAlignment="1" applyProtection="1">
      <alignment horizontal="center" vertical="center"/>
      <protection hidden="1"/>
    </xf>
    <xf numFmtId="0" fontId="3" fillId="2" borderId="35" xfId="0" applyFont="1" applyFill="1" applyBorder="1" applyAlignment="1" applyProtection="1">
      <alignment horizontal="center" vertical="center"/>
      <protection hidden="1"/>
    </xf>
    <xf numFmtId="0" fontId="0" fillId="33" borderId="6" xfId="0" applyFill="1" applyBorder="1" applyAlignment="1" applyProtection="1">
      <alignment horizontal="center" vertical="center"/>
      <protection hidden="1"/>
    </xf>
    <xf numFmtId="0" fontId="0" fillId="33" borderId="16" xfId="0" applyFill="1" applyBorder="1" applyAlignment="1" applyProtection="1">
      <alignment horizontal="center" vertical="center"/>
      <protection hidden="1"/>
    </xf>
    <xf numFmtId="0" fontId="2" fillId="0" borderId="6" xfId="0" applyFont="1" applyBorder="1" applyAlignment="1" applyProtection="1">
      <alignment horizontal="center" vertical="center"/>
      <protection hidden="1"/>
    </xf>
    <xf numFmtId="0" fontId="2" fillId="0" borderId="16" xfId="0" applyFont="1" applyBorder="1" applyAlignment="1" applyProtection="1">
      <alignment horizontal="center" vertical="center"/>
      <protection locked="0" hidden="1"/>
    </xf>
    <xf numFmtId="177" fontId="31" fillId="2" borderId="16" xfId="0" applyNumberFormat="1" applyFont="1" applyFill="1" applyBorder="1" applyAlignment="1" applyProtection="1">
      <alignment horizontal="center" vertical="center"/>
      <protection hidden="1"/>
    </xf>
    <xf numFmtId="177" fontId="2" fillId="0" borderId="16" xfId="0" applyNumberFormat="1" applyFont="1" applyBorder="1" applyAlignment="1" applyProtection="1">
      <alignment horizontal="center" vertical="center"/>
      <protection locked="0" hidden="1"/>
    </xf>
    <xf numFmtId="0" fontId="2" fillId="0" borderId="16" xfId="0" applyFont="1" applyBorder="1" applyAlignment="1" applyProtection="1">
      <alignment horizontal="center" vertical="center"/>
      <protection hidden="1"/>
    </xf>
    <xf numFmtId="0" fontId="2" fillId="0" borderId="7" xfId="0" applyFont="1" applyBorder="1" applyAlignment="1" applyProtection="1">
      <alignment horizontal="center" vertical="center"/>
      <protection locked="0" hidden="1"/>
    </xf>
    <xf numFmtId="177" fontId="31" fillId="22" borderId="7" xfId="0" applyNumberFormat="1" applyFont="1" applyFill="1" applyBorder="1" applyAlignment="1" applyProtection="1">
      <alignment horizontal="center" vertical="center"/>
      <protection hidden="1"/>
    </xf>
    <xf numFmtId="177" fontId="2" fillId="0" borderId="7" xfId="0" applyNumberFormat="1" applyFont="1" applyBorder="1" applyAlignment="1" applyProtection="1">
      <alignment horizontal="center" vertical="center"/>
      <protection locked="0" hidden="1"/>
    </xf>
    <xf numFmtId="0" fontId="2" fillId="0" borderId="22" xfId="0" applyFont="1" applyBorder="1" applyAlignment="1" applyProtection="1">
      <alignment horizontal="center" vertical="center"/>
      <protection locked="0" hidden="1"/>
    </xf>
    <xf numFmtId="177" fontId="2" fillId="0" borderId="22" xfId="0" applyNumberFormat="1" applyFont="1" applyBorder="1" applyAlignment="1" applyProtection="1">
      <alignment horizontal="center" vertical="center"/>
      <protection locked="0" hidden="1"/>
    </xf>
    <xf numFmtId="0" fontId="2" fillId="0" borderId="22" xfId="0" applyFont="1" applyBorder="1" applyAlignment="1" applyProtection="1">
      <alignment horizontal="center" vertical="center"/>
      <protection hidden="1"/>
    </xf>
    <xf numFmtId="0" fontId="2" fillId="0" borderId="23" xfId="0" applyFont="1" applyBorder="1" applyAlignment="1" applyProtection="1">
      <alignment horizontal="center" vertical="center"/>
      <protection locked="0"/>
    </xf>
    <xf numFmtId="0" fontId="28" fillId="2" borderId="11" xfId="0" applyFont="1" applyFill="1" applyBorder="1" applyAlignment="1" applyProtection="1">
      <alignment horizontal="center" vertical="center"/>
      <protection hidden="1"/>
    </xf>
    <xf numFmtId="0" fontId="28" fillId="2" borderId="0" xfId="0" applyFont="1" applyFill="1" applyAlignment="1" applyProtection="1">
      <alignment horizontal="center" vertical="center"/>
      <protection hidden="1"/>
    </xf>
    <xf numFmtId="0" fontId="28" fillId="2" borderId="14" xfId="0" applyFont="1" applyFill="1" applyBorder="1" applyAlignment="1" applyProtection="1">
      <alignment horizontal="center" vertical="center"/>
      <protection hidden="1"/>
    </xf>
    <xf numFmtId="0" fontId="3" fillId="2" borderId="36" xfId="0" applyFont="1" applyFill="1" applyBorder="1" applyAlignment="1" applyProtection="1">
      <alignment horizontal="center" vertical="center"/>
      <protection hidden="1"/>
    </xf>
    <xf numFmtId="0" fontId="0" fillId="33" borderId="21" xfId="0" applyFill="1" applyBorder="1" applyAlignment="1" applyProtection="1">
      <alignment horizontal="center" vertical="center"/>
      <protection hidden="1"/>
    </xf>
    <xf numFmtId="177" fontId="2" fillId="24" borderId="16" xfId="0" applyNumberFormat="1" applyFont="1" applyFill="1" applyBorder="1" applyAlignment="1" applyProtection="1">
      <alignment horizontal="center" vertical="center"/>
      <protection hidden="1"/>
    </xf>
    <xf numFmtId="0" fontId="2" fillId="0" borderId="21" xfId="0" applyFont="1" applyBorder="1" applyAlignment="1" applyProtection="1">
      <alignment horizontal="center" vertical="center"/>
      <protection locked="0" hidden="1"/>
    </xf>
    <xf numFmtId="177" fontId="2" fillId="7" borderId="7" xfId="0" applyNumberFormat="1" applyFont="1" applyFill="1" applyBorder="1" applyAlignment="1" applyProtection="1">
      <alignment horizontal="center" vertical="center"/>
      <protection hidden="1"/>
    </xf>
    <xf numFmtId="0" fontId="2" fillId="0" borderId="3" xfId="0" applyFont="1" applyBorder="1" applyAlignment="1" applyProtection="1">
      <alignment horizontal="center" vertical="center"/>
      <protection locked="0" hidden="1"/>
    </xf>
    <xf numFmtId="0" fontId="2" fillId="0" borderId="25" xfId="0" applyFont="1" applyBorder="1" applyAlignment="1" applyProtection="1">
      <alignment horizontal="center" vertical="center"/>
      <protection locked="0" hidden="1"/>
    </xf>
    <xf numFmtId="177" fontId="29" fillId="6" borderId="10" xfId="0" applyNumberFormat="1" applyFont="1" applyFill="1" applyBorder="1" applyAlignment="1" applyProtection="1">
      <alignment horizontal="center" vertical="center"/>
      <protection hidden="1"/>
    </xf>
    <xf numFmtId="177" fontId="29" fillId="6" borderId="19" xfId="0" applyNumberFormat="1" applyFont="1" applyFill="1" applyBorder="1" applyAlignment="1" applyProtection="1">
      <alignment horizontal="center" vertical="center"/>
      <protection hidden="1"/>
    </xf>
    <xf numFmtId="177" fontId="29" fillId="6" borderId="13" xfId="0" applyNumberFormat="1" applyFont="1" applyFill="1" applyBorder="1" applyAlignment="1" applyProtection="1">
      <alignment horizontal="center" vertical="center"/>
      <protection hidden="1"/>
    </xf>
    <xf numFmtId="177" fontId="29" fillId="6" borderId="20" xfId="0" applyNumberFormat="1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177" fontId="31" fillId="22" borderId="22" xfId="0" applyNumberFormat="1" applyFont="1" applyFill="1" applyBorder="1" applyAlignment="1" applyProtection="1">
      <alignment horizontal="center" vertical="center"/>
      <protection hidden="1"/>
    </xf>
    <xf numFmtId="0" fontId="2" fillId="6" borderId="9" xfId="0" applyFont="1" applyFill="1" applyBorder="1" applyAlignment="1" applyProtection="1">
      <alignment horizontal="center" vertical="center"/>
      <protection hidden="1"/>
    </xf>
    <xf numFmtId="177" fontId="2" fillId="6" borderId="9" xfId="0" applyNumberFormat="1" applyFont="1" applyFill="1" applyBorder="1" applyAlignment="1" applyProtection="1">
      <alignment horizontal="center" vertical="center"/>
      <protection hidden="1"/>
    </xf>
    <xf numFmtId="0" fontId="2" fillId="6" borderId="12" xfId="0" applyFont="1" applyFill="1" applyBorder="1" applyAlignment="1" applyProtection="1">
      <alignment horizontal="center" vertical="center"/>
      <protection hidden="1"/>
    </xf>
    <xf numFmtId="177" fontId="2" fillId="5" borderId="9" xfId="0" applyNumberFormat="1" applyFont="1" applyFill="1" applyBorder="1" applyAlignment="1" applyProtection="1">
      <alignment horizontal="center" vertical="center"/>
      <protection hidden="1"/>
    </xf>
    <xf numFmtId="177" fontId="2" fillId="7" borderId="22" xfId="0" applyNumberFormat="1" applyFont="1" applyFill="1" applyBorder="1" applyAlignment="1" applyProtection="1">
      <alignment horizontal="center" vertical="center"/>
      <protection hidden="1"/>
    </xf>
    <xf numFmtId="177" fontId="29" fillId="7" borderId="10" xfId="0" applyNumberFormat="1" applyFont="1" applyFill="1" applyBorder="1" applyAlignment="1" applyProtection="1">
      <alignment horizontal="center" vertical="center"/>
      <protection hidden="1"/>
    </xf>
    <xf numFmtId="177" fontId="29" fillId="7" borderId="19" xfId="0" applyNumberFormat="1" applyFont="1" applyFill="1" applyBorder="1" applyAlignment="1" applyProtection="1">
      <alignment horizontal="center" vertical="center"/>
      <protection hidden="1"/>
    </xf>
    <xf numFmtId="177" fontId="29" fillId="7" borderId="13" xfId="0" applyNumberFormat="1" applyFont="1" applyFill="1" applyBorder="1" applyAlignment="1" applyProtection="1">
      <alignment horizontal="center" vertical="center"/>
      <protection hidden="1"/>
    </xf>
    <xf numFmtId="177" fontId="29" fillId="7" borderId="20" xfId="0" applyNumberFormat="1" applyFont="1" applyFill="1" applyBorder="1" applyAlignment="1" applyProtection="1">
      <alignment horizontal="center" vertical="center"/>
      <protection hidden="1"/>
    </xf>
    <xf numFmtId="0" fontId="2" fillId="5" borderId="12" xfId="0" applyFont="1" applyFill="1" applyBorder="1" applyAlignment="1" applyProtection="1">
      <alignment horizontal="center" vertical="center"/>
      <protection hidden="1"/>
    </xf>
    <xf numFmtId="0" fontId="32" fillId="0" borderId="10" xfId="0" applyFont="1" applyBorder="1" applyAlignment="1" applyProtection="1">
      <alignment horizontal="center" vertical="center"/>
      <protection hidden="1"/>
    </xf>
    <xf numFmtId="0" fontId="32" fillId="0" borderId="11" xfId="0" applyFont="1" applyBorder="1" applyAlignment="1" applyProtection="1">
      <alignment horizontal="center" vertical="center"/>
      <protection hidden="1"/>
    </xf>
    <xf numFmtId="0" fontId="32" fillId="6" borderId="10" xfId="0" applyFont="1" applyFill="1" applyBorder="1" applyAlignment="1" applyProtection="1">
      <alignment horizontal="center" vertical="center"/>
      <protection locked="0" hidden="1"/>
    </xf>
    <xf numFmtId="0" fontId="32" fillId="6" borderId="9" xfId="0" applyFont="1" applyFill="1" applyBorder="1" applyAlignment="1" applyProtection="1">
      <alignment horizontal="center" vertical="center"/>
      <protection locked="0" hidden="1"/>
    </xf>
    <xf numFmtId="0" fontId="33" fillId="2" borderId="10" xfId="0" applyFont="1" applyFill="1" applyBorder="1" applyAlignment="1" applyProtection="1">
      <alignment horizontal="center" vertical="center"/>
      <protection hidden="1"/>
    </xf>
    <xf numFmtId="0" fontId="33" fillId="2" borderId="11" xfId="0" applyFont="1" applyFill="1" applyBorder="1" applyAlignment="1" applyProtection="1">
      <alignment horizontal="center" vertical="center"/>
      <protection hidden="1"/>
    </xf>
    <xf numFmtId="0" fontId="33" fillId="2" borderId="11" xfId="0" applyFont="1" applyFill="1" applyBorder="1" applyAlignment="1" applyProtection="1">
      <alignment vertical="center"/>
      <protection hidden="1"/>
    </xf>
    <xf numFmtId="0" fontId="33" fillId="2" borderId="19" xfId="0" applyFont="1" applyFill="1" applyBorder="1" applyAlignment="1" applyProtection="1">
      <alignment horizontal="center" vertical="center"/>
      <protection hidden="1"/>
    </xf>
    <xf numFmtId="0" fontId="32" fillId="0" borderId="13" xfId="0" applyFont="1" applyBorder="1" applyAlignment="1" applyProtection="1">
      <alignment horizontal="center" vertical="center"/>
      <protection hidden="1"/>
    </xf>
    <xf numFmtId="0" fontId="32" fillId="0" borderId="14" xfId="0" applyFont="1" applyBorder="1" applyAlignment="1" applyProtection="1">
      <alignment horizontal="center" vertical="center"/>
      <protection hidden="1"/>
    </xf>
    <xf numFmtId="0" fontId="32" fillId="6" borderId="13" xfId="0" applyFont="1" applyFill="1" applyBorder="1" applyAlignment="1" applyProtection="1">
      <alignment horizontal="center" vertical="center"/>
      <protection locked="0" hidden="1"/>
    </xf>
    <xf numFmtId="0" fontId="32" fillId="6" borderId="12" xfId="0" applyFont="1" applyFill="1" applyBorder="1" applyAlignment="1" applyProtection="1">
      <alignment horizontal="center" vertical="center"/>
      <protection locked="0" hidden="1"/>
    </xf>
    <xf numFmtId="0" fontId="33" fillId="2" borderId="13" xfId="0" applyFont="1" applyFill="1" applyBorder="1" applyAlignment="1" applyProtection="1">
      <alignment horizontal="center" vertical="center"/>
      <protection hidden="1"/>
    </xf>
    <xf numFmtId="0" fontId="33" fillId="2" borderId="14" xfId="0" applyFont="1" applyFill="1" applyBorder="1" applyAlignment="1" applyProtection="1">
      <alignment horizontal="center" vertical="center"/>
      <protection hidden="1"/>
    </xf>
    <xf numFmtId="0" fontId="0" fillId="0" borderId="35" xfId="0" applyBorder="1" applyProtection="1">
      <protection hidden="1"/>
    </xf>
    <xf numFmtId="0" fontId="0" fillId="0" borderId="11" xfId="0" applyBorder="1" applyProtection="1">
      <protection hidden="1"/>
    </xf>
    <xf numFmtId="0" fontId="28" fillId="2" borderId="66" xfId="0" applyFont="1" applyFill="1" applyBorder="1" applyAlignment="1" applyProtection="1">
      <alignment horizontal="center" vertical="center"/>
      <protection hidden="1"/>
    </xf>
    <xf numFmtId="0" fontId="0" fillId="0" borderId="67" xfId="0" applyBorder="1" applyProtection="1">
      <protection hidden="1"/>
    </xf>
    <xf numFmtId="0" fontId="34" fillId="37" borderId="32" xfId="0" applyFont="1" applyFill="1" applyBorder="1" applyAlignment="1" applyProtection="1">
      <alignment horizontal="center" vertical="center"/>
      <protection hidden="1"/>
    </xf>
    <xf numFmtId="0" fontId="35" fillId="6" borderId="30" xfId="0" applyFont="1" applyFill="1" applyBorder="1" applyAlignment="1" applyProtection="1">
      <alignment horizontal="center" vertical="center"/>
      <protection hidden="1"/>
    </xf>
    <xf numFmtId="0" fontId="34" fillId="38" borderId="30" xfId="0" applyFont="1" applyFill="1" applyBorder="1" applyAlignment="1" applyProtection="1">
      <alignment horizontal="center" vertical="center"/>
      <protection hidden="1"/>
    </xf>
    <xf numFmtId="0" fontId="35" fillId="5" borderId="30" xfId="0" applyFont="1" applyFill="1" applyBorder="1" applyAlignment="1" applyProtection="1">
      <alignment horizontal="center" vertical="center"/>
      <protection hidden="1"/>
    </xf>
    <xf numFmtId="0" fontId="3" fillId="39" borderId="68" xfId="0" applyFont="1" applyFill="1" applyBorder="1" applyAlignment="1" applyProtection="1">
      <alignment horizontal="center" vertical="center"/>
      <protection hidden="1"/>
    </xf>
    <xf numFmtId="0" fontId="3" fillId="23" borderId="68" xfId="0" applyFont="1" applyFill="1" applyBorder="1" applyAlignment="1" applyProtection="1">
      <alignment horizontal="center" vertical="center"/>
      <protection hidden="1"/>
    </xf>
    <xf numFmtId="0" fontId="29" fillId="17" borderId="28" xfId="0" applyFont="1" applyFill="1" applyBorder="1" applyAlignment="1" applyProtection="1">
      <alignment horizontal="center" vertical="center"/>
      <protection hidden="1"/>
    </xf>
    <xf numFmtId="177" fontId="3" fillId="2" borderId="26" xfId="0" applyNumberFormat="1" applyFont="1" applyFill="1" applyBorder="1" applyAlignment="1" applyProtection="1">
      <alignment horizontal="center" vertical="center"/>
      <protection hidden="1"/>
    </xf>
    <xf numFmtId="177" fontId="29" fillId="5" borderId="26" xfId="0" applyNumberFormat="1" applyFont="1" applyFill="1" applyBorder="1" applyAlignment="1" applyProtection="1">
      <alignment horizontal="center" vertical="center"/>
      <protection hidden="1"/>
    </xf>
    <xf numFmtId="177" fontId="29" fillId="6" borderId="26" xfId="0" applyNumberFormat="1" applyFont="1" applyFill="1" applyBorder="1" applyAlignment="1" applyProtection="1">
      <alignment horizontal="center" vertical="center"/>
      <protection hidden="1"/>
    </xf>
    <xf numFmtId="177" fontId="29" fillId="26" borderId="69" xfId="0" applyNumberFormat="1" applyFont="1" applyFill="1" applyBorder="1" applyAlignment="1" applyProtection="1">
      <alignment horizontal="center" vertical="center"/>
      <protection hidden="1"/>
    </xf>
    <xf numFmtId="1" fontId="29" fillId="20" borderId="69" xfId="0" applyNumberFormat="1" applyFont="1" applyFill="1" applyBorder="1" applyAlignment="1" applyProtection="1">
      <alignment horizontal="center" vertical="center"/>
      <protection hidden="1"/>
    </xf>
    <xf numFmtId="0" fontId="29" fillId="17" borderId="27" xfId="0" applyFont="1" applyFill="1" applyBorder="1" applyAlignment="1" applyProtection="1">
      <alignment horizontal="center" vertical="center"/>
      <protection hidden="1"/>
    </xf>
    <xf numFmtId="177" fontId="3" fillId="2" borderId="70" xfId="0" applyNumberFormat="1" applyFont="1" applyFill="1" applyBorder="1" applyAlignment="1" applyProtection="1">
      <alignment horizontal="center" vertical="center"/>
      <protection hidden="1"/>
    </xf>
    <xf numFmtId="177" fontId="29" fillId="5" borderId="70" xfId="0" applyNumberFormat="1" applyFont="1" applyFill="1" applyBorder="1" applyAlignment="1" applyProtection="1">
      <alignment horizontal="center" vertical="center"/>
      <protection hidden="1"/>
    </xf>
    <xf numFmtId="177" fontId="29" fillId="6" borderId="70" xfId="0" applyNumberFormat="1" applyFont="1" applyFill="1" applyBorder="1" applyAlignment="1" applyProtection="1">
      <alignment horizontal="center" vertical="center"/>
      <protection hidden="1"/>
    </xf>
    <xf numFmtId="177" fontId="29" fillId="26" borderId="71" xfId="0" applyNumberFormat="1" applyFont="1" applyFill="1" applyBorder="1" applyAlignment="1" applyProtection="1">
      <alignment horizontal="center" vertical="center"/>
      <protection hidden="1"/>
    </xf>
    <xf numFmtId="1" fontId="29" fillId="20" borderId="71" xfId="0" applyNumberFormat="1" applyFont="1" applyFill="1" applyBorder="1" applyAlignment="1" applyProtection="1">
      <alignment horizontal="center" vertical="center"/>
      <protection hidden="1"/>
    </xf>
    <xf numFmtId="0" fontId="36" fillId="10" borderId="27" xfId="0" applyFont="1" applyFill="1" applyBorder="1" applyAlignment="1" applyProtection="1">
      <alignment horizontal="center" vertical="center"/>
      <protection hidden="1"/>
    </xf>
    <xf numFmtId="177" fontId="35" fillId="7" borderId="71" xfId="0" applyNumberFormat="1" applyFont="1" applyFill="1" applyBorder="1" applyAlignment="1" applyProtection="1">
      <alignment horizontal="center" vertical="center"/>
      <protection hidden="1"/>
    </xf>
    <xf numFmtId="177" fontId="3" fillId="2" borderId="71" xfId="0" applyNumberFormat="1" applyFont="1" applyFill="1" applyBorder="1" applyAlignment="1" applyProtection="1">
      <alignment horizontal="center" vertical="center"/>
      <protection hidden="1"/>
    </xf>
    <xf numFmtId="177" fontId="30" fillId="7" borderId="72" xfId="0" applyNumberFormat="1" applyFont="1" applyFill="1" applyBorder="1" applyAlignment="1" applyProtection="1">
      <alignment horizontal="center" vertical="center"/>
      <protection hidden="1"/>
    </xf>
    <xf numFmtId="177" fontId="22" fillId="10" borderId="71" xfId="0" applyNumberFormat="1" applyFont="1" applyFill="1" applyBorder="1" applyAlignment="1" applyProtection="1">
      <alignment horizontal="center" vertical="center"/>
      <protection hidden="1"/>
    </xf>
    <xf numFmtId="1" fontId="22" fillId="22" borderId="71" xfId="0" applyNumberFormat="1" applyFont="1" applyFill="1" applyBorder="1" applyAlignment="1" applyProtection="1">
      <alignment horizontal="center" vertical="center"/>
      <protection hidden="1"/>
    </xf>
    <xf numFmtId="0" fontId="36" fillId="10" borderId="32" xfId="0" applyFont="1" applyFill="1" applyBorder="1" applyAlignment="1" applyProtection="1">
      <alignment horizontal="center" vertical="center"/>
      <protection hidden="1"/>
    </xf>
    <xf numFmtId="177" fontId="35" fillId="7" borderId="68" xfId="0" applyNumberFormat="1" applyFont="1" applyFill="1" applyBorder="1" applyAlignment="1" applyProtection="1">
      <alignment horizontal="center" vertical="center"/>
      <protection hidden="1"/>
    </xf>
    <xf numFmtId="177" fontId="3" fillId="2" borderId="68" xfId="0" applyNumberFormat="1" applyFont="1" applyFill="1" applyBorder="1" applyAlignment="1" applyProtection="1">
      <alignment horizontal="center" vertical="center"/>
      <protection hidden="1"/>
    </xf>
    <xf numFmtId="0" fontId="30" fillId="7" borderId="29" xfId="0" applyFont="1" applyFill="1" applyBorder="1" applyAlignment="1" applyProtection="1">
      <alignment horizontal="center" vertical="center"/>
      <protection hidden="1"/>
    </xf>
    <xf numFmtId="0" fontId="22" fillId="10" borderId="30" xfId="0" applyFont="1" applyFill="1" applyBorder="1" applyAlignment="1" applyProtection="1">
      <alignment horizontal="center" vertical="center"/>
      <protection hidden="1"/>
    </xf>
    <xf numFmtId="1" fontId="22" fillId="22" borderId="68" xfId="0" applyNumberFormat="1" applyFont="1" applyFill="1" applyBorder="1" applyAlignment="1" applyProtection="1">
      <alignment horizontal="center" vertical="center"/>
      <protection hidden="1"/>
    </xf>
    <xf numFmtId="0" fontId="36" fillId="2" borderId="71" xfId="0" applyFont="1" applyFill="1" applyBorder="1" applyAlignment="1" applyProtection="1">
      <alignment horizontal="center" vertical="center"/>
      <protection hidden="1"/>
    </xf>
    <xf numFmtId="177" fontId="37" fillId="6" borderId="71" xfId="0" applyNumberFormat="1" applyFont="1" applyFill="1" applyBorder="1" applyAlignment="1" applyProtection="1">
      <alignment horizontal="center" vertical="center"/>
      <protection hidden="1"/>
    </xf>
    <xf numFmtId="0" fontId="37" fillId="6" borderId="27" xfId="0" applyFont="1" applyFill="1" applyBorder="1" applyAlignment="1" applyProtection="1">
      <alignment horizontal="center" vertical="center"/>
      <protection hidden="1"/>
    </xf>
    <xf numFmtId="0" fontId="0" fillId="0" borderId="66" xfId="0" applyBorder="1" applyProtection="1">
      <protection hidden="1"/>
    </xf>
    <xf numFmtId="0" fontId="36" fillId="2" borderId="68" xfId="0" applyFont="1" applyFill="1" applyBorder="1" applyAlignment="1" applyProtection="1">
      <alignment horizontal="center" vertical="center"/>
      <protection hidden="1"/>
    </xf>
    <xf numFmtId="0" fontId="37" fillId="6" borderId="68" xfId="0" applyFont="1" applyFill="1" applyBorder="1" applyAlignment="1" applyProtection="1">
      <alignment horizontal="center" vertical="center"/>
      <protection hidden="1"/>
    </xf>
    <xf numFmtId="0" fontId="37" fillId="6" borderId="32" xfId="0" applyFont="1" applyFill="1" applyBorder="1" applyAlignment="1" applyProtection="1">
      <alignment horizontal="center" vertical="center"/>
      <protection hidden="1"/>
    </xf>
    <xf numFmtId="0" fontId="0" fillId="0" borderId="73" xfId="0" applyBorder="1" applyProtection="1">
      <protection hidden="1"/>
    </xf>
    <xf numFmtId="0" fontId="38" fillId="2" borderId="74" xfId="0" applyFont="1" applyFill="1" applyBorder="1" applyAlignment="1" applyProtection="1">
      <alignment horizontal="center" vertical="center"/>
      <protection hidden="1"/>
    </xf>
    <xf numFmtId="0" fontId="38" fillId="2" borderId="75" xfId="0" applyFont="1" applyFill="1" applyBorder="1" applyAlignment="1" applyProtection="1">
      <alignment horizontal="center" vertical="center"/>
      <protection hidden="1"/>
    </xf>
    <xf numFmtId="0" fontId="38" fillId="2" borderId="76" xfId="0" applyFont="1" applyFill="1" applyBorder="1" applyAlignment="1" applyProtection="1">
      <alignment horizontal="center" vertical="center"/>
      <protection hidden="1"/>
    </xf>
    <xf numFmtId="0" fontId="38" fillId="2" borderId="77" xfId="0" applyFont="1" applyFill="1" applyBorder="1" applyAlignment="1" applyProtection="1">
      <alignment horizontal="center" vertical="center"/>
      <protection hidden="1"/>
    </xf>
    <xf numFmtId="0" fontId="38" fillId="2" borderId="78" xfId="0" applyFont="1" applyFill="1" applyBorder="1" applyAlignment="1" applyProtection="1">
      <alignment horizontal="center" vertical="center"/>
      <protection hidden="1"/>
    </xf>
    <xf numFmtId="0" fontId="38" fillId="2" borderId="79" xfId="0" applyFont="1" applyFill="1" applyBorder="1" applyAlignment="1" applyProtection="1">
      <alignment horizontal="center" vertical="center"/>
      <protection hidden="1"/>
    </xf>
    <xf numFmtId="0" fontId="30" fillId="0" borderId="80" xfId="0" applyFont="1" applyBorder="1" applyAlignment="1" applyProtection="1">
      <alignment horizontal="center" vertical="center"/>
      <protection hidden="1"/>
    </xf>
    <xf numFmtId="0" fontId="30" fillId="26" borderId="81" xfId="0" applyFont="1" applyFill="1" applyBorder="1" applyAlignment="1" applyProtection="1">
      <alignment horizontal="center" vertical="center"/>
      <protection hidden="1"/>
    </xf>
    <xf numFmtId="0" fontId="30" fillId="26" borderId="82" xfId="0" applyFont="1" applyFill="1" applyBorder="1" applyAlignment="1" applyProtection="1">
      <alignment horizontal="center" vertical="center"/>
      <protection hidden="1"/>
    </xf>
    <xf numFmtId="0" fontId="2" fillId="6" borderId="80" xfId="0" applyFont="1" applyFill="1" applyBorder="1" applyAlignment="1" applyProtection="1">
      <alignment horizontal="center" vertical="center"/>
      <protection hidden="1"/>
    </xf>
    <xf numFmtId="0" fontId="2" fillId="0" borderId="80" xfId="0" applyFont="1" applyBorder="1" applyAlignment="1" applyProtection="1">
      <alignment horizontal="center" vertical="center"/>
      <protection hidden="1"/>
    </xf>
    <xf numFmtId="177" fontId="2" fillId="7" borderId="80" xfId="0" applyNumberFormat="1" applyFont="1" applyFill="1" applyBorder="1" applyAlignment="1" applyProtection="1">
      <alignment horizontal="center" vertical="center"/>
      <protection hidden="1"/>
    </xf>
    <xf numFmtId="0" fontId="35" fillId="6" borderId="80" xfId="0" applyFont="1" applyFill="1" applyBorder="1" applyAlignment="1" applyProtection="1">
      <alignment horizontal="center" vertical="center"/>
      <protection hidden="1"/>
    </xf>
    <xf numFmtId="177" fontId="34" fillId="2" borderId="80" xfId="0" applyNumberFormat="1" applyFont="1" applyFill="1" applyBorder="1" applyAlignment="1" applyProtection="1">
      <alignment horizontal="center" vertical="center"/>
      <protection hidden="1"/>
    </xf>
    <xf numFmtId="177" fontId="34" fillId="10" borderId="80" xfId="0" applyNumberFormat="1" applyFont="1" applyFill="1" applyBorder="1" applyAlignment="1" applyProtection="1">
      <alignment horizontal="center" vertical="center"/>
      <protection hidden="1"/>
    </xf>
    <xf numFmtId="0" fontId="34" fillId="2" borderId="75" xfId="0" applyFont="1" applyFill="1" applyBorder="1" applyAlignment="1" applyProtection="1">
      <alignment horizontal="center" vertical="center"/>
      <protection hidden="1"/>
    </xf>
    <xf numFmtId="177" fontId="35" fillId="6" borderId="80" xfId="0" applyNumberFormat="1" applyFont="1" applyFill="1" applyBorder="1" applyAlignment="1" applyProtection="1">
      <alignment horizontal="center" vertical="center"/>
      <protection hidden="1"/>
    </xf>
    <xf numFmtId="0" fontId="36" fillId="2" borderId="83" xfId="0" applyFont="1" applyFill="1" applyBorder="1" applyAlignment="1" applyProtection="1">
      <alignment horizontal="center" vertical="center"/>
      <protection hidden="1"/>
    </xf>
    <xf numFmtId="0" fontId="36" fillId="2" borderId="84" xfId="0" applyFont="1" applyFill="1" applyBorder="1" applyAlignment="1" applyProtection="1">
      <alignment horizontal="center" vertical="center"/>
      <protection hidden="1"/>
    </xf>
    <xf numFmtId="0" fontId="36" fillId="2" borderId="85" xfId="0" applyFont="1" applyFill="1" applyBorder="1" applyAlignment="1" applyProtection="1">
      <alignment horizontal="center" vertical="center"/>
      <protection hidden="1"/>
    </xf>
    <xf numFmtId="0" fontId="36" fillId="2" borderId="86" xfId="0" applyFont="1" applyFill="1" applyBorder="1" applyAlignment="1" applyProtection="1">
      <alignment horizontal="center" vertical="center"/>
      <protection hidden="1"/>
    </xf>
    <xf numFmtId="0" fontId="36" fillId="2" borderId="87" xfId="0" applyFont="1" applyFill="1" applyBorder="1" applyAlignment="1" applyProtection="1">
      <alignment horizontal="center" vertical="center"/>
      <protection hidden="1"/>
    </xf>
    <xf numFmtId="0" fontId="36" fillId="2" borderId="88" xfId="0" applyFont="1" applyFill="1" applyBorder="1" applyAlignment="1" applyProtection="1">
      <alignment horizontal="center" vertical="center"/>
      <protection hidden="1"/>
    </xf>
    <xf numFmtId="0" fontId="30" fillId="0" borderId="89" xfId="0" applyFont="1" applyBorder="1" applyAlignment="1" applyProtection="1">
      <alignment horizontal="center" vertical="center"/>
      <protection hidden="1"/>
    </xf>
    <xf numFmtId="0" fontId="30" fillId="6" borderId="90" xfId="0" applyFont="1" applyFill="1" applyBorder="1" applyAlignment="1" applyProtection="1">
      <alignment horizontal="center" vertical="center"/>
      <protection hidden="1"/>
    </xf>
    <xf numFmtId="0" fontId="30" fillId="0" borderId="90" xfId="0" applyFont="1" applyBorder="1" applyAlignment="1" applyProtection="1">
      <alignment horizontal="center" vertical="center"/>
      <protection hidden="1"/>
    </xf>
    <xf numFmtId="0" fontId="30" fillId="6" borderId="91" xfId="0" applyFont="1" applyFill="1" applyBorder="1" applyAlignment="1" applyProtection="1">
      <alignment horizontal="center" vertical="center"/>
      <protection hidden="1"/>
    </xf>
    <xf numFmtId="0" fontId="37" fillId="6" borderId="92" xfId="0" applyFont="1" applyFill="1" applyBorder="1" applyAlignment="1" applyProtection="1">
      <alignment horizontal="center" vertical="center"/>
      <protection hidden="1"/>
    </xf>
    <xf numFmtId="0" fontId="37" fillId="6" borderId="93" xfId="0" applyFont="1" applyFill="1" applyBorder="1" applyAlignment="1" applyProtection="1">
      <alignment horizontal="center" vertical="center"/>
      <protection hidden="1"/>
    </xf>
    <xf numFmtId="0" fontId="2" fillId="0" borderId="94" xfId="0" applyFont="1" applyBorder="1" applyAlignment="1" applyProtection="1">
      <alignment horizontal="center" vertical="center"/>
      <protection locked="0" hidden="1"/>
    </xf>
    <xf numFmtId="0" fontId="2" fillId="6" borderId="80" xfId="0" applyFont="1" applyFill="1" applyBorder="1" applyAlignment="1" applyProtection="1">
      <alignment horizontal="center" vertical="center"/>
      <protection locked="0" hidden="1"/>
    </xf>
    <xf numFmtId="180" fontId="2" fillId="0" borderId="80" xfId="0" applyNumberFormat="1" applyFont="1" applyBorder="1" applyAlignment="1" applyProtection="1">
      <alignment horizontal="center" vertical="center"/>
      <protection locked="0" hidden="1"/>
    </xf>
    <xf numFmtId="177" fontId="2" fillId="6" borderId="95" xfId="0" applyNumberFormat="1" applyFont="1" applyFill="1" applyBorder="1" applyAlignment="1" applyProtection="1">
      <alignment horizontal="center" vertical="center"/>
      <protection locked="0" hidden="1"/>
    </xf>
    <xf numFmtId="177" fontId="39" fillId="2" borderId="96" xfId="0" applyNumberFormat="1" applyFont="1" applyFill="1" applyBorder="1" applyAlignment="1" applyProtection="1">
      <alignment horizontal="center" vertical="center"/>
      <protection hidden="1"/>
    </xf>
    <xf numFmtId="177" fontId="39" fillId="2" borderId="97" xfId="0" applyNumberFormat="1" applyFont="1" applyFill="1" applyBorder="1" applyAlignment="1" applyProtection="1">
      <alignment horizontal="center" vertical="center"/>
      <protection hidden="1"/>
    </xf>
    <xf numFmtId="0" fontId="2" fillId="0" borderId="80" xfId="0" applyFont="1" applyBorder="1" applyAlignment="1" applyProtection="1">
      <alignment horizontal="center" vertical="center"/>
      <protection locked="0" hidden="1"/>
    </xf>
    <xf numFmtId="177" fontId="39" fillId="2" borderId="98" xfId="0" applyNumberFormat="1" applyFont="1" applyFill="1" applyBorder="1" applyAlignment="1" applyProtection="1">
      <alignment horizontal="center" vertical="center"/>
      <protection hidden="1"/>
    </xf>
    <xf numFmtId="177" fontId="39" fillId="2" borderId="99" xfId="0" applyNumberFormat="1" applyFont="1" applyFill="1" applyBorder="1" applyAlignment="1" applyProtection="1">
      <alignment horizontal="center" vertical="center"/>
      <protection hidden="1"/>
    </xf>
    <xf numFmtId="177" fontId="39" fillId="2" borderId="86" xfId="0" applyNumberFormat="1" applyFont="1" applyFill="1" applyBorder="1" applyAlignment="1" applyProtection="1">
      <alignment horizontal="center" vertical="center"/>
      <protection hidden="1"/>
    </xf>
    <xf numFmtId="177" fontId="39" fillId="2" borderId="88" xfId="0" applyNumberFormat="1" applyFont="1" applyFill="1" applyBorder="1" applyAlignment="1" applyProtection="1">
      <alignment horizontal="center" vertical="center"/>
      <protection hidden="1"/>
    </xf>
    <xf numFmtId="0" fontId="2" fillId="0" borderId="100" xfId="0" applyFont="1" applyBorder="1" applyAlignment="1" applyProtection="1">
      <alignment horizontal="center" vertical="center"/>
      <protection locked="0" hidden="1"/>
    </xf>
    <xf numFmtId="0" fontId="2" fillId="6" borderId="101" xfId="0" applyFont="1" applyFill="1" applyBorder="1" applyAlignment="1" applyProtection="1">
      <alignment horizontal="center" vertical="center"/>
      <protection locked="0" hidden="1"/>
    </xf>
    <xf numFmtId="0" fontId="2" fillId="0" borderId="101" xfId="0" applyFont="1" applyBorder="1" applyAlignment="1" applyProtection="1">
      <alignment horizontal="center" vertical="center"/>
      <protection locked="0" hidden="1"/>
    </xf>
    <xf numFmtId="177" fontId="2" fillId="6" borderId="102" xfId="0" applyNumberFormat="1" applyFont="1" applyFill="1" applyBorder="1" applyAlignment="1" applyProtection="1">
      <alignment horizontal="center" vertical="center"/>
      <protection locked="0" hidden="1"/>
    </xf>
    <xf numFmtId="0" fontId="36" fillId="2" borderId="89" xfId="0" applyFont="1" applyFill="1" applyBorder="1" applyAlignment="1" applyProtection="1">
      <alignment horizontal="center" vertical="center"/>
      <protection hidden="1"/>
    </xf>
    <xf numFmtId="0" fontId="36" fillId="2" borderId="90" xfId="0" applyFont="1" applyFill="1" applyBorder="1" applyAlignment="1" applyProtection="1">
      <alignment horizontal="center" vertical="center"/>
      <protection hidden="1"/>
    </xf>
    <xf numFmtId="0" fontId="36" fillId="2" borderId="91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vertical="center"/>
      <protection hidden="1"/>
    </xf>
    <xf numFmtId="0" fontId="36" fillId="2" borderId="94" xfId="0" applyFont="1" applyFill="1" applyBorder="1" applyAlignment="1" applyProtection="1">
      <alignment horizontal="center" vertical="center"/>
      <protection hidden="1"/>
    </xf>
    <xf numFmtId="0" fontId="36" fillId="2" borderId="80" xfId="0" applyFont="1" applyFill="1" applyBorder="1" applyAlignment="1" applyProtection="1">
      <alignment horizontal="center" vertical="center"/>
      <protection hidden="1"/>
    </xf>
    <xf numFmtId="0" fontId="36" fillId="2" borderId="95" xfId="0" applyFont="1" applyFill="1" applyBorder="1" applyAlignment="1" applyProtection="1">
      <alignment horizontal="center" vertical="center"/>
      <protection hidden="1"/>
    </xf>
    <xf numFmtId="0" fontId="20" fillId="6" borderId="94" xfId="0" applyFont="1" applyFill="1" applyBorder="1" applyAlignment="1" applyProtection="1">
      <alignment horizontal="center" vertical="center"/>
      <protection hidden="1"/>
    </xf>
    <xf numFmtId="0" fontId="20" fillId="6" borderId="80" xfId="0" applyFont="1" applyFill="1" applyBorder="1" applyAlignment="1" applyProtection="1">
      <alignment horizontal="center" vertical="center"/>
      <protection hidden="1"/>
    </xf>
    <xf numFmtId="0" fontId="37" fillId="0" borderId="80" xfId="0" applyFont="1" applyBorder="1" applyAlignment="1" applyProtection="1">
      <alignment horizontal="center" vertical="center"/>
      <protection hidden="1"/>
    </xf>
    <xf numFmtId="177" fontId="37" fillId="0" borderId="74" xfId="0" applyNumberFormat="1" applyFont="1" applyBorder="1" applyAlignment="1" applyProtection="1">
      <alignment horizontal="center" vertical="center"/>
      <protection hidden="1"/>
    </xf>
    <xf numFmtId="177" fontId="37" fillId="0" borderId="97" xfId="0" applyNumberFormat="1" applyFont="1" applyBorder="1" applyAlignment="1" applyProtection="1">
      <alignment horizontal="center" vertical="center"/>
      <protection hidden="1"/>
    </xf>
    <xf numFmtId="0" fontId="40" fillId="2" borderId="94" xfId="0" applyFont="1" applyFill="1" applyBorder="1" applyAlignment="1" applyProtection="1">
      <alignment horizontal="center" vertical="center"/>
      <protection hidden="1"/>
    </xf>
    <xf numFmtId="0" fontId="2" fillId="7" borderId="80" xfId="0" applyFont="1" applyFill="1" applyBorder="1" applyAlignment="1" applyProtection="1">
      <alignment horizontal="center" vertical="center"/>
      <protection hidden="1"/>
    </xf>
    <xf numFmtId="177" fontId="37" fillId="0" borderId="77" xfId="0" applyNumberFormat="1" applyFont="1" applyBorder="1" applyAlignment="1" applyProtection="1">
      <alignment horizontal="center" vertical="center"/>
      <protection hidden="1"/>
    </xf>
    <xf numFmtId="177" fontId="37" fillId="0" borderId="103" xfId="0" applyNumberFormat="1" applyFont="1" applyBorder="1" applyAlignment="1" applyProtection="1">
      <alignment horizontal="center" vertical="center"/>
      <protection hidden="1"/>
    </xf>
    <xf numFmtId="177" fontId="2" fillId="0" borderId="80" xfId="0" applyNumberFormat="1" applyFont="1" applyBorder="1" applyAlignment="1" applyProtection="1">
      <alignment horizontal="center" vertical="center"/>
      <protection locked="0" hidden="1"/>
    </xf>
    <xf numFmtId="0" fontId="37" fillId="6" borderId="80" xfId="0" applyFont="1" applyFill="1" applyBorder="1" applyAlignment="1" applyProtection="1">
      <alignment horizontal="center" vertical="center"/>
      <protection hidden="1"/>
    </xf>
    <xf numFmtId="177" fontId="36" fillId="2" borderId="74" xfId="0" applyNumberFormat="1" applyFont="1" applyFill="1" applyBorder="1" applyAlignment="1" applyProtection="1">
      <alignment horizontal="center" vertical="center"/>
      <protection hidden="1"/>
    </xf>
    <xf numFmtId="177" fontId="36" fillId="2" borderId="97" xfId="0" applyNumberFormat="1" applyFont="1" applyFill="1" applyBorder="1" applyAlignment="1" applyProtection="1">
      <alignment horizontal="center" vertical="center"/>
      <protection hidden="1"/>
    </xf>
    <xf numFmtId="177" fontId="36" fillId="2" borderId="77" xfId="0" applyNumberFormat="1" applyFont="1" applyFill="1" applyBorder="1" applyAlignment="1" applyProtection="1">
      <alignment horizontal="center" vertical="center"/>
      <protection hidden="1"/>
    </xf>
    <xf numFmtId="177" fontId="36" fillId="2" borderId="103" xfId="0" applyNumberFormat="1" applyFont="1" applyFill="1" applyBorder="1" applyAlignment="1" applyProtection="1">
      <alignment horizontal="center" vertical="center"/>
      <protection hidden="1"/>
    </xf>
    <xf numFmtId="0" fontId="37" fillId="5" borderId="80" xfId="0" applyFont="1" applyFill="1" applyBorder="1" applyAlignment="1" applyProtection="1">
      <alignment horizontal="center" vertical="center"/>
      <protection hidden="1"/>
    </xf>
    <xf numFmtId="0" fontId="37" fillId="5" borderId="95" xfId="0" applyFont="1" applyFill="1" applyBorder="1" applyAlignment="1" applyProtection="1">
      <alignment horizontal="center" vertical="center"/>
      <protection hidden="1"/>
    </xf>
    <xf numFmtId="0" fontId="37" fillId="6" borderId="80" xfId="0" applyFont="1" applyFill="1" applyBorder="1" applyAlignment="1" applyProtection="1">
      <alignment vertical="center"/>
      <protection hidden="1"/>
    </xf>
    <xf numFmtId="177" fontId="30" fillId="0" borderId="80" xfId="0" applyNumberFormat="1" applyFont="1" applyBorder="1" applyAlignment="1" applyProtection="1">
      <alignment horizontal="center" vertical="center"/>
      <protection locked="0" hidden="1"/>
    </xf>
    <xf numFmtId="177" fontId="30" fillId="0" borderId="95" xfId="0" applyNumberFormat="1" applyFont="1" applyBorder="1" applyAlignment="1" applyProtection="1">
      <alignment horizontal="center" vertical="center"/>
      <protection locked="0" hidden="1"/>
    </xf>
    <xf numFmtId="0" fontId="34" fillId="2" borderId="100" xfId="0" applyFont="1" applyFill="1" applyBorder="1" applyAlignment="1" applyProtection="1">
      <alignment horizontal="center" vertical="center"/>
      <protection hidden="1"/>
    </xf>
    <xf numFmtId="177" fontId="35" fillId="6" borderId="101" xfId="0" applyNumberFormat="1" applyFont="1" applyFill="1" applyBorder="1" applyAlignment="1" applyProtection="1">
      <alignment horizontal="center" vertical="center"/>
      <protection hidden="1"/>
    </xf>
    <xf numFmtId="0" fontId="37" fillId="0" borderId="101" xfId="0" applyFont="1" applyBorder="1" applyAlignment="1" applyProtection="1">
      <alignment vertical="center"/>
      <protection hidden="1"/>
    </xf>
    <xf numFmtId="177" fontId="30" fillId="0" borderId="101" xfId="0" applyNumberFormat="1" applyFont="1" applyBorder="1" applyAlignment="1" applyProtection="1">
      <alignment horizontal="center" vertical="center"/>
      <protection locked="0" hidden="1"/>
    </xf>
    <xf numFmtId="177" fontId="30" fillId="0" borderId="102" xfId="0" applyNumberFormat="1" applyFont="1" applyBorder="1" applyAlignment="1" applyProtection="1">
      <alignment horizontal="center" vertical="center"/>
      <protection locked="0" hidden="1"/>
    </xf>
    <xf numFmtId="177" fontId="35" fillId="6" borderId="104" xfId="0" applyNumberFormat="1" applyFont="1" applyFill="1" applyBorder="1" applyAlignment="1" applyProtection="1">
      <alignment horizontal="center" vertical="center"/>
      <protection hidden="1"/>
    </xf>
    <xf numFmtId="0" fontId="41" fillId="17" borderId="35" xfId="0" applyFont="1" applyFill="1" applyBorder="1" applyAlignment="1" applyProtection="1">
      <alignment horizontal="center" vertical="center"/>
      <protection hidden="1"/>
    </xf>
    <xf numFmtId="0" fontId="41" fillId="17" borderId="36" xfId="0" applyFont="1" applyFill="1" applyBorder="1" applyAlignment="1" applyProtection="1">
      <alignment horizontal="center" vertical="center"/>
      <protection hidden="1"/>
    </xf>
    <xf numFmtId="177" fontId="41" fillId="7" borderId="10" xfId="0" applyNumberFormat="1" applyFont="1" applyFill="1" applyBorder="1" applyAlignment="1" applyProtection="1">
      <alignment horizontal="center" vertical="center"/>
      <protection hidden="1"/>
    </xf>
    <xf numFmtId="177" fontId="41" fillId="7" borderId="11" xfId="0" applyNumberFormat="1" applyFont="1" applyFill="1" applyBorder="1" applyAlignment="1" applyProtection="1">
      <alignment horizontal="center" vertical="center"/>
      <protection hidden="1"/>
    </xf>
    <xf numFmtId="177" fontId="41" fillId="7" borderId="19" xfId="0" applyNumberFormat="1" applyFont="1" applyFill="1" applyBorder="1" applyAlignment="1" applyProtection="1">
      <alignment horizontal="center" vertical="center"/>
      <protection hidden="1"/>
    </xf>
    <xf numFmtId="0" fontId="41" fillId="17" borderId="13" xfId="0" applyFont="1" applyFill="1" applyBorder="1" applyAlignment="1" applyProtection="1">
      <alignment horizontal="center" vertical="center"/>
      <protection hidden="1"/>
    </xf>
    <xf numFmtId="0" fontId="41" fillId="17" borderId="20" xfId="0" applyFont="1" applyFill="1" applyBorder="1" applyAlignment="1" applyProtection="1">
      <alignment horizontal="center" vertical="center"/>
      <protection hidden="1"/>
    </xf>
    <xf numFmtId="177" fontId="41" fillId="7" borderId="13" xfId="0" applyNumberFormat="1" applyFont="1" applyFill="1" applyBorder="1" applyAlignment="1" applyProtection="1">
      <alignment horizontal="center" vertical="center"/>
      <protection hidden="1"/>
    </xf>
    <xf numFmtId="177" fontId="41" fillId="7" borderId="14" xfId="0" applyNumberFormat="1" applyFont="1" applyFill="1" applyBorder="1" applyAlignment="1" applyProtection="1">
      <alignment horizontal="center" vertical="center"/>
      <protection hidden="1"/>
    </xf>
    <xf numFmtId="177" fontId="41" fillId="7" borderId="20" xfId="0" applyNumberFormat="1" applyFont="1" applyFill="1" applyBorder="1" applyAlignment="1" applyProtection="1">
      <alignment horizontal="center" vertical="center"/>
      <protection hidden="1"/>
    </xf>
    <xf numFmtId="0" fontId="28" fillId="10" borderId="10" xfId="0" applyFont="1" applyFill="1" applyBorder="1" applyAlignment="1" applyProtection="1">
      <alignment horizontal="center" vertical="center"/>
      <protection hidden="1"/>
    </xf>
    <xf numFmtId="0" fontId="28" fillId="10" borderId="19" xfId="0" applyFont="1" applyFill="1" applyBorder="1" applyAlignment="1" applyProtection="1">
      <alignment horizontal="center" vertical="center"/>
      <protection hidden="1"/>
    </xf>
    <xf numFmtId="177" fontId="41" fillId="0" borderId="10" xfId="0" applyNumberFormat="1" applyFont="1" applyBorder="1" applyAlignment="1" applyProtection="1">
      <alignment horizontal="center" vertical="center"/>
      <protection locked="0"/>
    </xf>
    <xf numFmtId="177" fontId="41" fillId="0" borderId="11" xfId="0" applyNumberFormat="1" applyFont="1" applyBorder="1" applyAlignment="1" applyProtection="1">
      <alignment horizontal="center" vertical="center"/>
      <protection locked="0"/>
    </xf>
    <xf numFmtId="177" fontId="41" fillId="0" borderId="19" xfId="0" applyNumberFormat="1" applyFont="1" applyBorder="1" applyAlignment="1" applyProtection="1">
      <alignment horizontal="center" vertical="center"/>
      <protection locked="0"/>
    </xf>
    <xf numFmtId="0" fontId="28" fillId="10" borderId="13" xfId="0" applyFont="1" applyFill="1" applyBorder="1" applyAlignment="1" applyProtection="1">
      <alignment horizontal="center" vertical="center"/>
      <protection hidden="1"/>
    </xf>
    <xf numFmtId="0" fontId="28" fillId="10" borderId="20" xfId="0" applyFont="1" applyFill="1" applyBorder="1" applyAlignment="1" applyProtection="1">
      <alignment horizontal="center" vertical="center"/>
      <protection hidden="1"/>
    </xf>
    <xf numFmtId="177" fontId="41" fillId="0" borderId="13" xfId="0" applyNumberFormat="1" applyFont="1" applyBorder="1" applyAlignment="1" applyProtection="1">
      <alignment horizontal="center" vertical="center"/>
      <protection locked="0"/>
    </xf>
    <xf numFmtId="177" fontId="41" fillId="0" borderId="14" xfId="0" applyNumberFormat="1" applyFont="1" applyBorder="1" applyAlignment="1" applyProtection="1">
      <alignment horizontal="center" vertical="center"/>
      <protection locked="0"/>
    </xf>
    <xf numFmtId="177" fontId="41" fillId="0" borderId="20" xfId="0" applyNumberFormat="1" applyFont="1" applyBorder="1" applyAlignment="1" applyProtection="1">
      <alignment horizontal="center" vertical="center"/>
      <protection locked="0"/>
    </xf>
    <xf numFmtId="0" fontId="37" fillId="6" borderId="10" xfId="0" applyFont="1" applyFill="1" applyBorder="1" applyAlignment="1" applyProtection="1">
      <alignment horizontal="center" vertical="center"/>
      <protection hidden="1"/>
    </xf>
    <xf numFmtId="177" fontId="29" fillId="0" borderId="9" xfId="0" applyNumberFormat="1" applyFont="1" applyBorder="1" applyAlignment="1" applyProtection="1">
      <alignment horizontal="center" vertical="center"/>
      <protection hidden="1"/>
    </xf>
    <xf numFmtId="177" fontId="28" fillId="2" borderId="10" xfId="0" applyNumberFormat="1" applyFont="1" applyFill="1" applyBorder="1" applyAlignment="1" applyProtection="1">
      <alignment horizontal="center" vertical="center"/>
      <protection hidden="1"/>
    </xf>
    <xf numFmtId="177" fontId="28" fillId="2" borderId="19" xfId="0" applyNumberFormat="1" applyFont="1" applyFill="1" applyBorder="1" applyAlignment="1" applyProtection="1">
      <alignment horizontal="center" vertical="center"/>
      <protection hidden="1"/>
    </xf>
    <xf numFmtId="0" fontId="37" fillId="6" borderId="13" xfId="0" applyFont="1" applyFill="1" applyBorder="1" applyAlignment="1" applyProtection="1">
      <alignment horizontal="center" vertical="center"/>
      <protection hidden="1"/>
    </xf>
    <xf numFmtId="177" fontId="29" fillId="0" borderId="12" xfId="0" applyNumberFormat="1" applyFont="1" applyBorder="1" applyAlignment="1" applyProtection="1">
      <alignment horizontal="center" vertical="center"/>
      <protection hidden="1"/>
    </xf>
    <xf numFmtId="177" fontId="28" fillId="2" borderId="13" xfId="0" applyNumberFormat="1" applyFont="1" applyFill="1" applyBorder="1" applyAlignment="1" applyProtection="1">
      <alignment horizontal="center" vertical="center"/>
      <protection hidden="1"/>
    </xf>
    <xf numFmtId="177" fontId="28" fillId="2" borderId="20" xfId="0" applyNumberFormat="1" applyFont="1" applyFill="1" applyBorder="1" applyAlignment="1" applyProtection="1">
      <alignment horizontal="center" vertical="center"/>
      <protection hidden="1"/>
    </xf>
    <xf numFmtId="0" fontId="0" fillId="0" borderId="13" xfId="0" applyBorder="1" applyProtection="1">
      <protection hidden="1"/>
    </xf>
    <xf numFmtId="0" fontId="0" fillId="0" borderId="14" xfId="0" applyBorder="1" applyProtection="1">
      <protection hidden="1"/>
    </xf>
    <xf numFmtId="0" fontId="33" fillId="2" borderId="14" xfId="0" applyFont="1" applyFill="1" applyBorder="1" applyAlignment="1" applyProtection="1">
      <alignment vertical="center"/>
      <protection hidden="1"/>
    </xf>
    <xf numFmtId="0" fontId="38" fillId="2" borderId="10" xfId="0" applyFont="1" applyFill="1" applyBorder="1" applyAlignment="1" applyProtection="1">
      <alignment horizontal="center" vertical="center"/>
      <protection hidden="1"/>
    </xf>
    <xf numFmtId="0" fontId="38" fillId="2" borderId="11" xfId="0" applyFont="1" applyFill="1" applyBorder="1" applyAlignment="1" applyProtection="1">
      <alignment horizontal="center" vertical="center"/>
      <protection hidden="1"/>
    </xf>
    <xf numFmtId="0" fontId="38" fillId="2" borderId="19" xfId="0" applyFont="1" applyFill="1" applyBorder="1" applyAlignment="1" applyProtection="1">
      <alignment horizontal="center" vertical="center"/>
      <protection hidden="1"/>
    </xf>
    <xf numFmtId="0" fontId="38" fillId="2" borderId="13" xfId="0" applyFont="1" applyFill="1" applyBorder="1" applyAlignment="1" applyProtection="1">
      <alignment horizontal="center" vertical="center"/>
      <protection hidden="1"/>
    </xf>
    <xf numFmtId="0" fontId="38" fillId="2" borderId="14" xfId="0" applyFont="1" applyFill="1" applyBorder="1" applyAlignment="1" applyProtection="1">
      <alignment horizontal="center" vertical="center"/>
      <protection hidden="1"/>
    </xf>
    <xf numFmtId="0" fontId="38" fillId="2" borderId="20" xfId="0" applyFont="1" applyFill="1" applyBorder="1" applyAlignment="1" applyProtection="1">
      <alignment horizontal="center" vertical="center"/>
      <protection hidden="1"/>
    </xf>
    <xf numFmtId="0" fontId="20" fillId="6" borderId="105" xfId="0" applyFont="1" applyFill="1" applyBorder="1" applyAlignment="1" applyProtection="1">
      <alignment horizontal="center" vertical="center"/>
      <protection hidden="1"/>
    </xf>
    <xf numFmtId="0" fontId="20" fillId="6" borderId="106" xfId="0" applyFont="1" applyFill="1" applyBorder="1" applyAlignment="1" applyProtection="1">
      <alignment horizontal="center" vertical="center"/>
      <protection hidden="1"/>
    </xf>
    <xf numFmtId="0" fontId="20" fillId="5" borderId="105" xfId="0" applyFont="1" applyFill="1" applyBorder="1" applyAlignment="1" applyProtection="1">
      <alignment horizontal="center" vertical="center"/>
      <protection hidden="1"/>
    </xf>
    <xf numFmtId="0" fontId="20" fillId="5" borderId="106" xfId="0" applyFont="1" applyFill="1" applyBorder="1" applyAlignment="1" applyProtection="1">
      <alignment horizontal="center" vertical="center"/>
      <protection hidden="1"/>
    </xf>
    <xf numFmtId="0" fontId="0" fillId="0" borderId="107" xfId="0" applyBorder="1" applyProtection="1">
      <protection hidden="1"/>
    </xf>
    <xf numFmtId="0" fontId="2" fillId="0" borderId="95" xfId="0" applyFont="1" applyBorder="1" applyAlignment="1" applyProtection="1">
      <alignment horizontal="center" vertical="center"/>
      <protection hidden="1"/>
    </xf>
    <xf numFmtId="177" fontId="2" fillId="0" borderId="95" xfId="0" applyNumberFormat="1" applyFont="1" applyBorder="1" applyAlignment="1" applyProtection="1">
      <alignment horizontal="center" vertical="center"/>
      <protection locked="0" hidden="1"/>
    </xf>
    <xf numFmtId="177" fontId="2" fillId="0" borderId="102" xfId="0" applyNumberFormat="1" applyFont="1" applyBorder="1" applyAlignment="1" applyProtection="1">
      <alignment horizontal="center" vertical="center"/>
      <protection locked="0" hidden="1"/>
    </xf>
    <xf numFmtId="0" fontId="42" fillId="6" borderId="89" xfId="0" applyFont="1" applyFill="1" applyBorder="1" applyAlignment="1" applyProtection="1">
      <alignment horizontal="center" vertical="center"/>
      <protection hidden="1"/>
    </xf>
    <xf numFmtId="177" fontId="36" fillId="2" borderId="90" xfId="0" applyNumberFormat="1" applyFont="1" applyFill="1" applyBorder="1" applyAlignment="1" applyProtection="1">
      <alignment horizontal="center" vertical="center"/>
      <protection hidden="1"/>
    </xf>
    <xf numFmtId="177" fontId="36" fillId="2" borderId="91" xfId="0" applyNumberFormat="1" applyFont="1" applyFill="1" applyBorder="1" applyAlignment="1" applyProtection="1">
      <alignment horizontal="center" vertical="center"/>
      <protection hidden="1"/>
    </xf>
    <xf numFmtId="0" fontId="43" fillId="2" borderId="100" xfId="0" applyFont="1" applyFill="1" applyBorder="1" applyAlignment="1" applyProtection="1">
      <alignment horizontal="center" vertical="center"/>
      <protection hidden="1"/>
    </xf>
    <xf numFmtId="177" fontId="37" fillId="6" borderId="101" xfId="0" applyNumberFormat="1" applyFont="1" applyFill="1" applyBorder="1" applyAlignment="1" applyProtection="1">
      <alignment horizontal="center" vertical="center"/>
      <protection hidden="1"/>
    </xf>
    <xf numFmtId="177" fontId="37" fillId="6" borderId="102" xfId="0" applyNumberFormat="1" applyFont="1" applyFill="1" applyBorder="1" applyAlignment="1" applyProtection="1">
      <alignment horizontal="center" vertical="center"/>
      <protection hidden="1"/>
    </xf>
    <xf numFmtId="0" fontId="30" fillId="0" borderId="0" xfId="0" applyFont="1" applyAlignment="1" applyProtection="1">
      <alignment horizontal="center" vertical="center"/>
      <protection hidden="1"/>
    </xf>
    <xf numFmtId="0" fontId="3" fillId="33" borderId="51" xfId="0" applyFont="1" applyFill="1" applyBorder="1" applyAlignment="1" applyProtection="1">
      <alignment horizontal="center" vertical="center"/>
      <protection hidden="1"/>
    </xf>
    <xf numFmtId="0" fontId="3" fillId="33" borderId="7" xfId="0" applyFont="1" applyFill="1" applyBorder="1" applyAlignment="1" applyProtection="1">
      <alignment horizontal="center" vertical="center"/>
      <protection hidden="1"/>
    </xf>
    <xf numFmtId="0" fontId="3" fillId="10" borderId="7" xfId="0" applyFont="1" applyFill="1" applyBorder="1" applyAlignment="1" applyProtection="1">
      <alignment horizontal="center" vertical="center"/>
      <protection hidden="1"/>
    </xf>
    <xf numFmtId="0" fontId="3" fillId="10" borderId="63" xfId="0" applyFont="1" applyFill="1" applyBorder="1" applyAlignment="1" applyProtection="1">
      <alignment horizontal="center" vertical="center"/>
      <protection hidden="1"/>
    </xf>
    <xf numFmtId="0" fontId="29" fillId="32" borderId="51" xfId="0" applyFont="1" applyFill="1" applyBorder="1" applyAlignment="1" applyProtection="1">
      <alignment horizontal="center" vertical="center"/>
      <protection locked="0" hidden="1"/>
    </xf>
    <xf numFmtId="0" fontId="29" fillId="32" borderId="7" xfId="0" applyFont="1" applyFill="1" applyBorder="1" applyAlignment="1" applyProtection="1">
      <alignment horizontal="center" vertical="center"/>
      <protection locked="0" hidden="1"/>
    </xf>
    <xf numFmtId="177" fontId="29" fillId="32" borderId="7" xfId="0" applyNumberFormat="1" applyFont="1" applyFill="1" applyBorder="1" applyAlignment="1" applyProtection="1">
      <alignment horizontal="center" vertical="center"/>
      <protection locked="0" hidden="1"/>
    </xf>
    <xf numFmtId="177" fontId="29" fillId="32" borderId="63" xfId="0" applyNumberFormat="1" applyFont="1" applyFill="1" applyBorder="1" applyAlignment="1" applyProtection="1">
      <alignment horizontal="center" vertical="center"/>
      <protection locked="0" hidden="1"/>
    </xf>
    <xf numFmtId="0" fontId="29" fillId="7" borderId="51" xfId="0" applyFont="1" applyFill="1" applyBorder="1" applyAlignment="1" applyProtection="1">
      <alignment horizontal="center" vertical="center"/>
      <protection locked="0" hidden="1"/>
    </xf>
    <xf numFmtId="0" fontId="29" fillId="7" borderId="7" xfId="0" applyFont="1" applyFill="1" applyBorder="1" applyAlignment="1" applyProtection="1">
      <alignment horizontal="center" vertical="center"/>
      <protection locked="0" hidden="1"/>
    </xf>
    <xf numFmtId="177" fontId="29" fillId="7" borderId="7" xfId="0" applyNumberFormat="1" applyFont="1" applyFill="1" applyBorder="1" applyAlignment="1" applyProtection="1">
      <alignment horizontal="center" vertical="center"/>
      <protection locked="0" hidden="1"/>
    </xf>
    <xf numFmtId="177" fontId="29" fillId="7" borderId="63" xfId="0" applyNumberFormat="1" applyFont="1" applyFill="1" applyBorder="1" applyAlignment="1" applyProtection="1">
      <alignment horizontal="center" vertical="center"/>
      <protection locked="0" hidden="1"/>
    </xf>
    <xf numFmtId="0" fontId="44" fillId="0" borderId="51" xfId="0" applyFont="1" applyBorder="1" applyAlignment="1" applyProtection="1">
      <alignment horizontal="center" vertical="center"/>
      <protection locked="0" hidden="1"/>
    </xf>
    <xf numFmtId="0" fontId="44" fillId="0" borderId="7" xfId="0" applyFont="1" applyBorder="1" applyAlignment="1" applyProtection="1">
      <alignment horizontal="center" vertical="center"/>
      <protection locked="0" hidden="1"/>
    </xf>
    <xf numFmtId="177" fontId="29" fillId="0" borderId="7" xfId="0" applyNumberFormat="1" applyFont="1" applyBorder="1" applyAlignment="1" applyProtection="1">
      <alignment horizontal="center" vertical="center"/>
      <protection locked="0" hidden="1"/>
    </xf>
    <xf numFmtId="177" fontId="29" fillId="0" borderId="63" xfId="0" applyNumberFormat="1" applyFont="1" applyBorder="1" applyAlignment="1" applyProtection="1">
      <alignment horizontal="center" vertical="center"/>
      <protection locked="0" hidden="1"/>
    </xf>
    <xf numFmtId="0" fontId="44" fillId="7" borderId="44" xfId="0" applyFont="1" applyFill="1" applyBorder="1" applyAlignment="1" applyProtection="1">
      <alignment horizontal="center" vertical="center"/>
      <protection locked="0" hidden="1"/>
    </xf>
    <xf numFmtId="0" fontId="44" fillId="7" borderId="56" xfId="0" applyFont="1" applyFill="1" applyBorder="1" applyAlignment="1" applyProtection="1">
      <alignment horizontal="center" vertical="center"/>
      <protection locked="0" hidden="1"/>
    </xf>
    <xf numFmtId="177" fontId="29" fillId="7" borderId="56" xfId="0" applyNumberFormat="1" applyFont="1" applyFill="1" applyBorder="1" applyAlignment="1" applyProtection="1">
      <alignment horizontal="center" vertical="center"/>
      <protection locked="0" hidden="1"/>
    </xf>
    <xf numFmtId="177" fontId="29" fillId="7" borderId="57" xfId="0" applyNumberFormat="1" applyFont="1" applyFill="1" applyBorder="1" applyAlignment="1" applyProtection="1">
      <alignment horizontal="center" vertical="center"/>
      <protection locked="0" hidden="1"/>
    </xf>
    <xf numFmtId="0" fontId="28" fillId="2" borderId="43" xfId="0" applyFont="1" applyFill="1" applyBorder="1" applyAlignment="1" applyProtection="1">
      <alignment horizontal="center" vertical="center"/>
      <protection hidden="1"/>
    </xf>
    <xf numFmtId="0" fontId="28" fillId="2" borderId="54" xfId="0" applyFont="1" applyFill="1" applyBorder="1" applyAlignment="1" applyProtection="1">
      <alignment horizontal="center" vertical="center"/>
      <protection hidden="1"/>
    </xf>
    <xf numFmtId="0" fontId="28" fillId="2" borderId="55" xfId="0" applyFont="1" applyFill="1" applyBorder="1" applyAlignment="1" applyProtection="1">
      <alignment horizontal="center" vertical="center"/>
      <protection hidden="1"/>
    </xf>
    <xf numFmtId="0" fontId="28" fillId="2" borderId="51" xfId="0" applyFont="1" applyFill="1" applyBorder="1" applyAlignment="1" applyProtection="1">
      <alignment horizontal="center" vertical="center"/>
      <protection hidden="1"/>
    </xf>
    <xf numFmtId="0" fontId="28" fillId="2" borderId="7" xfId="0" applyFont="1" applyFill="1" applyBorder="1" applyAlignment="1" applyProtection="1">
      <alignment horizontal="center" vertical="center"/>
      <protection hidden="1"/>
    </xf>
    <xf numFmtId="0" fontId="28" fillId="2" borderId="63" xfId="0" applyFont="1" applyFill="1" applyBorder="1" applyAlignment="1" applyProtection="1">
      <alignment horizontal="center" vertical="center"/>
      <protection hidden="1"/>
    </xf>
    <xf numFmtId="0" fontId="29" fillId="32" borderId="63" xfId="0" applyFont="1" applyFill="1" applyBorder="1" applyAlignment="1" applyProtection="1">
      <alignment horizontal="center" vertical="center"/>
      <protection locked="0" hidden="1"/>
    </xf>
    <xf numFmtId="0" fontId="29" fillId="7" borderId="63" xfId="0" applyFont="1" applyFill="1" applyBorder="1" applyAlignment="1" applyProtection="1">
      <alignment horizontal="center" vertical="center"/>
      <protection locked="0" hidden="1"/>
    </xf>
    <xf numFmtId="0" fontId="29" fillId="0" borderId="51" xfId="0" applyFont="1" applyBorder="1" applyAlignment="1" applyProtection="1">
      <alignment horizontal="center" vertical="center"/>
      <protection locked="0" hidden="1"/>
    </xf>
    <xf numFmtId="0" fontId="29" fillId="0" borderId="7" xfId="0" applyFont="1" applyBorder="1" applyAlignment="1" applyProtection="1">
      <alignment horizontal="center" vertical="center"/>
      <protection locked="0" hidden="1"/>
    </xf>
    <xf numFmtId="0" fontId="29" fillId="0" borderId="63" xfId="0" applyFont="1" applyBorder="1" applyAlignment="1" applyProtection="1">
      <alignment horizontal="center" vertical="center"/>
      <protection locked="0" hidden="1"/>
    </xf>
    <xf numFmtId="0" fontId="44" fillId="7" borderId="7" xfId="0" applyFont="1" applyFill="1" applyBorder="1" applyAlignment="1" applyProtection="1">
      <alignment horizontal="center" vertical="center"/>
      <protection locked="0" hidden="1"/>
    </xf>
    <xf numFmtId="0" fontId="29" fillId="7" borderId="44" xfId="0" applyFont="1" applyFill="1" applyBorder="1" applyAlignment="1" applyProtection="1">
      <alignment horizontal="center" vertical="center"/>
      <protection locked="0" hidden="1"/>
    </xf>
    <xf numFmtId="0" fontId="29" fillId="7" borderId="56" xfId="0" applyFont="1" applyFill="1" applyBorder="1" applyAlignment="1" applyProtection="1">
      <alignment horizontal="center" vertical="center"/>
      <protection locked="0" hidden="1"/>
    </xf>
    <xf numFmtId="0" fontId="29" fillId="7" borderId="57" xfId="0" applyFont="1" applyFill="1" applyBorder="1" applyAlignment="1" applyProtection="1">
      <alignment horizontal="center" vertical="center"/>
      <protection locked="0" hidden="1"/>
    </xf>
    <xf numFmtId="0" fontId="0" fillId="2" borderId="12" xfId="0" applyFill="1" applyBorder="1" applyAlignment="1" applyProtection="1">
      <alignment horizontal="center"/>
      <protection hidden="1"/>
    </xf>
    <xf numFmtId="0" fontId="2" fillId="0" borderId="108" xfId="0" applyFont="1" applyBorder="1" applyAlignment="1" applyProtection="1">
      <alignment horizontal="center" vertical="center"/>
      <protection locked="0" hidden="1"/>
    </xf>
    <xf numFmtId="0" fontId="42" fillId="6" borderId="48" xfId="0" applyFont="1" applyFill="1" applyBorder="1" applyAlignment="1" applyProtection="1">
      <alignment horizontal="center" vertical="center"/>
      <protection hidden="1"/>
    </xf>
    <xf numFmtId="0" fontId="43" fillId="2" borderId="48" xfId="0" applyFont="1" applyFill="1" applyBorder="1" applyAlignment="1" applyProtection="1">
      <alignment horizontal="center" vertical="center"/>
      <protection hidden="1"/>
    </xf>
    <xf numFmtId="177" fontId="41" fillId="0" borderId="10" xfId="0" applyNumberFormat="1" applyFont="1" applyBorder="1" applyAlignment="1" applyProtection="1">
      <alignment horizontal="center" vertical="center"/>
      <protection locked="0" hidden="1"/>
    </xf>
    <xf numFmtId="177" fontId="41" fillId="0" borderId="11" xfId="0" applyNumberFormat="1" applyFont="1" applyBorder="1" applyAlignment="1" applyProtection="1">
      <alignment horizontal="center" vertical="center"/>
      <protection locked="0" hidden="1"/>
    </xf>
    <xf numFmtId="177" fontId="41" fillId="0" borderId="19" xfId="0" applyNumberFormat="1" applyFont="1" applyBorder="1" applyAlignment="1" applyProtection="1">
      <alignment horizontal="center" vertical="center"/>
      <protection locked="0" hidden="1"/>
    </xf>
    <xf numFmtId="177" fontId="41" fillId="0" borderId="13" xfId="0" applyNumberFormat="1" applyFont="1" applyBorder="1" applyAlignment="1" applyProtection="1">
      <alignment horizontal="center" vertical="center"/>
      <protection locked="0" hidden="1"/>
    </xf>
    <xf numFmtId="177" fontId="41" fillId="0" borderId="14" xfId="0" applyNumberFormat="1" applyFont="1" applyBorder="1" applyAlignment="1" applyProtection="1">
      <alignment horizontal="center" vertical="center"/>
      <protection locked="0" hidden="1"/>
    </xf>
    <xf numFmtId="177" fontId="41" fillId="0" borderId="20" xfId="0" applyNumberFormat="1" applyFont="1" applyBorder="1" applyAlignment="1" applyProtection="1">
      <alignment horizontal="center" vertical="center"/>
      <protection locked="0" hidden="1"/>
    </xf>
    <xf numFmtId="0" fontId="33" fillId="2" borderId="20" xfId="0" applyFont="1" applyFill="1" applyBorder="1" applyAlignment="1" applyProtection="1">
      <alignment horizontal="center" vertical="center"/>
      <protection hidden="1"/>
    </xf>
    <xf numFmtId="0" fontId="0" fillId="0" borderId="36" xfId="0" applyBorder="1" applyProtection="1">
      <protection hidden="1"/>
    </xf>
    <xf numFmtId="177" fontId="36" fillId="2" borderId="109" xfId="0" applyNumberFormat="1" applyFont="1" applyFill="1" applyBorder="1" applyAlignment="1" applyProtection="1">
      <alignment horizontal="center" vertical="center"/>
      <protection hidden="1"/>
    </xf>
    <xf numFmtId="177" fontId="37" fillId="6" borderId="110" xfId="0" applyNumberFormat="1" applyFont="1" applyFill="1" applyBorder="1" applyAlignment="1" applyProtection="1">
      <alignment horizontal="center" vertical="center"/>
      <protection hidden="1"/>
    </xf>
    <xf numFmtId="0" fontId="0" fillId="0" borderId="20" xfId="0" applyBorder="1" applyProtection="1">
      <protection hidden="1"/>
    </xf>
    <xf numFmtId="0" fontId="2" fillId="0" borderId="111" xfId="0" applyFont="1" applyBorder="1" applyAlignment="1" applyProtection="1">
      <alignment horizontal="center" vertical="center"/>
      <protection hidden="1"/>
    </xf>
    <xf numFmtId="0" fontId="2" fillId="0" borderId="11" xfId="0" applyFont="1" applyBorder="1" applyAlignment="1" applyProtection="1">
      <alignment horizontal="center" vertical="center"/>
      <protection hidden="1"/>
    </xf>
    <xf numFmtId="0" fontId="43" fillId="2" borderId="110" xfId="0" applyFont="1" applyFill="1" applyBorder="1" applyAlignment="1" applyProtection="1">
      <alignment horizontal="center" vertical="center"/>
      <protection hidden="1"/>
    </xf>
    <xf numFmtId="0" fontId="43" fillId="2" borderId="112" xfId="0" applyFont="1" applyFill="1" applyBorder="1" applyAlignment="1" applyProtection="1">
      <alignment horizontal="center" vertical="center"/>
      <protection hidden="1"/>
    </xf>
    <xf numFmtId="177" fontId="45" fillId="40" borderId="0" xfId="0" applyNumberFormat="1" applyFont="1" applyFill="1" applyAlignment="1" applyProtection="1">
      <alignment horizontal="center" vertical="center"/>
      <protection locked="0"/>
    </xf>
    <xf numFmtId="177" fontId="45" fillId="41" borderId="0" xfId="0" applyNumberFormat="1" applyFont="1" applyFill="1" applyAlignment="1" applyProtection="1">
      <alignment horizontal="center" vertical="center"/>
      <protection locked="0"/>
    </xf>
    <xf numFmtId="177" fontId="46" fillId="42" borderId="0" xfId="0" applyNumberFormat="1" applyFont="1" applyFill="1" applyAlignment="1" applyProtection="1">
      <alignment horizontal="center" vertical="center"/>
      <protection locked="0"/>
    </xf>
    <xf numFmtId="177" fontId="45" fillId="43" borderId="0" xfId="0" applyNumberFormat="1" applyFont="1" applyFill="1" applyAlignment="1" applyProtection="1">
      <alignment horizontal="center" vertical="center"/>
      <protection locked="0"/>
    </xf>
    <xf numFmtId="177" fontId="45" fillId="16" borderId="0" xfId="0" applyNumberFormat="1" applyFont="1" applyFill="1" applyAlignment="1" applyProtection="1">
      <alignment horizontal="center" vertical="center"/>
      <protection locked="0"/>
    </xf>
    <xf numFmtId="0" fontId="22" fillId="10" borderId="10" xfId="0" applyFont="1" applyFill="1" applyBorder="1" applyAlignment="1" applyProtection="1">
      <alignment horizontal="center" vertical="center"/>
      <protection hidden="1"/>
    </xf>
    <xf numFmtId="0" fontId="22" fillId="10" borderId="11" xfId="0" applyFont="1" applyFill="1" applyBorder="1" applyAlignment="1" applyProtection="1">
      <alignment horizontal="center" vertical="center"/>
      <protection hidden="1"/>
    </xf>
    <xf numFmtId="0" fontId="22" fillId="10" borderId="19" xfId="0" applyFont="1" applyFill="1" applyBorder="1" applyAlignment="1" applyProtection="1">
      <alignment horizontal="center" vertical="center"/>
      <protection hidden="1"/>
    </xf>
    <xf numFmtId="177" fontId="37" fillId="6" borderId="10" xfId="0" applyNumberFormat="1" applyFont="1" applyFill="1" applyBorder="1" applyAlignment="1" applyProtection="1">
      <alignment horizontal="center" vertical="center"/>
      <protection locked="0"/>
    </xf>
    <xf numFmtId="177" fontId="37" fillId="6" borderId="11" xfId="0" applyNumberFormat="1" applyFont="1" applyFill="1" applyBorder="1" applyAlignment="1" applyProtection="1">
      <alignment horizontal="center" vertical="center"/>
      <protection locked="0"/>
    </xf>
    <xf numFmtId="0" fontId="22" fillId="10" borderId="13" xfId="0" applyFont="1" applyFill="1" applyBorder="1" applyAlignment="1" applyProtection="1">
      <alignment horizontal="center" vertical="center"/>
      <protection hidden="1"/>
    </xf>
    <xf numFmtId="0" fontId="22" fillId="10" borderId="14" xfId="0" applyFont="1" applyFill="1" applyBorder="1" applyAlignment="1" applyProtection="1">
      <alignment horizontal="center" vertical="center"/>
      <protection hidden="1"/>
    </xf>
    <xf numFmtId="0" fontId="22" fillId="10" borderId="20" xfId="0" applyFont="1" applyFill="1" applyBorder="1" applyAlignment="1" applyProtection="1">
      <alignment horizontal="center" vertical="center"/>
      <protection hidden="1"/>
    </xf>
    <xf numFmtId="177" fontId="37" fillId="6" borderId="13" xfId="0" applyNumberFormat="1" applyFont="1" applyFill="1" applyBorder="1" applyAlignment="1" applyProtection="1">
      <alignment horizontal="center" vertical="center"/>
      <protection locked="0"/>
    </xf>
    <xf numFmtId="177" fontId="37" fillId="6" borderId="14" xfId="0" applyNumberFormat="1" applyFont="1" applyFill="1" applyBorder="1" applyAlignment="1" applyProtection="1">
      <alignment horizontal="center" vertical="center"/>
      <protection locked="0"/>
    </xf>
    <xf numFmtId="0" fontId="2" fillId="6" borderId="51" xfId="0" applyFont="1" applyFill="1" applyBorder="1" applyAlignment="1" applyProtection="1">
      <alignment horizontal="center" vertical="center"/>
      <protection hidden="1"/>
    </xf>
    <xf numFmtId="0" fontId="20" fillId="7" borderId="51" xfId="0" applyFont="1" applyFill="1" applyBorder="1" applyAlignment="1" applyProtection="1">
      <alignment horizontal="center" vertical="center"/>
      <protection hidden="1"/>
    </xf>
    <xf numFmtId="181" fontId="20" fillId="0" borderId="7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 vertical="center"/>
      <protection locked="0"/>
    </xf>
    <xf numFmtId="0" fontId="20" fillId="7" borderId="44" xfId="0" applyFont="1" applyFill="1" applyBorder="1" applyAlignment="1" applyProtection="1">
      <alignment horizontal="center" vertical="center"/>
      <protection hidden="1"/>
    </xf>
    <xf numFmtId="181" fontId="20" fillId="0" borderId="56" xfId="0" applyNumberFormat="1" applyFont="1" applyBorder="1" applyAlignment="1" applyProtection="1">
      <alignment horizontal="center" vertical="center"/>
      <protection locked="0"/>
    </xf>
    <xf numFmtId="0" fontId="20" fillId="0" borderId="56" xfId="0" applyFont="1" applyBorder="1" applyAlignment="1" applyProtection="1">
      <alignment horizontal="center" vertical="center"/>
      <protection locked="0"/>
    </xf>
    <xf numFmtId="0" fontId="29" fillId="0" borderId="3" xfId="0" applyFont="1" applyBorder="1" applyProtection="1">
      <protection hidden="1"/>
    </xf>
    <xf numFmtId="58" fontId="29" fillId="0" borderId="4" xfId="0" applyNumberFormat="1" applyFont="1" applyBorder="1" applyAlignment="1" applyProtection="1">
      <alignment horizontal="center"/>
      <protection hidden="1"/>
    </xf>
    <xf numFmtId="58" fontId="2" fillId="0" borderId="0" xfId="0" applyNumberFormat="1" applyFont="1" applyAlignment="1" applyProtection="1">
      <alignment horizontal="center"/>
      <protection hidden="1"/>
    </xf>
    <xf numFmtId="177" fontId="37" fillId="6" borderId="19" xfId="0" applyNumberFormat="1" applyFont="1" applyFill="1" applyBorder="1" applyAlignment="1" applyProtection="1">
      <alignment horizontal="center" vertical="center"/>
      <protection locked="0"/>
    </xf>
    <xf numFmtId="177" fontId="37" fillId="6" borderId="20" xfId="0" applyNumberFormat="1" applyFont="1" applyFill="1" applyBorder="1" applyAlignment="1" applyProtection="1">
      <alignment horizontal="center" vertical="center"/>
      <protection locked="0"/>
    </xf>
    <xf numFmtId="0" fontId="2" fillId="6" borderId="63" xfId="0" applyFont="1" applyFill="1" applyBorder="1" applyAlignment="1" applyProtection="1">
      <alignment horizontal="center" vertical="center"/>
      <protection hidden="1"/>
    </xf>
    <xf numFmtId="0" fontId="20" fillId="0" borderId="63" xfId="0" applyFont="1" applyBorder="1" applyAlignment="1" applyProtection="1">
      <alignment horizontal="center" vertical="center"/>
      <protection locked="0"/>
    </xf>
    <xf numFmtId="0" fontId="20" fillId="0" borderId="57" xfId="0" applyFont="1" applyBorder="1" applyAlignment="1" applyProtection="1">
      <alignment horizontal="center" vertical="center"/>
      <protection locked="0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dxfs count="1601"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  <i val="0"/>
        <strike val="0"/>
        <color theme="0"/>
      </font>
      <numFmt numFmtId="0" formatCode="General"/>
      <fill>
        <patternFill patternType="solid">
          <bgColor rgb="FFFF0000"/>
        </patternFill>
      </fill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0" formatCode="General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name val="Trebuchet MS"/>
        <scheme val="none"/>
        <b val="1"/>
        <strike val="0"/>
        <u val="none"/>
        <sz val="1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rgb="FF0070C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1" tint="0.899990844447157"/>
      </font>
      <numFmt numFmtId="177" formatCode="_-&quot;Rp&quot;* #,##0.00_-;\-&quot;Rp&quot;* #,##0.00_-;_-&quot;Rp&quot;* &quot;-&quot;??_-;_-@_-"/>
      <fill>
        <patternFill patternType="solid">
          <bgColor theme="4" tint="0.39997558519241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b val="1"/>
      </font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1"/>
    </dxf>
    <dxf>
      <font>
        <b val="1"/>
      </font>
      <fill>
        <patternFill patternType="solid">
          <bgColor theme="4" tint="0.799981688894314"/>
        </patternFill>
      </fill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2"/>
      </font>
      <numFmt numFmtId="177" formatCode="_-&quot;Rp&quot;* #,##0.00_-;\-&quot;Rp&quot;* #,##0.00_-;_-&quot;Rp&quot;* &quot;-&quot;??_-;_-@_-"/>
      <fill>
        <patternFill patternType="solid">
          <bgColor rgb="FF197AC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hidden="1"/>
    </dxf>
    <dxf>
      <font>
        <b val="1"/>
        <sz val="12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2"/>
      </font>
      <numFmt numFmtId="177" formatCode="_-&quot;Rp&quot;* #,##0.00_-;\-&quot;Rp&quot;* #,##0.00_-;_-&quot;Rp&quot;* &quot;-&quot;??_-;_-@_-"/>
      <fill>
        <patternFill patternType="solid">
          <bgColor rgb="FF197AC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hidden="1"/>
    </dxf>
    <dxf>
      <font>
        <b val="1"/>
        <sz val="12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2"/>
      </font>
      <numFmt numFmtId="177" formatCode="_-&quot;Rp&quot;* #,##0.00_-;\-&quot;Rp&quot;* #,##0.00_-;_-&quot;Rp&quot;* &quot;-&quot;??_-;_-@_-"/>
      <fill>
        <patternFill patternType="solid">
          <bgColor rgb="FF197AC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hidden="1"/>
    </dxf>
    <dxf>
      <font>
        <b val="1"/>
        <sz val="12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2"/>
        <color theme="2"/>
      </font>
      <numFmt numFmtId="177" formatCode="_-&quot;Rp&quot;* #,##0.00_-;\-&quot;Rp&quot;* #,##0.00_-;_-&quot;Rp&quot;* &quot;-&quot;??_-;_-@_-"/>
      <fill>
        <patternFill patternType="solid">
          <bgColor rgb="FF133F7B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/>
      </border>
      <protection hidden="1"/>
    </dxf>
    <dxf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hidden="1"/>
    </dxf>
    <dxf>
      <font>
        <b val="1"/>
        <sz val="12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2"/>
        <color theme="2"/>
      </font>
      <numFmt numFmtId="177" formatCode="_-&quot;Rp&quot;* #,##0.00_-;\-&quot;Rp&quot;* #,##0.00_-;_-&quot;Rp&quot;* &quot;-&quot;??_-;_-@_-"/>
      <fill>
        <patternFill patternType="solid">
          <bgColor rgb="FF133F7B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/>
      </border>
      <protection hidden="1"/>
    </dxf>
    <dxf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hidden="1"/>
    </dxf>
    <dxf>
      <font>
        <b val="1"/>
        <sz val="12"/>
      </font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font>
        <name val="Trebuchet MS"/>
        <scheme val="none"/>
        <b val="1"/>
        <strike val="0"/>
        <u val="none"/>
        <sz val="11"/>
        <color theme="2"/>
      </font>
      <numFmt numFmtId="177" formatCode="_-&quot;Rp&quot;* #,##0.00_-;\-&quot;Rp&quot;* #,##0.00_-;_-&quot;Rp&quot;* &quot;-&quot;??_-;_-@_-"/>
      <fill>
        <patternFill patternType="solid">
          <bgColor rgb="FF197AC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numFmt numFmtId="177" formatCode="_-&quot;Rp&quot;* #,##0.00_-;\-&quot;Rp&quot;* #,##0.00_-;_-&quot;Rp&quot;* &quot;-&quot;??_-;_-@_-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hidden="1"/>
    </dxf>
    <dxf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  <protection hidden="1"/>
    </dxf>
    <dxf>
      <font>
        <b val="1"/>
        <i val="0"/>
        <strike val="0"/>
      </font>
      <fill>
        <patternFill patternType="solid">
          <bgColor rgb="FF92D050"/>
        </patternFill>
      </fill>
    </dxf>
    <dxf>
      <font>
        <b val="1"/>
        <i val="0"/>
        <color theme="0"/>
      </font>
      <fill>
        <patternFill patternType="solid">
          <bgColor rgb="FFFF0000"/>
        </patternFill>
      </fill>
    </dxf>
    <dxf>
      <fill>
        <patternFill patternType="solid">
          <bgColor theme="9" tint="0.799981688894314"/>
        </patternFill>
      </fill>
    </dxf>
    <dxf>
      <font>
        <b val="1"/>
        <i val="0"/>
        <strike val="0"/>
        <color theme="0"/>
      </font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00123F7B"/>
      <color rgb="001878CB"/>
      <color rgb="00C6DEF5"/>
      <color rgb="00D1CECE"/>
      <color rgb="00197ACF"/>
      <color rgb="00D0CECE"/>
      <color rgb="00FF6699"/>
      <color rgb="00E7E2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customXml" Target="../customXml/item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hyperlink" Target="#'HARI 1'!F139"/><Relationship Id="rId8" Type="http://schemas.openxmlformats.org/officeDocument/2006/relationships/hyperlink" Target="#'HARI 1'!F82"/><Relationship Id="rId7" Type="http://schemas.openxmlformats.org/officeDocument/2006/relationships/hyperlink" Target="#'HARI 1'!F25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1'!S1"/><Relationship Id="rId35" Type="http://schemas.openxmlformats.org/officeDocument/2006/relationships/hyperlink" Target="#'HARI 1'!F1"/><Relationship Id="rId34" Type="http://schemas.openxmlformats.org/officeDocument/2006/relationships/hyperlink" Target="#'HARI 1'!Q415"/><Relationship Id="rId33" Type="http://schemas.openxmlformats.org/officeDocument/2006/relationships/hyperlink" Target="#'HARI 1'!Q402"/><Relationship Id="rId32" Type="http://schemas.openxmlformats.org/officeDocument/2006/relationships/hyperlink" Target="#'HARI 1'!X411"/><Relationship Id="rId31" Type="http://schemas.openxmlformats.org/officeDocument/2006/relationships/hyperlink" Target="#'HARI 1'!X399"/><Relationship Id="rId30" Type="http://schemas.openxmlformats.org/officeDocument/2006/relationships/hyperlink" Target="#'HARI 1'!X387"/><Relationship Id="rId3" Type="http://schemas.openxmlformats.org/officeDocument/2006/relationships/image" Target="../media/image9.png"/><Relationship Id="rId29" Type="http://schemas.openxmlformats.org/officeDocument/2006/relationships/hyperlink" Target="#'HARI 1'!Q426"/><Relationship Id="rId28" Type="http://schemas.openxmlformats.org/officeDocument/2006/relationships/hyperlink" Target="#'HARI 1'!W410"/><Relationship Id="rId27" Type="http://schemas.openxmlformats.org/officeDocument/2006/relationships/hyperlink" Target="#'HARI 1'!R347"/><Relationship Id="rId26" Type="http://schemas.openxmlformats.org/officeDocument/2006/relationships/hyperlink" Target="#'HARI 1'!R310"/><Relationship Id="rId25" Type="http://schemas.openxmlformats.org/officeDocument/2006/relationships/hyperlink" Target="#'HARI 1'!R253"/><Relationship Id="rId24" Type="http://schemas.openxmlformats.org/officeDocument/2006/relationships/hyperlink" Target="#'HARI 1'!R196"/><Relationship Id="rId23" Type="http://schemas.openxmlformats.org/officeDocument/2006/relationships/hyperlink" Target="#'HARI 1'!R139"/><Relationship Id="rId22" Type="http://schemas.openxmlformats.org/officeDocument/2006/relationships/hyperlink" Target="#'HARI 1'!R82"/><Relationship Id="rId21" Type="http://schemas.openxmlformats.org/officeDocument/2006/relationships/hyperlink" Target="#'HARI 1'!R25"/><Relationship Id="rId20" Type="http://schemas.openxmlformats.org/officeDocument/2006/relationships/hyperlink" Target="#'HARI 1'!B415"/><Relationship Id="rId2" Type="http://schemas.openxmlformats.org/officeDocument/2006/relationships/image" Target="../media/image8.jpeg"/><Relationship Id="rId19" Type="http://schemas.openxmlformats.org/officeDocument/2006/relationships/hyperlink" Target="#'HARI 1'!B402"/><Relationship Id="rId18" Type="http://schemas.openxmlformats.org/officeDocument/2006/relationships/hyperlink" Target="#'HARI 1'!I411"/><Relationship Id="rId17" Type="http://schemas.openxmlformats.org/officeDocument/2006/relationships/hyperlink" Target="#'HARI 1'!I399"/><Relationship Id="rId16" Type="http://schemas.openxmlformats.org/officeDocument/2006/relationships/hyperlink" Target="#'HARI 1'!I387"/><Relationship Id="rId15" Type="http://schemas.openxmlformats.org/officeDocument/2006/relationships/hyperlink" Target="#'HARI 1'!B426"/><Relationship Id="rId14" Type="http://schemas.openxmlformats.org/officeDocument/2006/relationships/hyperlink" Target="#'HARI 1'!H410"/><Relationship Id="rId13" Type="http://schemas.openxmlformats.org/officeDocument/2006/relationships/hyperlink" Target="#'HARI 1'!F347"/><Relationship Id="rId12" Type="http://schemas.openxmlformats.org/officeDocument/2006/relationships/hyperlink" Target="#'HARI 1'!F310"/><Relationship Id="rId11" Type="http://schemas.openxmlformats.org/officeDocument/2006/relationships/hyperlink" Target="#'HARI 1'!F253"/><Relationship Id="rId10" Type="http://schemas.openxmlformats.org/officeDocument/2006/relationships/hyperlink" Target="#'HARI 1'!F196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hyperlink" Target="#'HARI 2'!F139"/><Relationship Id="rId8" Type="http://schemas.openxmlformats.org/officeDocument/2006/relationships/hyperlink" Target="#'HARI 2'!F82"/><Relationship Id="rId7" Type="http://schemas.openxmlformats.org/officeDocument/2006/relationships/hyperlink" Target="#'HARI 2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5" Type="http://schemas.openxmlformats.org/officeDocument/2006/relationships/hyperlink" Target="#'HARI 2'!S1"/><Relationship Id="rId34" Type="http://schemas.openxmlformats.org/officeDocument/2006/relationships/hyperlink" Target="#'HARI 2'!F1"/><Relationship Id="rId33" Type="http://schemas.openxmlformats.org/officeDocument/2006/relationships/hyperlink" Target="#'HARI 2'!Q415"/><Relationship Id="rId32" Type="http://schemas.openxmlformats.org/officeDocument/2006/relationships/hyperlink" Target="#'HARI 2'!Q402"/><Relationship Id="rId31" Type="http://schemas.openxmlformats.org/officeDocument/2006/relationships/hyperlink" Target="#'HARI 2'!X399"/><Relationship Id="rId30" Type="http://schemas.openxmlformats.org/officeDocument/2006/relationships/hyperlink" Target="#'HARI 2'!X387"/><Relationship Id="rId3" Type="http://schemas.openxmlformats.org/officeDocument/2006/relationships/image" Target="../media/image9.png"/><Relationship Id="rId29" Type="http://schemas.openxmlformats.org/officeDocument/2006/relationships/hyperlink" Target="#'HARI 2'!Q426"/><Relationship Id="rId28" Type="http://schemas.openxmlformats.org/officeDocument/2006/relationships/hyperlink" Target="#'HARI 2'!W410"/><Relationship Id="rId27" Type="http://schemas.openxmlformats.org/officeDocument/2006/relationships/hyperlink" Target="#'HARI 2'!R254"/><Relationship Id="rId26" Type="http://schemas.openxmlformats.org/officeDocument/2006/relationships/hyperlink" Target="#'HARI 2'!R310"/><Relationship Id="rId25" Type="http://schemas.openxmlformats.org/officeDocument/2006/relationships/hyperlink" Target="#'HARI 2'!R253"/><Relationship Id="rId24" Type="http://schemas.openxmlformats.org/officeDocument/2006/relationships/hyperlink" Target="#'HARI 2'!R196"/><Relationship Id="rId23" Type="http://schemas.openxmlformats.org/officeDocument/2006/relationships/hyperlink" Target="#'HARI 2'!R139"/><Relationship Id="rId22" Type="http://schemas.openxmlformats.org/officeDocument/2006/relationships/hyperlink" Target="#'HARI 2'!R82"/><Relationship Id="rId21" Type="http://schemas.openxmlformats.org/officeDocument/2006/relationships/hyperlink" Target="#'HARI 2'!R25"/><Relationship Id="rId20" Type="http://schemas.openxmlformats.org/officeDocument/2006/relationships/hyperlink" Target="#'HARI 2'!B415"/><Relationship Id="rId2" Type="http://schemas.openxmlformats.org/officeDocument/2006/relationships/image" Target="../media/image8.jpeg"/><Relationship Id="rId19" Type="http://schemas.openxmlformats.org/officeDocument/2006/relationships/hyperlink" Target="#'HARI 2'!B402"/><Relationship Id="rId18" Type="http://schemas.openxmlformats.org/officeDocument/2006/relationships/hyperlink" Target="#'HARI 2'!I411"/><Relationship Id="rId17" Type="http://schemas.openxmlformats.org/officeDocument/2006/relationships/hyperlink" Target="#'HARI 2'!I399"/><Relationship Id="rId16" Type="http://schemas.openxmlformats.org/officeDocument/2006/relationships/hyperlink" Target="#'HARI 2'!I387"/><Relationship Id="rId15" Type="http://schemas.openxmlformats.org/officeDocument/2006/relationships/hyperlink" Target="#'HARI 2'!B426"/><Relationship Id="rId14" Type="http://schemas.openxmlformats.org/officeDocument/2006/relationships/hyperlink" Target="#'HARI 2'!H410"/><Relationship Id="rId13" Type="http://schemas.openxmlformats.org/officeDocument/2006/relationships/hyperlink" Target="#'HARI 2'!F347"/><Relationship Id="rId12" Type="http://schemas.openxmlformats.org/officeDocument/2006/relationships/hyperlink" Target="#'HARI 2'!F310"/><Relationship Id="rId11" Type="http://schemas.openxmlformats.org/officeDocument/2006/relationships/hyperlink" Target="#'HARI 2'!F253"/><Relationship Id="rId10" Type="http://schemas.openxmlformats.org/officeDocument/2006/relationships/hyperlink" Target="#'HARI 2'!F196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hyperlink" Target="#'HARI 3'!F139"/><Relationship Id="rId8" Type="http://schemas.openxmlformats.org/officeDocument/2006/relationships/hyperlink" Target="#'HARI 3'!F82"/><Relationship Id="rId7" Type="http://schemas.openxmlformats.org/officeDocument/2006/relationships/hyperlink" Target="#'HARI 3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3'!S1"/><Relationship Id="rId35" Type="http://schemas.openxmlformats.org/officeDocument/2006/relationships/hyperlink" Target="#'HARI 3'!F1"/><Relationship Id="rId34" Type="http://schemas.openxmlformats.org/officeDocument/2006/relationships/hyperlink" Target="#'HARI 3'!Q415"/><Relationship Id="rId33" Type="http://schemas.openxmlformats.org/officeDocument/2006/relationships/hyperlink" Target="#'HARI 3'!Q402"/><Relationship Id="rId32" Type="http://schemas.openxmlformats.org/officeDocument/2006/relationships/hyperlink" Target="#'HARI 3'!X411"/><Relationship Id="rId31" Type="http://schemas.openxmlformats.org/officeDocument/2006/relationships/hyperlink" Target="#'HARI 3'!X399"/><Relationship Id="rId30" Type="http://schemas.openxmlformats.org/officeDocument/2006/relationships/hyperlink" Target="#'HARI 3'!X387"/><Relationship Id="rId3" Type="http://schemas.openxmlformats.org/officeDocument/2006/relationships/image" Target="../media/image9.png"/><Relationship Id="rId29" Type="http://schemas.openxmlformats.org/officeDocument/2006/relationships/hyperlink" Target="#'HARI 3'!Q426"/><Relationship Id="rId28" Type="http://schemas.openxmlformats.org/officeDocument/2006/relationships/hyperlink" Target="#'HARI 3'!W410"/><Relationship Id="rId27" Type="http://schemas.openxmlformats.org/officeDocument/2006/relationships/hyperlink" Target="#'HARI 3'!R347"/><Relationship Id="rId26" Type="http://schemas.openxmlformats.org/officeDocument/2006/relationships/hyperlink" Target="#'HARI 3'!R310"/><Relationship Id="rId25" Type="http://schemas.openxmlformats.org/officeDocument/2006/relationships/hyperlink" Target="#'HARI 3'!R253"/><Relationship Id="rId24" Type="http://schemas.openxmlformats.org/officeDocument/2006/relationships/hyperlink" Target="#'HARI 3'!R196"/><Relationship Id="rId23" Type="http://schemas.openxmlformats.org/officeDocument/2006/relationships/hyperlink" Target="#'HARI 3'!R139"/><Relationship Id="rId22" Type="http://schemas.openxmlformats.org/officeDocument/2006/relationships/hyperlink" Target="#'HARI 3'!R82"/><Relationship Id="rId21" Type="http://schemas.openxmlformats.org/officeDocument/2006/relationships/hyperlink" Target="#'HARI 3'!R25"/><Relationship Id="rId20" Type="http://schemas.openxmlformats.org/officeDocument/2006/relationships/hyperlink" Target="#'HARI 3'!B415"/><Relationship Id="rId2" Type="http://schemas.openxmlformats.org/officeDocument/2006/relationships/image" Target="../media/image8.jpeg"/><Relationship Id="rId19" Type="http://schemas.openxmlformats.org/officeDocument/2006/relationships/hyperlink" Target="#'HARI 3'!B402"/><Relationship Id="rId18" Type="http://schemas.openxmlformats.org/officeDocument/2006/relationships/hyperlink" Target="#'HARI 3'!I411"/><Relationship Id="rId17" Type="http://schemas.openxmlformats.org/officeDocument/2006/relationships/hyperlink" Target="#'HARI 3'!I399"/><Relationship Id="rId16" Type="http://schemas.openxmlformats.org/officeDocument/2006/relationships/hyperlink" Target="#'HARI 3'!I387"/><Relationship Id="rId15" Type="http://schemas.openxmlformats.org/officeDocument/2006/relationships/hyperlink" Target="#'HARI 3'!B426"/><Relationship Id="rId14" Type="http://schemas.openxmlformats.org/officeDocument/2006/relationships/hyperlink" Target="#'HARI 3'!H410"/><Relationship Id="rId13" Type="http://schemas.openxmlformats.org/officeDocument/2006/relationships/hyperlink" Target="#'HARI 3'!F347"/><Relationship Id="rId12" Type="http://schemas.openxmlformats.org/officeDocument/2006/relationships/hyperlink" Target="#'HARI 3'!F310"/><Relationship Id="rId11" Type="http://schemas.openxmlformats.org/officeDocument/2006/relationships/hyperlink" Target="#'HARI 3'!F253"/><Relationship Id="rId10" Type="http://schemas.openxmlformats.org/officeDocument/2006/relationships/hyperlink" Target="#'HARI 3'!F196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hyperlink" Target="#'HARI 4'!F139"/><Relationship Id="rId8" Type="http://schemas.openxmlformats.org/officeDocument/2006/relationships/hyperlink" Target="#'HARI 4'!F82"/><Relationship Id="rId7" Type="http://schemas.openxmlformats.org/officeDocument/2006/relationships/hyperlink" Target="#'HARI 4'!F25"/><Relationship Id="rId6" Type="http://schemas.openxmlformats.org/officeDocument/2006/relationships/image" Target="../media/image14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4'!S1"/><Relationship Id="rId35" Type="http://schemas.openxmlformats.org/officeDocument/2006/relationships/hyperlink" Target="#'HARI 4'!F1"/><Relationship Id="rId34" Type="http://schemas.openxmlformats.org/officeDocument/2006/relationships/hyperlink" Target="#'HARI 4'!Q415"/><Relationship Id="rId33" Type="http://schemas.openxmlformats.org/officeDocument/2006/relationships/hyperlink" Target="#'HARI 4'!Q402"/><Relationship Id="rId32" Type="http://schemas.openxmlformats.org/officeDocument/2006/relationships/hyperlink" Target="#'HARI 4'!X411"/><Relationship Id="rId31" Type="http://schemas.openxmlformats.org/officeDocument/2006/relationships/hyperlink" Target="#'HARI 4'!X399"/><Relationship Id="rId30" Type="http://schemas.openxmlformats.org/officeDocument/2006/relationships/hyperlink" Target="#'HARI 4'!X387"/><Relationship Id="rId3" Type="http://schemas.openxmlformats.org/officeDocument/2006/relationships/image" Target="../media/image9.png"/><Relationship Id="rId29" Type="http://schemas.openxmlformats.org/officeDocument/2006/relationships/hyperlink" Target="#'HARI 4'!Q426"/><Relationship Id="rId28" Type="http://schemas.openxmlformats.org/officeDocument/2006/relationships/hyperlink" Target="#'HARI 4'!W410"/><Relationship Id="rId27" Type="http://schemas.openxmlformats.org/officeDocument/2006/relationships/hyperlink" Target="#'HARI 4'!R347"/><Relationship Id="rId26" Type="http://schemas.openxmlformats.org/officeDocument/2006/relationships/hyperlink" Target="#'HARI 4'!R310"/><Relationship Id="rId25" Type="http://schemas.openxmlformats.org/officeDocument/2006/relationships/hyperlink" Target="#'HARI 4'!R253"/><Relationship Id="rId24" Type="http://schemas.openxmlformats.org/officeDocument/2006/relationships/hyperlink" Target="#'HARI 4'!R196"/><Relationship Id="rId23" Type="http://schemas.openxmlformats.org/officeDocument/2006/relationships/hyperlink" Target="#'HARI 4'!R139"/><Relationship Id="rId22" Type="http://schemas.openxmlformats.org/officeDocument/2006/relationships/hyperlink" Target="#'HARI 4'!R82"/><Relationship Id="rId21" Type="http://schemas.openxmlformats.org/officeDocument/2006/relationships/hyperlink" Target="#'HARI 4'!R25"/><Relationship Id="rId20" Type="http://schemas.openxmlformats.org/officeDocument/2006/relationships/hyperlink" Target="#'HARI 4'!B415"/><Relationship Id="rId2" Type="http://schemas.openxmlformats.org/officeDocument/2006/relationships/image" Target="../media/image8.jpeg"/><Relationship Id="rId19" Type="http://schemas.openxmlformats.org/officeDocument/2006/relationships/hyperlink" Target="#'HARI 4'!B402"/><Relationship Id="rId18" Type="http://schemas.openxmlformats.org/officeDocument/2006/relationships/hyperlink" Target="#'HARI 4'!I411"/><Relationship Id="rId17" Type="http://schemas.openxmlformats.org/officeDocument/2006/relationships/hyperlink" Target="#'HARI 4'!I399"/><Relationship Id="rId16" Type="http://schemas.openxmlformats.org/officeDocument/2006/relationships/hyperlink" Target="#'HARI 4'!I387"/><Relationship Id="rId15" Type="http://schemas.openxmlformats.org/officeDocument/2006/relationships/hyperlink" Target="#'HARI 4'!B426"/><Relationship Id="rId14" Type="http://schemas.openxmlformats.org/officeDocument/2006/relationships/hyperlink" Target="#'HARI 4'!H410"/><Relationship Id="rId13" Type="http://schemas.openxmlformats.org/officeDocument/2006/relationships/hyperlink" Target="#'HARI 4'!F347"/><Relationship Id="rId12" Type="http://schemas.openxmlformats.org/officeDocument/2006/relationships/hyperlink" Target="#'HARI 4'!F310"/><Relationship Id="rId11" Type="http://schemas.openxmlformats.org/officeDocument/2006/relationships/hyperlink" Target="#'HARI 4'!F253"/><Relationship Id="rId10" Type="http://schemas.openxmlformats.org/officeDocument/2006/relationships/hyperlink" Target="#'HARI 4'!F196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hyperlink" Target="#'HARI 5'!F139"/><Relationship Id="rId8" Type="http://schemas.openxmlformats.org/officeDocument/2006/relationships/hyperlink" Target="#'HARI 5'!F82"/><Relationship Id="rId7" Type="http://schemas.openxmlformats.org/officeDocument/2006/relationships/hyperlink" Target="#'HARI 5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5'!S1"/><Relationship Id="rId35" Type="http://schemas.openxmlformats.org/officeDocument/2006/relationships/hyperlink" Target="#'HARI 5'!F1"/><Relationship Id="rId34" Type="http://schemas.openxmlformats.org/officeDocument/2006/relationships/hyperlink" Target="#'HARI 5'!Q415"/><Relationship Id="rId33" Type="http://schemas.openxmlformats.org/officeDocument/2006/relationships/hyperlink" Target="#'HARI 5'!Q402"/><Relationship Id="rId32" Type="http://schemas.openxmlformats.org/officeDocument/2006/relationships/hyperlink" Target="#'HARI 5'!X411"/><Relationship Id="rId31" Type="http://schemas.openxmlformats.org/officeDocument/2006/relationships/hyperlink" Target="#'HARI 5'!X399"/><Relationship Id="rId30" Type="http://schemas.openxmlformats.org/officeDocument/2006/relationships/hyperlink" Target="#'HARI 5'!X387"/><Relationship Id="rId3" Type="http://schemas.openxmlformats.org/officeDocument/2006/relationships/image" Target="../media/image9.png"/><Relationship Id="rId29" Type="http://schemas.openxmlformats.org/officeDocument/2006/relationships/hyperlink" Target="#'HARI 5'!Q426"/><Relationship Id="rId28" Type="http://schemas.openxmlformats.org/officeDocument/2006/relationships/hyperlink" Target="#'HARI 5'!W410"/><Relationship Id="rId27" Type="http://schemas.openxmlformats.org/officeDocument/2006/relationships/hyperlink" Target="#'HARI 5'!R347"/><Relationship Id="rId26" Type="http://schemas.openxmlformats.org/officeDocument/2006/relationships/hyperlink" Target="#'HARI 5'!R310"/><Relationship Id="rId25" Type="http://schemas.openxmlformats.org/officeDocument/2006/relationships/hyperlink" Target="#'HARI 5'!R253"/><Relationship Id="rId24" Type="http://schemas.openxmlformats.org/officeDocument/2006/relationships/hyperlink" Target="#'HARI 5'!R196"/><Relationship Id="rId23" Type="http://schemas.openxmlformats.org/officeDocument/2006/relationships/hyperlink" Target="#'HARI 5'!R139"/><Relationship Id="rId22" Type="http://schemas.openxmlformats.org/officeDocument/2006/relationships/hyperlink" Target="#'HARI 5'!R82"/><Relationship Id="rId21" Type="http://schemas.openxmlformats.org/officeDocument/2006/relationships/hyperlink" Target="#'HARI 5'!R25"/><Relationship Id="rId20" Type="http://schemas.openxmlformats.org/officeDocument/2006/relationships/hyperlink" Target="#'HARI 5'!B415"/><Relationship Id="rId2" Type="http://schemas.openxmlformats.org/officeDocument/2006/relationships/image" Target="../media/image8.jpeg"/><Relationship Id="rId19" Type="http://schemas.openxmlformats.org/officeDocument/2006/relationships/hyperlink" Target="#'HARI 5'!B402"/><Relationship Id="rId18" Type="http://schemas.openxmlformats.org/officeDocument/2006/relationships/hyperlink" Target="#'HARI 5'!I411"/><Relationship Id="rId17" Type="http://schemas.openxmlformats.org/officeDocument/2006/relationships/hyperlink" Target="#'HARI 5'!I399"/><Relationship Id="rId16" Type="http://schemas.openxmlformats.org/officeDocument/2006/relationships/hyperlink" Target="#'HARI 5'!I387"/><Relationship Id="rId15" Type="http://schemas.openxmlformats.org/officeDocument/2006/relationships/hyperlink" Target="#'HARI 5'!B426"/><Relationship Id="rId14" Type="http://schemas.openxmlformats.org/officeDocument/2006/relationships/hyperlink" Target="#'HARI 5'!H410"/><Relationship Id="rId13" Type="http://schemas.openxmlformats.org/officeDocument/2006/relationships/hyperlink" Target="#'HARI 5'!F347"/><Relationship Id="rId12" Type="http://schemas.openxmlformats.org/officeDocument/2006/relationships/hyperlink" Target="#'HARI 5'!F310"/><Relationship Id="rId11" Type="http://schemas.openxmlformats.org/officeDocument/2006/relationships/hyperlink" Target="#'HARI 5'!F253"/><Relationship Id="rId10" Type="http://schemas.openxmlformats.org/officeDocument/2006/relationships/hyperlink" Target="#'HARI 5'!F196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hyperlink" Target="#'HARI 6'!F139"/><Relationship Id="rId8" Type="http://schemas.openxmlformats.org/officeDocument/2006/relationships/hyperlink" Target="#'HARI 6'!F82"/><Relationship Id="rId7" Type="http://schemas.openxmlformats.org/officeDocument/2006/relationships/hyperlink" Target="#'HARI 6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6'!S1"/><Relationship Id="rId35" Type="http://schemas.openxmlformats.org/officeDocument/2006/relationships/hyperlink" Target="#'HARI 6'!F1"/><Relationship Id="rId34" Type="http://schemas.openxmlformats.org/officeDocument/2006/relationships/hyperlink" Target="#'HARI 6'!Q415"/><Relationship Id="rId33" Type="http://schemas.openxmlformats.org/officeDocument/2006/relationships/hyperlink" Target="#'HARI 6'!Q402"/><Relationship Id="rId32" Type="http://schemas.openxmlformats.org/officeDocument/2006/relationships/hyperlink" Target="#'HARI 6'!X411"/><Relationship Id="rId31" Type="http://schemas.openxmlformats.org/officeDocument/2006/relationships/hyperlink" Target="#'HARI 6'!X399"/><Relationship Id="rId30" Type="http://schemas.openxmlformats.org/officeDocument/2006/relationships/hyperlink" Target="#'HARI 6'!X387"/><Relationship Id="rId3" Type="http://schemas.openxmlformats.org/officeDocument/2006/relationships/image" Target="../media/image9.png"/><Relationship Id="rId29" Type="http://schemas.openxmlformats.org/officeDocument/2006/relationships/hyperlink" Target="#'HARI 6'!Q426"/><Relationship Id="rId28" Type="http://schemas.openxmlformats.org/officeDocument/2006/relationships/hyperlink" Target="#'HARI 6'!W410"/><Relationship Id="rId27" Type="http://schemas.openxmlformats.org/officeDocument/2006/relationships/hyperlink" Target="#'HARI 6'!R347"/><Relationship Id="rId26" Type="http://schemas.openxmlformats.org/officeDocument/2006/relationships/hyperlink" Target="#'HARI 6'!R310"/><Relationship Id="rId25" Type="http://schemas.openxmlformats.org/officeDocument/2006/relationships/hyperlink" Target="#'HARI 6'!R253"/><Relationship Id="rId24" Type="http://schemas.openxmlformats.org/officeDocument/2006/relationships/hyperlink" Target="#'HARI 6'!R196"/><Relationship Id="rId23" Type="http://schemas.openxmlformats.org/officeDocument/2006/relationships/hyperlink" Target="#'HARI 6'!R139"/><Relationship Id="rId22" Type="http://schemas.openxmlformats.org/officeDocument/2006/relationships/hyperlink" Target="#'HARI 6'!R82"/><Relationship Id="rId21" Type="http://schemas.openxmlformats.org/officeDocument/2006/relationships/hyperlink" Target="#'HARI 6'!R25"/><Relationship Id="rId20" Type="http://schemas.openxmlformats.org/officeDocument/2006/relationships/hyperlink" Target="#'HARI 6'!B415"/><Relationship Id="rId2" Type="http://schemas.openxmlformats.org/officeDocument/2006/relationships/image" Target="../media/image8.jpeg"/><Relationship Id="rId19" Type="http://schemas.openxmlformats.org/officeDocument/2006/relationships/hyperlink" Target="#'HARI 6'!B402"/><Relationship Id="rId18" Type="http://schemas.openxmlformats.org/officeDocument/2006/relationships/hyperlink" Target="#'HARI 6'!I411"/><Relationship Id="rId17" Type="http://schemas.openxmlformats.org/officeDocument/2006/relationships/hyperlink" Target="#'HARI 6'!I399"/><Relationship Id="rId16" Type="http://schemas.openxmlformats.org/officeDocument/2006/relationships/hyperlink" Target="#'HARI 6'!I387"/><Relationship Id="rId15" Type="http://schemas.openxmlformats.org/officeDocument/2006/relationships/hyperlink" Target="#'HARI 6'!B426"/><Relationship Id="rId14" Type="http://schemas.openxmlformats.org/officeDocument/2006/relationships/hyperlink" Target="#'HARI 6'!H410"/><Relationship Id="rId13" Type="http://schemas.openxmlformats.org/officeDocument/2006/relationships/hyperlink" Target="#'HARI 6'!F347"/><Relationship Id="rId12" Type="http://schemas.openxmlformats.org/officeDocument/2006/relationships/hyperlink" Target="#'HARI 6'!F310"/><Relationship Id="rId11" Type="http://schemas.openxmlformats.org/officeDocument/2006/relationships/hyperlink" Target="#'HARI 6'!F253"/><Relationship Id="rId10" Type="http://schemas.openxmlformats.org/officeDocument/2006/relationships/hyperlink" Target="#'HARI 6'!F196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hyperlink" Target="#'HARI 7'!F139"/><Relationship Id="rId8" Type="http://schemas.openxmlformats.org/officeDocument/2006/relationships/hyperlink" Target="#'HARI 7'!F82"/><Relationship Id="rId7" Type="http://schemas.openxmlformats.org/officeDocument/2006/relationships/hyperlink" Target="#'HARI 7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7'!S1"/><Relationship Id="rId35" Type="http://schemas.openxmlformats.org/officeDocument/2006/relationships/hyperlink" Target="#'HARI 7'!F1"/><Relationship Id="rId34" Type="http://schemas.openxmlformats.org/officeDocument/2006/relationships/hyperlink" Target="#'HARI 7'!Q415"/><Relationship Id="rId33" Type="http://schemas.openxmlformats.org/officeDocument/2006/relationships/hyperlink" Target="#'HARI 7'!Q402"/><Relationship Id="rId32" Type="http://schemas.openxmlformats.org/officeDocument/2006/relationships/hyperlink" Target="#'HARI 7'!X411"/><Relationship Id="rId31" Type="http://schemas.openxmlformats.org/officeDocument/2006/relationships/hyperlink" Target="#'HARI 7'!X399"/><Relationship Id="rId30" Type="http://schemas.openxmlformats.org/officeDocument/2006/relationships/hyperlink" Target="#'HARI 7'!X387"/><Relationship Id="rId3" Type="http://schemas.openxmlformats.org/officeDocument/2006/relationships/image" Target="../media/image9.png"/><Relationship Id="rId29" Type="http://schemas.openxmlformats.org/officeDocument/2006/relationships/hyperlink" Target="#'HARI 7'!Q426"/><Relationship Id="rId28" Type="http://schemas.openxmlformats.org/officeDocument/2006/relationships/hyperlink" Target="#'HARI 7'!W410"/><Relationship Id="rId27" Type="http://schemas.openxmlformats.org/officeDocument/2006/relationships/hyperlink" Target="#'HARI 7'!R347"/><Relationship Id="rId26" Type="http://schemas.openxmlformats.org/officeDocument/2006/relationships/hyperlink" Target="#'HARI 7'!R310"/><Relationship Id="rId25" Type="http://schemas.openxmlformats.org/officeDocument/2006/relationships/hyperlink" Target="#'HARI 7'!R253"/><Relationship Id="rId24" Type="http://schemas.openxmlformats.org/officeDocument/2006/relationships/hyperlink" Target="#'HARI 7'!R196"/><Relationship Id="rId23" Type="http://schemas.openxmlformats.org/officeDocument/2006/relationships/hyperlink" Target="#'HARI 7'!R139"/><Relationship Id="rId22" Type="http://schemas.openxmlformats.org/officeDocument/2006/relationships/hyperlink" Target="#'HARI 7'!R82"/><Relationship Id="rId21" Type="http://schemas.openxmlformats.org/officeDocument/2006/relationships/hyperlink" Target="#'HARI 7'!R25"/><Relationship Id="rId20" Type="http://schemas.openxmlformats.org/officeDocument/2006/relationships/hyperlink" Target="#'HARI 7'!B415"/><Relationship Id="rId2" Type="http://schemas.openxmlformats.org/officeDocument/2006/relationships/image" Target="../media/image8.jpeg"/><Relationship Id="rId19" Type="http://schemas.openxmlformats.org/officeDocument/2006/relationships/hyperlink" Target="#'HARI 7'!B402"/><Relationship Id="rId18" Type="http://schemas.openxmlformats.org/officeDocument/2006/relationships/hyperlink" Target="#'HARI 7'!I411"/><Relationship Id="rId17" Type="http://schemas.openxmlformats.org/officeDocument/2006/relationships/hyperlink" Target="#'HARI 7'!I399"/><Relationship Id="rId16" Type="http://schemas.openxmlformats.org/officeDocument/2006/relationships/hyperlink" Target="#'HARI 7'!I387"/><Relationship Id="rId15" Type="http://schemas.openxmlformats.org/officeDocument/2006/relationships/hyperlink" Target="#'HARI 7'!B426"/><Relationship Id="rId14" Type="http://schemas.openxmlformats.org/officeDocument/2006/relationships/hyperlink" Target="#'HARI 7'!H410"/><Relationship Id="rId13" Type="http://schemas.openxmlformats.org/officeDocument/2006/relationships/hyperlink" Target="#'HARI 7'!F347"/><Relationship Id="rId12" Type="http://schemas.openxmlformats.org/officeDocument/2006/relationships/hyperlink" Target="#'HARI 7'!F310"/><Relationship Id="rId11" Type="http://schemas.openxmlformats.org/officeDocument/2006/relationships/hyperlink" Target="#'HARI 7'!F253"/><Relationship Id="rId10" Type="http://schemas.openxmlformats.org/officeDocument/2006/relationships/hyperlink" Target="#'HARI 7'!F196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hyperlink" Target="#'HARI 8'!F139"/><Relationship Id="rId8" Type="http://schemas.openxmlformats.org/officeDocument/2006/relationships/hyperlink" Target="#'HARI 8'!F82"/><Relationship Id="rId7" Type="http://schemas.openxmlformats.org/officeDocument/2006/relationships/hyperlink" Target="#'HARI 8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8'!S1"/><Relationship Id="rId35" Type="http://schemas.openxmlformats.org/officeDocument/2006/relationships/hyperlink" Target="#'HARI 8'!F1"/><Relationship Id="rId34" Type="http://schemas.openxmlformats.org/officeDocument/2006/relationships/hyperlink" Target="#'HARI 8'!Q415"/><Relationship Id="rId33" Type="http://schemas.openxmlformats.org/officeDocument/2006/relationships/hyperlink" Target="#'HARI 8'!Q402"/><Relationship Id="rId32" Type="http://schemas.openxmlformats.org/officeDocument/2006/relationships/hyperlink" Target="#'HARI 8'!X411"/><Relationship Id="rId31" Type="http://schemas.openxmlformats.org/officeDocument/2006/relationships/hyperlink" Target="#'HARI 8'!X399"/><Relationship Id="rId30" Type="http://schemas.openxmlformats.org/officeDocument/2006/relationships/hyperlink" Target="#'HARI 8'!X387"/><Relationship Id="rId3" Type="http://schemas.openxmlformats.org/officeDocument/2006/relationships/image" Target="../media/image9.png"/><Relationship Id="rId29" Type="http://schemas.openxmlformats.org/officeDocument/2006/relationships/hyperlink" Target="#'HARI 8'!Q426"/><Relationship Id="rId28" Type="http://schemas.openxmlformats.org/officeDocument/2006/relationships/hyperlink" Target="#'HARI 8'!W410"/><Relationship Id="rId27" Type="http://schemas.openxmlformats.org/officeDocument/2006/relationships/hyperlink" Target="#'HARI 8'!R347"/><Relationship Id="rId26" Type="http://schemas.openxmlformats.org/officeDocument/2006/relationships/hyperlink" Target="#'HARI 8'!R310"/><Relationship Id="rId25" Type="http://schemas.openxmlformats.org/officeDocument/2006/relationships/hyperlink" Target="#'HARI 8'!R253"/><Relationship Id="rId24" Type="http://schemas.openxmlformats.org/officeDocument/2006/relationships/hyperlink" Target="#'HARI 8'!R196"/><Relationship Id="rId23" Type="http://schemas.openxmlformats.org/officeDocument/2006/relationships/hyperlink" Target="#'HARI 8'!R139"/><Relationship Id="rId22" Type="http://schemas.openxmlformats.org/officeDocument/2006/relationships/hyperlink" Target="#'HARI 8'!R82"/><Relationship Id="rId21" Type="http://schemas.openxmlformats.org/officeDocument/2006/relationships/hyperlink" Target="#'HARI 8'!R25"/><Relationship Id="rId20" Type="http://schemas.openxmlformats.org/officeDocument/2006/relationships/hyperlink" Target="#'HARI 8'!B415"/><Relationship Id="rId2" Type="http://schemas.openxmlformats.org/officeDocument/2006/relationships/image" Target="../media/image8.jpeg"/><Relationship Id="rId19" Type="http://schemas.openxmlformats.org/officeDocument/2006/relationships/hyperlink" Target="#'HARI 8'!B402"/><Relationship Id="rId18" Type="http://schemas.openxmlformats.org/officeDocument/2006/relationships/hyperlink" Target="#'HARI 8'!I411"/><Relationship Id="rId17" Type="http://schemas.openxmlformats.org/officeDocument/2006/relationships/hyperlink" Target="#'HARI 8'!I399"/><Relationship Id="rId16" Type="http://schemas.openxmlformats.org/officeDocument/2006/relationships/hyperlink" Target="#'HARI 8'!I387"/><Relationship Id="rId15" Type="http://schemas.openxmlformats.org/officeDocument/2006/relationships/hyperlink" Target="#'HARI 8'!B426"/><Relationship Id="rId14" Type="http://schemas.openxmlformats.org/officeDocument/2006/relationships/hyperlink" Target="#'HARI 8'!H410"/><Relationship Id="rId13" Type="http://schemas.openxmlformats.org/officeDocument/2006/relationships/hyperlink" Target="#'HARI 8'!F347"/><Relationship Id="rId12" Type="http://schemas.openxmlformats.org/officeDocument/2006/relationships/hyperlink" Target="#'HARI 8'!F310"/><Relationship Id="rId11" Type="http://schemas.openxmlformats.org/officeDocument/2006/relationships/hyperlink" Target="#'HARI 8'!F253"/><Relationship Id="rId10" Type="http://schemas.openxmlformats.org/officeDocument/2006/relationships/hyperlink" Target="#'HARI 8'!F196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hyperlink" Target="#'HARI 9'!F139"/><Relationship Id="rId8" Type="http://schemas.openxmlformats.org/officeDocument/2006/relationships/hyperlink" Target="#'HARI 9'!F82"/><Relationship Id="rId7" Type="http://schemas.openxmlformats.org/officeDocument/2006/relationships/hyperlink" Target="#'HARI 9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9'!S1"/><Relationship Id="rId35" Type="http://schemas.openxmlformats.org/officeDocument/2006/relationships/hyperlink" Target="#'HARI 9'!F1"/><Relationship Id="rId34" Type="http://schemas.openxmlformats.org/officeDocument/2006/relationships/hyperlink" Target="#'HARI 9'!Q415"/><Relationship Id="rId33" Type="http://schemas.openxmlformats.org/officeDocument/2006/relationships/hyperlink" Target="#'HARI 9'!Q402"/><Relationship Id="rId32" Type="http://schemas.openxmlformats.org/officeDocument/2006/relationships/hyperlink" Target="#'HARI 9'!X411"/><Relationship Id="rId31" Type="http://schemas.openxmlformats.org/officeDocument/2006/relationships/hyperlink" Target="#'HARI 9'!X399"/><Relationship Id="rId30" Type="http://schemas.openxmlformats.org/officeDocument/2006/relationships/hyperlink" Target="#'HARI 9'!X387"/><Relationship Id="rId3" Type="http://schemas.openxmlformats.org/officeDocument/2006/relationships/image" Target="../media/image9.png"/><Relationship Id="rId29" Type="http://schemas.openxmlformats.org/officeDocument/2006/relationships/hyperlink" Target="#'HARI 9'!Q426"/><Relationship Id="rId28" Type="http://schemas.openxmlformats.org/officeDocument/2006/relationships/hyperlink" Target="#'HARI 9'!W410"/><Relationship Id="rId27" Type="http://schemas.openxmlformats.org/officeDocument/2006/relationships/hyperlink" Target="#'HARI 9'!R347"/><Relationship Id="rId26" Type="http://schemas.openxmlformats.org/officeDocument/2006/relationships/hyperlink" Target="#'HARI 9'!R310"/><Relationship Id="rId25" Type="http://schemas.openxmlformats.org/officeDocument/2006/relationships/hyperlink" Target="#'HARI 9'!R253"/><Relationship Id="rId24" Type="http://schemas.openxmlformats.org/officeDocument/2006/relationships/hyperlink" Target="#'HARI 9'!R196"/><Relationship Id="rId23" Type="http://schemas.openxmlformats.org/officeDocument/2006/relationships/hyperlink" Target="#'HARI 9'!R139"/><Relationship Id="rId22" Type="http://schemas.openxmlformats.org/officeDocument/2006/relationships/hyperlink" Target="#'HARI 9'!R82"/><Relationship Id="rId21" Type="http://schemas.openxmlformats.org/officeDocument/2006/relationships/hyperlink" Target="#'HARI 9'!R25"/><Relationship Id="rId20" Type="http://schemas.openxmlformats.org/officeDocument/2006/relationships/hyperlink" Target="#'HARI 9'!B415"/><Relationship Id="rId2" Type="http://schemas.openxmlformats.org/officeDocument/2006/relationships/image" Target="../media/image8.jpeg"/><Relationship Id="rId19" Type="http://schemas.openxmlformats.org/officeDocument/2006/relationships/hyperlink" Target="#'HARI 9'!B402"/><Relationship Id="rId18" Type="http://schemas.openxmlformats.org/officeDocument/2006/relationships/hyperlink" Target="#'HARI 9'!I411"/><Relationship Id="rId17" Type="http://schemas.openxmlformats.org/officeDocument/2006/relationships/hyperlink" Target="#'HARI 9'!I399"/><Relationship Id="rId16" Type="http://schemas.openxmlformats.org/officeDocument/2006/relationships/hyperlink" Target="#'HARI 9'!I387"/><Relationship Id="rId15" Type="http://schemas.openxmlformats.org/officeDocument/2006/relationships/hyperlink" Target="#'HARI 9'!B426"/><Relationship Id="rId14" Type="http://schemas.openxmlformats.org/officeDocument/2006/relationships/hyperlink" Target="#'HARI 9'!H410"/><Relationship Id="rId13" Type="http://schemas.openxmlformats.org/officeDocument/2006/relationships/hyperlink" Target="#'HARI 9'!F347"/><Relationship Id="rId12" Type="http://schemas.openxmlformats.org/officeDocument/2006/relationships/hyperlink" Target="#'HARI 9'!F310"/><Relationship Id="rId11" Type="http://schemas.openxmlformats.org/officeDocument/2006/relationships/hyperlink" Target="#'HARI 9'!F253"/><Relationship Id="rId10" Type="http://schemas.openxmlformats.org/officeDocument/2006/relationships/hyperlink" Target="#'HARI 9'!F196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hyperlink" Target="#'HARI 10'!F139"/><Relationship Id="rId8" Type="http://schemas.openxmlformats.org/officeDocument/2006/relationships/hyperlink" Target="#'HARI 10'!F82"/><Relationship Id="rId7" Type="http://schemas.openxmlformats.org/officeDocument/2006/relationships/hyperlink" Target="#'HARI 10'!F25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10'!S1"/><Relationship Id="rId35" Type="http://schemas.openxmlformats.org/officeDocument/2006/relationships/hyperlink" Target="#'HARI 10'!F1"/><Relationship Id="rId34" Type="http://schemas.openxmlformats.org/officeDocument/2006/relationships/hyperlink" Target="#'HARI 10'!Q415"/><Relationship Id="rId33" Type="http://schemas.openxmlformats.org/officeDocument/2006/relationships/hyperlink" Target="#'HARI 10'!Q402"/><Relationship Id="rId32" Type="http://schemas.openxmlformats.org/officeDocument/2006/relationships/hyperlink" Target="#'HARI 10'!X411"/><Relationship Id="rId31" Type="http://schemas.openxmlformats.org/officeDocument/2006/relationships/hyperlink" Target="#'HARI 10'!X399"/><Relationship Id="rId30" Type="http://schemas.openxmlformats.org/officeDocument/2006/relationships/hyperlink" Target="#'HARI 10'!X387"/><Relationship Id="rId3" Type="http://schemas.openxmlformats.org/officeDocument/2006/relationships/image" Target="../media/image9.png"/><Relationship Id="rId29" Type="http://schemas.openxmlformats.org/officeDocument/2006/relationships/hyperlink" Target="#'HARI 10'!Q426"/><Relationship Id="rId28" Type="http://schemas.openxmlformats.org/officeDocument/2006/relationships/hyperlink" Target="#'HARI 10'!W410"/><Relationship Id="rId27" Type="http://schemas.openxmlformats.org/officeDocument/2006/relationships/hyperlink" Target="#'HARI 10'!R347"/><Relationship Id="rId26" Type="http://schemas.openxmlformats.org/officeDocument/2006/relationships/hyperlink" Target="#'HARI 10'!R310"/><Relationship Id="rId25" Type="http://schemas.openxmlformats.org/officeDocument/2006/relationships/hyperlink" Target="#'HARI 10'!R253"/><Relationship Id="rId24" Type="http://schemas.openxmlformats.org/officeDocument/2006/relationships/hyperlink" Target="#'HARI 10'!R196"/><Relationship Id="rId23" Type="http://schemas.openxmlformats.org/officeDocument/2006/relationships/hyperlink" Target="#'HARI 10'!R139"/><Relationship Id="rId22" Type="http://schemas.openxmlformats.org/officeDocument/2006/relationships/hyperlink" Target="#'HARI 10'!R82"/><Relationship Id="rId21" Type="http://schemas.openxmlformats.org/officeDocument/2006/relationships/hyperlink" Target="#'HARI 10'!R25"/><Relationship Id="rId20" Type="http://schemas.openxmlformats.org/officeDocument/2006/relationships/hyperlink" Target="#'HARI 10'!B415"/><Relationship Id="rId2" Type="http://schemas.openxmlformats.org/officeDocument/2006/relationships/image" Target="../media/image8.jpeg"/><Relationship Id="rId19" Type="http://schemas.openxmlformats.org/officeDocument/2006/relationships/hyperlink" Target="#'HARI 10'!B402"/><Relationship Id="rId18" Type="http://schemas.openxmlformats.org/officeDocument/2006/relationships/hyperlink" Target="#'HARI 10'!I411"/><Relationship Id="rId17" Type="http://schemas.openxmlformats.org/officeDocument/2006/relationships/hyperlink" Target="#'HARI 10'!I399"/><Relationship Id="rId16" Type="http://schemas.openxmlformats.org/officeDocument/2006/relationships/hyperlink" Target="#'HARI 10'!I387"/><Relationship Id="rId15" Type="http://schemas.openxmlformats.org/officeDocument/2006/relationships/hyperlink" Target="#'HARI 10'!B426"/><Relationship Id="rId14" Type="http://schemas.openxmlformats.org/officeDocument/2006/relationships/hyperlink" Target="#'HARI 10'!H410"/><Relationship Id="rId13" Type="http://schemas.openxmlformats.org/officeDocument/2006/relationships/hyperlink" Target="#'HARI 10'!F347"/><Relationship Id="rId12" Type="http://schemas.openxmlformats.org/officeDocument/2006/relationships/hyperlink" Target="#'HARI 10'!F310"/><Relationship Id="rId11" Type="http://schemas.openxmlformats.org/officeDocument/2006/relationships/hyperlink" Target="#'HARI 10'!F253"/><Relationship Id="rId10" Type="http://schemas.openxmlformats.org/officeDocument/2006/relationships/hyperlink" Target="#'HARI 10'!F196"/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hyperlink" Target="#'HARI 11'!F139"/><Relationship Id="rId8" Type="http://schemas.openxmlformats.org/officeDocument/2006/relationships/hyperlink" Target="#'HARI 11'!F82"/><Relationship Id="rId7" Type="http://schemas.openxmlformats.org/officeDocument/2006/relationships/hyperlink" Target="#'HARI 11'!F25"/><Relationship Id="rId6" Type="http://schemas.openxmlformats.org/officeDocument/2006/relationships/image" Target="../media/image15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6" Type="http://schemas.openxmlformats.org/officeDocument/2006/relationships/hyperlink" Target="#'HARI 11'!S1"/><Relationship Id="rId35" Type="http://schemas.openxmlformats.org/officeDocument/2006/relationships/hyperlink" Target="#'HARI 11'!F1"/><Relationship Id="rId34" Type="http://schemas.openxmlformats.org/officeDocument/2006/relationships/hyperlink" Target="#'HARI 11'!Q415"/><Relationship Id="rId33" Type="http://schemas.openxmlformats.org/officeDocument/2006/relationships/hyperlink" Target="#'HARI 11'!Q402"/><Relationship Id="rId32" Type="http://schemas.openxmlformats.org/officeDocument/2006/relationships/hyperlink" Target="#'HARI 11'!X411"/><Relationship Id="rId31" Type="http://schemas.openxmlformats.org/officeDocument/2006/relationships/hyperlink" Target="#'HARI 11'!X399"/><Relationship Id="rId30" Type="http://schemas.openxmlformats.org/officeDocument/2006/relationships/hyperlink" Target="#'HARI 11'!X387"/><Relationship Id="rId3" Type="http://schemas.openxmlformats.org/officeDocument/2006/relationships/image" Target="../media/image9.png"/><Relationship Id="rId29" Type="http://schemas.openxmlformats.org/officeDocument/2006/relationships/hyperlink" Target="#'HARI 11'!Q426"/><Relationship Id="rId28" Type="http://schemas.openxmlformats.org/officeDocument/2006/relationships/hyperlink" Target="#'HARI 11'!W410"/><Relationship Id="rId27" Type="http://schemas.openxmlformats.org/officeDocument/2006/relationships/hyperlink" Target="#'HARI 11'!R347"/><Relationship Id="rId26" Type="http://schemas.openxmlformats.org/officeDocument/2006/relationships/hyperlink" Target="#'HARI 11'!R310"/><Relationship Id="rId25" Type="http://schemas.openxmlformats.org/officeDocument/2006/relationships/hyperlink" Target="#'HARI 1'!R253"/><Relationship Id="rId24" Type="http://schemas.openxmlformats.org/officeDocument/2006/relationships/hyperlink" Target="#'HARI 11'!R196"/><Relationship Id="rId23" Type="http://schemas.openxmlformats.org/officeDocument/2006/relationships/hyperlink" Target="#'HARI 11'!R139"/><Relationship Id="rId22" Type="http://schemas.openxmlformats.org/officeDocument/2006/relationships/hyperlink" Target="#'HARI 11'!R82"/><Relationship Id="rId21" Type="http://schemas.openxmlformats.org/officeDocument/2006/relationships/hyperlink" Target="#'HARI 11'!R25"/><Relationship Id="rId20" Type="http://schemas.openxmlformats.org/officeDocument/2006/relationships/hyperlink" Target="#'HARI 11'!B415"/><Relationship Id="rId2" Type="http://schemas.openxmlformats.org/officeDocument/2006/relationships/image" Target="../media/image8.jpeg"/><Relationship Id="rId19" Type="http://schemas.openxmlformats.org/officeDocument/2006/relationships/hyperlink" Target="#'HARI 11'!B402"/><Relationship Id="rId18" Type="http://schemas.openxmlformats.org/officeDocument/2006/relationships/hyperlink" Target="#'HARI 11'!I411"/><Relationship Id="rId17" Type="http://schemas.openxmlformats.org/officeDocument/2006/relationships/hyperlink" Target="#'HARI 11'!I399"/><Relationship Id="rId16" Type="http://schemas.openxmlformats.org/officeDocument/2006/relationships/hyperlink" Target="#'HARI 11'!I387"/><Relationship Id="rId15" Type="http://schemas.openxmlformats.org/officeDocument/2006/relationships/hyperlink" Target="#'HARI 11'!B426"/><Relationship Id="rId14" Type="http://schemas.openxmlformats.org/officeDocument/2006/relationships/hyperlink" Target="#'HARI 11'!H410"/><Relationship Id="rId13" Type="http://schemas.openxmlformats.org/officeDocument/2006/relationships/hyperlink" Target="#'HARI 11'!F347"/><Relationship Id="rId12" Type="http://schemas.openxmlformats.org/officeDocument/2006/relationships/hyperlink" Target="#'HARI 11'!F310"/><Relationship Id="rId11" Type="http://schemas.openxmlformats.org/officeDocument/2006/relationships/hyperlink" Target="#'HARI 11'!F253"/><Relationship Id="rId10" Type="http://schemas.openxmlformats.org/officeDocument/2006/relationships/hyperlink" Target="#'HARI 11'!F196"/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.pn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" Type="http://schemas.openxmlformats.org/officeDocument/2006/relationships/image" Target="../media/image10.png"/><Relationship Id="rId2" Type="http://schemas.openxmlformats.org/officeDocument/2006/relationships/image" Target="../media/image11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133350</xdr:colOff>
      <xdr:row>0</xdr:row>
      <xdr:rowOff>0</xdr:rowOff>
    </xdr:from>
    <xdr:to>
      <xdr:col>14</xdr:col>
      <xdr:colOff>178427</xdr:colOff>
      <xdr:row>6</xdr:row>
      <xdr:rowOff>115149</xdr:rowOff>
    </xdr:to>
    <xdr:grpSp>
      <xdr:nvGrpSpPr>
        <xdr:cNvPr id="2" name="Group 1"/>
        <xdr:cNvGrpSpPr/>
      </xdr:nvGrpSpPr>
      <xdr:grpSpPr>
        <a:xfrm>
          <a:off x="133350" y="0"/>
          <a:ext cx="9167495" cy="1372235"/>
          <a:chOff x="70650" y="0"/>
          <a:chExt cx="9297468" cy="123273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4" name="Group 3"/>
          <xdr:cNvGrpSpPr/>
        </xdr:nvGrpSpPr>
        <xdr:grpSpPr>
          <a:xfrm>
            <a:off x="1770530" y="0"/>
            <a:ext cx="7597588" cy="1232735"/>
            <a:chOff x="2121648" y="44824"/>
            <a:chExt cx="7597588" cy="1232735"/>
          </a:xfrm>
        </xdr:grpSpPr>
        <xdr:sp>
          <xdr:nvSpPr>
            <xdr:cNvPr id="5" name="TextBox 4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Initial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Recapitulation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6" name="TextBox 5"/>
            <xdr:cNvSpPr txBox="1"/>
          </xdr:nvSpPr>
          <xdr:spPr>
            <a:xfrm>
              <a:off x="2133146" y="754618"/>
              <a:ext cx="4389078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Input Saldo &amp; Kas Awal</a:t>
              </a: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96</xdr:col>
      <xdr:colOff>588977</xdr:colOff>
      <xdr:row>7</xdr:row>
      <xdr:rowOff>11537</xdr:rowOff>
    </xdr:to>
    <xdr:cxnSp>
      <xdr:nvCxnSpPr>
        <xdr:cNvPr id="7" name="Straight Connector 6"/>
        <xdr:cNvCxnSpPr/>
      </xdr:nvCxnSpPr>
      <xdr:spPr>
        <a:xfrm>
          <a:off x="0" y="1466850"/>
          <a:ext cx="6307518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288340</xdr:colOff>
      <xdr:row>11</xdr:row>
      <xdr:rowOff>44204</xdr:rowOff>
    </xdr:from>
    <xdr:ext cx="902151" cy="964057"/>
    <xdr:pic>
      <xdr:nvPicPr>
        <xdr:cNvPr id="8" name="Picture 7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932180" y="2313305"/>
          <a:ext cx="901700" cy="963930"/>
        </a:xfrm>
        <a:prstGeom prst="roundRect">
          <a:avLst/>
        </a:prstGeom>
      </xdr:spPr>
    </xdr:pic>
    <xdr:clientData/>
  </xdr:oneCellAnchor>
  <xdr:oneCellAnchor>
    <xdr:from>
      <xdr:col>1</xdr:col>
      <xdr:colOff>262993</xdr:colOff>
      <xdr:row>34</xdr:row>
      <xdr:rowOff>166948</xdr:rowOff>
    </xdr:from>
    <xdr:ext cx="918284" cy="1011466"/>
    <xdr:pic>
      <xdr:nvPicPr>
        <xdr:cNvPr id="9" name="Picture 8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906780" y="7137400"/>
          <a:ext cx="918210" cy="1011555"/>
        </a:xfrm>
        <a:prstGeom prst="rect">
          <a:avLst/>
        </a:prstGeom>
      </xdr:spPr>
    </xdr:pic>
    <xdr:clientData/>
  </xdr:oneCellAnchor>
  <xdr:oneCellAnchor>
    <xdr:from>
      <xdr:col>1</xdr:col>
      <xdr:colOff>265206</xdr:colOff>
      <xdr:row>29</xdr:row>
      <xdr:rowOff>3279</xdr:rowOff>
    </xdr:from>
    <xdr:ext cx="943428" cy="974208"/>
    <xdr:pic>
      <xdr:nvPicPr>
        <xdr:cNvPr id="10" name="Picture 9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908685" y="5956935"/>
          <a:ext cx="943610" cy="974090"/>
        </a:xfrm>
        <a:prstGeom prst="rect">
          <a:avLst/>
        </a:prstGeom>
      </xdr:spPr>
    </xdr:pic>
    <xdr:clientData/>
  </xdr:oneCellAnchor>
  <xdr:oneCellAnchor>
    <xdr:from>
      <xdr:col>1</xdr:col>
      <xdr:colOff>287662</xdr:colOff>
      <xdr:row>23</xdr:row>
      <xdr:rowOff>16823</xdr:rowOff>
    </xdr:from>
    <xdr:ext cx="895788" cy="986478"/>
    <xdr:pic>
      <xdr:nvPicPr>
        <xdr:cNvPr id="11" name="Picture 10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4710430"/>
          <a:ext cx="895350" cy="986790"/>
        </a:xfrm>
        <a:prstGeom prst="rect">
          <a:avLst/>
        </a:prstGeom>
      </xdr:spPr>
    </xdr:pic>
    <xdr:clientData/>
  </xdr:oneCellAnchor>
  <xdr:oneCellAnchor>
    <xdr:from>
      <xdr:col>1</xdr:col>
      <xdr:colOff>295008</xdr:colOff>
      <xdr:row>16</xdr:row>
      <xdr:rowOff>177639</xdr:rowOff>
    </xdr:from>
    <xdr:ext cx="903859" cy="942229"/>
    <xdr:pic>
      <xdr:nvPicPr>
        <xdr:cNvPr id="12" name="Picture 11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938530" y="3449320"/>
          <a:ext cx="903605" cy="942340"/>
        </a:xfrm>
        <a:prstGeom prst="round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3" name="Picture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4" name="Picture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5" name="Picture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6" name="Picture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14" name="Group 13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3" name="Group 12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1</a:t>
              </a: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6" name="Straight Connector 15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</xdr:row>
      <xdr:rowOff>170294</xdr:rowOff>
    </xdr:from>
    <xdr:to>
      <xdr:col>12</xdr:col>
      <xdr:colOff>18143</xdr:colOff>
      <xdr:row>22</xdr:row>
      <xdr:rowOff>61631</xdr:rowOff>
    </xdr:to>
    <xdr:grpSp>
      <xdr:nvGrpSpPr>
        <xdr:cNvPr id="52" name="Group 51"/>
        <xdr:cNvGrpSpPr/>
      </xdr:nvGrpSpPr>
      <xdr:grpSpPr>
        <a:xfrm>
          <a:off x="0" y="1637030"/>
          <a:ext cx="20753070" cy="3034665"/>
          <a:chOff x="-190578" y="1281544"/>
          <a:chExt cx="20857688" cy="2618102"/>
        </a:xfrm>
      </xdr:grpSpPr>
      <xdr:sp>
        <xdr:nvSpPr>
          <xdr:cNvPr id="17" name="Rectangle 16"/>
          <xdr:cNvSpPr/>
        </xdr:nvSpPr>
        <xdr:spPr>
          <a:xfrm>
            <a:off x="0" y="1281544"/>
            <a:ext cx="3031344" cy="435904"/>
          </a:xfrm>
          <a:prstGeom prst="rect">
            <a:avLst/>
          </a:prstGeom>
          <a:noFill/>
          <a:ln>
            <a:noFill/>
          </a:ln>
          <a:effectLst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en-ID" sz="2800" b="0" i="0" u="none" strike="noStrike" kern="0" cap="none" spc="0" normalizeH="0" baseline="0" noProof="0">
                <a:ln>
                  <a:noFill/>
                </a:ln>
                <a:solidFill>
                  <a:srgbClr val="185B96"/>
                </a:solidFill>
                <a:effectLst/>
                <a:uLnTx/>
                <a:uFillTx/>
                <a:latin typeface="Franklin Gothic Demi" panose="020B0703020102020204" pitchFamily="34" charset="0"/>
                <a:ea typeface="+mn-ea"/>
                <a:cs typeface="Arial" panose="020B0604020202020204" pitchFamily="7" charset="0"/>
              </a:rPr>
              <a:t>Transaction</a:t>
            </a:r>
            <a:r>
              <a:rPr kumimoji="0" lang="en-ID" sz="2800" b="0" i="0" u="none" strike="noStrike" kern="0" cap="none" spc="0" normalizeH="0" baseline="0" noProof="0">
                <a:ln>
                  <a:noFill/>
                </a:ln>
                <a:solidFill>
                  <a:srgbClr val="197ACF"/>
                </a:solidFill>
                <a:effectLst/>
                <a:uLnTx/>
                <a:uFillTx/>
                <a:latin typeface="+mn-lt"/>
                <a:ea typeface="+mn-ea"/>
                <a:cs typeface="Arial" panose="020B0604020202020204" pitchFamily="7" charset="0"/>
              </a:rPr>
              <a:t>Menu</a:t>
            </a:r>
            <a:endPara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endParaRPr>
          </a:p>
        </xdr:txBody>
      </xdr:sp>
      <xdr:sp>
        <xdr:nvSpPr>
          <xdr:cNvPr id="19" name="Rectangle 18"/>
          <xdr:cNvSpPr/>
        </xdr:nvSpPr>
        <xdr:spPr>
          <a:xfrm>
            <a:off x="-190578" y="1744916"/>
            <a:ext cx="20857688" cy="2109908"/>
          </a:xfrm>
          <a:prstGeom prst="rect">
            <a:avLst/>
          </a:prstGeom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2400" b="0">
              <a:solidFill>
                <a:schemeClr val="bg2"/>
              </a:solidFill>
              <a:latin typeface="Franklin Gothic Medium" panose="020B0603020102020204" pitchFamily="34" charset="0"/>
            </a:endParaRPr>
          </a:p>
        </xdr:txBody>
      </xdr:sp>
      <xdr:sp>
        <xdr:nvSpPr>
          <xdr:cNvPr id="20" name="Rectangle: Rounded Corners 19">
            <a:hlinkClick xmlns:r="http://schemas.openxmlformats.org/officeDocument/2006/relationships" r:id="rId7"/>
          </xdr:cNvPr>
          <xdr:cNvSpPr/>
        </xdr:nvSpPr>
        <xdr:spPr>
          <a:xfrm>
            <a:off x="43936" y="2133277"/>
            <a:ext cx="1996137" cy="345415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PULSA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21" name="Rectangle: Rounded Corners 20">
            <a:hlinkClick xmlns:r="http://schemas.openxmlformats.org/officeDocument/2006/relationships" r:id="rId8"/>
          </xdr:cNvPr>
          <xdr:cNvSpPr/>
        </xdr:nvSpPr>
        <xdr:spPr>
          <a:xfrm>
            <a:off x="38827" y="2518318"/>
            <a:ext cx="1995640" cy="345415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ROKOK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22" name="Rectangle: Rounded Corners 21">
            <a:hlinkClick xmlns:r="http://schemas.openxmlformats.org/officeDocument/2006/relationships" r:id="rId9"/>
          </xdr:cNvPr>
          <xdr:cNvSpPr/>
        </xdr:nvSpPr>
        <xdr:spPr>
          <a:xfrm>
            <a:off x="37397" y="2902147"/>
            <a:ext cx="1993078" cy="344323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SP &amp; VOUCHER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23" name="Rectangle: Rounded Corners 22">
            <a:hlinkClick xmlns:r="http://schemas.openxmlformats.org/officeDocument/2006/relationships" r:id="rId10"/>
          </xdr:cNvPr>
          <xdr:cNvSpPr/>
        </xdr:nvSpPr>
        <xdr:spPr>
          <a:xfrm>
            <a:off x="2126672" y="2131360"/>
            <a:ext cx="199278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SOFT DRINK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24" name="Rectangle: Rounded Corners 23">
            <a:hlinkClick xmlns:r="http://schemas.openxmlformats.org/officeDocument/2006/relationships" r:id="rId11"/>
          </xdr:cNvPr>
          <xdr:cNvSpPr/>
        </xdr:nvSpPr>
        <xdr:spPr>
          <a:xfrm>
            <a:off x="2124797" y="2523854"/>
            <a:ext cx="199278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ICE CREAM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25" name="Rectangle: Rounded Corners 24">
            <a:hlinkClick xmlns:r="http://schemas.openxmlformats.org/officeDocument/2006/relationships" r:id="rId12"/>
          </xdr:cNvPr>
          <xdr:cNvSpPr/>
        </xdr:nvSpPr>
        <xdr:spPr>
          <a:xfrm>
            <a:off x="4207216" y="2134642"/>
            <a:ext cx="1987641" cy="347738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AKSESORIS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26" name="Rectangle: Rounded Corners 25">
            <a:hlinkClick xmlns:r="http://schemas.openxmlformats.org/officeDocument/2006/relationships" r:id="rId13"/>
          </xdr:cNvPr>
          <xdr:cNvSpPr/>
        </xdr:nvSpPr>
        <xdr:spPr>
          <a:xfrm>
            <a:off x="4199157" y="2525515"/>
            <a:ext cx="1982752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HYDROGEL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27" name="Rectangle: Rounded Corners 26">
            <a:hlinkClick xmlns:r="http://schemas.openxmlformats.org/officeDocument/2006/relationships" r:id="rId14"/>
          </xdr:cNvPr>
          <xdr:cNvSpPr/>
        </xdr:nvSpPr>
        <xdr:spPr>
          <a:xfrm>
            <a:off x="11817004" y="2189950"/>
            <a:ext cx="2661084" cy="1155808"/>
          </a:xfrm>
          <a:prstGeom prst="roundRect">
            <a:avLst/>
          </a:prstGeom>
          <a:solidFill>
            <a:schemeClr val="bg2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20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TRANSACTION SUMMARY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cxnSp>
        <xdr:nvCxnSpPr>
          <xdr:cNvPr id="32" name="Straight Connector 31"/>
          <xdr:cNvCxnSpPr/>
        </xdr:nvCxnSpPr>
        <xdr:spPr>
          <a:xfrm flipH="1">
            <a:off x="6338864" y="1646199"/>
            <a:ext cx="6401" cy="2231037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6" name="Text_PagiGanjil"/>
          <xdr:cNvSpPr txBox="1"/>
        </xdr:nvSpPr>
        <xdr:spPr>
          <a:xfrm>
            <a:off x="0" y="1744916"/>
            <a:ext cx="2459690" cy="3628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D" sz="1800" b="0">
                <a:solidFill>
                  <a:schemeClr val="bg1"/>
                </a:solidFill>
                <a:latin typeface="+mn-lt"/>
              </a:rPr>
              <a:t>Sales</a:t>
            </a:r>
            <a:r>
              <a:rPr lang="en-ID" sz="1800" b="0" baseline="0">
                <a:solidFill>
                  <a:schemeClr val="bg1"/>
                </a:solidFill>
                <a:latin typeface="+mn-lt"/>
              </a:rPr>
              <a:t> Transaction</a:t>
            </a:r>
            <a:endParaRPr lang="en-ID" sz="1800" b="0">
              <a:solidFill>
                <a:schemeClr val="bg1"/>
              </a:solidFill>
              <a:latin typeface="+mn-lt"/>
            </a:endParaRPr>
          </a:p>
        </xdr:txBody>
      </xdr:sp>
      <xdr:sp>
        <xdr:nvSpPr>
          <xdr:cNvPr id="37" name="Text_PagiGanjil"/>
          <xdr:cNvSpPr txBox="1"/>
        </xdr:nvSpPr>
        <xdr:spPr>
          <a:xfrm>
            <a:off x="6356789" y="1740433"/>
            <a:ext cx="2730891" cy="3628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D" sz="1800" b="0">
                <a:solidFill>
                  <a:schemeClr val="bg1"/>
                </a:solidFill>
                <a:latin typeface="+mn-lt"/>
              </a:rPr>
              <a:t>Additional</a:t>
            </a:r>
            <a:r>
              <a:rPr lang="en-ID" sz="1800" b="0" baseline="0">
                <a:solidFill>
                  <a:schemeClr val="bg1"/>
                </a:solidFill>
                <a:latin typeface="+mn-lt"/>
              </a:rPr>
              <a:t> Transaction</a:t>
            </a:r>
            <a:endParaRPr lang="en-ID" sz="1800" b="0">
              <a:solidFill>
                <a:schemeClr val="bg1"/>
              </a:solidFill>
              <a:latin typeface="+mn-lt"/>
            </a:endParaRPr>
          </a:p>
        </xdr:txBody>
      </xdr:sp>
      <xdr:sp>
        <xdr:nvSpPr>
          <xdr:cNvPr id="38" name="Rectangle: Rounded Corners 37">
            <a:hlinkClick xmlns:r="http://schemas.openxmlformats.org/officeDocument/2006/relationships" r:id="rId15"/>
          </xdr:cNvPr>
          <xdr:cNvSpPr/>
        </xdr:nvSpPr>
        <xdr:spPr>
          <a:xfrm>
            <a:off x="8527568" y="2917798"/>
            <a:ext cx="2906180" cy="347461"/>
          </a:xfrm>
          <a:prstGeom prst="roundRect">
            <a:avLst/>
          </a:prstGeom>
          <a:solidFill>
            <a:schemeClr val="bg2">
              <a:lumMod val="50000"/>
            </a:schemeClr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bg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AKUN BEBAN &amp; KAS</a:t>
            </a:r>
            <a:endPara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40" name="Rectangle: Rounded Corners 39">
            <a:hlinkClick xmlns:r="http://schemas.openxmlformats.org/officeDocument/2006/relationships" r:id="rId16"/>
          </xdr:cNvPr>
          <xdr:cNvSpPr/>
        </xdr:nvSpPr>
        <xdr:spPr>
          <a:xfrm>
            <a:off x="6480759" y="2122714"/>
            <a:ext cx="1982752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ANTAR</a:t>
            </a:r>
            <a:r>
              <a:rPr lang="en-ID" sz="1600" b="0" baseline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 CABANG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41" name="Rectangle: Rounded Corners 40">
            <a:hlinkClick xmlns:r="http://schemas.openxmlformats.org/officeDocument/2006/relationships" r:id="rId17"/>
          </xdr:cNvPr>
          <xdr:cNvSpPr/>
        </xdr:nvSpPr>
        <xdr:spPr>
          <a:xfrm>
            <a:off x="6483746" y="2518441"/>
            <a:ext cx="1982752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RETUR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42" name="Rectangle: Rounded Corners 41">
            <a:hlinkClick xmlns:r="http://schemas.openxmlformats.org/officeDocument/2006/relationships" r:id="rId18"/>
          </xdr:cNvPr>
          <xdr:cNvSpPr/>
        </xdr:nvSpPr>
        <xdr:spPr>
          <a:xfrm>
            <a:off x="6479266" y="2906700"/>
            <a:ext cx="1982752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LAIN - LAIN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43" name="Rectangle: Rounded Corners 42">
            <a:hlinkClick xmlns:r="http://schemas.openxmlformats.org/officeDocument/2006/relationships" r:id="rId19"/>
          </xdr:cNvPr>
          <xdr:cNvSpPr/>
        </xdr:nvSpPr>
        <xdr:spPr>
          <a:xfrm>
            <a:off x="8499188" y="2124208"/>
            <a:ext cx="293455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TABEL</a:t>
            </a:r>
            <a:r>
              <a:rPr lang="en-ID" sz="1600" b="0" baseline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 PEMBANTU PIUTANG</a:t>
            </a:r>
            <a:endPara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44" name="Rectangle: Rounded Corners 43">
            <a:hlinkClick xmlns:r="http://schemas.openxmlformats.org/officeDocument/2006/relationships" r:id="rId20"/>
          </xdr:cNvPr>
          <xdr:cNvSpPr/>
        </xdr:nvSpPr>
        <xdr:spPr>
          <a:xfrm>
            <a:off x="8509643" y="2519936"/>
            <a:ext cx="293455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PEMBAYARAN PIUTANG</a:t>
            </a:r>
            <a:endPara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cxnSp>
        <xdr:nvCxnSpPr>
          <xdr:cNvPr id="46" name="Straight Connector 45"/>
          <xdr:cNvCxnSpPr/>
        </xdr:nvCxnSpPr>
        <xdr:spPr>
          <a:xfrm>
            <a:off x="11581334" y="1512582"/>
            <a:ext cx="0" cy="2387064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74" name="Picture 7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75" name="Picture 7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76" name="Picture 7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77" name="Picture 76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78" name="Picture 77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27</xdr:col>
      <xdr:colOff>0</xdr:colOff>
      <xdr:row>22</xdr:row>
      <xdr:rowOff>50613</xdr:rowOff>
    </xdr:to>
    <xdr:grpSp>
      <xdr:nvGrpSpPr>
        <xdr:cNvPr id="79" name="Group 78"/>
        <xdr:cNvGrpSpPr/>
      </xdr:nvGrpSpPr>
      <xdr:grpSpPr>
        <a:xfrm>
          <a:off x="22533610" y="1678305"/>
          <a:ext cx="20868640" cy="2981960"/>
          <a:chOff x="-560785" y="1310597"/>
          <a:chExt cx="20976431" cy="2589049"/>
        </a:xfrm>
      </xdr:grpSpPr>
      <xdr:sp>
        <xdr:nvSpPr>
          <xdr:cNvPr id="80" name="Rectangle 79"/>
          <xdr:cNvSpPr/>
        </xdr:nvSpPr>
        <xdr:spPr>
          <a:xfrm>
            <a:off x="-560785" y="1310597"/>
            <a:ext cx="3032331" cy="435904"/>
          </a:xfrm>
          <a:prstGeom prst="rect">
            <a:avLst/>
          </a:prstGeom>
          <a:noFill/>
          <a:ln>
            <a:noFill/>
          </a:ln>
          <a:effectLst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kumimoji="0" lang="en-ID" sz="2800" b="0" i="0" u="none" strike="noStrike" kern="0" cap="none" spc="0" normalizeH="0" baseline="0" noProof="0">
                <a:ln>
                  <a:noFill/>
                </a:ln>
                <a:solidFill>
                  <a:srgbClr val="185B96"/>
                </a:solidFill>
                <a:effectLst/>
                <a:uLnTx/>
                <a:uFillTx/>
                <a:latin typeface="Franklin Gothic Demi" panose="020B0703020102020204" pitchFamily="34" charset="0"/>
                <a:ea typeface="+mn-ea"/>
                <a:cs typeface="Arial" panose="020B0604020202020204" pitchFamily="7" charset="0"/>
              </a:rPr>
              <a:t>Transaction</a:t>
            </a:r>
            <a:r>
              <a:rPr kumimoji="0" lang="en-ID" sz="2800" b="0" i="0" u="none" strike="noStrike" kern="0" cap="none" spc="0" normalizeH="0" baseline="0" noProof="0">
                <a:ln>
                  <a:noFill/>
                </a:ln>
                <a:solidFill>
                  <a:srgbClr val="197ACF"/>
                </a:solidFill>
                <a:effectLst/>
                <a:uLnTx/>
                <a:uFillTx/>
                <a:latin typeface="+mn-lt"/>
                <a:ea typeface="+mn-ea"/>
                <a:cs typeface="Arial" panose="020B0604020202020204" pitchFamily="7" charset="0"/>
              </a:rPr>
              <a:t>Menu</a:t>
            </a:r>
            <a:endPara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endParaRPr>
          </a:p>
        </xdr:txBody>
      </xdr:sp>
      <xdr:sp>
        <xdr:nvSpPr>
          <xdr:cNvPr id="81" name="Rectangle 80"/>
          <xdr:cNvSpPr/>
        </xdr:nvSpPr>
        <xdr:spPr>
          <a:xfrm>
            <a:off x="-416102" y="1744915"/>
            <a:ext cx="20831748" cy="2109908"/>
          </a:xfrm>
          <a:prstGeom prst="rect">
            <a:avLst/>
          </a:prstGeom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2400" b="0">
              <a:solidFill>
                <a:schemeClr val="bg2"/>
              </a:solidFill>
              <a:latin typeface="Franklin Gothic Medium" panose="020B0603020102020204" pitchFamily="34" charset="0"/>
            </a:endParaRPr>
          </a:p>
        </xdr:txBody>
      </xdr:sp>
      <xdr:sp>
        <xdr:nvSpPr>
          <xdr:cNvPr id="82" name="Rectangle: Rounded Corners 81">
            <a:hlinkClick xmlns:r="http://schemas.openxmlformats.org/officeDocument/2006/relationships" r:id="rId21"/>
          </xdr:cNvPr>
          <xdr:cNvSpPr/>
        </xdr:nvSpPr>
        <xdr:spPr>
          <a:xfrm>
            <a:off x="43950" y="2133276"/>
            <a:ext cx="1996787" cy="345415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PULSA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83" name="Rectangle: Rounded Corners 82">
            <a:hlinkClick xmlns:r="http://schemas.openxmlformats.org/officeDocument/2006/relationships" r:id="rId22"/>
          </xdr:cNvPr>
          <xdr:cNvSpPr/>
        </xdr:nvSpPr>
        <xdr:spPr>
          <a:xfrm>
            <a:off x="38840" y="2518318"/>
            <a:ext cx="1996290" cy="345415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ROKOK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84" name="Rectangle: Rounded Corners 83">
            <a:hlinkClick xmlns:r="http://schemas.openxmlformats.org/officeDocument/2006/relationships" r:id="rId23"/>
          </xdr:cNvPr>
          <xdr:cNvSpPr/>
        </xdr:nvSpPr>
        <xdr:spPr>
          <a:xfrm>
            <a:off x="37409" y="2902146"/>
            <a:ext cx="1993727" cy="344323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SP &amp; VOUCHER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85" name="Rectangle: Rounded Corners 84">
            <a:hlinkClick xmlns:r="http://schemas.openxmlformats.org/officeDocument/2006/relationships" r:id="rId24"/>
          </xdr:cNvPr>
          <xdr:cNvSpPr/>
        </xdr:nvSpPr>
        <xdr:spPr>
          <a:xfrm>
            <a:off x="2127365" y="2131359"/>
            <a:ext cx="1993437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SOFT DRINK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86" name="Rectangle: Rounded Corners 85">
            <a:hlinkClick xmlns:r="http://schemas.openxmlformats.org/officeDocument/2006/relationships" r:id="rId25"/>
          </xdr:cNvPr>
          <xdr:cNvSpPr/>
        </xdr:nvSpPr>
        <xdr:spPr>
          <a:xfrm>
            <a:off x="2125489" y="2523853"/>
            <a:ext cx="1993437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ICE CREAM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87" name="Rectangle: Rounded Corners 86">
            <a:hlinkClick xmlns:r="http://schemas.openxmlformats.org/officeDocument/2006/relationships" r:id="rId26"/>
          </xdr:cNvPr>
          <xdr:cNvSpPr/>
        </xdr:nvSpPr>
        <xdr:spPr>
          <a:xfrm>
            <a:off x="4208586" y="2134641"/>
            <a:ext cx="1988288" cy="347738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AKSESORIS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88" name="Rectangle: Rounded Corners 87">
            <a:hlinkClick xmlns:r="http://schemas.openxmlformats.org/officeDocument/2006/relationships" r:id="rId27"/>
          </xdr:cNvPr>
          <xdr:cNvSpPr/>
        </xdr:nvSpPr>
        <xdr:spPr>
          <a:xfrm>
            <a:off x="4200525" y="2525514"/>
            <a:ext cx="198339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HYDROGEL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89" name="Rectangle: Rounded Corners 88">
            <a:hlinkClick xmlns:r="http://schemas.openxmlformats.org/officeDocument/2006/relationships" r:id="rId28"/>
          </xdr:cNvPr>
          <xdr:cNvSpPr/>
        </xdr:nvSpPr>
        <xdr:spPr>
          <a:xfrm>
            <a:off x="11820853" y="2189949"/>
            <a:ext cx="2661951" cy="1155808"/>
          </a:xfrm>
          <a:prstGeom prst="roundRect">
            <a:avLst/>
          </a:prstGeom>
          <a:solidFill>
            <a:schemeClr val="bg2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20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TRANSACTION SUMMARY</a:t>
            </a:r>
            <a:endPara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cxnSp>
        <xdr:nvCxnSpPr>
          <xdr:cNvPr id="90" name="Straight Connector 89"/>
          <xdr:cNvCxnSpPr/>
        </xdr:nvCxnSpPr>
        <xdr:spPr>
          <a:xfrm flipH="1">
            <a:off x="6340929" y="1646199"/>
            <a:ext cx="6403" cy="2231036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91" name="Text_PagiGanjil"/>
          <xdr:cNvSpPr txBox="1"/>
        </xdr:nvSpPr>
        <xdr:spPr>
          <a:xfrm>
            <a:off x="0" y="1744915"/>
            <a:ext cx="2460491" cy="3628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D" sz="1800" b="0">
                <a:solidFill>
                  <a:schemeClr val="bg1"/>
                </a:solidFill>
                <a:latin typeface="+mn-lt"/>
              </a:rPr>
              <a:t>Sales</a:t>
            </a:r>
            <a:r>
              <a:rPr lang="en-ID" sz="1800" b="0" baseline="0">
                <a:solidFill>
                  <a:schemeClr val="bg1"/>
                </a:solidFill>
                <a:latin typeface="+mn-lt"/>
              </a:rPr>
              <a:t> Transaction</a:t>
            </a:r>
            <a:endParaRPr lang="en-ID" sz="1800" b="0">
              <a:solidFill>
                <a:schemeClr val="bg1"/>
              </a:solidFill>
              <a:latin typeface="+mn-lt"/>
            </a:endParaRPr>
          </a:p>
        </xdr:txBody>
      </xdr:sp>
      <xdr:sp>
        <xdr:nvSpPr>
          <xdr:cNvPr id="92" name="Text_PagiGanjil"/>
          <xdr:cNvSpPr txBox="1"/>
        </xdr:nvSpPr>
        <xdr:spPr>
          <a:xfrm>
            <a:off x="6358859" y="1740433"/>
            <a:ext cx="2731780" cy="3628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D" sz="1800" b="0">
                <a:solidFill>
                  <a:schemeClr val="bg1"/>
                </a:solidFill>
                <a:latin typeface="+mn-lt"/>
              </a:rPr>
              <a:t>Additional</a:t>
            </a:r>
            <a:r>
              <a:rPr lang="en-ID" sz="1800" b="0" baseline="0">
                <a:solidFill>
                  <a:schemeClr val="bg1"/>
                </a:solidFill>
                <a:latin typeface="+mn-lt"/>
              </a:rPr>
              <a:t> Transaction</a:t>
            </a:r>
            <a:endParaRPr lang="en-ID" sz="1800" b="0">
              <a:solidFill>
                <a:schemeClr val="bg1"/>
              </a:solidFill>
              <a:latin typeface="+mn-lt"/>
            </a:endParaRPr>
          </a:p>
        </xdr:txBody>
      </xdr:sp>
      <xdr:sp>
        <xdr:nvSpPr>
          <xdr:cNvPr id="93" name="Rectangle: Rounded Corners 92">
            <a:hlinkClick xmlns:r="http://schemas.openxmlformats.org/officeDocument/2006/relationships" r:id="rId29"/>
          </xdr:cNvPr>
          <xdr:cNvSpPr/>
        </xdr:nvSpPr>
        <xdr:spPr>
          <a:xfrm>
            <a:off x="8530345" y="2917797"/>
            <a:ext cx="2907126" cy="347461"/>
          </a:xfrm>
          <a:prstGeom prst="roundRect">
            <a:avLst/>
          </a:prstGeom>
          <a:solidFill>
            <a:schemeClr val="bg2">
              <a:lumMod val="50000"/>
            </a:schemeClr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bg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AKUN BEBAN &amp; KAS</a:t>
            </a:r>
            <a:endPara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94" name="Rectangle: Rounded Corners 93">
            <a:hlinkClick xmlns:r="http://schemas.openxmlformats.org/officeDocument/2006/relationships" r:id="rId30"/>
          </xdr:cNvPr>
          <xdr:cNvSpPr/>
        </xdr:nvSpPr>
        <xdr:spPr>
          <a:xfrm>
            <a:off x="6482870" y="2122713"/>
            <a:ext cx="198339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ANTAR</a:t>
            </a:r>
            <a:r>
              <a:rPr lang="en-ID" sz="1600" b="0" baseline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 CABANG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95" name="Rectangle: Rounded Corners 94">
            <a:hlinkClick xmlns:r="http://schemas.openxmlformats.org/officeDocument/2006/relationships" r:id="rId31"/>
          </xdr:cNvPr>
          <xdr:cNvSpPr/>
        </xdr:nvSpPr>
        <xdr:spPr>
          <a:xfrm>
            <a:off x="6485858" y="2518441"/>
            <a:ext cx="198339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RETUR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96" name="Rectangle: Rounded Corners 95">
            <a:hlinkClick xmlns:r="http://schemas.openxmlformats.org/officeDocument/2006/relationships" r:id="rId32"/>
          </xdr:cNvPr>
          <xdr:cNvSpPr/>
        </xdr:nvSpPr>
        <xdr:spPr>
          <a:xfrm>
            <a:off x="6481376" y="2906699"/>
            <a:ext cx="1983398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LAIN - LAIN</a:t>
            </a:r>
            <a:endPara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97" name="Rectangle: Rounded Corners 96">
            <a:hlinkClick xmlns:r="http://schemas.openxmlformats.org/officeDocument/2006/relationships" r:id="rId33"/>
          </xdr:cNvPr>
          <xdr:cNvSpPr/>
        </xdr:nvSpPr>
        <xdr:spPr>
          <a:xfrm>
            <a:off x="8501956" y="2124208"/>
            <a:ext cx="2935514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TABEL</a:t>
            </a:r>
            <a:r>
              <a:rPr lang="en-ID" sz="1600" b="0" baseline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 PEMBANTU PIUTANG</a:t>
            </a:r>
            <a:endPara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sp>
        <xdr:nvSpPr>
          <xdr:cNvPr id="98" name="Rectangle: Rounded Corners 97">
            <a:hlinkClick xmlns:r="http://schemas.openxmlformats.org/officeDocument/2006/relationships" r:id="rId34"/>
          </xdr:cNvPr>
          <xdr:cNvSpPr/>
        </xdr:nvSpPr>
        <xdr:spPr>
          <a:xfrm>
            <a:off x="8512415" y="2519935"/>
            <a:ext cx="2935514" cy="347739"/>
          </a:xfrm>
          <a:prstGeom prst="roundRect">
            <a:avLst/>
          </a:prstGeom>
          <a:solidFill>
            <a:schemeClr val="bg1"/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600" b="0">
                <a:solidFill>
                  <a:schemeClr val="accent1"/>
                </a:solidFill>
                <a:latin typeface="Franklin Gothic Medium" panose="020B0603020102020204" pitchFamily="34" charset="0"/>
                <a:cs typeface="Arial" panose="020B0604020202020204" pitchFamily="7" charset="0"/>
              </a:rPr>
              <a:t>PEMBAYARAN PIUTANG</a:t>
            </a:r>
            <a:endPara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endParaRPr>
          </a:p>
        </xdr:txBody>
      </xdr:sp>
      <xdr:cxnSp>
        <xdr:nvCxnSpPr>
          <xdr:cNvPr id="99" name="Straight Connector 98"/>
          <xdr:cNvCxnSpPr/>
        </xdr:nvCxnSpPr>
        <xdr:spPr>
          <a:xfrm>
            <a:off x="11581334" y="1512582"/>
            <a:ext cx="0" cy="2387064"/>
          </a:xfrm>
          <a:prstGeom prst="line">
            <a:avLst/>
          </a:prstGeom>
          <a:ln w="1270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100" name="Rectangle: Rounded Corners 99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161637</xdr:colOff>
      <xdr:row>83</xdr:row>
      <xdr:rowOff>115454</xdr:rowOff>
    </xdr:from>
    <xdr:to>
      <xdr:col>11</xdr:col>
      <xdr:colOff>1443183</xdr:colOff>
      <xdr:row>87</xdr:row>
      <xdr:rowOff>173182</xdr:rowOff>
    </xdr:to>
    <xdr:sp>
      <xdr:nvSpPr>
        <xdr:cNvPr id="102" name="Rectangle: Rounded Corners 101">
          <a:hlinkClick xmlns:r="http://schemas.openxmlformats.org/officeDocument/2006/relationships" r:id="rId35"/>
        </xdr:cNvPr>
        <xdr:cNvSpPr/>
      </xdr:nvSpPr>
      <xdr:spPr>
        <a:xfrm>
          <a:off x="16784955" y="18284190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80818</xdr:colOff>
      <xdr:row>140</xdr:row>
      <xdr:rowOff>150091</xdr:rowOff>
    </xdr:from>
    <xdr:to>
      <xdr:col>11</xdr:col>
      <xdr:colOff>1362364</xdr:colOff>
      <xdr:row>145</xdr:row>
      <xdr:rowOff>23092</xdr:rowOff>
    </xdr:to>
    <xdr:sp>
      <xdr:nvSpPr>
        <xdr:cNvPr id="103" name="Rectangle: Rounded Corners 102">
          <a:hlinkClick xmlns:r="http://schemas.openxmlformats.org/officeDocument/2006/relationships" r:id="rId35"/>
        </xdr:cNvPr>
        <xdr:cNvSpPr/>
      </xdr:nvSpPr>
      <xdr:spPr>
        <a:xfrm>
          <a:off x="16704310" y="3023044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150091</xdr:colOff>
      <xdr:row>198</xdr:row>
      <xdr:rowOff>34636</xdr:rowOff>
    </xdr:from>
    <xdr:to>
      <xdr:col>11</xdr:col>
      <xdr:colOff>1431637</xdr:colOff>
      <xdr:row>202</xdr:row>
      <xdr:rowOff>92364</xdr:rowOff>
    </xdr:to>
    <xdr:sp>
      <xdr:nvSpPr>
        <xdr:cNvPr id="104" name="Rectangle: Rounded Corners 103">
          <a:hlinkClick xmlns:r="http://schemas.openxmlformats.org/officeDocument/2006/relationships" r:id="rId35"/>
        </xdr:cNvPr>
        <xdr:cNvSpPr/>
      </xdr:nvSpPr>
      <xdr:spPr>
        <a:xfrm>
          <a:off x="16773525" y="4234497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103909</xdr:colOff>
      <xdr:row>255</xdr:row>
      <xdr:rowOff>23092</xdr:rowOff>
    </xdr:from>
    <xdr:to>
      <xdr:col>11</xdr:col>
      <xdr:colOff>1385455</xdr:colOff>
      <xdr:row>259</xdr:row>
      <xdr:rowOff>80820</xdr:rowOff>
    </xdr:to>
    <xdr:sp>
      <xdr:nvSpPr>
        <xdr:cNvPr id="105" name="Rectangle: Rounded Corners 104">
          <a:hlinkClick xmlns:r="http://schemas.openxmlformats.org/officeDocument/2006/relationships" r:id="rId35"/>
        </xdr:cNvPr>
        <xdr:cNvSpPr/>
      </xdr:nvSpPr>
      <xdr:spPr>
        <a:xfrm>
          <a:off x="16727170" y="5435409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80818</xdr:colOff>
      <xdr:row>311</xdr:row>
      <xdr:rowOff>173182</xdr:rowOff>
    </xdr:from>
    <xdr:to>
      <xdr:col>11</xdr:col>
      <xdr:colOff>1362364</xdr:colOff>
      <xdr:row>316</xdr:row>
      <xdr:rowOff>46182</xdr:rowOff>
    </xdr:to>
    <xdr:sp>
      <xdr:nvSpPr>
        <xdr:cNvPr id="106" name="Rectangle: Rounded Corners 105">
          <a:hlinkClick xmlns:r="http://schemas.openxmlformats.org/officeDocument/2006/relationships" r:id="rId35"/>
        </xdr:cNvPr>
        <xdr:cNvSpPr/>
      </xdr:nvSpPr>
      <xdr:spPr>
        <a:xfrm>
          <a:off x="16704310" y="6631495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150091</xdr:colOff>
      <xdr:row>349</xdr:row>
      <xdr:rowOff>34637</xdr:rowOff>
    </xdr:from>
    <xdr:to>
      <xdr:col>11</xdr:col>
      <xdr:colOff>1431637</xdr:colOff>
      <xdr:row>353</xdr:row>
      <xdr:rowOff>92365</xdr:rowOff>
    </xdr:to>
    <xdr:sp>
      <xdr:nvSpPr>
        <xdr:cNvPr id="107" name="Rectangle: Rounded Corners 106">
          <a:hlinkClick xmlns:r="http://schemas.openxmlformats.org/officeDocument/2006/relationships" r:id="rId35"/>
        </xdr:cNvPr>
        <xdr:cNvSpPr/>
      </xdr:nvSpPr>
      <xdr:spPr>
        <a:xfrm>
          <a:off x="16773525" y="7421562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11</xdr:col>
      <xdr:colOff>69273</xdr:colOff>
      <xdr:row>442</xdr:row>
      <xdr:rowOff>108239</xdr:rowOff>
    </xdr:from>
    <xdr:to>
      <xdr:col>13</xdr:col>
      <xdr:colOff>461819</xdr:colOff>
      <xdr:row>446</xdr:row>
      <xdr:rowOff>15876</xdr:rowOff>
    </xdr:to>
    <xdr:sp>
      <xdr:nvSpPr>
        <xdr:cNvPr id="108" name="Rectangle: Rounded Corners 107">
          <a:hlinkClick xmlns:r="http://schemas.openxmlformats.org/officeDocument/2006/relationships" r:id="rId35"/>
        </xdr:cNvPr>
        <xdr:cNvSpPr/>
      </xdr:nvSpPr>
      <xdr:spPr>
        <a:xfrm>
          <a:off x="18634710" y="96485075"/>
          <a:ext cx="3206115" cy="8509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26</xdr:col>
      <xdr:colOff>95250</xdr:colOff>
      <xdr:row>442</xdr:row>
      <xdr:rowOff>142875</xdr:rowOff>
    </xdr:from>
    <xdr:to>
      <xdr:col>28</xdr:col>
      <xdr:colOff>487796</xdr:colOff>
      <xdr:row>446</xdr:row>
      <xdr:rowOff>50512</xdr:rowOff>
    </xdr:to>
    <xdr:sp>
      <xdr:nvSpPr>
        <xdr:cNvPr id="109" name="Rectangle: Rounded Corners 108">
          <a:hlinkClick xmlns:r="http://schemas.openxmlformats.org/officeDocument/2006/relationships" r:id="rId36"/>
        </xdr:cNvPr>
        <xdr:cNvSpPr/>
      </xdr:nvSpPr>
      <xdr:spPr>
        <a:xfrm>
          <a:off x="41327705" y="96520000"/>
          <a:ext cx="3206115" cy="85026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120650</xdr:colOff>
      <xdr:row>348</xdr:row>
      <xdr:rowOff>152400</xdr:rowOff>
    </xdr:from>
    <xdr:to>
      <xdr:col>26</xdr:col>
      <xdr:colOff>1402196</xdr:colOff>
      <xdr:row>352</xdr:row>
      <xdr:rowOff>187037</xdr:rowOff>
    </xdr:to>
    <xdr:sp>
      <xdr:nvSpPr>
        <xdr:cNvPr id="110" name="Rectangle: Rounded Corners 109">
          <a:hlinkClick xmlns:r="http://schemas.openxmlformats.org/officeDocument/2006/relationships" r:id="rId36"/>
        </xdr:cNvPr>
        <xdr:cNvSpPr/>
      </xdr:nvSpPr>
      <xdr:spPr>
        <a:xfrm>
          <a:off x="39411275" y="74124185"/>
          <a:ext cx="3223260" cy="87249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95250</xdr:colOff>
      <xdr:row>311</xdr:row>
      <xdr:rowOff>174625</xdr:rowOff>
    </xdr:from>
    <xdr:to>
      <xdr:col>26</xdr:col>
      <xdr:colOff>1376796</xdr:colOff>
      <xdr:row>316</xdr:row>
      <xdr:rowOff>18762</xdr:rowOff>
    </xdr:to>
    <xdr:sp>
      <xdr:nvSpPr>
        <xdr:cNvPr id="111" name="Rectangle: Rounded Corners 110">
          <a:hlinkClick xmlns:r="http://schemas.openxmlformats.org/officeDocument/2006/relationships" r:id="rId36"/>
        </xdr:cNvPr>
        <xdr:cNvSpPr/>
      </xdr:nvSpPr>
      <xdr:spPr>
        <a:xfrm>
          <a:off x="39385875" y="66316860"/>
          <a:ext cx="3223260" cy="89154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95250</xdr:colOff>
      <xdr:row>255</xdr:row>
      <xdr:rowOff>0</xdr:rowOff>
    </xdr:from>
    <xdr:to>
      <xdr:col>26</xdr:col>
      <xdr:colOff>1376796</xdr:colOff>
      <xdr:row>259</xdr:row>
      <xdr:rowOff>34637</xdr:rowOff>
    </xdr:to>
    <xdr:sp>
      <xdr:nvSpPr>
        <xdr:cNvPr id="112" name="Rectangle: Rounded Corners 111">
          <a:hlinkClick xmlns:r="http://schemas.openxmlformats.org/officeDocument/2006/relationships" r:id="rId36"/>
        </xdr:cNvPr>
        <xdr:cNvSpPr/>
      </xdr:nvSpPr>
      <xdr:spPr>
        <a:xfrm>
          <a:off x="39385875" y="54331235"/>
          <a:ext cx="3223260" cy="87249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127000</xdr:colOff>
      <xdr:row>198</xdr:row>
      <xdr:rowOff>0</xdr:rowOff>
    </xdr:from>
    <xdr:to>
      <xdr:col>26</xdr:col>
      <xdr:colOff>1408546</xdr:colOff>
      <xdr:row>202</xdr:row>
      <xdr:rowOff>34637</xdr:rowOff>
    </xdr:to>
    <xdr:sp>
      <xdr:nvSpPr>
        <xdr:cNvPr id="113" name="Rectangle: Rounded Corners 112">
          <a:hlinkClick xmlns:r="http://schemas.openxmlformats.org/officeDocument/2006/relationships" r:id="rId36"/>
        </xdr:cNvPr>
        <xdr:cNvSpPr/>
      </xdr:nvSpPr>
      <xdr:spPr>
        <a:xfrm>
          <a:off x="39417625" y="42310685"/>
          <a:ext cx="3223260" cy="87249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111125</xdr:colOff>
      <xdr:row>141</xdr:row>
      <xdr:rowOff>0</xdr:rowOff>
    </xdr:from>
    <xdr:to>
      <xdr:col>26</xdr:col>
      <xdr:colOff>1392671</xdr:colOff>
      <xdr:row>145</xdr:row>
      <xdr:rowOff>34637</xdr:rowOff>
    </xdr:to>
    <xdr:sp>
      <xdr:nvSpPr>
        <xdr:cNvPr id="114" name="Rectangle: Rounded Corners 113">
          <a:hlinkClick xmlns:r="http://schemas.openxmlformats.org/officeDocument/2006/relationships" r:id="rId36"/>
        </xdr:cNvPr>
        <xdr:cNvSpPr/>
      </xdr:nvSpPr>
      <xdr:spPr>
        <a:xfrm>
          <a:off x="39401750" y="30290135"/>
          <a:ext cx="3223260" cy="87249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111125</xdr:colOff>
      <xdr:row>84</xdr:row>
      <xdr:rowOff>0</xdr:rowOff>
    </xdr:from>
    <xdr:to>
      <xdr:col>26</xdr:col>
      <xdr:colOff>1392671</xdr:colOff>
      <xdr:row>88</xdr:row>
      <xdr:rowOff>34637</xdr:rowOff>
    </xdr:to>
    <xdr:sp>
      <xdr:nvSpPr>
        <xdr:cNvPr id="115" name="Rectangle: Rounded Corners 114">
          <a:hlinkClick xmlns:r="http://schemas.openxmlformats.org/officeDocument/2006/relationships" r:id="rId36"/>
        </xdr:cNvPr>
        <xdr:cNvSpPr/>
      </xdr:nvSpPr>
      <xdr:spPr>
        <a:xfrm>
          <a:off x="39401750" y="18378805"/>
          <a:ext cx="3223260" cy="87249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349250</xdr:colOff>
      <xdr:row>62</xdr:row>
      <xdr:rowOff>0</xdr:rowOff>
    </xdr:from>
    <xdr:to>
      <xdr:col>25</xdr:col>
      <xdr:colOff>1630796</xdr:colOff>
      <xdr:row>66</xdr:row>
      <xdr:rowOff>34637</xdr:rowOff>
    </xdr:to>
    <xdr:sp>
      <xdr:nvSpPr>
        <xdr:cNvPr id="116" name="Rectangle: Rounded Corners 115">
          <a:hlinkClick xmlns:r="http://schemas.openxmlformats.org/officeDocument/2006/relationships" r:id="rId36"/>
        </xdr:cNvPr>
        <xdr:cNvSpPr/>
      </xdr:nvSpPr>
      <xdr:spPr>
        <a:xfrm>
          <a:off x="37698045" y="13692505"/>
          <a:ext cx="3223260" cy="87249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34636</xdr:colOff>
      <xdr:row>10</xdr:row>
      <xdr:rowOff>85303</xdr:rowOff>
    </xdr:from>
    <xdr:to>
      <xdr:col>12</xdr:col>
      <xdr:colOff>52779</xdr:colOff>
      <xdr:row>22</xdr:row>
      <xdr:rowOff>14569</xdr:rowOff>
    </xdr:to>
    <xdr:sp>
      <xdr:nvSpPr>
        <xdr:cNvPr id="15" name="Rectangle 14"/>
        <xdr:cNvSpPr/>
      </xdr:nvSpPr>
      <xdr:spPr>
        <a:xfrm>
          <a:off x="34290" y="2180590"/>
          <a:ext cx="20753705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3" name="Picture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4" name="Picture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5" name="Picture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6" name="Picture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7" name="Group 6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9" name="Group 8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0" name="TextBox 9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1" name="TextBox 10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2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2" name="Straight Connector 11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6" name="Rectangle: Rounded Corners 15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7" name="Rectangle: Rounded Corners 16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8" name="Rectangle: Rounded Corners 17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9" name="Rectangle: Rounded Corners 18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20" name="Rectangle: Rounded Corners 19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1" name="Rectangle: Rounded Corners 20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2" name="Rectangle: Rounded Corners 21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3" name="Rectangle: Rounded Corners 22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4" name="Straight Connector 23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5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6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7" name="Rectangle: Rounded Corners 26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8" name="Rectangle: Rounded Corners 27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9" name="Rectangle: Rounded Corners 28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30" name="Rectangle: Rounded Corners 29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1" name="Rectangle: Rounded Corners 30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2" name="Rectangle: Rounded Corners 31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3" name="Straight Connector 32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4" name="Picture 3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5" name="Picture 34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6" name="Picture 3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7" name="Picture 36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8" name="Picture 37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40" name="Rectangle 39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41" name="Rectangle 40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2" name="Rectangle: Rounded Corners 41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3" name="Rectangle: Rounded Corners 42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4" name="Rectangle: Rounded Corners 43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5" name="Rectangle: Rounded Corners 44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6" name="Rectangle: Rounded Corners 45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7" name="Rectangle: Rounded Corners 46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8" name="Rectangle: Rounded Corners 47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9" name="Rectangle: Rounded Corners 48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50" name="Straight Connector 49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51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2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3" name="Rectangle: Rounded Corners 52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4" name="Rectangle: Rounded Corners 53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5" name="Rectangle: Rounded Corners 54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6" name="Rectangle: Rounded Corners 55">
          <a:hlinkClick xmlns:r="http://schemas.openxmlformats.org/officeDocument/2006/relationships" r:id="rId18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7" name="Rectangle: Rounded Corners 56">
          <a:hlinkClick xmlns:r="http://schemas.openxmlformats.org/officeDocument/2006/relationships" r:id="rId32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8" name="Rectangle: Rounded Corners 57">
          <a:hlinkClick xmlns:r="http://schemas.openxmlformats.org/officeDocument/2006/relationships" r:id="rId33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9" name="Straight Connector 58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60" name="Rectangle: Rounded Corners 59">
          <a:hlinkClick xmlns:r="http://schemas.openxmlformats.org/officeDocument/2006/relationships" r:id="rId34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302490</xdr:colOff>
      <xdr:row>61</xdr:row>
      <xdr:rowOff>166253</xdr:rowOff>
    </xdr:from>
    <xdr:to>
      <xdr:col>25</xdr:col>
      <xdr:colOff>1584037</xdr:colOff>
      <xdr:row>66</xdr:row>
      <xdr:rowOff>39254</xdr:rowOff>
    </xdr:to>
    <xdr:sp>
      <xdr:nvSpPr>
        <xdr:cNvPr id="39" name="Rectangle: Rounded Corners 38">
          <a:hlinkClick xmlns:r="http://schemas.openxmlformats.org/officeDocument/2006/relationships" r:id="rId35"/>
        </xdr:cNvPr>
        <xdr:cNvSpPr/>
      </xdr:nvSpPr>
      <xdr:spPr>
        <a:xfrm>
          <a:off x="37651055" y="13648690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69273</xdr:colOff>
      <xdr:row>83</xdr:row>
      <xdr:rowOff>126999</xdr:rowOff>
    </xdr:from>
    <xdr:to>
      <xdr:col>11</xdr:col>
      <xdr:colOff>1350819</xdr:colOff>
      <xdr:row>88</xdr:row>
      <xdr:rowOff>0</xdr:rowOff>
    </xdr:to>
    <xdr:sp>
      <xdr:nvSpPr>
        <xdr:cNvPr id="61" name="Rectangle: Rounded Corners 60">
          <a:hlinkClick xmlns:r="http://schemas.openxmlformats.org/officeDocument/2006/relationships" r:id="rId34"/>
        </xdr:cNvPr>
        <xdr:cNvSpPr/>
      </xdr:nvSpPr>
      <xdr:spPr>
        <a:xfrm>
          <a:off x="16692880" y="18295620"/>
          <a:ext cx="3223260" cy="9213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150091</xdr:colOff>
      <xdr:row>141</xdr:row>
      <xdr:rowOff>0</xdr:rowOff>
    </xdr:from>
    <xdr:to>
      <xdr:col>11</xdr:col>
      <xdr:colOff>1431637</xdr:colOff>
      <xdr:row>145</xdr:row>
      <xdr:rowOff>57728</xdr:rowOff>
    </xdr:to>
    <xdr:sp>
      <xdr:nvSpPr>
        <xdr:cNvPr id="62" name="Rectangle: Rounded Corners 61">
          <a:hlinkClick xmlns:r="http://schemas.openxmlformats.org/officeDocument/2006/relationships" r:id="rId34"/>
        </xdr:cNvPr>
        <xdr:cNvSpPr/>
      </xdr:nvSpPr>
      <xdr:spPr>
        <a:xfrm>
          <a:off x="16773525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197</xdr:row>
      <xdr:rowOff>138545</xdr:rowOff>
    </xdr:from>
    <xdr:to>
      <xdr:col>11</xdr:col>
      <xdr:colOff>1397001</xdr:colOff>
      <xdr:row>202</xdr:row>
      <xdr:rowOff>11546</xdr:rowOff>
    </xdr:to>
    <xdr:sp>
      <xdr:nvSpPr>
        <xdr:cNvPr id="63" name="Rectangle: Rounded Corners 62">
          <a:hlinkClick xmlns:r="http://schemas.openxmlformats.org/officeDocument/2006/relationships" r:id="rId34"/>
        </xdr:cNvPr>
        <xdr:cNvSpPr/>
      </xdr:nvSpPr>
      <xdr:spPr>
        <a:xfrm>
          <a:off x="16738600" y="4223956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103909</xdr:colOff>
      <xdr:row>254</xdr:row>
      <xdr:rowOff>115455</xdr:rowOff>
    </xdr:from>
    <xdr:to>
      <xdr:col>11</xdr:col>
      <xdr:colOff>1385455</xdr:colOff>
      <xdr:row>258</xdr:row>
      <xdr:rowOff>173183</xdr:rowOff>
    </xdr:to>
    <xdr:sp>
      <xdr:nvSpPr>
        <xdr:cNvPr id="64" name="Rectangle: Rounded Corners 63">
          <a:hlinkClick xmlns:r="http://schemas.openxmlformats.org/officeDocument/2006/relationships" r:id="rId34"/>
        </xdr:cNvPr>
        <xdr:cNvSpPr/>
      </xdr:nvSpPr>
      <xdr:spPr>
        <a:xfrm>
          <a:off x="16727170" y="54236620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161636</xdr:colOff>
      <xdr:row>312</xdr:row>
      <xdr:rowOff>34636</xdr:rowOff>
    </xdr:from>
    <xdr:to>
      <xdr:col>11</xdr:col>
      <xdr:colOff>1443182</xdr:colOff>
      <xdr:row>316</xdr:row>
      <xdr:rowOff>92364</xdr:rowOff>
    </xdr:to>
    <xdr:sp>
      <xdr:nvSpPr>
        <xdr:cNvPr id="65" name="Rectangle: Rounded Corners 64">
          <a:hlinkClick xmlns:r="http://schemas.openxmlformats.org/officeDocument/2006/relationships" r:id="rId34"/>
        </xdr:cNvPr>
        <xdr:cNvSpPr/>
      </xdr:nvSpPr>
      <xdr:spPr>
        <a:xfrm>
          <a:off x="16784955" y="6638607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69273</xdr:colOff>
      <xdr:row>348</xdr:row>
      <xdr:rowOff>138546</xdr:rowOff>
    </xdr:from>
    <xdr:to>
      <xdr:col>11</xdr:col>
      <xdr:colOff>1350819</xdr:colOff>
      <xdr:row>353</xdr:row>
      <xdr:rowOff>11547</xdr:rowOff>
    </xdr:to>
    <xdr:sp>
      <xdr:nvSpPr>
        <xdr:cNvPr id="66" name="Rectangle: Rounded Corners 65">
          <a:hlinkClick xmlns:r="http://schemas.openxmlformats.org/officeDocument/2006/relationships" r:id="rId34"/>
        </xdr:cNvPr>
        <xdr:cNvSpPr/>
      </xdr:nvSpPr>
      <xdr:spPr>
        <a:xfrm>
          <a:off x="16692880" y="7411021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1916545</xdr:colOff>
      <xdr:row>442</xdr:row>
      <xdr:rowOff>57728</xdr:rowOff>
    </xdr:from>
    <xdr:to>
      <xdr:col>13</xdr:col>
      <xdr:colOff>357910</xdr:colOff>
      <xdr:row>445</xdr:row>
      <xdr:rowOff>150092</xdr:rowOff>
    </xdr:to>
    <xdr:sp>
      <xdr:nvSpPr>
        <xdr:cNvPr id="67" name="Rectangle: Rounded Corners 66">
          <a:hlinkClick xmlns:r="http://schemas.openxmlformats.org/officeDocument/2006/relationships" r:id="rId34"/>
        </xdr:cNvPr>
        <xdr:cNvSpPr/>
      </xdr:nvSpPr>
      <xdr:spPr>
        <a:xfrm>
          <a:off x="18540095" y="96434275"/>
          <a:ext cx="3196590" cy="82613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142875</xdr:colOff>
      <xdr:row>84</xdr:row>
      <xdr:rowOff>15875</xdr:rowOff>
    </xdr:from>
    <xdr:to>
      <xdr:col>26</xdr:col>
      <xdr:colOff>1424421</xdr:colOff>
      <xdr:row>88</xdr:row>
      <xdr:rowOff>73603</xdr:rowOff>
    </xdr:to>
    <xdr:sp>
      <xdr:nvSpPr>
        <xdr:cNvPr id="68" name="Rectangle: Rounded Corners 67">
          <a:hlinkClick xmlns:r="http://schemas.openxmlformats.org/officeDocument/2006/relationships" r:id="rId35"/>
        </xdr:cNvPr>
        <xdr:cNvSpPr/>
      </xdr:nvSpPr>
      <xdr:spPr>
        <a:xfrm>
          <a:off x="39433500" y="18394680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142875</xdr:colOff>
      <xdr:row>140</xdr:row>
      <xdr:rowOff>15875</xdr:rowOff>
    </xdr:from>
    <xdr:to>
      <xdr:col>26</xdr:col>
      <xdr:colOff>1424422</xdr:colOff>
      <xdr:row>144</xdr:row>
      <xdr:rowOff>79376</xdr:rowOff>
    </xdr:to>
    <xdr:sp>
      <xdr:nvSpPr>
        <xdr:cNvPr id="69" name="Rectangle: Rounded Corners 68">
          <a:hlinkClick xmlns:r="http://schemas.openxmlformats.org/officeDocument/2006/relationships" r:id="rId35"/>
        </xdr:cNvPr>
        <xdr:cNvSpPr/>
      </xdr:nvSpPr>
      <xdr:spPr>
        <a:xfrm>
          <a:off x="39433500" y="30096460"/>
          <a:ext cx="3223260" cy="9017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127000</xdr:colOff>
      <xdr:row>197</xdr:row>
      <xdr:rowOff>142875</xdr:rowOff>
    </xdr:from>
    <xdr:to>
      <xdr:col>26</xdr:col>
      <xdr:colOff>1408547</xdr:colOff>
      <xdr:row>202</xdr:row>
      <xdr:rowOff>15876</xdr:rowOff>
    </xdr:to>
    <xdr:sp>
      <xdr:nvSpPr>
        <xdr:cNvPr id="70" name="Rectangle: Rounded Corners 69">
          <a:hlinkClick xmlns:r="http://schemas.openxmlformats.org/officeDocument/2006/relationships" r:id="rId35"/>
        </xdr:cNvPr>
        <xdr:cNvSpPr/>
      </xdr:nvSpPr>
      <xdr:spPr>
        <a:xfrm>
          <a:off x="39417625" y="42244010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158750</xdr:colOff>
      <xdr:row>254</xdr:row>
      <xdr:rowOff>95250</xdr:rowOff>
    </xdr:from>
    <xdr:to>
      <xdr:col>26</xdr:col>
      <xdr:colOff>1440297</xdr:colOff>
      <xdr:row>258</xdr:row>
      <xdr:rowOff>158751</xdr:rowOff>
    </xdr:to>
    <xdr:sp>
      <xdr:nvSpPr>
        <xdr:cNvPr id="71" name="Rectangle: Rounded Corners 70">
          <a:hlinkClick xmlns:r="http://schemas.openxmlformats.org/officeDocument/2006/relationships" r:id="rId35"/>
        </xdr:cNvPr>
        <xdr:cNvSpPr/>
      </xdr:nvSpPr>
      <xdr:spPr>
        <a:xfrm>
          <a:off x="39449375" y="54216935"/>
          <a:ext cx="3223260" cy="9017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174625</xdr:colOff>
      <xdr:row>312</xdr:row>
      <xdr:rowOff>0</xdr:rowOff>
    </xdr:from>
    <xdr:to>
      <xdr:col>26</xdr:col>
      <xdr:colOff>1456172</xdr:colOff>
      <xdr:row>316</xdr:row>
      <xdr:rowOff>63501</xdr:rowOff>
    </xdr:to>
    <xdr:sp>
      <xdr:nvSpPr>
        <xdr:cNvPr id="72" name="Rectangle: Rounded Corners 71">
          <a:hlinkClick xmlns:r="http://schemas.openxmlformats.org/officeDocument/2006/relationships" r:id="rId35"/>
        </xdr:cNvPr>
        <xdr:cNvSpPr/>
      </xdr:nvSpPr>
      <xdr:spPr>
        <a:xfrm>
          <a:off x="39465250" y="66351785"/>
          <a:ext cx="3223260" cy="9017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142875</xdr:colOff>
      <xdr:row>348</xdr:row>
      <xdr:rowOff>127000</xdr:rowOff>
    </xdr:from>
    <xdr:to>
      <xdr:col>26</xdr:col>
      <xdr:colOff>1424422</xdr:colOff>
      <xdr:row>353</xdr:row>
      <xdr:rowOff>1</xdr:rowOff>
    </xdr:to>
    <xdr:sp>
      <xdr:nvSpPr>
        <xdr:cNvPr id="73" name="Rectangle: Rounded Corners 72">
          <a:hlinkClick xmlns:r="http://schemas.openxmlformats.org/officeDocument/2006/relationships" r:id="rId35"/>
        </xdr:cNvPr>
        <xdr:cNvSpPr/>
      </xdr:nvSpPr>
      <xdr:spPr>
        <a:xfrm>
          <a:off x="39433500" y="7409878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1762125</xdr:colOff>
      <xdr:row>441</xdr:row>
      <xdr:rowOff>222250</xdr:rowOff>
    </xdr:from>
    <xdr:to>
      <xdr:col>28</xdr:col>
      <xdr:colOff>202047</xdr:colOff>
      <xdr:row>445</xdr:row>
      <xdr:rowOff>95251</xdr:rowOff>
    </xdr:to>
    <xdr:sp>
      <xdr:nvSpPr>
        <xdr:cNvPr id="74" name="Rectangle: Rounded Corners 73">
          <a:hlinkClick xmlns:r="http://schemas.openxmlformats.org/officeDocument/2006/relationships" r:id="rId35"/>
        </xdr:cNvPr>
        <xdr:cNvSpPr/>
      </xdr:nvSpPr>
      <xdr:spPr>
        <a:xfrm>
          <a:off x="41052750" y="96342200"/>
          <a:ext cx="3195320" cy="8636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3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36944</xdr:colOff>
      <xdr:row>83</xdr:row>
      <xdr:rowOff>108525</xdr:rowOff>
    </xdr:from>
    <xdr:to>
      <xdr:col>11</xdr:col>
      <xdr:colOff>1318490</xdr:colOff>
      <xdr:row>87</xdr:row>
      <xdr:rowOff>166253</xdr:rowOff>
    </xdr:to>
    <xdr:sp>
      <xdr:nvSpPr>
        <xdr:cNvPr id="59" name="Rectangle: Rounded Corners 58">
          <a:hlinkClick xmlns:r="http://schemas.openxmlformats.org/officeDocument/2006/relationships" r:id="rId35"/>
        </xdr:cNvPr>
        <xdr:cNvSpPr/>
      </xdr:nvSpPr>
      <xdr:spPr>
        <a:xfrm>
          <a:off x="16660495" y="1827720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138545</xdr:colOff>
      <xdr:row>141</xdr:row>
      <xdr:rowOff>0</xdr:rowOff>
    </xdr:from>
    <xdr:to>
      <xdr:col>11</xdr:col>
      <xdr:colOff>1420091</xdr:colOff>
      <xdr:row>145</xdr:row>
      <xdr:rowOff>57728</xdr:rowOff>
    </xdr:to>
    <xdr:sp>
      <xdr:nvSpPr>
        <xdr:cNvPr id="60" name="Rectangle: Rounded Corners 59">
          <a:hlinkClick xmlns:r="http://schemas.openxmlformats.org/officeDocument/2006/relationships" r:id="rId35"/>
        </xdr:cNvPr>
        <xdr:cNvSpPr/>
      </xdr:nvSpPr>
      <xdr:spPr>
        <a:xfrm>
          <a:off x="16762095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103909</xdr:colOff>
      <xdr:row>197</xdr:row>
      <xdr:rowOff>150091</xdr:rowOff>
    </xdr:from>
    <xdr:to>
      <xdr:col>11</xdr:col>
      <xdr:colOff>1385455</xdr:colOff>
      <xdr:row>202</xdr:row>
      <xdr:rowOff>23092</xdr:rowOff>
    </xdr:to>
    <xdr:sp>
      <xdr:nvSpPr>
        <xdr:cNvPr id="61" name="Rectangle: Rounded Corners 60">
          <a:hlinkClick xmlns:r="http://schemas.openxmlformats.org/officeDocument/2006/relationships" r:id="rId35"/>
        </xdr:cNvPr>
        <xdr:cNvSpPr/>
      </xdr:nvSpPr>
      <xdr:spPr>
        <a:xfrm>
          <a:off x="16727170" y="4225099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57727</xdr:colOff>
      <xdr:row>254</xdr:row>
      <xdr:rowOff>127000</xdr:rowOff>
    </xdr:from>
    <xdr:to>
      <xdr:col>11</xdr:col>
      <xdr:colOff>1339273</xdr:colOff>
      <xdr:row>259</xdr:row>
      <xdr:rowOff>1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680815" y="5424868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103909</xdr:colOff>
      <xdr:row>312</xdr:row>
      <xdr:rowOff>0</xdr:rowOff>
    </xdr:from>
    <xdr:to>
      <xdr:col>11</xdr:col>
      <xdr:colOff>1385455</xdr:colOff>
      <xdr:row>316</xdr:row>
      <xdr:rowOff>57728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727170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92363</xdr:colOff>
      <xdr:row>349</xdr:row>
      <xdr:rowOff>0</xdr:rowOff>
    </xdr:from>
    <xdr:to>
      <xdr:col>11</xdr:col>
      <xdr:colOff>1373909</xdr:colOff>
      <xdr:row>353</xdr:row>
      <xdr:rowOff>57728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715740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1916546</xdr:colOff>
      <xdr:row>442</xdr:row>
      <xdr:rowOff>80819</xdr:rowOff>
    </xdr:from>
    <xdr:to>
      <xdr:col>13</xdr:col>
      <xdr:colOff>357911</xdr:colOff>
      <xdr:row>445</xdr:row>
      <xdr:rowOff>173183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8540095" y="96457770"/>
          <a:ext cx="3196590" cy="8255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798946</xdr:colOff>
      <xdr:row>62</xdr:row>
      <xdr:rowOff>16163</xdr:rowOff>
    </xdr:from>
    <xdr:to>
      <xdr:col>26</xdr:col>
      <xdr:colOff>129311</xdr:colOff>
      <xdr:row>66</xdr:row>
      <xdr:rowOff>73891</xdr:rowOff>
    </xdr:to>
    <xdr:sp>
      <xdr:nvSpPr>
        <xdr:cNvPr id="66" name="Rectangle: Rounded Corners 65">
          <a:hlinkClick xmlns:r="http://schemas.openxmlformats.org/officeDocument/2006/relationships" r:id="rId36"/>
        </xdr:cNvPr>
        <xdr:cNvSpPr/>
      </xdr:nvSpPr>
      <xdr:spPr>
        <a:xfrm>
          <a:off x="38147625" y="13708380"/>
          <a:ext cx="321373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84</xdr:row>
      <xdr:rowOff>0</xdr:rowOff>
    </xdr:from>
    <xdr:to>
      <xdr:col>26</xdr:col>
      <xdr:colOff>1385455</xdr:colOff>
      <xdr:row>88</xdr:row>
      <xdr:rowOff>57728</xdr:rowOff>
    </xdr:to>
    <xdr:sp>
      <xdr:nvSpPr>
        <xdr:cNvPr id="67" name="Rectangle: Rounded Corners 66">
          <a:hlinkClick xmlns:r="http://schemas.openxmlformats.org/officeDocument/2006/relationships" r:id="rId36"/>
        </xdr:cNvPr>
        <xdr:cNvSpPr/>
      </xdr:nvSpPr>
      <xdr:spPr>
        <a:xfrm>
          <a:off x="39394130" y="1837880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92364</xdr:colOff>
      <xdr:row>141</xdr:row>
      <xdr:rowOff>34636</xdr:rowOff>
    </xdr:from>
    <xdr:to>
      <xdr:col>26</xdr:col>
      <xdr:colOff>1373910</xdr:colOff>
      <xdr:row>145</xdr:row>
      <xdr:rowOff>92364</xdr:rowOff>
    </xdr:to>
    <xdr:sp>
      <xdr:nvSpPr>
        <xdr:cNvPr id="68" name="Rectangle: Rounded Corners 67">
          <a:hlinkClick xmlns:r="http://schemas.openxmlformats.org/officeDocument/2006/relationships" r:id="rId36"/>
        </xdr:cNvPr>
        <xdr:cNvSpPr/>
      </xdr:nvSpPr>
      <xdr:spPr>
        <a:xfrm>
          <a:off x="39382700" y="3032442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115454</xdr:colOff>
      <xdr:row>197</xdr:row>
      <xdr:rowOff>161636</xdr:rowOff>
    </xdr:from>
    <xdr:to>
      <xdr:col>26</xdr:col>
      <xdr:colOff>1397000</xdr:colOff>
      <xdr:row>202</xdr:row>
      <xdr:rowOff>34637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405560" y="4226242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115454</xdr:colOff>
      <xdr:row>255</xdr:row>
      <xdr:rowOff>0</xdr:rowOff>
    </xdr:from>
    <xdr:to>
      <xdr:col>26</xdr:col>
      <xdr:colOff>1397000</xdr:colOff>
      <xdr:row>259</xdr:row>
      <xdr:rowOff>57728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405560" y="5433123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311</xdr:row>
      <xdr:rowOff>150091</xdr:rowOff>
    </xdr:from>
    <xdr:to>
      <xdr:col>26</xdr:col>
      <xdr:colOff>1385455</xdr:colOff>
      <xdr:row>316</xdr:row>
      <xdr:rowOff>23091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394130" y="6629209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80818</xdr:colOff>
      <xdr:row>349</xdr:row>
      <xdr:rowOff>0</xdr:rowOff>
    </xdr:from>
    <xdr:to>
      <xdr:col>26</xdr:col>
      <xdr:colOff>1362364</xdr:colOff>
      <xdr:row>353</xdr:row>
      <xdr:rowOff>57728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371270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1835728</xdr:colOff>
      <xdr:row>442</xdr:row>
      <xdr:rowOff>23091</xdr:rowOff>
    </xdr:from>
    <xdr:to>
      <xdr:col>28</xdr:col>
      <xdr:colOff>277092</xdr:colOff>
      <xdr:row>445</xdr:row>
      <xdr:rowOff>115455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41125775" y="96399985"/>
          <a:ext cx="3197225" cy="8255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4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427182</xdr:colOff>
      <xdr:row>61</xdr:row>
      <xdr:rowOff>138545</xdr:rowOff>
    </xdr:from>
    <xdr:to>
      <xdr:col>25</xdr:col>
      <xdr:colOff>1708729</xdr:colOff>
      <xdr:row>66</xdr:row>
      <xdr:rowOff>11546</xdr:rowOff>
    </xdr:to>
    <xdr:sp>
      <xdr:nvSpPr>
        <xdr:cNvPr id="59" name="Rectangle: Rounded Corners 58">
          <a:hlinkClick xmlns:r="http://schemas.openxmlformats.org/officeDocument/2006/relationships" r:id="rId36"/>
        </xdr:cNvPr>
        <xdr:cNvSpPr/>
      </xdr:nvSpPr>
      <xdr:spPr>
        <a:xfrm>
          <a:off x="37775515" y="1362138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57727</xdr:colOff>
      <xdr:row>84</xdr:row>
      <xdr:rowOff>23091</xdr:rowOff>
    </xdr:from>
    <xdr:to>
      <xdr:col>11</xdr:col>
      <xdr:colOff>1339273</xdr:colOff>
      <xdr:row>88</xdr:row>
      <xdr:rowOff>80819</xdr:rowOff>
    </xdr:to>
    <xdr:sp>
      <xdr:nvSpPr>
        <xdr:cNvPr id="60" name="Rectangle: Rounded Corners 59">
          <a:hlinkClick xmlns:r="http://schemas.openxmlformats.org/officeDocument/2006/relationships" r:id="rId35"/>
        </xdr:cNvPr>
        <xdr:cNvSpPr/>
      </xdr:nvSpPr>
      <xdr:spPr>
        <a:xfrm>
          <a:off x="16680815" y="18401665"/>
          <a:ext cx="322389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141</xdr:row>
      <xdr:rowOff>0</xdr:rowOff>
    </xdr:from>
    <xdr:to>
      <xdr:col>11</xdr:col>
      <xdr:colOff>1397001</xdr:colOff>
      <xdr:row>145</xdr:row>
      <xdr:rowOff>57728</xdr:rowOff>
    </xdr:to>
    <xdr:sp>
      <xdr:nvSpPr>
        <xdr:cNvPr id="61" name="Rectangle: Rounded Corners 60">
          <a:hlinkClick xmlns:r="http://schemas.openxmlformats.org/officeDocument/2006/relationships" r:id="rId35"/>
        </xdr:cNvPr>
        <xdr:cNvSpPr/>
      </xdr:nvSpPr>
      <xdr:spPr>
        <a:xfrm>
          <a:off x="16738600" y="3029013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198</xdr:row>
      <xdr:rowOff>0</xdr:rowOff>
    </xdr:from>
    <xdr:to>
      <xdr:col>11</xdr:col>
      <xdr:colOff>1397001</xdr:colOff>
      <xdr:row>202</xdr:row>
      <xdr:rowOff>57728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738600" y="4231068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255</xdr:row>
      <xdr:rowOff>11546</xdr:rowOff>
    </xdr:from>
    <xdr:to>
      <xdr:col>11</xdr:col>
      <xdr:colOff>1397001</xdr:colOff>
      <xdr:row>259</xdr:row>
      <xdr:rowOff>69274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738600" y="54342665"/>
          <a:ext cx="322389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69272</xdr:colOff>
      <xdr:row>312</xdr:row>
      <xdr:rowOff>0</xdr:rowOff>
    </xdr:from>
    <xdr:to>
      <xdr:col>11</xdr:col>
      <xdr:colOff>1350818</xdr:colOff>
      <xdr:row>316</xdr:row>
      <xdr:rowOff>57728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692880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349</xdr:row>
      <xdr:rowOff>0</xdr:rowOff>
    </xdr:from>
    <xdr:to>
      <xdr:col>11</xdr:col>
      <xdr:colOff>1397001</xdr:colOff>
      <xdr:row>353</xdr:row>
      <xdr:rowOff>57728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6738600" y="7418133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1535545</xdr:colOff>
      <xdr:row>442</xdr:row>
      <xdr:rowOff>11546</xdr:rowOff>
    </xdr:from>
    <xdr:to>
      <xdr:col>12</xdr:col>
      <xdr:colOff>635001</xdr:colOff>
      <xdr:row>445</xdr:row>
      <xdr:rowOff>103910</xdr:rowOff>
    </xdr:to>
    <xdr:sp>
      <xdr:nvSpPr>
        <xdr:cNvPr id="66" name="Rectangle: Rounded Corners 65">
          <a:hlinkClick xmlns:r="http://schemas.openxmlformats.org/officeDocument/2006/relationships" r:id="rId35"/>
        </xdr:cNvPr>
        <xdr:cNvSpPr/>
      </xdr:nvSpPr>
      <xdr:spPr>
        <a:xfrm>
          <a:off x="18159095" y="96388555"/>
          <a:ext cx="3211195" cy="8255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184727</xdr:colOff>
      <xdr:row>84</xdr:row>
      <xdr:rowOff>34636</xdr:rowOff>
    </xdr:from>
    <xdr:to>
      <xdr:col>26</xdr:col>
      <xdr:colOff>1466273</xdr:colOff>
      <xdr:row>88</xdr:row>
      <xdr:rowOff>92364</xdr:rowOff>
    </xdr:to>
    <xdr:sp>
      <xdr:nvSpPr>
        <xdr:cNvPr id="67" name="Rectangle: Rounded Corners 66">
          <a:hlinkClick xmlns:r="http://schemas.openxmlformats.org/officeDocument/2006/relationships" r:id="rId36"/>
        </xdr:cNvPr>
        <xdr:cNvSpPr/>
      </xdr:nvSpPr>
      <xdr:spPr>
        <a:xfrm>
          <a:off x="39474775" y="18413095"/>
          <a:ext cx="322389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115455</xdr:colOff>
      <xdr:row>140</xdr:row>
      <xdr:rowOff>150090</xdr:rowOff>
    </xdr:from>
    <xdr:to>
      <xdr:col>26</xdr:col>
      <xdr:colOff>1397001</xdr:colOff>
      <xdr:row>145</xdr:row>
      <xdr:rowOff>23091</xdr:rowOff>
    </xdr:to>
    <xdr:sp>
      <xdr:nvSpPr>
        <xdr:cNvPr id="68" name="Rectangle: Rounded Corners 67">
          <a:hlinkClick xmlns:r="http://schemas.openxmlformats.org/officeDocument/2006/relationships" r:id="rId36"/>
        </xdr:cNvPr>
        <xdr:cNvSpPr/>
      </xdr:nvSpPr>
      <xdr:spPr>
        <a:xfrm>
          <a:off x="39405560" y="3023044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127000</xdr:colOff>
      <xdr:row>197</xdr:row>
      <xdr:rowOff>173181</xdr:rowOff>
    </xdr:from>
    <xdr:to>
      <xdr:col>26</xdr:col>
      <xdr:colOff>1408546</xdr:colOff>
      <xdr:row>202</xdr:row>
      <xdr:rowOff>46182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417625" y="4227385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255</xdr:row>
      <xdr:rowOff>11546</xdr:rowOff>
    </xdr:from>
    <xdr:to>
      <xdr:col>26</xdr:col>
      <xdr:colOff>1385455</xdr:colOff>
      <xdr:row>259</xdr:row>
      <xdr:rowOff>69274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394130" y="5434266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150091</xdr:colOff>
      <xdr:row>312</xdr:row>
      <xdr:rowOff>0</xdr:rowOff>
    </xdr:from>
    <xdr:to>
      <xdr:col>26</xdr:col>
      <xdr:colOff>1431637</xdr:colOff>
      <xdr:row>316</xdr:row>
      <xdr:rowOff>57728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440485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349</xdr:row>
      <xdr:rowOff>0</xdr:rowOff>
    </xdr:from>
    <xdr:to>
      <xdr:col>26</xdr:col>
      <xdr:colOff>1385455</xdr:colOff>
      <xdr:row>353</xdr:row>
      <xdr:rowOff>57728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394130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1651000</xdr:colOff>
      <xdr:row>442</xdr:row>
      <xdr:rowOff>11545</xdr:rowOff>
    </xdr:from>
    <xdr:to>
      <xdr:col>28</xdr:col>
      <xdr:colOff>92364</xdr:colOff>
      <xdr:row>445</xdr:row>
      <xdr:rowOff>103909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40941625" y="96388555"/>
          <a:ext cx="3196590" cy="8255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5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623454</xdr:colOff>
      <xdr:row>61</xdr:row>
      <xdr:rowOff>150091</xdr:rowOff>
    </xdr:from>
    <xdr:to>
      <xdr:col>25</xdr:col>
      <xdr:colOff>1905001</xdr:colOff>
      <xdr:row>66</xdr:row>
      <xdr:rowOff>23092</xdr:rowOff>
    </xdr:to>
    <xdr:sp>
      <xdr:nvSpPr>
        <xdr:cNvPr id="59" name="Rectangle: Rounded Corners 58">
          <a:hlinkClick xmlns:r="http://schemas.openxmlformats.org/officeDocument/2006/relationships" r:id="rId36"/>
        </xdr:cNvPr>
        <xdr:cNvSpPr/>
      </xdr:nvSpPr>
      <xdr:spPr>
        <a:xfrm>
          <a:off x="37971730" y="1363281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254000</xdr:colOff>
      <xdr:row>83</xdr:row>
      <xdr:rowOff>138545</xdr:rowOff>
    </xdr:from>
    <xdr:to>
      <xdr:col>11</xdr:col>
      <xdr:colOff>1535546</xdr:colOff>
      <xdr:row>88</xdr:row>
      <xdr:rowOff>11546</xdr:rowOff>
    </xdr:to>
    <xdr:sp>
      <xdr:nvSpPr>
        <xdr:cNvPr id="60" name="Rectangle: Rounded Corners 59">
          <a:hlinkClick xmlns:r="http://schemas.openxmlformats.org/officeDocument/2006/relationships" r:id="rId35"/>
        </xdr:cNvPr>
        <xdr:cNvSpPr/>
      </xdr:nvSpPr>
      <xdr:spPr>
        <a:xfrm>
          <a:off x="16877665" y="1830768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140</xdr:row>
      <xdr:rowOff>173182</xdr:rowOff>
    </xdr:from>
    <xdr:to>
      <xdr:col>11</xdr:col>
      <xdr:colOff>1397001</xdr:colOff>
      <xdr:row>145</xdr:row>
      <xdr:rowOff>46183</xdr:rowOff>
    </xdr:to>
    <xdr:sp>
      <xdr:nvSpPr>
        <xdr:cNvPr id="61" name="Rectangle: Rounded Corners 60">
          <a:hlinkClick xmlns:r="http://schemas.openxmlformats.org/officeDocument/2006/relationships" r:id="rId35"/>
        </xdr:cNvPr>
        <xdr:cNvSpPr/>
      </xdr:nvSpPr>
      <xdr:spPr>
        <a:xfrm>
          <a:off x="16738600" y="3025330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150090</xdr:colOff>
      <xdr:row>198</xdr:row>
      <xdr:rowOff>0</xdr:rowOff>
    </xdr:from>
    <xdr:to>
      <xdr:col>11</xdr:col>
      <xdr:colOff>1431636</xdr:colOff>
      <xdr:row>202</xdr:row>
      <xdr:rowOff>57728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773525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103909</xdr:colOff>
      <xdr:row>255</xdr:row>
      <xdr:rowOff>0</xdr:rowOff>
    </xdr:from>
    <xdr:to>
      <xdr:col>11</xdr:col>
      <xdr:colOff>1385455</xdr:colOff>
      <xdr:row>259</xdr:row>
      <xdr:rowOff>57728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727170" y="543312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92364</xdr:colOff>
      <xdr:row>312</xdr:row>
      <xdr:rowOff>0</xdr:rowOff>
    </xdr:from>
    <xdr:to>
      <xdr:col>11</xdr:col>
      <xdr:colOff>1373910</xdr:colOff>
      <xdr:row>316</xdr:row>
      <xdr:rowOff>57728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715740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184727</xdr:colOff>
      <xdr:row>349</xdr:row>
      <xdr:rowOff>23091</xdr:rowOff>
    </xdr:from>
    <xdr:to>
      <xdr:col>11</xdr:col>
      <xdr:colOff>1466273</xdr:colOff>
      <xdr:row>353</xdr:row>
      <xdr:rowOff>80819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6807815" y="74204195"/>
          <a:ext cx="322389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1847273</xdr:colOff>
      <xdr:row>441</xdr:row>
      <xdr:rowOff>103909</xdr:rowOff>
    </xdr:from>
    <xdr:to>
      <xdr:col>13</xdr:col>
      <xdr:colOff>288638</xdr:colOff>
      <xdr:row>444</xdr:row>
      <xdr:rowOff>138546</xdr:rowOff>
    </xdr:to>
    <xdr:sp>
      <xdr:nvSpPr>
        <xdr:cNvPr id="66" name="Rectangle: Rounded Corners 65">
          <a:hlinkClick xmlns:r="http://schemas.openxmlformats.org/officeDocument/2006/relationships" r:id="rId35"/>
        </xdr:cNvPr>
        <xdr:cNvSpPr/>
      </xdr:nvSpPr>
      <xdr:spPr>
        <a:xfrm>
          <a:off x="18470880" y="96223455"/>
          <a:ext cx="3196590" cy="8064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115455</xdr:colOff>
      <xdr:row>84</xdr:row>
      <xdr:rowOff>0</xdr:rowOff>
    </xdr:from>
    <xdr:to>
      <xdr:col>26</xdr:col>
      <xdr:colOff>1397001</xdr:colOff>
      <xdr:row>88</xdr:row>
      <xdr:rowOff>57728</xdr:rowOff>
    </xdr:to>
    <xdr:sp>
      <xdr:nvSpPr>
        <xdr:cNvPr id="67" name="Rectangle: Rounded Corners 66">
          <a:hlinkClick xmlns:r="http://schemas.openxmlformats.org/officeDocument/2006/relationships" r:id="rId36"/>
        </xdr:cNvPr>
        <xdr:cNvSpPr/>
      </xdr:nvSpPr>
      <xdr:spPr>
        <a:xfrm>
          <a:off x="39405560" y="1837880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115455</xdr:colOff>
      <xdr:row>140</xdr:row>
      <xdr:rowOff>173181</xdr:rowOff>
    </xdr:from>
    <xdr:to>
      <xdr:col>26</xdr:col>
      <xdr:colOff>1397001</xdr:colOff>
      <xdr:row>145</xdr:row>
      <xdr:rowOff>46182</xdr:rowOff>
    </xdr:to>
    <xdr:sp>
      <xdr:nvSpPr>
        <xdr:cNvPr id="68" name="Rectangle: Rounded Corners 67">
          <a:hlinkClick xmlns:r="http://schemas.openxmlformats.org/officeDocument/2006/relationships" r:id="rId36"/>
        </xdr:cNvPr>
        <xdr:cNvSpPr/>
      </xdr:nvSpPr>
      <xdr:spPr>
        <a:xfrm>
          <a:off x="39405560" y="3025330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198</xdr:row>
      <xdr:rowOff>0</xdr:rowOff>
    </xdr:from>
    <xdr:to>
      <xdr:col>26</xdr:col>
      <xdr:colOff>1385455</xdr:colOff>
      <xdr:row>202</xdr:row>
      <xdr:rowOff>57728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394130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254</xdr:row>
      <xdr:rowOff>161636</xdr:rowOff>
    </xdr:from>
    <xdr:to>
      <xdr:col>26</xdr:col>
      <xdr:colOff>1385455</xdr:colOff>
      <xdr:row>259</xdr:row>
      <xdr:rowOff>34637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394130" y="5428297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115454</xdr:colOff>
      <xdr:row>312</xdr:row>
      <xdr:rowOff>0</xdr:rowOff>
    </xdr:from>
    <xdr:to>
      <xdr:col>26</xdr:col>
      <xdr:colOff>1397000</xdr:colOff>
      <xdr:row>316</xdr:row>
      <xdr:rowOff>57728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405560" y="6635178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92364</xdr:colOff>
      <xdr:row>348</xdr:row>
      <xdr:rowOff>161636</xdr:rowOff>
    </xdr:from>
    <xdr:to>
      <xdr:col>26</xdr:col>
      <xdr:colOff>1373910</xdr:colOff>
      <xdr:row>353</xdr:row>
      <xdr:rowOff>34637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382700" y="7413307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1558637</xdr:colOff>
      <xdr:row>442</xdr:row>
      <xdr:rowOff>46182</xdr:rowOff>
    </xdr:from>
    <xdr:to>
      <xdr:col>28</xdr:col>
      <xdr:colOff>1</xdr:colOff>
      <xdr:row>445</xdr:row>
      <xdr:rowOff>138546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40848915" y="96422845"/>
          <a:ext cx="3197225" cy="82613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6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565727</xdr:colOff>
      <xdr:row>61</xdr:row>
      <xdr:rowOff>161637</xdr:rowOff>
    </xdr:from>
    <xdr:to>
      <xdr:col>25</xdr:col>
      <xdr:colOff>1847274</xdr:colOff>
      <xdr:row>66</xdr:row>
      <xdr:rowOff>34638</xdr:rowOff>
    </xdr:to>
    <xdr:sp>
      <xdr:nvSpPr>
        <xdr:cNvPr id="59" name="Rectangle: Rounded Corners 58">
          <a:hlinkClick xmlns:r="http://schemas.openxmlformats.org/officeDocument/2006/relationships" r:id="rId36"/>
        </xdr:cNvPr>
        <xdr:cNvSpPr/>
      </xdr:nvSpPr>
      <xdr:spPr>
        <a:xfrm>
          <a:off x="37913945" y="1364424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80818</xdr:colOff>
      <xdr:row>84</xdr:row>
      <xdr:rowOff>0</xdr:rowOff>
    </xdr:from>
    <xdr:to>
      <xdr:col>11</xdr:col>
      <xdr:colOff>1362364</xdr:colOff>
      <xdr:row>88</xdr:row>
      <xdr:rowOff>57728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704310" y="1837880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115454</xdr:colOff>
      <xdr:row>141</xdr:row>
      <xdr:rowOff>11545</xdr:rowOff>
    </xdr:from>
    <xdr:to>
      <xdr:col>11</xdr:col>
      <xdr:colOff>1397000</xdr:colOff>
      <xdr:row>145</xdr:row>
      <xdr:rowOff>69273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738600" y="30301565"/>
          <a:ext cx="322389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80818</xdr:colOff>
      <xdr:row>197</xdr:row>
      <xdr:rowOff>150091</xdr:rowOff>
    </xdr:from>
    <xdr:to>
      <xdr:col>11</xdr:col>
      <xdr:colOff>1362364</xdr:colOff>
      <xdr:row>202</xdr:row>
      <xdr:rowOff>23092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704310" y="4225099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173182</xdr:colOff>
      <xdr:row>254</xdr:row>
      <xdr:rowOff>173182</xdr:rowOff>
    </xdr:from>
    <xdr:to>
      <xdr:col>11</xdr:col>
      <xdr:colOff>1454728</xdr:colOff>
      <xdr:row>259</xdr:row>
      <xdr:rowOff>46183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6796385" y="542944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161637</xdr:colOff>
      <xdr:row>312</xdr:row>
      <xdr:rowOff>0</xdr:rowOff>
    </xdr:from>
    <xdr:to>
      <xdr:col>11</xdr:col>
      <xdr:colOff>1443183</xdr:colOff>
      <xdr:row>316</xdr:row>
      <xdr:rowOff>57728</xdr:rowOff>
    </xdr:to>
    <xdr:sp>
      <xdr:nvSpPr>
        <xdr:cNvPr id="66" name="Rectangle: Rounded Corners 65">
          <a:hlinkClick xmlns:r="http://schemas.openxmlformats.org/officeDocument/2006/relationships" r:id="rId35"/>
        </xdr:cNvPr>
        <xdr:cNvSpPr/>
      </xdr:nvSpPr>
      <xdr:spPr>
        <a:xfrm>
          <a:off x="16784955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80818</xdr:colOff>
      <xdr:row>349</xdr:row>
      <xdr:rowOff>0</xdr:rowOff>
    </xdr:from>
    <xdr:to>
      <xdr:col>11</xdr:col>
      <xdr:colOff>1362364</xdr:colOff>
      <xdr:row>353</xdr:row>
      <xdr:rowOff>57728</xdr:rowOff>
    </xdr:to>
    <xdr:sp>
      <xdr:nvSpPr>
        <xdr:cNvPr id="67" name="Rectangle: Rounded Corners 66">
          <a:hlinkClick xmlns:r="http://schemas.openxmlformats.org/officeDocument/2006/relationships" r:id="rId35"/>
        </xdr:cNvPr>
        <xdr:cNvSpPr/>
      </xdr:nvSpPr>
      <xdr:spPr>
        <a:xfrm>
          <a:off x="16704310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1801091</xdr:colOff>
      <xdr:row>442</xdr:row>
      <xdr:rowOff>34636</xdr:rowOff>
    </xdr:from>
    <xdr:to>
      <xdr:col>13</xdr:col>
      <xdr:colOff>242456</xdr:colOff>
      <xdr:row>445</xdr:row>
      <xdr:rowOff>127000</xdr:rowOff>
    </xdr:to>
    <xdr:sp>
      <xdr:nvSpPr>
        <xdr:cNvPr id="68" name="Rectangle: Rounded Corners 67">
          <a:hlinkClick xmlns:r="http://schemas.openxmlformats.org/officeDocument/2006/relationships" r:id="rId35"/>
        </xdr:cNvPr>
        <xdr:cNvSpPr/>
      </xdr:nvSpPr>
      <xdr:spPr>
        <a:xfrm>
          <a:off x="18424525" y="96411415"/>
          <a:ext cx="3196590" cy="82613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150091</xdr:colOff>
      <xdr:row>84</xdr:row>
      <xdr:rowOff>0</xdr:rowOff>
    </xdr:from>
    <xdr:to>
      <xdr:col>26</xdr:col>
      <xdr:colOff>1431637</xdr:colOff>
      <xdr:row>88</xdr:row>
      <xdr:rowOff>57728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440485" y="1837880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196273</xdr:colOff>
      <xdr:row>141</xdr:row>
      <xdr:rowOff>0</xdr:rowOff>
    </xdr:from>
    <xdr:to>
      <xdr:col>26</xdr:col>
      <xdr:colOff>1477819</xdr:colOff>
      <xdr:row>145</xdr:row>
      <xdr:rowOff>57728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486840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92363</xdr:colOff>
      <xdr:row>198</xdr:row>
      <xdr:rowOff>11545</xdr:rowOff>
    </xdr:from>
    <xdr:to>
      <xdr:col>26</xdr:col>
      <xdr:colOff>1373909</xdr:colOff>
      <xdr:row>202</xdr:row>
      <xdr:rowOff>69273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382700" y="4232211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173181</xdr:colOff>
      <xdr:row>254</xdr:row>
      <xdr:rowOff>173182</xdr:rowOff>
    </xdr:from>
    <xdr:to>
      <xdr:col>26</xdr:col>
      <xdr:colOff>1454727</xdr:colOff>
      <xdr:row>259</xdr:row>
      <xdr:rowOff>46183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463345" y="542944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69273</xdr:colOff>
      <xdr:row>312</xdr:row>
      <xdr:rowOff>0</xdr:rowOff>
    </xdr:from>
    <xdr:to>
      <xdr:col>26</xdr:col>
      <xdr:colOff>1350819</xdr:colOff>
      <xdr:row>316</xdr:row>
      <xdr:rowOff>57728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39359840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150091</xdr:colOff>
      <xdr:row>349</xdr:row>
      <xdr:rowOff>0</xdr:rowOff>
    </xdr:from>
    <xdr:to>
      <xdr:col>26</xdr:col>
      <xdr:colOff>1431637</xdr:colOff>
      <xdr:row>353</xdr:row>
      <xdr:rowOff>57728</xdr:rowOff>
    </xdr:to>
    <xdr:sp>
      <xdr:nvSpPr>
        <xdr:cNvPr id="74" name="Rectangle: Rounded Corners 73">
          <a:hlinkClick xmlns:r="http://schemas.openxmlformats.org/officeDocument/2006/relationships" r:id="rId36"/>
        </xdr:cNvPr>
        <xdr:cNvSpPr/>
      </xdr:nvSpPr>
      <xdr:spPr>
        <a:xfrm>
          <a:off x="39440485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1558637</xdr:colOff>
      <xdr:row>442</xdr:row>
      <xdr:rowOff>80818</xdr:rowOff>
    </xdr:from>
    <xdr:to>
      <xdr:col>28</xdr:col>
      <xdr:colOff>1</xdr:colOff>
      <xdr:row>445</xdr:row>
      <xdr:rowOff>173182</xdr:rowOff>
    </xdr:to>
    <xdr:sp>
      <xdr:nvSpPr>
        <xdr:cNvPr id="75" name="Rectangle: Rounded Corners 74">
          <a:hlinkClick xmlns:r="http://schemas.openxmlformats.org/officeDocument/2006/relationships" r:id="rId36"/>
        </xdr:cNvPr>
        <xdr:cNvSpPr/>
      </xdr:nvSpPr>
      <xdr:spPr>
        <a:xfrm>
          <a:off x="40848915" y="96457770"/>
          <a:ext cx="3197225" cy="8255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7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750454</xdr:colOff>
      <xdr:row>62</xdr:row>
      <xdr:rowOff>0</xdr:rowOff>
    </xdr:from>
    <xdr:to>
      <xdr:col>26</xdr:col>
      <xdr:colOff>80819</xdr:colOff>
      <xdr:row>66</xdr:row>
      <xdr:rowOff>57728</xdr:rowOff>
    </xdr:to>
    <xdr:sp>
      <xdr:nvSpPr>
        <xdr:cNvPr id="59" name="Rectangle: Rounded Corners 58">
          <a:hlinkClick xmlns:r="http://schemas.openxmlformats.org/officeDocument/2006/relationships" r:id="rId36"/>
        </xdr:cNvPr>
        <xdr:cNvSpPr/>
      </xdr:nvSpPr>
      <xdr:spPr>
        <a:xfrm>
          <a:off x="38098730" y="13692505"/>
          <a:ext cx="321437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242454</xdr:colOff>
      <xdr:row>84</xdr:row>
      <xdr:rowOff>0</xdr:rowOff>
    </xdr:from>
    <xdr:to>
      <xdr:col>11</xdr:col>
      <xdr:colOff>1524000</xdr:colOff>
      <xdr:row>88</xdr:row>
      <xdr:rowOff>57728</xdr:rowOff>
    </xdr:to>
    <xdr:sp>
      <xdr:nvSpPr>
        <xdr:cNvPr id="60" name="Rectangle: Rounded Corners 59">
          <a:hlinkClick xmlns:r="http://schemas.openxmlformats.org/officeDocument/2006/relationships" r:id="rId35"/>
        </xdr:cNvPr>
        <xdr:cNvSpPr/>
      </xdr:nvSpPr>
      <xdr:spPr>
        <a:xfrm>
          <a:off x="16865600" y="1837880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161637</xdr:colOff>
      <xdr:row>140</xdr:row>
      <xdr:rowOff>150091</xdr:rowOff>
    </xdr:from>
    <xdr:to>
      <xdr:col>11</xdr:col>
      <xdr:colOff>1443183</xdr:colOff>
      <xdr:row>145</xdr:row>
      <xdr:rowOff>23092</xdr:rowOff>
    </xdr:to>
    <xdr:sp>
      <xdr:nvSpPr>
        <xdr:cNvPr id="61" name="Rectangle: Rounded Corners 60">
          <a:hlinkClick xmlns:r="http://schemas.openxmlformats.org/officeDocument/2006/relationships" r:id="rId35"/>
        </xdr:cNvPr>
        <xdr:cNvSpPr/>
      </xdr:nvSpPr>
      <xdr:spPr>
        <a:xfrm>
          <a:off x="16784955" y="3023044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150091</xdr:colOff>
      <xdr:row>198</xdr:row>
      <xdr:rowOff>0</xdr:rowOff>
    </xdr:from>
    <xdr:to>
      <xdr:col>11</xdr:col>
      <xdr:colOff>1431637</xdr:colOff>
      <xdr:row>202</xdr:row>
      <xdr:rowOff>57728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773525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103909</xdr:colOff>
      <xdr:row>254</xdr:row>
      <xdr:rowOff>150091</xdr:rowOff>
    </xdr:from>
    <xdr:to>
      <xdr:col>11</xdr:col>
      <xdr:colOff>1385455</xdr:colOff>
      <xdr:row>259</xdr:row>
      <xdr:rowOff>23092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727170" y="5427154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127000</xdr:colOff>
      <xdr:row>311</xdr:row>
      <xdr:rowOff>150091</xdr:rowOff>
    </xdr:from>
    <xdr:to>
      <xdr:col>11</xdr:col>
      <xdr:colOff>1408546</xdr:colOff>
      <xdr:row>316</xdr:row>
      <xdr:rowOff>23091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750665" y="6629209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115454</xdr:colOff>
      <xdr:row>349</xdr:row>
      <xdr:rowOff>0</xdr:rowOff>
    </xdr:from>
    <xdr:to>
      <xdr:col>11</xdr:col>
      <xdr:colOff>1397000</xdr:colOff>
      <xdr:row>353</xdr:row>
      <xdr:rowOff>57728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6738600" y="7418133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1651000</xdr:colOff>
      <xdr:row>441</xdr:row>
      <xdr:rowOff>230909</xdr:rowOff>
    </xdr:from>
    <xdr:to>
      <xdr:col>13</xdr:col>
      <xdr:colOff>92365</xdr:colOff>
      <xdr:row>445</xdr:row>
      <xdr:rowOff>69273</xdr:rowOff>
    </xdr:to>
    <xdr:sp>
      <xdr:nvSpPr>
        <xdr:cNvPr id="66" name="Rectangle: Rounded Corners 65">
          <a:hlinkClick xmlns:r="http://schemas.openxmlformats.org/officeDocument/2006/relationships" r:id="rId35"/>
        </xdr:cNvPr>
        <xdr:cNvSpPr/>
      </xdr:nvSpPr>
      <xdr:spPr>
        <a:xfrm>
          <a:off x="18274665" y="96350455"/>
          <a:ext cx="3196590" cy="82931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200526</xdr:colOff>
      <xdr:row>84</xdr:row>
      <xdr:rowOff>0</xdr:rowOff>
    </xdr:from>
    <xdr:to>
      <xdr:col>26</xdr:col>
      <xdr:colOff>1480452</xdr:colOff>
      <xdr:row>88</xdr:row>
      <xdr:rowOff>57728</xdr:rowOff>
    </xdr:to>
    <xdr:sp>
      <xdr:nvSpPr>
        <xdr:cNvPr id="67" name="Rectangle: Rounded Corners 66">
          <a:hlinkClick xmlns:r="http://schemas.openxmlformats.org/officeDocument/2006/relationships" r:id="rId36"/>
        </xdr:cNvPr>
        <xdr:cNvSpPr/>
      </xdr:nvSpPr>
      <xdr:spPr>
        <a:xfrm>
          <a:off x="39490650" y="18378805"/>
          <a:ext cx="322199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144824</xdr:colOff>
      <xdr:row>141</xdr:row>
      <xdr:rowOff>0</xdr:rowOff>
    </xdr:from>
    <xdr:to>
      <xdr:col>26</xdr:col>
      <xdr:colOff>1424750</xdr:colOff>
      <xdr:row>145</xdr:row>
      <xdr:rowOff>57728</xdr:rowOff>
    </xdr:to>
    <xdr:sp>
      <xdr:nvSpPr>
        <xdr:cNvPr id="68" name="Rectangle: Rounded Corners 67">
          <a:hlinkClick xmlns:r="http://schemas.openxmlformats.org/officeDocument/2006/relationships" r:id="rId36"/>
        </xdr:cNvPr>
        <xdr:cNvSpPr/>
      </xdr:nvSpPr>
      <xdr:spPr>
        <a:xfrm>
          <a:off x="39435405" y="30290135"/>
          <a:ext cx="322135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89123</xdr:colOff>
      <xdr:row>198</xdr:row>
      <xdr:rowOff>11141</xdr:rowOff>
    </xdr:from>
    <xdr:to>
      <xdr:col>26</xdr:col>
      <xdr:colOff>1369049</xdr:colOff>
      <xdr:row>202</xdr:row>
      <xdr:rowOff>68869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379525" y="42321480"/>
          <a:ext cx="322135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144825</xdr:colOff>
      <xdr:row>255</xdr:row>
      <xdr:rowOff>0</xdr:rowOff>
    </xdr:from>
    <xdr:to>
      <xdr:col>26</xdr:col>
      <xdr:colOff>1424751</xdr:colOff>
      <xdr:row>259</xdr:row>
      <xdr:rowOff>57728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435405" y="54331235"/>
          <a:ext cx="322135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133684</xdr:colOff>
      <xdr:row>312</xdr:row>
      <xdr:rowOff>11141</xdr:rowOff>
    </xdr:from>
    <xdr:to>
      <xdr:col>26</xdr:col>
      <xdr:colOff>1413610</xdr:colOff>
      <xdr:row>316</xdr:row>
      <xdr:rowOff>68869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423975" y="66362580"/>
          <a:ext cx="322199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100264</xdr:colOff>
      <xdr:row>349</xdr:row>
      <xdr:rowOff>0</xdr:rowOff>
    </xdr:from>
    <xdr:to>
      <xdr:col>26</xdr:col>
      <xdr:colOff>1380190</xdr:colOff>
      <xdr:row>353</xdr:row>
      <xdr:rowOff>57728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390320" y="74181335"/>
          <a:ext cx="322199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1615352</xdr:colOff>
      <xdr:row>441</xdr:row>
      <xdr:rowOff>211666</xdr:rowOff>
    </xdr:from>
    <xdr:to>
      <xdr:col>28</xdr:col>
      <xdr:colOff>54489</xdr:colOff>
      <xdr:row>445</xdr:row>
      <xdr:rowOff>68867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40905430" y="96331405"/>
          <a:ext cx="3194685" cy="84772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8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692727</xdr:colOff>
      <xdr:row>61</xdr:row>
      <xdr:rowOff>150092</xdr:rowOff>
    </xdr:from>
    <xdr:to>
      <xdr:col>26</xdr:col>
      <xdr:colOff>23092</xdr:colOff>
      <xdr:row>66</xdr:row>
      <xdr:rowOff>23093</xdr:rowOff>
    </xdr:to>
    <xdr:sp>
      <xdr:nvSpPr>
        <xdr:cNvPr id="59" name="Rectangle: Rounded Corners 58">
          <a:hlinkClick xmlns:r="http://schemas.openxmlformats.org/officeDocument/2006/relationships" r:id="rId36"/>
        </xdr:cNvPr>
        <xdr:cNvSpPr/>
      </xdr:nvSpPr>
      <xdr:spPr>
        <a:xfrm>
          <a:off x="38040945" y="13632815"/>
          <a:ext cx="321437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150091</xdr:colOff>
      <xdr:row>83</xdr:row>
      <xdr:rowOff>173181</xdr:rowOff>
    </xdr:from>
    <xdr:to>
      <xdr:col>11</xdr:col>
      <xdr:colOff>1431637</xdr:colOff>
      <xdr:row>88</xdr:row>
      <xdr:rowOff>46182</xdr:rowOff>
    </xdr:to>
    <xdr:sp>
      <xdr:nvSpPr>
        <xdr:cNvPr id="60" name="Rectangle: Rounded Corners 59">
          <a:hlinkClick xmlns:r="http://schemas.openxmlformats.org/officeDocument/2006/relationships" r:id="rId35"/>
        </xdr:cNvPr>
        <xdr:cNvSpPr/>
      </xdr:nvSpPr>
      <xdr:spPr>
        <a:xfrm>
          <a:off x="16773525" y="1834197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127000</xdr:colOff>
      <xdr:row>141</xdr:row>
      <xdr:rowOff>0</xdr:rowOff>
    </xdr:from>
    <xdr:to>
      <xdr:col>11</xdr:col>
      <xdr:colOff>1408546</xdr:colOff>
      <xdr:row>145</xdr:row>
      <xdr:rowOff>57728</xdr:rowOff>
    </xdr:to>
    <xdr:sp>
      <xdr:nvSpPr>
        <xdr:cNvPr id="61" name="Rectangle: Rounded Corners 60">
          <a:hlinkClick xmlns:r="http://schemas.openxmlformats.org/officeDocument/2006/relationships" r:id="rId35"/>
        </xdr:cNvPr>
        <xdr:cNvSpPr/>
      </xdr:nvSpPr>
      <xdr:spPr>
        <a:xfrm>
          <a:off x="16750665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115454</xdr:colOff>
      <xdr:row>198</xdr:row>
      <xdr:rowOff>0</xdr:rowOff>
    </xdr:from>
    <xdr:to>
      <xdr:col>11</xdr:col>
      <xdr:colOff>1397000</xdr:colOff>
      <xdr:row>202</xdr:row>
      <xdr:rowOff>57728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738600" y="4231068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103910</xdr:colOff>
      <xdr:row>255</xdr:row>
      <xdr:rowOff>23091</xdr:rowOff>
    </xdr:from>
    <xdr:to>
      <xdr:col>11</xdr:col>
      <xdr:colOff>1385456</xdr:colOff>
      <xdr:row>259</xdr:row>
      <xdr:rowOff>80819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727170" y="5435409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150091</xdr:colOff>
      <xdr:row>312</xdr:row>
      <xdr:rowOff>0</xdr:rowOff>
    </xdr:from>
    <xdr:to>
      <xdr:col>11</xdr:col>
      <xdr:colOff>1431637</xdr:colOff>
      <xdr:row>316</xdr:row>
      <xdr:rowOff>57728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773525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150091</xdr:colOff>
      <xdr:row>349</xdr:row>
      <xdr:rowOff>0</xdr:rowOff>
    </xdr:from>
    <xdr:to>
      <xdr:col>11</xdr:col>
      <xdr:colOff>1431637</xdr:colOff>
      <xdr:row>353</xdr:row>
      <xdr:rowOff>57728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6773525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1824182</xdr:colOff>
      <xdr:row>442</xdr:row>
      <xdr:rowOff>34637</xdr:rowOff>
    </xdr:from>
    <xdr:to>
      <xdr:col>13</xdr:col>
      <xdr:colOff>265547</xdr:colOff>
      <xdr:row>445</xdr:row>
      <xdr:rowOff>127001</xdr:rowOff>
    </xdr:to>
    <xdr:sp>
      <xdr:nvSpPr>
        <xdr:cNvPr id="66" name="Rectangle: Rounded Corners 65">
          <a:hlinkClick xmlns:r="http://schemas.openxmlformats.org/officeDocument/2006/relationships" r:id="rId35"/>
        </xdr:cNvPr>
        <xdr:cNvSpPr/>
      </xdr:nvSpPr>
      <xdr:spPr>
        <a:xfrm>
          <a:off x="18447385" y="96411415"/>
          <a:ext cx="3197225" cy="82613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127000</xdr:colOff>
      <xdr:row>84</xdr:row>
      <xdr:rowOff>0</xdr:rowOff>
    </xdr:from>
    <xdr:to>
      <xdr:col>26</xdr:col>
      <xdr:colOff>1408546</xdr:colOff>
      <xdr:row>88</xdr:row>
      <xdr:rowOff>57728</xdr:rowOff>
    </xdr:to>
    <xdr:sp>
      <xdr:nvSpPr>
        <xdr:cNvPr id="67" name="Rectangle: Rounded Corners 66">
          <a:hlinkClick xmlns:r="http://schemas.openxmlformats.org/officeDocument/2006/relationships" r:id="rId36"/>
        </xdr:cNvPr>
        <xdr:cNvSpPr/>
      </xdr:nvSpPr>
      <xdr:spPr>
        <a:xfrm>
          <a:off x="39417625" y="1837880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92364</xdr:colOff>
      <xdr:row>140</xdr:row>
      <xdr:rowOff>161637</xdr:rowOff>
    </xdr:from>
    <xdr:to>
      <xdr:col>26</xdr:col>
      <xdr:colOff>1373910</xdr:colOff>
      <xdr:row>145</xdr:row>
      <xdr:rowOff>34638</xdr:rowOff>
    </xdr:to>
    <xdr:sp>
      <xdr:nvSpPr>
        <xdr:cNvPr id="68" name="Rectangle: Rounded Corners 67">
          <a:hlinkClick xmlns:r="http://schemas.openxmlformats.org/officeDocument/2006/relationships" r:id="rId36"/>
        </xdr:cNvPr>
        <xdr:cNvSpPr/>
      </xdr:nvSpPr>
      <xdr:spPr>
        <a:xfrm>
          <a:off x="39382700" y="3024187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92364</xdr:colOff>
      <xdr:row>198</xdr:row>
      <xdr:rowOff>0</xdr:rowOff>
    </xdr:from>
    <xdr:to>
      <xdr:col>26</xdr:col>
      <xdr:colOff>1373910</xdr:colOff>
      <xdr:row>202</xdr:row>
      <xdr:rowOff>57728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382700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138546</xdr:colOff>
      <xdr:row>255</xdr:row>
      <xdr:rowOff>0</xdr:rowOff>
    </xdr:from>
    <xdr:to>
      <xdr:col>26</xdr:col>
      <xdr:colOff>1420092</xdr:colOff>
      <xdr:row>259</xdr:row>
      <xdr:rowOff>57728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429055" y="543312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115454</xdr:colOff>
      <xdr:row>312</xdr:row>
      <xdr:rowOff>11546</xdr:rowOff>
    </xdr:from>
    <xdr:to>
      <xdr:col>26</xdr:col>
      <xdr:colOff>1397000</xdr:colOff>
      <xdr:row>316</xdr:row>
      <xdr:rowOff>69274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405560" y="66363215"/>
          <a:ext cx="322389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127000</xdr:colOff>
      <xdr:row>349</xdr:row>
      <xdr:rowOff>0</xdr:rowOff>
    </xdr:from>
    <xdr:to>
      <xdr:col>26</xdr:col>
      <xdr:colOff>1408546</xdr:colOff>
      <xdr:row>353</xdr:row>
      <xdr:rowOff>57728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417625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1853045</xdr:colOff>
      <xdr:row>441</xdr:row>
      <xdr:rowOff>222663</xdr:rowOff>
    </xdr:from>
    <xdr:to>
      <xdr:col>28</xdr:col>
      <xdr:colOff>290286</xdr:colOff>
      <xdr:row>445</xdr:row>
      <xdr:rowOff>66800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41143555" y="96342200"/>
          <a:ext cx="3192780" cy="83502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6" y="709705"/>
              <a:ext cx="1733176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9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92364</xdr:colOff>
      <xdr:row>83</xdr:row>
      <xdr:rowOff>173182</xdr:rowOff>
    </xdr:from>
    <xdr:to>
      <xdr:col>11</xdr:col>
      <xdr:colOff>1373910</xdr:colOff>
      <xdr:row>88</xdr:row>
      <xdr:rowOff>46183</xdr:rowOff>
    </xdr:to>
    <xdr:sp>
      <xdr:nvSpPr>
        <xdr:cNvPr id="59" name="Rectangle: Rounded Corners 58">
          <a:hlinkClick xmlns:r="http://schemas.openxmlformats.org/officeDocument/2006/relationships" r:id="rId35"/>
        </xdr:cNvPr>
        <xdr:cNvSpPr/>
      </xdr:nvSpPr>
      <xdr:spPr>
        <a:xfrm>
          <a:off x="16715740" y="1834197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138545</xdr:colOff>
      <xdr:row>141</xdr:row>
      <xdr:rowOff>0</xdr:rowOff>
    </xdr:from>
    <xdr:to>
      <xdr:col>11</xdr:col>
      <xdr:colOff>1420091</xdr:colOff>
      <xdr:row>145</xdr:row>
      <xdr:rowOff>57728</xdr:rowOff>
    </xdr:to>
    <xdr:sp>
      <xdr:nvSpPr>
        <xdr:cNvPr id="60" name="Rectangle: Rounded Corners 59">
          <a:hlinkClick xmlns:r="http://schemas.openxmlformats.org/officeDocument/2006/relationships" r:id="rId35"/>
        </xdr:cNvPr>
        <xdr:cNvSpPr/>
      </xdr:nvSpPr>
      <xdr:spPr>
        <a:xfrm>
          <a:off x="16762095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161636</xdr:colOff>
      <xdr:row>198</xdr:row>
      <xdr:rowOff>0</xdr:rowOff>
    </xdr:from>
    <xdr:to>
      <xdr:col>11</xdr:col>
      <xdr:colOff>1443182</xdr:colOff>
      <xdr:row>202</xdr:row>
      <xdr:rowOff>57728</xdr:rowOff>
    </xdr:to>
    <xdr:sp>
      <xdr:nvSpPr>
        <xdr:cNvPr id="61" name="Rectangle: Rounded Corners 60">
          <a:hlinkClick xmlns:r="http://schemas.openxmlformats.org/officeDocument/2006/relationships" r:id="rId35"/>
        </xdr:cNvPr>
        <xdr:cNvSpPr/>
      </xdr:nvSpPr>
      <xdr:spPr>
        <a:xfrm>
          <a:off x="16784955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255</xdr:row>
      <xdr:rowOff>0</xdr:rowOff>
    </xdr:from>
    <xdr:to>
      <xdr:col>11</xdr:col>
      <xdr:colOff>1397001</xdr:colOff>
      <xdr:row>259</xdr:row>
      <xdr:rowOff>57728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738600" y="5433123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138546</xdr:colOff>
      <xdr:row>312</xdr:row>
      <xdr:rowOff>0</xdr:rowOff>
    </xdr:from>
    <xdr:to>
      <xdr:col>11</xdr:col>
      <xdr:colOff>1420092</xdr:colOff>
      <xdr:row>316</xdr:row>
      <xdr:rowOff>57728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762095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127000</xdr:colOff>
      <xdr:row>349</xdr:row>
      <xdr:rowOff>0</xdr:rowOff>
    </xdr:from>
    <xdr:to>
      <xdr:col>11</xdr:col>
      <xdr:colOff>1408546</xdr:colOff>
      <xdr:row>353</xdr:row>
      <xdr:rowOff>57728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750665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1581727</xdr:colOff>
      <xdr:row>441</xdr:row>
      <xdr:rowOff>196273</xdr:rowOff>
    </xdr:from>
    <xdr:to>
      <xdr:col>13</xdr:col>
      <xdr:colOff>23092</xdr:colOff>
      <xdr:row>445</xdr:row>
      <xdr:rowOff>34637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8204815" y="96316165"/>
          <a:ext cx="3197225" cy="82867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531091</xdr:colOff>
      <xdr:row>62</xdr:row>
      <xdr:rowOff>0</xdr:rowOff>
    </xdr:from>
    <xdr:to>
      <xdr:col>25</xdr:col>
      <xdr:colOff>1812638</xdr:colOff>
      <xdr:row>66</xdr:row>
      <xdr:rowOff>57728</xdr:rowOff>
    </xdr:to>
    <xdr:sp>
      <xdr:nvSpPr>
        <xdr:cNvPr id="66" name="Rectangle: Rounded Corners 65">
          <a:hlinkClick xmlns:r="http://schemas.openxmlformats.org/officeDocument/2006/relationships" r:id="rId36"/>
        </xdr:cNvPr>
        <xdr:cNvSpPr/>
      </xdr:nvSpPr>
      <xdr:spPr>
        <a:xfrm>
          <a:off x="37879655" y="1369250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173182</xdr:colOff>
      <xdr:row>84</xdr:row>
      <xdr:rowOff>23091</xdr:rowOff>
    </xdr:from>
    <xdr:to>
      <xdr:col>26</xdr:col>
      <xdr:colOff>1454728</xdr:colOff>
      <xdr:row>88</xdr:row>
      <xdr:rowOff>80819</xdr:rowOff>
    </xdr:to>
    <xdr:sp>
      <xdr:nvSpPr>
        <xdr:cNvPr id="67" name="Rectangle: Rounded Corners 66">
          <a:hlinkClick xmlns:r="http://schemas.openxmlformats.org/officeDocument/2006/relationships" r:id="rId36"/>
        </xdr:cNvPr>
        <xdr:cNvSpPr/>
      </xdr:nvSpPr>
      <xdr:spPr>
        <a:xfrm>
          <a:off x="39463345" y="1840166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141</xdr:row>
      <xdr:rowOff>0</xdr:rowOff>
    </xdr:from>
    <xdr:to>
      <xdr:col>26</xdr:col>
      <xdr:colOff>1385455</xdr:colOff>
      <xdr:row>145</xdr:row>
      <xdr:rowOff>57728</xdr:rowOff>
    </xdr:to>
    <xdr:sp>
      <xdr:nvSpPr>
        <xdr:cNvPr id="68" name="Rectangle: Rounded Corners 67">
          <a:hlinkClick xmlns:r="http://schemas.openxmlformats.org/officeDocument/2006/relationships" r:id="rId36"/>
        </xdr:cNvPr>
        <xdr:cNvSpPr/>
      </xdr:nvSpPr>
      <xdr:spPr>
        <a:xfrm>
          <a:off x="39394130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173182</xdr:colOff>
      <xdr:row>198</xdr:row>
      <xdr:rowOff>0</xdr:rowOff>
    </xdr:from>
    <xdr:to>
      <xdr:col>26</xdr:col>
      <xdr:colOff>1454728</xdr:colOff>
      <xdr:row>202</xdr:row>
      <xdr:rowOff>57728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463345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115455</xdr:colOff>
      <xdr:row>254</xdr:row>
      <xdr:rowOff>161636</xdr:rowOff>
    </xdr:from>
    <xdr:to>
      <xdr:col>26</xdr:col>
      <xdr:colOff>1397001</xdr:colOff>
      <xdr:row>259</xdr:row>
      <xdr:rowOff>34637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405560" y="5428297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312</xdr:row>
      <xdr:rowOff>0</xdr:rowOff>
    </xdr:from>
    <xdr:to>
      <xdr:col>26</xdr:col>
      <xdr:colOff>1385455</xdr:colOff>
      <xdr:row>316</xdr:row>
      <xdr:rowOff>57728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394130" y="663517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115455</xdr:colOff>
      <xdr:row>349</xdr:row>
      <xdr:rowOff>0</xdr:rowOff>
    </xdr:from>
    <xdr:to>
      <xdr:col>26</xdr:col>
      <xdr:colOff>1397001</xdr:colOff>
      <xdr:row>353</xdr:row>
      <xdr:rowOff>57728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405560" y="7418133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1639455</xdr:colOff>
      <xdr:row>441</xdr:row>
      <xdr:rowOff>196272</xdr:rowOff>
    </xdr:from>
    <xdr:to>
      <xdr:col>28</xdr:col>
      <xdr:colOff>80819</xdr:colOff>
      <xdr:row>445</xdr:row>
      <xdr:rowOff>34636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40929560" y="96316165"/>
          <a:ext cx="3197225" cy="82867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5" y="709705"/>
              <a:ext cx="1881107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1 0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865908</xdr:colOff>
      <xdr:row>61</xdr:row>
      <xdr:rowOff>138545</xdr:rowOff>
    </xdr:from>
    <xdr:to>
      <xdr:col>26</xdr:col>
      <xdr:colOff>196273</xdr:colOff>
      <xdr:row>66</xdr:row>
      <xdr:rowOff>11546</xdr:rowOff>
    </xdr:to>
    <xdr:sp>
      <xdr:nvSpPr>
        <xdr:cNvPr id="59" name="Rectangle: Rounded Corners 58">
          <a:hlinkClick xmlns:r="http://schemas.openxmlformats.org/officeDocument/2006/relationships" r:id="rId36"/>
        </xdr:cNvPr>
        <xdr:cNvSpPr/>
      </xdr:nvSpPr>
      <xdr:spPr>
        <a:xfrm>
          <a:off x="38214300" y="13621385"/>
          <a:ext cx="321437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161636</xdr:colOff>
      <xdr:row>84</xdr:row>
      <xdr:rowOff>0</xdr:rowOff>
    </xdr:from>
    <xdr:to>
      <xdr:col>11</xdr:col>
      <xdr:colOff>1443182</xdr:colOff>
      <xdr:row>88</xdr:row>
      <xdr:rowOff>57728</xdr:rowOff>
    </xdr:to>
    <xdr:sp>
      <xdr:nvSpPr>
        <xdr:cNvPr id="60" name="Rectangle: Rounded Corners 59">
          <a:hlinkClick xmlns:r="http://schemas.openxmlformats.org/officeDocument/2006/relationships" r:id="rId35"/>
        </xdr:cNvPr>
        <xdr:cNvSpPr/>
      </xdr:nvSpPr>
      <xdr:spPr>
        <a:xfrm>
          <a:off x="16784955" y="1837880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161636</xdr:colOff>
      <xdr:row>141</xdr:row>
      <xdr:rowOff>23091</xdr:rowOff>
    </xdr:from>
    <xdr:to>
      <xdr:col>11</xdr:col>
      <xdr:colOff>1443182</xdr:colOff>
      <xdr:row>145</xdr:row>
      <xdr:rowOff>80819</xdr:rowOff>
    </xdr:to>
    <xdr:sp>
      <xdr:nvSpPr>
        <xdr:cNvPr id="61" name="Rectangle: Rounded Corners 60">
          <a:hlinkClick xmlns:r="http://schemas.openxmlformats.org/officeDocument/2006/relationships" r:id="rId35"/>
        </xdr:cNvPr>
        <xdr:cNvSpPr/>
      </xdr:nvSpPr>
      <xdr:spPr>
        <a:xfrm>
          <a:off x="16784955" y="3031299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115454</xdr:colOff>
      <xdr:row>198</xdr:row>
      <xdr:rowOff>0</xdr:rowOff>
    </xdr:from>
    <xdr:to>
      <xdr:col>11</xdr:col>
      <xdr:colOff>1397000</xdr:colOff>
      <xdr:row>202</xdr:row>
      <xdr:rowOff>57728</xdr:rowOff>
    </xdr:to>
    <xdr:sp>
      <xdr:nvSpPr>
        <xdr:cNvPr id="62" name="Rectangle: Rounded Corners 61">
          <a:hlinkClick xmlns:r="http://schemas.openxmlformats.org/officeDocument/2006/relationships" r:id="rId35"/>
        </xdr:cNvPr>
        <xdr:cNvSpPr/>
      </xdr:nvSpPr>
      <xdr:spPr>
        <a:xfrm>
          <a:off x="16738600" y="42310685"/>
          <a:ext cx="3223895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196273</xdr:colOff>
      <xdr:row>254</xdr:row>
      <xdr:rowOff>173182</xdr:rowOff>
    </xdr:from>
    <xdr:to>
      <xdr:col>11</xdr:col>
      <xdr:colOff>1477819</xdr:colOff>
      <xdr:row>259</xdr:row>
      <xdr:rowOff>46183</xdr:rowOff>
    </xdr:to>
    <xdr:sp>
      <xdr:nvSpPr>
        <xdr:cNvPr id="63" name="Rectangle: Rounded Corners 62">
          <a:hlinkClick xmlns:r="http://schemas.openxmlformats.org/officeDocument/2006/relationships" r:id="rId35"/>
        </xdr:cNvPr>
        <xdr:cNvSpPr/>
      </xdr:nvSpPr>
      <xdr:spPr>
        <a:xfrm>
          <a:off x="16819880" y="542944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161636</xdr:colOff>
      <xdr:row>311</xdr:row>
      <xdr:rowOff>150091</xdr:rowOff>
    </xdr:from>
    <xdr:to>
      <xdr:col>11</xdr:col>
      <xdr:colOff>1443182</xdr:colOff>
      <xdr:row>316</xdr:row>
      <xdr:rowOff>23091</xdr:rowOff>
    </xdr:to>
    <xdr:sp>
      <xdr:nvSpPr>
        <xdr:cNvPr id="64" name="Rectangle: Rounded Corners 63">
          <a:hlinkClick xmlns:r="http://schemas.openxmlformats.org/officeDocument/2006/relationships" r:id="rId35"/>
        </xdr:cNvPr>
        <xdr:cNvSpPr/>
      </xdr:nvSpPr>
      <xdr:spPr>
        <a:xfrm>
          <a:off x="16784955" y="6629209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138545</xdr:colOff>
      <xdr:row>349</xdr:row>
      <xdr:rowOff>0</xdr:rowOff>
    </xdr:from>
    <xdr:to>
      <xdr:col>11</xdr:col>
      <xdr:colOff>1420091</xdr:colOff>
      <xdr:row>353</xdr:row>
      <xdr:rowOff>57728</xdr:rowOff>
    </xdr:to>
    <xdr:sp>
      <xdr:nvSpPr>
        <xdr:cNvPr id="65" name="Rectangle: Rounded Corners 64">
          <a:hlinkClick xmlns:r="http://schemas.openxmlformats.org/officeDocument/2006/relationships" r:id="rId35"/>
        </xdr:cNvPr>
        <xdr:cNvSpPr/>
      </xdr:nvSpPr>
      <xdr:spPr>
        <a:xfrm>
          <a:off x="16762095" y="741813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1593273</xdr:colOff>
      <xdr:row>441</xdr:row>
      <xdr:rowOff>219364</xdr:rowOff>
    </xdr:from>
    <xdr:to>
      <xdr:col>13</xdr:col>
      <xdr:colOff>34638</xdr:colOff>
      <xdr:row>445</xdr:row>
      <xdr:rowOff>57728</xdr:rowOff>
    </xdr:to>
    <xdr:sp>
      <xdr:nvSpPr>
        <xdr:cNvPr id="66" name="Rectangle: Rounded Corners 65">
          <a:hlinkClick xmlns:r="http://schemas.openxmlformats.org/officeDocument/2006/relationships" r:id="rId35"/>
        </xdr:cNvPr>
        <xdr:cNvSpPr/>
      </xdr:nvSpPr>
      <xdr:spPr>
        <a:xfrm>
          <a:off x="18216880" y="96339025"/>
          <a:ext cx="3196590" cy="82867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80818</xdr:colOff>
      <xdr:row>83</xdr:row>
      <xdr:rowOff>161636</xdr:rowOff>
    </xdr:from>
    <xdr:to>
      <xdr:col>26</xdr:col>
      <xdr:colOff>1362364</xdr:colOff>
      <xdr:row>88</xdr:row>
      <xdr:rowOff>34637</xdr:rowOff>
    </xdr:to>
    <xdr:sp>
      <xdr:nvSpPr>
        <xdr:cNvPr id="67" name="Rectangle: Rounded Corners 66">
          <a:hlinkClick xmlns:r="http://schemas.openxmlformats.org/officeDocument/2006/relationships" r:id="rId36"/>
        </xdr:cNvPr>
        <xdr:cNvSpPr/>
      </xdr:nvSpPr>
      <xdr:spPr>
        <a:xfrm>
          <a:off x="39371270" y="1833054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127000</xdr:colOff>
      <xdr:row>141</xdr:row>
      <xdr:rowOff>0</xdr:rowOff>
    </xdr:from>
    <xdr:to>
      <xdr:col>26</xdr:col>
      <xdr:colOff>1408546</xdr:colOff>
      <xdr:row>145</xdr:row>
      <xdr:rowOff>57728</xdr:rowOff>
    </xdr:to>
    <xdr:sp>
      <xdr:nvSpPr>
        <xdr:cNvPr id="68" name="Rectangle: Rounded Corners 67">
          <a:hlinkClick xmlns:r="http://schemas.openxmlformats.org/officeDocument/2006/relationships" r:id="rId36"/>
        </xdr:cNvPr>
        <xdr:cNvSpPr/>
      </xdr:nvSpPr>
      <xdr:spPr>
        <a:xfrm>
          <a:off x="39417625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127000</xdr:colOff>
      <xdr:row>198</xdr:row>
      <xdr:rowOff>0</xdr:rowOff>
    </xdr:from>
    <xdr:to>
      <xdr:col>26</xdr:col>
      <xdr:colOff>1408546</xdr:colOff>
      <xdr:row>202</xdr:row>
      <xdr:rowOff>57728</xdr:rowOff>
    </xdr:to>
    <xdr:sp>
      <xdr:nvSpPr>
        <xdr:cNvPr id="69" name="Rectangle: Rounded Corners 68">
          <a:hlinkClick xmlns:r="http://schemas.openxmlformats.org/officeDocument/2006/relationships" r:id="rId36"/>
        </xdr:cNvPr>
        <xdr:cNvSpPr/>
      </xdr:nvSpPr>
      <xdr:spPr>
        <a:xfrm>
          <a:off x="39417625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150091</xdr:colOff>
      <xdr:row>255</xdr:row>
      <xdr:rowOff>0</xdr:rowOff>
    </xdr:from>
    <xdr:to>
      <xdr:col>26</xdr:col>
      <xdr:colOff>1431637</xdr:colOff>
      <xdr:row>259</xdr:row>
      <xdr:rowOff>57728</xdr:rowOff>
    </xdr:to>
    <xdr:sp>
      <xdr:nvSpPr>
        <xdr:cNvPr id="70" name="Rectangle: Rounded Corners 69">
          <a:hlinkClick xmlns:r="http://schemas.openxmlformats.org/officeDocument/2006/relationships" r:id="rId36"/>
        </xdr:cNvPr>
        <xdr:cNvSpPr/>
      </xdr:nvSpPr>
      <xdr:spPr>
        <a:xfrm>
          <a:off x="39440485" y="543312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312</xdr:row>
      <xdr:rowOff>11545</xdr:rowOff>
    </xdr:from>
    <xdr:to>
      <xdr:col>26</xdr:col>
      <xdr:colOff>1385455</xdr:colOff>
      <xdr:row>316</xdr:row>
      <xdr:rowOff>69273</xdr:rowOff>
    </xdr:to>
    <xdr:sp>
      <xdr:nvSpPr>
        <xdr:cNvPr id="71" name="Rectangle: Rounded Corners 70">
          <a:hlinkClick xmlns:r="http://schemas.openxmlformats.org/officeDocument/2006/relationships" r:id="rId36"/>
        </xdr:cNvPr>
        <xdr:cNvSpPr/>
      </xdr:nvSpPr>
      <xdr:spPr>
        <a:xfrm>
          <a:off x="39394130" y="6636321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138545</xdr:colOff>
      <xdr:row>349</xdr:row>
      <xdr:rowOff>34637</xdr:rowOff>
    </xdr:from>
    <xdr:to>
      <xdr:col>26</xdr:col>
      <xdr:colOff>1420091</xdr:colOff>
      <xdr:row>353</xdr:row>
      <xdr:rowOff>92365</xdr:rowOff>
    </xdr:to>
    <xdr:sp>
      <xdr:nvSpPr>
        <xdr:cNvPr id="72" name="Rectangle: Rounded Corners 71">
          <a:hlinkClick xmlns:r="http://schemas.openxmlformats.org/officeDocument/2006/relationships" r:id="rId36"/>
        </xdr:cNvPr>
        <xdr:cNvSpPr/>
      </xdr:nvSpPr>
      <xdr:spPr>
        <a:xfrm>
          <a:off x="39429055" y="7421562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1524000</xdr:colOff>
      <xdr:row>442</xdr:row>
      <xdr:rowOff>0</xdr:rowOff>
    </xdr:from>
    <xdr:to>
      <xdr:col>27</xdr:col>
      <xdr:colOff>623455</xdr:colOff>
      <xdr:row>445</xdr:row>
      <xdr:rowOff>92364</xdr:rowOff>
    </xdr:to>
    <xdr:sp>
      <xdr:nvSpPr>
        <xdr:cNvPr id="73" name="Rectangle: Rounded Corners 72">
          <a:hlinkClick xmlns:r="http://schemas.openxmlformats.org/officeDocument/2006/relationships" r:id="rId36"/>
        </xdr:cNvPr>
        <xdr:cNvSpPr/>
      </xdr:nvSpPr>
      <xdr:spPr>
        <a:xfrm>
          <a:off x="40814625" y="96377125"/>
          <a:ext cx="3210560" cy="8255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85303</xdr:rowOff>
    </xdr:from>
    <xdr:to>
      <xdr:col>12</xdr:col>
      <xdr:colOff>18143</xdr:colOff>
      <xdr:row>22</xdr:row>
      <xdr:rowOff>14569</xdr:rowOff>
    </xdr:to>
    <xdr:sp>
      <xdr:nvSpPr>
        <xdr:cNvPr id="2" name="Rectangle 1"/>
        <xdr:cNvSpPr/>
      </xdr:nvSpPr>
      <xdr:spPr>
        <a:xfrm>
          <a:off x="0" y="2180590"/>
          <a:ext cx="20753070" cy="244348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oneCellAnchor>
    <xdr:from>
      <xdr:col>9</xdr:col>
      <xdr:colOff>888223</xdr:colOff>
      <xdr:row>27</xdr:row>
      <xdr:rowOff>5031</xdr:rowOff>
    </xdr:from>
    <xdr:ext cx="1024133" cy="1159385"/>
    <xdr:pic>
      <xdr:nvPicPr>
        <xdr:cNvPr id="3" name="Picture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1556956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9</xdr:col>
      <xdr:colOff>899769</xdr:colOff>
      <xdr:row>55</xdr:row>
      <xdr:rowOff>16482</xdr:rowOff>
    </xdr:from>
    <xdr:ext cx="1002669" cy="1156640"/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1558099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47</xdr:row>
      <xdr:rowOff>163561</xdr:rowOff>
    </xdr:from>
    <xdr:ext cx="1025352" cy="1187725"/>
    <xdr:pic>
      <xdr:nvPicPr>
        <xdr:cNvPr id="5" name="Picture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1556956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40</xdr:row>
      <xdr:rowOff>186651</xdr:rowOff>
    </xdr:from>
    <xdr:ext cx="993184" cy="1197126"/>
    <xdr:pic>
      <xdr:nvPicPr>
        <xdr:cNvPr id="6" name="Picture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956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9</xdr:col>
      <xdr:colOff>888223</xdr:colOff>
      <xdr:row>33</xdr:row>
      <xdr:rowOff>207526</xdr:rowOff>
    </xdr:from>
    <xdr:ext cx="1004961" cy="1178651"/>
    <xdr:pic>
      <xdr:nvPicPr>
        <xdr:cNvPr id="7" name="Picture 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1556956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0</xdr:col>
      <xdr:colOff>70650</xdr:colOff>
      <xdr:row>0</xdr:row>
      <xdr:rowOff>7471</xdr:rowOff>
    </xdr:from>
    <xdr:to>
      <xdr:col>5</xdr:col>
      <xdr:colOff>1464236</xdr:colOff>
      <xdr:row>6</xdr:row>
      <xdr:rowOff>74705</xdr:rowOff>
    </xdr:to>
    <xdr:grpSp>
      <xdr:nvGrpSpPr>
        <xdr:cNvPr id="8" name="Group 7"/>
        <xdr:cNvGrpSpPr/>
      </xdr:nvGrpSpPr>
      <xdr:grpSpPr>
        <a:xfrm>
          <a:off x="70485" y="6985"/>
          <a:ext cx="9249410" cy="1324610"/>
          <a:chOff x="70650" y="0"/>
          <a:chExt cx="9297468" cy="1187822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0" name="Group 9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1" name="TextBox 10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Transaction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2" name="TextBox 11"/>
            <xdr:cNvSpPr txBox="1"/>
          </xdr:nvSpPr>
          <xdr:spPr>
            <a:xfrm>
              <a:off x="2241175" y="709705"/>
              <a:ext cx="1881107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H a r i  1 1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58</xdr:col>
      <xdr:colOff>129468</xdr:colOff>
      <xdr:row>7</xdr:row>
      <xdr:rowOff>11537</xdr:rowOff>
    </xdr:to>
    <xdr:cxnSp>
      <xdr:nvCxnSpPr>
        <xdr:cNvPr id="13" name="Straight Connector 12"/>
        <xdr:cNvCxnSpPr/>
      </xdr:nvCxnSpPr>
      <xdr:spPr>
        <a:xfrm>
          <a:off x="0" y="1466850"/>
          <a:ext cx="6349174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7</xdr:row>
      <xdr:rowOff>170294</xdr:rowOff>
    </xdr:from>
    <xdr:to>
      <xdr:col>2</xdr:col>
      <xdr:colOff>34168</xdr:colOff>
      <xdr:row>10</xdr:row>
      <xdr:rowOff>56465</xdr:rowOff>
    </xdr:to>
    <xdr:sp>
      <xdr:nvSpPr>
        <xdr:cNvPr id="14" name="Rectangle 13"/>
        <xdr:cNvSpPr/>
      </xdr:nvSpPr>
      <xdr:spPr>
        <a:xfrm>
          <a:off x="190500" y="1637030"/>
          <a:ext cx="3003550" cy="514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234741</xdr:colOff>
      <xdr:row>12</xdr:row>
      <xdr:rowOff>112057</xdr:rowOff>
    </xdr:from>
    <xdr:to>
      <xdr:col>1</xdr:col>
      <xdr:colOff>1756562</xdr:colOff>
      <xdr:row>14</xdr:row>
      <xdr:rowOff>93720</xdr:rowOff>
    </xdr:to>
    <xdr:sp>
      <xdr:nvSpPr>
        <xdr:cNvPr id="15" name="Rectangle: Rounded Corners 14">
          <a:hlinkClick xmlns:r="http://schemas.openxmlformats.org/officeDocument/2006/relationships" r:id="rId7"/>
        </xdr:cNvPr>
        <xdr:cNvSpPr/>
      </xdr:nvSpPr>
      <xdr:spPr>
        <a:xfrm>
          <a:off x="234315" y="2626360"/>
          <a:ext cx="1978025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229628</xdr:colOff>
      <xdr:row>14</xdr:row>
      <xdr:rowOff>135326</xdr:rowOff>
    </xdr:from>
    <xdr:to>
      <xdr:col>1</xdr:col>
      <xdr:colOff>1750951</xdr:colOff>
      <xdr:row>16</xdr:row>
      <xdr:rowOff>116989</xdr:rowOff>
    </xdr:to>
    <xdr:sp>
      <xdr:nvSpPr>
        <xdr:cNvPr id="16" name="Rectangle: Rounded Corners 15">
          <a:hlinkClick xmlns:r="http://schemas.openxmlformats.org/officeDocument/2006/relationships" r:id="rId8"/>
        </xdr:cNvPr>
        <xdr:cNvSpPr/>
      </xdr:nvSpPr>
      <xdr:spPr>
        <a:xfrm>
          <a:off x="229235" y="3068955"/>
          <a:ext cx="1977390" cy="4006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228196</xdr:colOff>
      <xdr:row>16</xdr:row>
      <xdr:rowOff>157321</xdr:rowOff>
    </xdr:from>
    <xdr:to>
      <xdr:col>1</xdr:col>
      <xdr:colOff>1746955</xdr:colOff>
      <xdr:row>18</xdr:row>
      <xdr:rowOff>137838</xdr:rowOff>
    </xdr:to>
    <xdr:sp>
      <xdr:nvSpPr>
        <xdr:cNvPr id="17" name="Rectangle: Rounded Corners 16">
          <a:hlinkClick xmlns:r="http://schemas.openxmlformats.org/officeDocument/2006/relationships" r:id="rId9"/>
        </xdr:cNvPr>
        <xdr:cNvSpPr/>
      </xdr:nvSpPr>
      <xdr:spPr>
        <a:xfrm>
          <a:off x="227965" y="3509645"/>
          <a:ext cx="197485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1843245</xdr:colOff>
      <xdr:row>12</xdr:row>
      <xdr:rowOff>110045</xdr:rowOff>
    </xdr:from>
    <xdr:to>
      <xdr:col>2</xdr:col>
      <xdr:colOff>1123338</xdr:colOff>
      <xdr:row>14</xdr:row>
      <xdr:rowOff>94148</xdr:rowOff>
    </xdr:to>
    <xdr:sp>
      <xdr:nvSpPr>
        <xdr:cNvPr id="18" name="Rectangle: Rounded Corners 17">
          <a:hlinkClick xmlns:r="http://schemas.openxmlformats.org/officeDocument/2006/relationships" r:id="rId10"/>
        </xdr:cNvPr>
        <xdr:cNvSpPr/>
      </xdr:nvSpPr>
      <xdr:spPr>
        <a:xfrm>
          <a:off x="2298700" y="2624455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1841368</xdr:colOff>
      <xdr:row>14</xdr:row>
      <xdr:rowOff>141138</xdr:rowOff>
    </xdr:from>
    <xdr:to>
      <xdr:col>2</xdr:col>
      <xdr:colOff>1121461</xdr:colOff>
      <xdr:row>16</xdr:row>
      <xdr:rowOff>125241</xdr:rowOff>
    </xdr:to>
    <xdr:sp>
      <xdr:nvSpPr>
        <xdr:cNvPr id="19" name="Rectangle: Rounded Corners 18">
          <a:hlinkClick xmlns:r="http://schemas.openxmlformats.org/officeDocument/2006/relationships" r:id="rId11"/>
        </xdr:cNvPr>
        <xdr:cNvSpPr/>
      </xdr:nvSpPr>
      <xdr:spPr>
        <a:xfrm>
          <a:off x="2296795" y="3074670"/>
          <a:ext cx="19850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1211179</xdr:colOff>
      <xdr:row>12</xdr:row>
      <xdr:rowOff>113490</xdr:rowOff>
    </xdr:from>
    <xdr:to>
      <xdr:col>4</xdr:col>
      <xdr:colOff>57495</xdr:colOff>
      <xdr:row>14</xdr:row>
      <xdr:rowOff>97592</xdr:rowOff>
    </xdr:to>
    <xdr:sp>
      <xdr:nvSpPr>
        <xdr:cNvPr id="20" name="Rectangle: Rounded Corners 19">
          <a:hlinkClick xmlns:r="http://schemas.openxmlformats.org/officeDocument/2006/relationships" r:id="rId12"/>
        </xdr:cNvPr>
        <xdr:cNvSpPr/>
      </xdr:nvSpPr>
      <xdr:spPr>
        <a:xfrm>
          <a:off x="4371340" y="2627630"/>
          <a:ext cx="197675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</xdr:col>
      <xdr:colOff>1203113</xdr:colOff>
      <xdr:row>14</xdr:row>
      <xdr:rowOff>142882</xdr:rowOff>
    </xdr:from>
    <xdr:to>
      <xdr:col>4</xdr:col>
      <xdr:colOff>44536</xdr:colOff>
      <xdr:row>16</xdr:row>
      <xdr:rowOff>126985</xdr:rowOff>
    </xdr:to>
    <xdr:sp>
      <xdr:nvSpPr>
        <xdr:cNvPr id="21" name="Rectangle: Rounded Corners 20">
          <a:hlinkClick xmlns:r="http://schemas.openxmlformats.org/officeDocument/2006/relationships" r:id="rId13"/>
        </xdr:cNvPr>
        <xdr:cNvSpPr/>
      </xdr:nvSpPr>
      <xdr:spPr>
        <a:xfrm>
          <a:off x="4363085" y="3076575"/>
          <a:ext cx="197231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970214</xdr:colOff>
      <xdr:row>12</xdr:row>
      <xdr:rowOff>171560</xdr:rowOff>
    </xdr:from>
    <xdr:to>
      <xdr:col>8</xdr:col>
      <xdr:colOff>1681251</xdr:colOff>
      <xdr:row>19</xdr:row>
      <xdr:rowOff>51583</xdr:rowOff>
    </xdr:to>
    <xdr:sp>
      <xdr:nvSpPr>
        <xdr:cNvPr id="22" name="Rectangle: Rounded Corners 21">
          <a:hlinkClick xmlns:r="http://schemas.openxmlformats.org/officeDocument/2006/relationships" r:id="rId14"/>
        </xdr:cNvPr>
        <xdr:cNvSpPr/>
      </xdr:nvSpPr>
      <xdr:spPr>
        <a:xfrm>
          <a:off x="11956415" y="2686050"/>
          <a:ext cx="2653030" cy="1346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201643</xdr:colOff>
      <xdr:row>9</xdr:row>
      <xdr:rowOff>172158</xdr:rowOff>
    </xdr:from>
    <xdr:to>
      <xdr:col>4</xdr:col>
      <xdr:colOff>208050</xdr:colOff>
      <xdr:row>22</xdr:row>
      <xdr:rowOff>38101</xdr:rowOff>
    </xdr:to>
    <xdr:cxnSp>
      <xdr:nvCxnSpPr>
        <xdr:cNvPr id="23" name="Straight Connector 22"/>
        <xdr:cNvCxnSpPr/>
      </xdr:nvCxnSpPr>
      <xdr:spPr>
        <a:xfrm flipH="1">
          <a:off x="6492240" y="2058035"/>
          <a:ext cx="6350" cy="259016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190763</xdr:colOff>
      <xdr:row>10</xdr:row>
      <xdr:rowOff>85303</xdr:rowOff>
    </xdr:from>
    <xdr:to>
      <xdr:col>1</xdr:col>
      <xdr:colOff>2176586</xdr:colOff>
      <xdr:row>12</xdr:row>
      <xdr:rowOff>85280</xdr:rowOff>
    </xdr:to>
    <xdr:sp>
      <xdr:nvSpPr>
        <xdr:cNvPr id="24" name="Text_PagiGanjil"/>
        <xdr:cNvSpPr txBox="1"/>
      </xdr:nvSpPr>
      <xdr:spPr>
        <a:xfrm>
          <a:off x="190500" y="2180590"/>
          <a:ext cx="24415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</xdr:col>
      <xdr:colOff>219584</xdr:colOff>
      <xdr:row>10</xdr:row>
      <xdr:rowOff>80598</xdr:rowOff>
    </xdr:from>
    <xdr:to>
      <xdr:col>5</xdr:col>
      <xdr:colOff>1381495</xdr:colOff>
      <xdr:row>12</xdr:row>
      <xdr:rowOff>80575</xdr:rowOff>
    </xdr:to>
    <xdr:sp>
      <xdr:nvSpPr>
        <xdr:cNvPr id="25" name="Text_PagiGanjil"/>
        <xdr:cNvSpPr txBox="1"/>
      </xdr:nvSpPr>
      <xdr:spPr>
        <a:xfrm>
          <a:off x="6510020" y="2175510"/>
          <a:ext cx="272732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820841</xdr:colOff>
      <xdr:row>16</xdr:row>
      <xdr:rowOff>173753</xdr:rowOff>
    </xdr:from>
    <xdr:to>
      <xdr:col>7</xdr:col>
      <xdr:colOff>586586</xdr:colOff>
      <xdr:row>18</xdr:row>
      <xdr:rowOff>157564</xdr:rowOff>
    </xdr:to>
    <xdr:sp>
      <xdr:nvSpPr>
        <xdr:cNvPr id="26" name="Rectangle: Rounded Corners 25">
          <a:hlinkClick xmlns:r="http://schemas.openxmlformats.org/officeDocument/2006/relationships" r:id="rId15"/>
        </xdr:cNvPr>
        <xdr:cNvSpPr/>
      </xdr:nvSpPr>
      <xdr:spPr>
        <a:xfrm>
          <a:off x="8676640" y="3526155"/>
          <a:ext cx="2896235" cy="40322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343675</xdr:colOff>
      <xdr:row>12</xdr:row>
      <xdr:rowOff>100967</xdr:rowOff>
    </xdr:from>
    <xdr:to>
      <xdr:col>5</xdr:col>
      <xdr:colOff>756723</xdr:colOff>
      <xdr:row>14</xdr:row>
      <xdr:rowOff>85070</xdr:rowOff>
    </xdr:to>
    <xdr:sp>
      <xdr:nvSpPr>
        <xdr:cNvPr id="27" name="Rectangle: Rounded Corners 26">
          <a:hlinkClick xmlns:r="http://schemas.openxmlformats.org/officeDocument/2006/relationships" r:id="rId16"/>
        </xdr:cNvPr>
        <xdr:cNvSpPr/>
      </xdr:nvSpPr>
      <xdr:spPr>
        <a:xfrm>
          <a:off x="6634480" y="2615565"/>
          <a:ext cx="197802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346665</xdr:colOff>
      <xdr:row>14</xdr:row>
      <xdr:rowOff>135455</xdr:rowOff>
    </xdr:from>
    <xdr:to>
      <xdr:col>5</xdr:col>
      <xdr:colOff>759713</xdr:colOff>
      <xdr:row>16</xdr:row>
      <xdr:rowOff>119558</xdr:rowOff>
    </xdr:to>
    <xdr:sp>
      <xdr:nvSpPr>
        <xdr:cNvPr id="28" name="Rectangle: Rounded Corners 27">
          <a:hlinkClick xmlns:r="http://schemas.openxmlformats.org/officeDocument/2006/relationships" r:id="rId17"/>
        </xdr:cNvPr>
        <xdr:cNvSpPr/>
      </xdr:nvSpPr>
      <xdr:spPr>
        <a:xfrm>
          <a:off x="6637020" y="306895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342180</xdr:colOff>
      <xdr:row>16</xdr:row>
      <xdr:rowOff>162101</xdr:rowOff>
    </xdr:from>
    <xdr:to>
      <xdr:col>5</xdr:col>
      <xdr:colOff>755228</xdr:colOff>
      <xdr:row>18</xdr:row>
      <xdr:rowOff>146204</xdr:rowOff>
    </xdr:to>
    <xdr:sp>
      <xdr:nvSpPr>
        <xdr:cNvPr id="29" name="Rectangle: Rounded Corners 28">
          <a:hlinkClick xmlns:r="http://schemas.openxmlformats.org/officeDocument/2006/relationships" r:id="rId18"/>
        </xdr:cNvPr>
        <xdr:cNvSpPr/>
      </xdr:nvSpPr>
      <xdr:spPr>
        <a:xfrm>
          <a:off x="6632575" y="3514725"/>
          <a:ext cx="197866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792434</xdr:colOff>
      <xdr:row>12</xdr:row>
      <xdr:rowOff>102536</xdr:rowOff>
    </xdr:from>
    <xdr:to>
      <xdr:col>7</xdr:col>
      <xdr:colOff>586585</xdr:colOff>
      <xdr:row>14</xdr:row>
      <xdr:rowOff>86639</xdr:rowOff>
    </xdr:to>
    <xdr:sp>
      <xdr:nvSpPr>
        <xdr:cNvPr id="30" name="Rectangle: Rounded Corners 29">
          <a:hlinkClick xmlns:r="http://schemas.openxmlformats.org/officeDocument/2006/relationships" r:id="rId19"/>
        </xdr:cNvPr>
        <xdr:cNvSpPr/>
      </xdr:nvSpPr>
      <xdr:spPr>
        <a:xfrm>
          <a:off x="8648065" y="261683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802899</xdr:colOff>
      <xdr:row>14</xdr:row>
      <xdr:rowOff>137024</xdr:rowOff>
    </xdr:from>
    <xdr:to>
      <xdr:col>7</xdr:col>
      <xdr:colOff>597050</xdr:colOff>
      <xdr:row>16</xdr:row>
      <xdr:rowOff>121127</xdr:rowOff>
    </xdr:to>
    <xdr:sp>
      <xdr:nvSpPr>
        <xdr:cNvPr id="31" name="Rectangle: Rounded Corners 30">
          <a:hlinkClick xmlns:r="http://schemas.openxmlformats.org/officeDocument/2006/relationships" r:id="rId20"/>
        </xdr:cNvPr>
        <xdr:cNvSpPr/>
      </xdr:nvSpPr>
      <xdr:spPr>
        <a:xfrm>
          <a:off x="8658860" y="3070225"/>
          <a:ext cx="2924810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730541</xdr:colOff>
      <xdr:row>9</xdr:row>
      <xdr:rowOff>31869</xdr:rowOff>
    </xdr:from>
    <xdr:to>
      <xdr:col>7</xdr:col>
      <xdr:colOff>730541</xdr:colOff>
      <xdr:row>22</xdr:row>
      <xdr:rowOff>61631</xdr:rowOff>
    </xdr:to>
    <xdr:cxnSp>
      <xdr:nvCxnSpPr>
        <xdr:cNvPr id="32" name="Straight Connector 31"/>
        <xdr:cNvCxnSpPr/>
      </xdr:nvCxnSpPr>
      <xdr:spPr>
        <a:xfrm>
          <a:off x="11717020" y="1917700"/>
          <a:ext cx="0" cy="2753995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888223</xdr:colOff>
      <xdr:row>27</xdr:row>
      <xdr:rowOff>5031</xdr:rowOff>
    </xdr:from>
    <xdr:ext cx="1024133" cy="1159385"/>
    <xdr:pic>
      <xdr:nvPicPr>
        <xdr:cNvPr id="33" name="Picture 3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38236525" y="5629275"/>
          <a:ext cx="1024255" cy="1159510"/>
        </a:xfrm>
        <a:prstGeom prst="roundRect">
          <a:avLst/>
        </a:prstGeom>
      </xdr:spPr>
    </xdr:pic>
    <xdr:clientData/>
  </xdr:oneCellAnchor>
  <xdr:oneCellAnchor>
    <xdr:from>
      <xdr:col>24</xdr:col>
      <xdr:colOff>899769</xdr:colOff>
      <xdr:row>55</xdr:row>
      <xdr:rowOff>16482</xdr:rowOff>
    </xdr:from>
    <xdr:ext cx="1002669" cy="1156640"/>
    <xdr:pic>
      <xdr:nvPicPr>
        <xdr:cNvPr id="34" name="Picture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38247955" y="12117705"/>
          <a:ext cx="1002665" cy="115697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47</xdr:row>
      <xdr:rowOff>163561</xdr:rowOff>
    </xdr:from>
    <xdr:ext cx="1025352" cy="1187725"/>
    <xdr:pic>
      <xdr:nvPicPr>
        <xdr:cNvPr id="35" name="Picture 3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38236525" y="10407650"/>
          <a:ext cx="1025525" cy="1188085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40</xdr:row>
      <xdr:rowOff>186651</xdr:rowOff>
    </xdr:from>
    <xdr:ext cx="993184" cy="1197126"/>
    <xdr:pic>
      <xdr:nvPicPr>
        <xdr:cNvPr id="36" name="Picture 3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6525" y="8811260"/>
          <a:ext cx="993140" cy="1197610"/>
        </a:xfrm>
        <a:prstGeom prst="rect">
          <a:avLst/>
        </a:prstGeom>
      </xdr:spPr>
    </xdr:pic>
    <xdr:clientData/>
  </xdr:oneCellAnchor>
  <xdr:oneCellAnchor>
    <xdr:from>
      <xdr:col>24</xdr:col>
      <xdr:colOff>888223</xdr:colOff>
      <xdr:row>33</xdr:row>
      <xdr:rowOff>207526</xdr:rowOff>
    </xdr:from>
    <xdr:ext cx="1004961" cy="1178651"/>
    <xdr:pic>
      <xdr:nvPicPr>
        <xdr:cNvPr id="37" name="Picture 3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38236525" y="7212965"/>
          <a:ext cx="1005205" cy="1178560"/>
        </a:xfrm>
        <a:prstGeom prst="roundRect">
          <a:avLst/>
        </a:prstGeom>
      </xdr:spPr>
    </xdr:pic>
    <xdr:clientData/>
  </xdr:oneCellAnchor>
  <xdr:twoCellAnchor>
    <xdr:from>
      <xdr:col>14</xdr:col>
      <xdr:colOff>510987</xdr:colOff>
      <xdr:row>8</xdr:row>
      <xdr:rowOff>2393</xdr:rowOff>
    </xdr:from>
    <xdr:to>
      <xdr:col>16</xdr:col>
      <xdr:colOff>2403673</xdr:colOff>
      <xdr:row>10</xdr:row>
      <xdr:rowOff>78540</xdr:rowOff>
    </xdr:to>
    <xdr:sp>
      <xdr:nvSpPr>
        <xdr:cNvPr id="38" name="Rectangle 37"/>
        <xdr:cNvSpPr/>
      </xdr:nvSpPr>
      <xdr:spPr>
        <a:xfrm>
          <a:off x="22533610" y="1678305"/>
          <a:ext cx="2992755" cy="4953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Transaction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Menu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655830</xdr:colOff>
      <xdr:row>10</xdr:row>
      <xdr:rowOff>76876</xdr:rowOff>
    </xdr:from>
    <xdr:to>
      <xdr:col>27</xdr:col>
      <xdr:colOff>0</xdr:colOff>
      <xdr:row>22</xdr:row>
      <xdr:rowOff>3605</xdr:rowOff>
    </xdr:to>
    <xdr:sp>
      <xdr:nvSpPr>
        <xdr:cNvPr id="39" name="Rectangle 38"/>
        <xdr:cNvSpPr/>
      </xdr:nvSpPr>
      <xdr:spPr>
        <a:xfrm>
          <a:off x="22666960" y="2172335"/>
          <a:ext cx="20735290" cy="2440940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2400" b="0">
            <a:solidFill>
              <a:schemeClr val="bg2"/>
            </a:solidFill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15</xdr:col>
      <xdr:colOff>449641</xdr:colOff>
      <xdr:row>12</xdr:row>
      <xdr:rowOff>103163</xdr:rowOff>
    </xdr:from>
    <xdr:to>
      <xdr:col>16</xdr:col>
      <xdr:colOff>1972387</xdr:colOff>
      <xdr:row>14</xdr:row>
      <xdr:rowOff>84411</xdr:rowOff>
    </xdr:to>
    <xdr:sp>
      <xdr:nvSpPr>
        <xdr:cNvPr id="40" name="Rectangle: Rounded Corners 39">
          <a:hlinkClick xmlns:r="http://schemas.openxmlformats.org/officeDocument/2006/relationships" r:id="rId21"/>
        </xdr:cNvPr>
        <xdr:cNvSpPr/>
      </xdr:nvSpPr>
      <xdr:spPr>
        <a:xfrm>
          <a:off x="23116540" y="2617470"/>
          <a:ext cx="1978660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PULSA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444525</xdr:colOff>
      <xdr:row>14</xdr:row>
      <xdr:rowOff>125969</xdr:rowOff>
    </xdr:from>
    <xdr:to>
      <xdr:col>16</xdr:col>
      <xdr:colOff>1966774</xdr:colOff>
      <xdr:row>16</xdr:row>
      <xdr:rowOff>107217</xdr:rowOff>
    </xdr:to>
    <xdr:sp>
      <xdr:nvSpPr>
        <xdr:cNvPr id="41" name="Rectangle: Rounded Corners 40">
          <a:hlinkClick xmlns:r="http://schemas.openxmlformats.org/officeDocument/2006/relationships" r:id="rId22"/>
        </xdr:cNvPr>
        <xdr:cNvSpPr/>
      </xdr:nvSpPr>
      <xdr:spPr>
        <a:xfrm>
          <a:off x="23111460" y="3059430"/>
          <a:ext cx="1978025" cy="400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ROKOK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15</xdr:col>
      <xdr:colOff>443093</xdr:colOff>
      <xdr:row>16</xdr:row>
      <xdr:rowOff>147502</xdr:rowOff>
    </xdr:from>
    <xdr:to>
      <xdr:col>16</xdr:col>
      <xdr:colOff>1962776</xdr:colOff>
      <xdr:row>18</xdr:row>
      <xdr:rowOff>127605</xdr:rowOff>
    </xdr:to>
    <xdr:sp>
      <xdr:nvSpPr>
        <xdr:cNvPr id="42" name="Rectangle: Rounded Corners 41">
          <a:hlinkClick xmlns:r="http://schemas.openxmlformats.org/officeDocument/2006/relationships" r:id="rId23"/>
        </xdr:cNvPr>
        <xdr:cNvSpPr/>
      </xdr:nvSpPr>
      <xdr:spPr>
        <a:xfrm>
          <a:off x="23109555" y="3500120"/>
          <a:ext cx="1975485" cy="39878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SP &amp; VOUCHER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2059111</xdr:colOff>
      <xdr:row>12</xdr:row>
      <xdr:rowOff>101153</xdr:rowOff>
    </xdr:from>
    <xdr:to>
      <xdr:col>17</xdr:col>
      <xdr:colOff>1340128</xdr:colOff>
      <xdr:row>14</xdr:row>
      <xdr:rowOff>84838</xdr:rowOff>
    </xdr:to>
    <xdr:sp>
      <xdr:nvSpPr>
        <xdr:cNvPr id="43" name="Rectangle: Rounded Corners 42">
          <a:hlinkClick xmlns:r="http://schemas.openxmlformats.org/officeDocument/2006/relationships" r:id="rId24"/>
        </xdr:cNvPr>
        <xdr:cNvSpPr/>
      </xdr:nvSpPr>
      <xdr:spPr>
        <a:xfrm>
          <a:off x="25181560" y="261556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SOFT DRINK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16</xdr:col>
      <xdr:colOff>2057233</xdr:colOff>
      <xdr:row>14</xdr:row>
      <xdr:rowOff>131774</xdr:rowOff>
    </xdr:from>
    <xdr:to>
      <xdr:col>17</xdr:col>
      <xdr:colOff>1338250</xdr:colOff>
      <xdr:row>16</xdr:row>
      <xdr:rowOff>115459</xdr:rowOff>
    </xdr:to>
    <xdr:sp>
      <xdr:nvSpPr>
        <xdr:cNvPr id="44" name="Rectangle: Rounded Corners 43">
          <a:hlinkClick xmlns:r="http://schemas.openxmlformats.org/officeDocument/2006/relationships" r:id="rId25"/>
        </xdr:cNvPr>
        <xdr:cNvSpPr/>
      </xdr:nvSpPr>
      <xdr:spPr>
        <a:xfrm>
          <a:off x="25179655" y="3065145"/>
          <a:ext cx="19856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ICE CREAM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1428010</xdr:colOff>
      <xdr:row>12</xdr:row>
      <xdr:rowOff>104595</xdr:rowOff>
    </xdr:from>
    <xdr:to>
      <xdr:col>19</xdr:col>
      <xdr:colOff>275248</xdr:colOff>
      <xdr:row>14</xdr:row>
      <xdr:rowOff>88279</xdr:rowOff>
    </xdr:to>
    <xdr:sp>
      <xdr:nvSpPr>
        <xdr:cNvPr id="45" name="Rectangle: Rounded Corners 44">
          <a:hlinkClick xmlns:r="http://schemas.openxmlformats.org/officeDocument/2006/relationships" r:id="rId26"/>
        </xdr:cNvPr>
        <xdr:cNvSpPr/>
      </xdr:nvSpPr>
      <xdr:spPr>
        <a:xfrm>
          <a:off x="27254835" y="2618740"/>
          <a:ext cx="197802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AKSESORIS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17</xdr:col>
      <xdr:colOff>1419940</xdr:colOff>
      <xdr:row>14</xdr:row>
      <xdr:rowOff>133516</xdr:rowOff>
    </xdr:from>
    <xdr:to>
      <xdr:col>19</xdr:col>
      <xdr:colOff>262282</xdr:colOff>
      <xdr:row>16</xdr:row>
      <xdr:rowOff>117201</xdr:rowOff>
    </xdr:to>
    <xdr:sp>
      <xdr:nvSpPr>
        <xdr:cNvPr id="46" name="Rectangle: Rounded Corners 45">
          <a:hlinkClick xmlns:r="http://schemas.openxmlformats.org/officeDocument/2006/relationships" r:id="rId27"/>
        </xdr:cNvPr>
        <xdr:cNvSpPr/>
      </xdr:nvSpPr>
      <xdr:spPr>
        <a:xfrm>
          <a:off x="27247215" y="3067050"/>
          <a:ext cx="19729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HYDROGEL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1190573</xdr:colOff>
      <xdr:row>12</xdr:row>
      <xdr:rowOff>162598</xdr:rowOff>
    </xdr:from>
    <xdr:to>
      <xdr:col>24</xdr:col>
      <xdr:colOff>140719</xdr:colOff>
      <xdr:row>19</xdr:row>
      <xdr:rowOff>41231</xdr:rowOff>
    </xdr:to>
    <xdr:sp>
      <xdr:nvSpPr>
        <xdr:cNvPr id="47" name="Rectangle: Rounded Corners 46">
          <a:hlinkClick xmlns:r="http://schemas.openxmlformats.org/officeDocument/2006/relationships" r:id="rId28"/>
        </xdr:cNvPr>
        <xdr:cNvSpPr/>
      </xdr:nvSpPr>
      <xdr:spPr>
        <a:xfrm>
          <a:off x="34843720" y="2677160"/>
          <a:ext cx="2645410" cy="1344930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20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 SUMMARY</a:t>
          </a:r>
          <a:endParaRPr lang="en-ID" sz="20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419462</xdr:colOff>
      <xdr:row>9</xdr:row>
      <xdr:rowOff>163850</xdr:rowOff>
    </xdr:from>
    <xdr:to>
      <xdr:col>19</xdr:col>
      <xdr:colOff>425872</xdr:colOff>
      <xdr:row>22</xdr:row>
      <xdr:rowOff>27110</xdr:rowOff>
    </xdr:to>
    <xdr:cxnSp>
      <xdr:nvCxnSpPr>
        <xdr:cNvPr id="48" name="Straight Connector 47"/>
        <xdr:cNvCxnSpPr/>
      </xdr:nvCxnSpPr>
      <xdr:spPr>
        <a:xfrm flipH="1">
          <a:off x="29377005" y="2049780"/>
          <a:ext cx="6350" cy="258699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405642</xdr:colOff>
      <xdr:row>10</xdr:row>
      <xdr:rowOff>76876</xdr:rowOff>
    </xdr:from>
    <xdr:to>
      <xdr:col>16</xdr:col>
      <xdr:colOff>2392605</xdr:colOff>
      <xdr:row>12</xdr:row>
      <xdr:rowOff>76417</xdr:rowOff>
    </xdr:to>
    <xdr:sp>
      <xdr:nvSpPr>
        <xdr:cNvPr id="49" name="Text_PagiGanjil"/>
        <xdr:cNvSpPr txBox="1"/>
      </xdr:nvSpPr>
      <xdr:spPr>
        <a:xfrm>
          <a:off x="23072090" y="2172335"/>
          <a:ext cx="24428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Sales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19</xdr:col>
      <xdr:colOff>437411</xdr:colOff>
      <xdr:row>10</xdr:row>
      <xdr:rowOff>72176</xdr:rowOff>
    </xdr:from>
    <xdr:to>
      <xdr:col>21</xdr:col>
      <xdr:colOff>28963</xdr:colOff>
      <xdr:row>12</xdr:row>
      <xdr:rowOff>71717</xdr:rowOff>
    </xdr:to>
    <xdr:sp>
      <xdr:nvSpPr>
        <xdr:cNvPr id="50" name="Text_PagiGanjil"/>
        <xdr:cNvSpPr txBox="1"/>
      </xdr:nvSpPr>
      <xdr:spPr>
        <a:xfrm>
          <a:off x="29394785" y="2167255"/>
          <a:ext cx="2722245" cy="418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800" b="0">
              <a:solidFill>
                <a:schemeClr val="bg1"/>
              </a:solidFill>
              <a:latin typeface="+mn-lt"/>
            </a:rPr>
            <a:t>Additional</a:t>
          </a:r>
          <a:r>
            <a:rPr lang="en-ID" sz="1800" b="0" baseline="0">
              <a:solidFill>
                <a:schemeClr val="bg1"/>
              </a:solidFill>
              <a:latin typeface="+mn-lt"/>
            </a:rPr>
            <a:t> Transaction</a:t>
          </a:r>
          <a:endParaRPr lang="en-ID" sz="1800" b="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20</xdr:col>
      <xdr:colOff>1039675</xdr:colOff>
      <xdr:row>16</xdr:row>
      <xdr:rowOff>163916</xdr:rowOff>
    </xdr:from>
    <xdr:to>
      <xdr:col>22</xdr:col>
      <xdr:colOff>806767</xdr:colOff>
      <xdr:row>18</xdr:row>
      <xdr:rowOff>147310</xdr:rowOff>
    </xdr:to>
    <xdr:sp>
      <xdr:nvSpPr>
        <xdr:cNvPr id="51" name="Rectangle: Rounded Corners 50">
          <a:hlinkClick xmlns:r="http://schemas.openxmlformats.org/officeDocument/2006/relationships" r:id="rId29"/>
        </xdr:cNvPr>
        <xdr:cNvSpPr/>
      </xdr:nvSpPr>
      <xdr:spPr>
        <a:xfrm>
          <a:off x="31562675" y="3516630"/>
          <a:ext cx="2897505" cy="4019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AKUN BEBAN &amp; KAS</a:t>
          </a:r>
          <a:endParaRPr lang="en-ID" sz="1600" b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561560</xdr:colOff>
      <xdr:row>12</xdr:row>
      <xdr:rowOff>92085</xdr:rowOff>
    </xdr:from>
    <xdr:to>
      <xdr:col>20</xdr:col>
      <xdr:colOff>975527</xdr:colOff>
      <xdr:row>14</xdr:row>
      <xdr:rowOff>75770</xdr:rowOff>
    </xdr:to>
    <xdr:sp>
      <xdr:nvSpPr>
        <xdr:cNvPr id="52" name="Rectangle: Rounded Corners 51">
          <a:hlinkClick xmlns:r="http://schemas.openxmlformats.org/officeDocument/2006/relationships" r:id="rId30"/>
        </xdr:cNvPr>
        <xdr:cNvSpPr/>
      </xdr:nvSpPr>
      <xdr:spPr>
        <a:xfrm>
          <a:off x="29519245" y="2606675"/>
          <a:ext cx="197929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ANTAR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CABANG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564551</xdr:colOff>
      <xdr:row>14</xdr:row>
      <xdr:rowOff>126098</xdr:rowOff>
    </xdr:from>
    <xdr:to>
      <xdr:col>20</xdr:col>
      <xdr:colOff>978518</xdr:colOff>
      <xdr:row>16</xdr:row>
      <xdr:rowOff>109783</xdr:rowOff>
    </xdr:to>
    <xdr:sp>
      <xdr:nvSpPr>
        <xdr:cNvPr id="53" name="Rectangle: Rounded Corners 52">
          <a:hlinkClick xmlns:r="http://schemas.openxmlformats.org/officeDocument/2006/relationships" r:id="rId31"/>
        </xdr:cNvPr>
        <xdr:cNvSpPr/>
      </xdr:nvSpPr>
      <xdr:spPr>
        <a:xfrm>
          <a:off x="29522420" y="3059430"/>
          <a:ext cx="197866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RETUR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19</xdr:col>
      <xdr:colOff>560064</xdr:colOff>
      <xdr:row>16</xdr:row>
      <xdr:rowOff>152277</xdr:rowOff>
    </xdr:from>
    <xdr:to>
      <xdr:col>20</xdr:col>
      <xdr:colOff>974031</xdr:colOff>
      <xdr:row>18</xdr:row>
      <xdr:rowOff>135962</xdr:rowOff>
    </xdr:to>
    <xdr:sp>
      <xdr:nvSpPr>
        <xdr:cNvPr id="54" name="Rectangle: Rounded Corners 53">
          <a:hlinkClick xmlns:r="http://schemas.openxmlformats.org/officeDocument/2006/relationships" r:id="rId32"/>
        </xdr:cNvPr>
        <xdr:cNvSpPr/>
      </xdr:nvSpPr>
      <xdr:spPr>
        <a:xfrm>
          <a:off x="29517340" y="3504565"/>
          <a:ext cx="1979295" cy="4032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LAIN - LAIN</a:t>
          </a:r>
          <a:endParaRPr lang="en-ID" sz="1600" b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1011254</xdr:colOff>
      <xdr:row>12</xdr:row>
      <xdr:rowOff>93653</xdr:rowOff>
    </xdr:from>
    <xdr:to>
      <xdr:col>22</xdr:col>
      <xdr:colOff>806766</xdr:colOff>
      <xdr:row>14</xdr:row>
      <xdr:rowOff>77338</xdr:rowOff>
    </xdr:to>
    <xdr:sp>
      <xdr:nvSpPr>
        <xdr:cNvPr id="55" name="Rectangle: Rounded Corners 54">
          <a:hlinkClick xmlns:r="http://schemas.openxmlformats.org/officeDocument/2006/relationships" r:id="rId33"/>
        </xdr:cNvPr>
        <xdr:cNvSpPr/>
      </xdr:nvSpPr>
      <xdr:spPr>
        <a:xfrm>
          <a:off x="31534100" y="2607945"/>
          <a:ext cx="2926080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TABEL</a:t>
          </a:r>
          <a:r>
            <a:rPr lang="en-ID" sz="1600" b="0" baseline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PEMBANTU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20</xdr:col>
      <xdr:colOff>1021725</xdr:colOff>
      <xdr:row>14</xdr:row>
      <xdr:rowOff>127665</xdr:rowOff>
    </xdr:from>
    <xdr:to>
      <xdr:col>22</xdr:col>
      <xdr:colOff>817237</xdr:colOff>
      <xdr:row>16</xdr:row>
      <xdr:rowOff>111350</xdr:rowOff>
    </xdr:to>
    <xdr:sp>
      <xdr:nvSpPr>
        <xdr:cNvPr id="56" name="Rectangle: Rounded Corners 55">
          <a:hlinkClick xmlns:r="http://schemas.openxmlformats.org/officeDocument/2006/relationships" r:id="rId34"/>
        </xdr:cNvPr>
        <xdr:cNvSpPr/>
      </xdr:nvSpPr>
      <xdr:spPr>
        <a:xfrm>
          <a:off x="31544895" y="3061335"/>
          <a:ext cx="2925445" cy="40259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600" b="0">
              <a:solidFill>
                <a:schemeClr val="accent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PEMBAYARAN PIUTANG</a:t>
          </a:r>
          <a:endParaRPr lang="en-ID" sz="1600" b="0" baseline="0">
            <a:solidFill>
              <a:schemeClr val="accent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22</xdr:col>
      <xdr:colOff>950789</xdr:colOff>
      <xdr:row>9</xdr:row>
      <xdr:rowOff>23721</xdr:rowOff>
    </xdr:from>
    <xdr:to>
      <xdr:col>22</xdr:col>
      <xdr:colOff>950789</xdr:colOff>
      <xdr:row>22</xdr:row>
      <xdr:rowOff>50613</xdr:rowOff>
    </xdr:to>
    <xdr:cxnSp>
      <xdr:nvCxnSpPr>
        <xdr:cNvPr id="57" name="Straight Connector 56"/>
        <xdr:cNvCxnSpPr/>
      </xdr:nvCxnSpPr>
      <xdr:spPr>
        <a:xfrm>
          <a:off x="34604325" y="1909445"/>
          <a:ext cx="0" cy="275082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346363</xdr:colOff>
      <xdr:row>61</xdr:row>
      <xdr:rowOff>184726</xdr:rowOff>
    </xdr:from>
    <xdr:to>
      <xdr:col>10</xdr:col>
      <xdr:colOff>1627909</xdr:colOff>
      <xdr:row>66</xdr:row>
      <xdr:rowOff>57727</xdr:rowOff>
    </xdr:to>
    <xdr:sp>
      <xdr:nvSpPr>
        <xdr:cNvPr id="58" name="Rectangle: Rounded Corners 57">
          <a:hlinkClick xmlns:r="http://schemas.openxmlformats.org/officeDocument/2006/relationships" r:id="rId35"/>
        </xdr:cNvPr>
        <xdr:cNvSpPr/>
      </xdr:nvSpPr>
      <xdr:spPr>
        <a:xfrm>
          <a:off x="15027910" y="1366710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24</xdr:col>
      <xdr:colOff>1050636</xdr:colOff>
      <xdr:row>61</xdr:row>
      <xdr:rowOff>161636</xdr:rowOff>
    </xdr:from>
    <xdr:to>
      <xdr:col>26</xdr:col>
      <xdr:colOff>381001</xdr:colOff>
      <xdr:row>66</xdr:row>
      <xdr:rowOff>34637</xdr:rowOff>
    </xdr:to>
    <xdr:sp>
      <xdr:nvSpPr>
        <xdr:cNvPr id="59" name="Rectangle: Rounded Corners 58">
          <a:hlinkClick xmlns:r="http://schemas.openxmlformats.org/officeDocument/2006/relationships" r:id="rId36"/>
        </xdr:cNvPr>
        <xdr:cNvSpPr/>
      </xdr:nvSpPr>
      <xdr:spPr>
        <a:xfrm>
          <a:off x="38399085" y="13644245"/>
          <a:ext cx="321437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161637</xdr:colOff>
      <xdr:row>83</xdr:row>
      <xdr:rowOff>161636</xdr:rowOff>
    </xdr:from>
    <xdr:to>
      <xdr:col>11</xdr:col>
      <xdr:colOff>1443183</xdr:colOff>
      <xdr:row>88</xdr:row>
      <xdr:rowOff>34637</xdr:rowOff>
    </xdr:to>
    <xdr:sp>
      <xdr:nvSpPr>
        <xdr:cNvPr id="67" name="Rectangle: Rounded Corners 66">
          <a:hlinkClick xmlns:r="http://schemas.openxmlformats.org/officeDocument/2006/relationships" r:id="rId35"/>
        </xdr:cNvPr>
        <xdr:cNvSpPr/>
      </xdr:nvSpPr>
      <xdr:spPr>
        <a:xfrm>
          <a:off x="16784955" y="1833054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115455</xdr:colOff>
      <xdr:row>141</xdr:row>
      <xdr:rowOff>57727</xdr:rowOff>
    </xdr:from>
    <xdr:to>
      <xdr:col>11</xdr:col>
      <xdr:colOff>1397001</xdr:colOff>
      <xdr:row>145</xdr:row>
      <xdr:rowOff>115455</xdr:rowOff>
    </xdr:to>
    <xdr:sp>
      <xdr:nvSpPr>
        <xdr:cNvPr id="68" name="Rectangle: Rounded Corners 67">
          <a:hlinkClick xmlns:r="http://schemas.openxmlformats.org/officeDocument/2006/relationships" r:id="rId35"/>
        </xdr:cNvPr>
        <xdr:cNvSpPr/>
      </xdr:nvSpPr>
      <xdr:spPr>
        <a:xfrm>
          <a:off x="16738600" y="30347285"/>
          <a:ext cx="3223895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323273</xdr:colOff>
      <xdr:row>198</xdr:row>
      <xdr:rowOff>0</xdr:rowOff>
    </xdr:from>
    <xdr:to>
      <xdr:col>11</xdr:col>
      <xdr:colOff>1604819</xdr:colOff>
      <xdr:row>202</xdr:row>
      <xdr:rowOff>57728</xdr:rowOff>
    </xdr:to>
    <xdr:sp>
      <xdr:nvSpPr>
        <xdr:cNvPr id="69" name="Rectangle: Rounded Corners 68">
          <a:hlinkClick xmlns:r="http://schemas.openxmlformats.org/officeDocument/2006/relationships" r:id="rId35"/>
        </xdr:cNvPr>
        <xdr:cNvSpPr/>
      </xdr:nvSpPr>
      <xdr:spPr>
        <a:xfrm>
          <a:off x="16946880" y="4231068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196273</xdr:colOff>
      <xdr:row>255</xdr:row>
      <xdr:rowOff>1</xdr:rowOff>
    </xdr:from>
    <xdr:to>
      <xdr:col>11</xdr:col>
      <xdr:colOff>1477819</xdr:colOff>
      <xdr:row>259</xdr:row>
      <xdr:rowOff>57729</xdr:rowOff>
    </xdr:to>
    <xdr:sp>
      <xdr:nvSpPr>
        <xdr:cNvPr id="70" name="Rectangle: Rounded Corners 69">
          <a:hlinkClick xmlns:r="http://schemas.openxmlformats.org/officeDocument/2006/relationships" r:id="rId35"/>
        </xdr:cNvPr>
        <xdr:cNvSpPr/>
      </xdr:nvSpPr>
      <xdr:spPr>
        <a:xfrm>
          <a:off x="16819880" y="543312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161636</xdr:colOff>
      <xdr:row>312</xdr:row>
      <xdr:rowOff>-1</xdr:rowOff>
    </xdr:from>
    <xdr:to>
      <xdr:col>11</xdr:col>
      <xdr:colOff>1443182</xdr:colOff>
      <xdr:row>316</xdr:row>
      <xdr:rowOff>57727</xdr:rowOff>
    </xdr:to>
    <xdr:sp>
      <xdr:nvSpPr>
        <xdr:cNvPr id="71" name="Rectangle: Rounded Corners 70">
          <a:hlinkClick xmlns:r="http://schemas.openxmlformats.org/officeDocument/2006/relationships" r:id="rId35"/>
        </xdr:cNvPr>
        <xdr:cNvSpPr/>
      </xdr:nvSpPr>
      <xdr:spPr>
        <a:xfrm>
          <a:off x="16784955" y="66351150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184727</xdr:colOff>
      <xdr:row>348</xdr:row>
      <xdr:rowOff>173181</xdr:rowOff>
    </xdr:from>
    <xdr:to>
      <xdr:col>11</xdr:col>
      <xdr:colOff>1466273</xdr:colOff>
      <xdr:row>353</xdr:row>
      <xdr:rowOff>46182</xdr:rowOff>
    </xdr:to>
    <xdr:sp>
      <xdr:nvSpPr>
        <xdr:cNvPr id="72" name="Rectangle: Rounded Corners 71">
          <a:hlinkClick xmlns:r="http://schemas.openxmlformats.org/officeDocument/2006/relationships" r:id="rId35"/>
        </xdr:cNvPr>
        <xdr:cNvSpPr/>
      </xdr:nvSpPr>
      <xdr:spPr>
        <a:xfrm>
          <a:off x="16807815" y="74144505"/>
          <a:ext cx="3223895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1570182</xdr:colOff>
      <xdr:row>441</xdr:row>
      <xdr:rowOff>230909</xdr:rowOff>
    </xdr:from>
    <xdr:to>
      <xdr:col>13</xdr:col>
      <xdr:colOff>11547</xdr:colOff>
      <xdr:row>445</xdr:row>
      <xdr:rowOff>69273</xdr:rowOff>
    </xdr:to>
    <xdr:sp>
      <xdr:nvSpPr>
        <xdr:cNvPr id="73" name="Rectangle: Rounded Corners 72">
          <a:hlinkClick xmlns:r="http://schemas.openxmlformats.org/officeDocument/2006/relationships" r:id="rId35"/>
        </xdr:cNvPr>
        <xdr:cNvSpPr/>
      </xdr:nvSpPr>
      <xdr:spPr>
        <a:xfrm>
          <a:off x="18193385" y="96260285"/>
          <a:ext cx="3197225" cy="82931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207818</xdr:colOff>
      <xdr:row>84</xdr:row>
      <xdr:rowOff>0</xdr:rowOff>
    </xdr:from>
    <xdr:to>
      <xdr:col>26</xdr:col>
      <xdr:colOff>1489364</xdr:colOff>
      <xdr:row>88</xdr:row>
      <xdr:rowOff>57728</xdr:rowOff>
    </xdr:to>
    <xdr:sp>
      <xdr:nvSpPr>
        <xdr:cNvPr id="74" name="Rectangle: Rounded Corners 73">
          <a:hlinkClick xmlns:r="http://schemas.openxmlformats.org/officeDocument/2006/relationships" r:id="rId36"/>
        </xdr:cNvPr>
        <xdr:cNvSpPr/>
      </xdr:nvSpPr>
      <xdr:spPr>
        <a:xfrm>
          <a:off x="39498270" y="1837880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219363</xdr:colOff>
      <xdr:row>141</xdr:row>
      <xdr:rowOff>0</xdr:rowOff>
    </xdr:from>
    <xdr:to>
      <xdr:col>26</xdr:col>
      <xdr:colOff>1500909</xdr:colOff>
      <xdr:row>145</xdr:row>
      <xdr:rowOff>57728</xdr:rowOff>
    </xdr:to>
    <xdr:sp>
      <xdr:nvSpPr>
        <xdr:cNvPr id="75" name="Rectangle: Rounded Corners 74">
          <a:hlinkClick xmlns:r="http://schemas.openxmlformats.org/officeDocument/2006/relationships" r:id="rId36"/>
        </xdr:cNvPr>
        <xdr:cNvSpPr/>
      </xdr:nvSpPr>
      <xdr:spPr>
        <a:xfrm>
          <a:off x="39509700" y="302901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161636</xdr:colOff>
      <xdr:row>197</xdr:row>
      <xdr:rowOff>173181</xdr:rowOff>
    </xdr:from>
    <xdr:to>
      <xdr:col>26</xdr:col>
      <xdr:colOff>1443182</xdr:colOff>
      <xdr:row>202</xdr:row>
      <xdr:rowOff>46182</xdr:rowOff>
    </xdr:to>
    <xdr:sp>
      <xdr:nvSpPr>
        <xdr:cNvPr id="76" name="Rectangle: Rounded Corners 75">
          <a:hlinkClick xmlns:r="http://schemas.openxmlformats.org/officeDocument/2006/relationships" r:id="rId36"/>
        </xdr:cNvPr>
        <xdr:cNvSpPr/>
      </xdr:nvSpPr>
      <xdr:spPr>
        <a:xfrm>
          <a:off x="39451915" y="42273855"/>
          <a:ext cx="3223260" cy="9207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265546</xdr:colOff>
      <xdr:row>255</xdr:row>
      <xdr:rowOff>0</xdr:rowOff>
    </xdr:from>
    <xdr:to>
      <xdr:col>26</xdr:col>
      <xdr:colOff>1547092</xdr:colOff>
      <xdr:row>259</xdr:row>
      <xdr:rowOff>57728</xdr:rowOff>
    </xdr:to>
    <xdr:sp>
      <xdr:nvSpPr>
        <xdr:cNvPr id="77" name="Rectangle: Rounded Corners 76">
          <a:hlinkClick xmlns:r="http://schemas.openxmlformats.org/officeDocument/2006/relationships" r:id="rId36"/>
        </xdr:cNvPr>
        <xdr:cNvSpPr/>
      </xdr:nvSpPr>
      <xdr:spPr>
        <a:xfrm>
          <a:off x="39556055" y="54331235"/>
          <a:ext cx="3223260" cy="8953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103909</xdr:colOff>
      <xdr:row>312</xdr:row>
      <xdr:rowOff>11545</xdr:rowOff>
    </xdr:from>
    <xdr:to>
      <xdr:col>26</xdr:col>
      <xdr:colOff>1385455</xdr:colOff>
      <xdr:row>316</xdr:row>
      <xdr:rowOff>69273</xdr:rowOff>
    </xdr:to>
    <xdr:sp>
      <xdr:nvSpPr>
        <xdr:cNvPr id="78" name="Rectangle: Rounded Corners 77">
          <a:hlinkClick xmlns:r="http://schemas.openxmlformats.org/officeDocument/2006/relationships" r:id="rId36"/>
        </xdr:cNvPr>
        <xdr:cNvSpPr/>
      </xdr:nvSpPr>
      <xdr:spPr>
        <a:xfrm>
          <a:off x="39394130" y="6636321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219364</xdr:colOff>
      <xdr:row>349</xdr:row>
      <xdr:rowOff>11545</xdr:rowOff>
    </xdr:from>
    <xdr:to>
      <xdr:col>26</xdr:col>
      <xdr:colOff>1500910</xdr:colOff>
      <xdr:row>353</xdr:row>
      <xdr:rowOff>69273</xdr:rowOff>
    </xdr:to>
    <xdr:sp>
      <xdr:nvSpPr>
        <xdr:cNvPr id="79" name="Rectangle: Rounded Corners 78">
          <a:hlinkClick xmlns:r="http://schemas.openxmlformats.org/officeDocument/2006/relationships" r:id="rId36"/>
        </xdr:cNvPr>
        <xdr:cNvSpPr/>
      </xdr:nvSpPr>
      <xdr:spPr>
        <a:xfrm>
          <a:off x="39509700" y="74192765"/>
          <a:ext cx="3223260" cy="89598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25</xdr:col>
      <xdr:colOff>1350818</xdr:colOff>
      <xdr:row>441</xdr:row>
      <xdr:rowOff>173182</xdr:rowOff>
    </xdr:from>
    <xdr:to>
      <xdr:col>27</xdr:col>
      <xdr:colOff>450273</xdr:colOff>
      <xdr:row>445</xdr:row>
      <xdr:rowOff>11546</xdr:rowOff>
    </xdr:to>
    <xdr:sp>
      <xdr:nvSpPr>
        <xdr:cNvPr id="80" name="Rectangle: Rounded Corners 79">
          <a:hlinkClick xmlns:r="http://schemas.openxmlformats.org/officeDocument/2006/relationships" r:id="rId36"/>
        </xdr:cNvPr>
        <xdr:cNvSpPr/>
      </xdr:nvSpPr>
      <xdr:spPr>
        <a:xfrm>
          <a:off x="40641270" y="96202500"/>
          <a:ext cx="3211195" cy="82931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TRANSACTION</a:t>
          </a:r>
          <a:r>
            <a:rPr lang="en-ID" sz="1800" b="0" baseline="0">
              <a:solidFill>
                <a:schemeClr val="bg1"/>
              </a:solidFill>
              <a:latin typeface="Franklin Gothic Medium" panose="020B0603020102020204" pitchFamily="34" charset="0"/>
              <a:cs typeface="Arial" panose="020B0604020202020204" pitchFamily="7" charset="0"/>
            </a:rPr>
            <a:t> MENU</a:t>
          </a:r>
          <a:endParaRPr lang="en-ID" sz="1800" b="0" baseline="0">
            <a:solidFill>
              <a:schemeClr val="bg1"/>
            </a:solidFill>
            <a:latin typeface="Franklin Gothic Medium" panose="020B0603020102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7</xdr:row>
      <xdr:rowOff>0</xdr:rowOff>
    </xdr:from>
    <xdr:to>
      <xdr:col>97</xdr:col>
      <xdr:colOff>599533</xdr:colOff>
      <xdr:row>7</xdr:row>
      <xdr:rowOff>11537</xdr:rowOff>
    </xdr:to>
    <xdr:cxnSp>
      <xdr:nvCxnSpPr>
        <xdr:cNvPr id="7" name="Straight Connector 6"/>
        <xdr:cNvCxnSpPr/>
      </xdr:nvCxnSpPr>
      <xdr:spPr>
        <a:xfrm>
          <a:off x="0" y="1466850"/>
          <a:ext cx="8199056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117928</xdr:colOff>
      <xdr:row>7</xdr:row>
      <xdr:rowOff>154216</xdr:rowOff>
    </xdr:from>
    <xdr:to>
      <xdr:col>3</xdr:col>
      <xdr:colOff>934356</xdr:colOff>
      <xdr:row>11</xdr:row>
      <xdr:rowOff>45358</xdr:rowOff>
    </xdr:to>
    <xdr:sp>
      <xdr:nvSpPr>
        <xdr:cNvPr id="8" name="Rectangle 7"/>
        <xdr:cNvSpPr/>
      </xdr:nvSpPr>
      <xdr:spPr>
        <a:xfrm>
          <a:off x="117475" y="1620520"/>
          <a:ext cx="3818255" cy="73914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Sales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PerProduct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607786</xdr:colOff>
      <xdr:row>23</xdr:row>
      <xdr:rowOff>163287</xdr:rowOff>
    </xdr:from>
    <xdr:to>
      <xdr:col>10</xdr:col>
      <xdr:colOff>952500</xdr:colOff>
      <xdr:row>27</xdr:row>
      <xdr:rowOff>18144</xdr:rowOff>
    </xdr:to>
    <xdr:sp>
      <xdr:nvSpPr>
        <xdr:cNvPr id="9" name="Rectangle 8"/>
        <xdr:cNvSpPr/>
      </xdr:nvSpPr>
      <xdr:spPr>
        <a:xfrm>
          <a:off x="10078720" y="5166360"/>
          <a:ext cx="3802380" cy="69532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Sales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PerDay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562429</xdr:colOff>
      <xdr:row>8</xdr:row>
      <xdr:rowOff>9070</xdr:rowOff>
    </xdr:from>
    <xdr:to>
      <xdr:col>10</xdr:col>
      <xdr:colOff>244928</xdr:colOff>
      <xdr:row>11</xdr:row>
      <xdr:rowOff>81641</xdr:rowOff>
    </xdr:to>
    <xdr:sp>
      <xdr:nvSpPr>
        <xdr:cNvPr id="13" name="Rectangle 12"/>
        <xdr:cNvSpPr/>
      </xdr:nvSpPr>
      <xdr:spPr>
        <a:xfrm>
          <a:off x="9389110" y="1685290"/>
          <a:ext cx="3783965" cy="71056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Product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Sales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607785</xdr:colOff>
      <xdr:row>29</xdr:row>
      <xdr:rowOff>36286</xdr:rowOff>
    </xdr:from>
    <xdr:to>
      <xdr:col>15</xdr:col>
      <xdr:colOff>408212</xdr:colOff>
      <xdr:row>32</xdr:row>
      <xdr:rowOff>63500</xdr:rowOff>
    </xdr:to>
    <xdr:sp>
      <xdr:nvSpPr>
        <xdr:cNvPr id="14" name="Rectangle 13"/>
        <xdr:cNvSpPr/>
      </xdr:nvSpPr>
      <xdr:spPr>
        <a:xfrm>
          <a:off x="17419955" y="6289675"/>
          <a:ext cx="3792220" cy="74168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Price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Tolerance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172077</xdr:colOff>
      <xdr:row>6</xdr:row>
      <xdr:rowOff>70698</xdr:rowOff>
    </xdr:to>
    <xdr:grpSp>
      <xdr:nvGrpSpPr>
        <xdr:cNvPr id="15" name="Group 14"/>
        <xdr:cNvGrpSpPr/>
      </xdr:nvGrpSpPr>
      <xdr:grpSpPr>
        <a:xfrm>
          <a:off x="0" y="0"/>
          <a:ext cx="11158220" cy="1327785"/>
          <a:chOff x="70650" y="0"/>
          <a:chExt cx="9297468" cy="1187822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17" name="Group 16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8" name="TextBox 17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Sales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9" name="TextBox 18"/>
            <xdr:cNvSpPr txBox="1"/>
          </xdr:nvSpPr>
          <xdr:spPr>
            <a:xfrm>
              <a:off x="2241174" y="709705"/>
              <a:ext cx="3956604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Sales Recapitulation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107304</xdr:colOff>
      <xdr:row>12</xdr:row>
      <xdr:rowOff>7471</xdr:rowOff>
    </xdr:from>
    <xdr:to>
      <xdr:col>2</xdr:col>
      <xdr:colOff>715105</xdr:colOff>
      <xdr:row>18</xdr:row>
      <xdr:rowOff>184233</xdr:rowOff>
    </xdr:to>
    <xdr:pic>
      <xdr:nvPicPr>
        <xdr:cNvPr id="11" name="Picture 10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069" b="2325"/>
        <a:stretch>
          <a:fillRect/>
        </a:stretch>
      </xdr:blipFill>
      <xdr:spPr>
        <a:xfrm>
          <a:off x="908685" y="2559685"/>
          <a:ext cx="1410335" cy="152019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107305</xdr:colOff>
      <xdr:row>27</xdr:row>
      <xdr:rowOff>22413</xdr:rowOff>
    </xdr:from>
    <xdr:to>
      <xdr:col>2</xdr:col>
      <xdr:colOff>707744</xdr:colOff>
      <xdr:row>33</xdr:row>
      <xdr:rowOff>184308</xdr:rowOff>
    </xdr:to>
    <xdr:pic>
      <xdr:nvPicPr>
        <xdr:cNvPr id="12" name="Picture 11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2923" r="12799" b="12826"/>
        <a:stretch>
          <a:fillRect/>
        </a:stretch>
      </xdr:blipFill>
      <xdr:spPr>
        <a:xfrm>
          <a:off x="908685" y="5904230"/>
          <a:ext cx="1402715" cy="1533525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92363</xdr:colOff>
      <xdr:row>42</xdr:row>
      <xdr:rowOff>22412</xdr:rowOff>
    </xdr:from>
    <xdr:to>
      <xdr:col>2</xdr:col>
      <xdr:colOff>691128</xdr:colOff>
      <xdr:row>48</xdr:row>
      <xdr:rowOff>190872</xdr:rowOff>
    </xdr:to>
    <xdr:pic>
      <xdr:nvPicPr>
        <xdr:cNvPr id="13" name="Picture 12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080" y="9333230"/>
          <a:ext cx="1400810" cy="1539875"/>
        </a:xfrm>
        <a:prstGeom prst="rect">
          <a:avLst/>
        </a:prstGeom>
      </xdr:spPr>
    </xdr:pic>
    <xdr:clientData/>
  </xdr:twoCellAnchor>
  <xdr:twoCellAnchor editAs="oneCell">
    <xdr:from>
      <xdr:col>1</xdr:col>
      <xdr:colOff>2716</xdr:colOff>
      <xdr:row>57</xdr:row>
      <xdr:rowOff>0</xdr:rowOff>
    </xdr:from>
    <xdr:to>
      <xdr:col>2</xdr:col>
      <xdr:colOff>701883</xdr:colOff>
      <xdr:row>64</xdr:row>
      <xdr:rowOff>72828</xdr:rowOff>
    </xdr:to>
    <xdr:pic>
      <xdr:nvPicPr>
        <xdr:cNvPr id="2" name="Picture 1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" t="-617" r="-1485" b="286"/>
        <a:stretch>
          <a:fillRect/>
        </a:stretch>
      </xdr:blipFill>
      <xdr:spPr>
        <a:xfrm>
          <a:off x="804545" y="12740005"/>
          <a:ext cx="1501140" cy="1672590"/>
        </a:xfrm>
        <a:prstGeom prst="rect">
          <a:avLst/>
        </a:prstGeom>
      </xdr:spPr>
    </xdr:pic>
    <xdr:clientData/>
  </xdr:twoCellAnchor>
  <xdr:twoCellAnchor editAs="oneCell">
    <xdr:from>
      <xdr:col>1</xdr:col>
      <xdr:colOff>107305</xdr:colOff>
      <xdr:row>72</xdr:row>
      <xdr:rowOff>7471</xdr:rowOff>
    </xdr:from>
    <xdr:to>
      <xdr:col>2</xdr:col>
      <xdr:colOff>704272</xdr:colOff>
      <xdr:row>78</xdr:row>
      <xdr:rowOff>167585</xdr:rowOff>
    </xdr:to>
    <xdr:pic>
      <xdr:nvPicPr>
        <xdr:cNvPr id="3" name="Picture 2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74" t="-1165" r="299" b="361"/>
        <a:stretch>
          <a:fillRect/>
        </a:stretch>
      </xdr:blipFill>
      <xdr:spPr>
        <a:xfrm>
          <a:off x="908685" y="16175990"/>
          <a:ext cx="1399540" cy="15316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34636</xdr:rowOff>
    </xdr:from>
    <xdr:to>
      <xdr:col>134</xdr:col>
      <xdr:colOff>103909</xdr:colOff>
      <xdr:row>7</xdr:row>
      <xdr:rowOff>47110</xdr:rowOff>
    </xdr:to>
    <xdr:cxnSp>
      <xdr:nvCxnSpPr>
        <xdr:cNvPr id="4" name="Straight Connector 3"/>
        <xdr:cNvCxnSpPr/>
      </xdr:nvCxnSpPr>
      <xdr:spPr>
        <a:xfrm>
          <a:off x="0" y="1501140"/>
          <a:ext cx="133727190" cy="1270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196272</xdr:colOff>
      <xdr:row>0</xdr:row>
      <xdr:rowOff>0</xdr:rowOff>
    </xdr:from>
    <xdr:to>
      <xdr:col>9</xdr:col>
      <xdr:colOff>544006</xdr:colOff>
      <xdr:row>6</xdr:row>
      <xdr:rowOff>97921</xdr:rowOff>
    </xdr:to>
    <xdr:grpSp>
      <xdr:nvGrpSpPr>
        <xdr:cNvPr id="5" name="Group 4"/>
        <xdr:cNvGrpSpPr/>
      </xdr:nvGrpSpPr>
      <xdr:grpSpPr>
        <a:xfrm>
          <a:off x="196215" y="0"/>
          <a:ext cx="9914890" cy="1355090"/>
          <a:chOff x="252299" y="0"/>
          <a:chExt cx="9115819" cy="1215247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2299" y="97051"/>
            <a:ext cx="1538681" cy="1118196"/>
          </a:xfrm>
          <a:prstGeom prst="rect">
            <a:avLst/>
          </a:prstGeom>
        </xdr:spPr>
      </xdr:pic>
      <xdr:grpSp>
        <xdr:nvGrpSpPr>
          <xdr:cNvPr id="7" name="Group 6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8" name="TextBox 7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Inventory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9" name="TextBox 8"/>
            <xdr:cNvSpPr txBox="1"/>
          </xdr:nvSpPr>
          <xdr:spPr>
            <a:xfrm>
              <a:off x="2241174" y="709705"/>
              <a:ext cx="3956604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Stock Recapitulation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45357</xdr:colOff>
      <xdr:row>8</xdr:row>
      <xdr:rowOff>0</xdr:rowOff>
    </xdr:from>
    <xdr:to>
      <xdr:col>4</xdr:col>
      <xdr:colOff>1152071</xdr:colOff>
      <xdr:row>11</xdr:row>
      <xdr:rowOff>117927</xdr:rowOff>
    </xdr:to>
    <xdr:sp>
      <xdr:nvSpPr>
        <xdr:cNvPr id="10" name="Rectangle 9"/>
        <xdr:cNvSpPr/>
      </xdr:nvSpPr>
      <xdr:spPr>
        <a:xfrm>
          <a:off x="45085" y="1676400"/>
          <a:ext cx="4265295" cy="746125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Pulsa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703448</xdr:colOff>
      <xdr:row>8</xdr:row>
      <xdr:rowOff>0</xdr:rowOff>
    </xdr:from>
    <xdr:to>
      <xdr:col>10</xdr:col>
      <xdr:colOff>346365</xdr:colOff>
      <xdr:row>11</xdr:row>
      <xdr:rowOff>13197</xdr:rowOff>
    </xdr:to>
    <xdr:sp>
      <xdr:nvSpPr>
        <xdr:cNvPr id="14" name="Rectangle 13"/>
        <xdr:cNvSpPr/>
      </xdr:nvSpPr>
      <xdr:spPr>
        <a:xfrm>
          <a:off x="9468485" y="1676400"/>
          <a:ext cx="2773045" cy="64135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Rokok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30</xdr:col>
      <xdr:colOff>0</xdr:colOff>
      <xdr:row>8</xdr:row>
      <xdr:rowOff>0</xdr:rowOff>
    </xdr:from>
    <xdr:to>
      <xdr:col>31</xdr:col>
      <xdr:colOff>1489364</xdr:colOff>
      <xdr:row>11</xdr:row>
      <xdr:rowOff>18143</xdr:rowOff>
    </xdr:to>
    <xdr:sp>
      <xdr:nvSpPr>
        <xdr:cNvPr id="16" name="Rectangle 15"/>
        <xdr:cNvSpPr/>
      </xdr:nvSpPr>
      <xdr:spPr>
        <a:xfrm>
          <a:off x="29879290" y="1676400"/>
          <a:ext cx="4223385" cy="64643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SP&amp;Voucher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51</xdr:col>
      <xdr:colOff>0</xdr:colOff>
      <xdr:row>8</xdr:row>
      <xdr:rowOff>0</xdr:rowOff>
    </xdr:from>
    <xdr:to>
      <xdr:col>53</xdr:col>
      <xdr:colOff>161637</xdr:colOff>
      <xdr:row>11</xdr:row>
      <xdr:rowOff>18143</xdr:rowOff>
    </xdr:to>
    <xdr:sp>
      <xdr:nvSpPr>
        <xdr:cNvPr id="17" name="Rectangle 16"/>
        <xdr:cNvSpPr/>
      </xdr:nvSpPr>
      <xdr:spPr>
        <a:xfrm>
          <a:off x="50479325" y="1676400"/>
          <a:ext cx="4203065" cy="64643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SoftDrink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72</xdr:col>
      <xdr:colOff>0</xdr:colOff>
      <xdr:row>8</xdr:row>
      <xdr:rowOff>0</xdr:rowOff>
    </xdr:from>
    <xdr:to>
      <xdr:col>73</xdr:col>
      <xdr:colOff>1489364</xdr:colOff>
      <xdr:row>11</xdr:row>
      <xdr:rowOff>18143</xdr:rowOff>
    </xdr:to>
    <xdr:sp>
      <xdr:nvSpPr>
        <xdr:cNvPr id="18" name="Rectangle 17"/>
        <xdr:cNvSpPr/>
      </xdr:nvSpPr>
      <xdr:spPr>
        <a:xfrm>
          <a:off x="71318755" y="1676400"/>
          <a:ext cx="4223385" cy="64643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IceCream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93</xdr:col>
      <xdr:colOff>0</xdr:colOff>
      <xdr:row>8</xdr:row>
      <xdr:rowOff>0</xdr:rowOff>
    </xdr:from>
    <xdr:to>
      <xdr:col>94</xdr:col>
      <xdr:colOff>1223819</xdr:colOff>
      <xdr:row>11</xdr:row>
      <xdr:rowOff>18143</xdr:rowOff>
    </xdr:to>
    <xdr:sp>
      <xdr:nvSpPr>
        <xdr:cNvPr id="19" name="Rectangle 18"/>
        <xdr:cNvSpPr/>
      </xdr:nvSpPr>
      <xdr:spPr>
        <a:xfrm>
          <a:off x="92513150" y="1676400"/>
          <a:ext cx="4195445" cy="64643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Aksesoris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114</xdr:col>
      <xdr:colOff>0</xdr:colOff>
      <xdr:row>8</xdr:row>
      <xdr:rowOff>0</xdr:rowOff>
    </xdr:from>
    <xdr:to>
      <xdr:col>116</xdr:col>
      <xdr:colOff>184728</xdr:colOff>
      <xdr:row>11</xdr:row>
      <xdr:rowOff>18143</xdr:rowOff>
    </xdr:to>
    <xdr:sp>
      <xdr:nvSpPr>
        <xdr:cNvPr id="20" name="Rectangle 19"/>
        <xdr:cNvSpPr/>
      </xdr:nvSpPr>
      <xdr:spPr>
        <a:xfrm>
          <a:off x="113805970" y="1676400"/>
          <a:ext cx="4186555" cy="64643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Hydrogel</a:t>
          </a:r>
          <a:r>
            <a:rPr kumimoji="0" lang="en-ID" sz="36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</a:t>
          </a:r>
          <a:endParaRPr kumimoji="0" lang="en-ID" sz="36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527265</xdr:colOff>
      <xdr:row>6</xdr:row>
      <xdr:rowOff>121663</xdr:rowOff>
    </xdr:to>
    <xdr:grpSp>
      <xdr:nvGrpSpPr>
        <xdr:cNvPr id="2" name="Group 1"/>
        <xdr:cNvGrpSpPr/>
      </xdr:nvGrpSpPr>
      <xdr:grpSpPr>
        <a:xfrm>
          <a:off x="0" y="0"/>
          <a:ext cx="9254490" cy="1378585"/>
          <a:chOff x="70650" y="0"/>
          <a:chExt cx="9297468" cy="1187822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650" y="62156"/>
            <a:ext cx="1750234" cy="1118196"/>
          </a:xfrm>
          <a:prstGeom prst="rect">
            <a:avLst/>
          </a:prstGeom>
        </xdr:spPr>
      </xdr:pic>
      <xdr:grpSp>
        <xdr:nvGrpSpPr>
          <xdr:cNvPr id="4" name="Group 3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5" name="TextBox 4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Product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Database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6" name="TextBox 5"/>
            <xdr:cNvSpPr txBox="1"/>
          </xdr:nvSpPr>
          <xdr:spPr>
            <a:xfrm>
              <a:off x="2241175" y="709705"/>
              <a:ext cx="3985141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List Produk dan Harga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  <xdr:twoCellAnchor>
    <xdr:from>
      <xdr:col>0</xdr:col>
      <xdr:colOff>0</xdr:colOff>
      <xdr:row>7</xdr:row>
      <xdr:rowOff>0</xdr:rowOff>
    </xdr:from>
    <xdr:to>
      <xdr:col>86</xdr:col>
      <xdr:colOff>127000</xdr:colOff>
      <xdr:row>7</xdr:row>
      <xdr:rowOff>0</xdr:rowOff>
    </xdr:to>
    <xdr:cxnSp>
      <xdr:nvCxnSpPr>
        <xdr:cNvPr id="7" name="Straight Connector 6"/>
        <xdr:cNvCxnSpPr/>
      </xdr:nvCxnSpPr>
      <xdr:spPr>
        <a:xfrm>
          <a:off x="0" y="1466850"/>
          <a:ext cx="135393430" cy="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7</xdr:row>
      <xdr:rowOff>0</xdr:rowOff>
    </xdr:from>
    <xdr:to>
      <xdr:col>98</xdr:col>
      <xdr:colOff>113304</xdr:colOff>
      <xdr:row>7</xdr:row>
      <xdr:rowOff>11537</xdr:rowOff>
    </xdr:to>
    <xdr:cxnSp>
      <xdr:nvCxnSpPr>
        <xdr:cNvPr id="7" name="Straight Connector 6"/>
        <xdr:cNvCxnSpPr/>
      </xdr:nvCxnSpPr>
      <xdr:spPr>
        <a:xfrm>
          <a:off x="0" y="1466850"/>
          <a:ext cx="83969860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572407</xdr:colOff>
      <xdr:row>7</xdr:row>
      <xdr:rowOff>60778</xdr:rowOff>
    </xdr:from>
    <xdr:to>
      <xdr:col>7</xdr:col>
      <xdr:colOff>534307</xdr:colOff>
      <xdr:row>9</xdr:row>
      <xdr:rowOff>132831</xdr:rowOff>
    </xdr:to>
    <xdr:sp>
      <xdr:nvSpPr>
        <xdr:cNvPr id="8" name="Rectangle 7"/>
        <xdr:cNvSpPr/>
      </xdr:nvSpPr>
      <xdr:spPr>
        <a:xfrm>
          <a:off x="572135" y="1527175"/>
          <a:ext cx="7352665" cy="49149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Daily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Recapitulation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154214</xdr:colOff>
      <xdr:row>0</xdr:row>
      <xdr:rowOff>0</xdr:rowOff>
    </xdr:from>
    <xdr:to>
      <xdr:col>8</xdr:col>
      <xdr:colOff>411136</xdr:colOff>
      <xdr:row>6</xdr:row>
      <xdr:rowOff>38681</xdr:rowOff>
    </xdr:to>
    <xdr:grpSp>
      <xdr:nvGrpSpPr>
        <xdr:cNvPr id="9" name="Group 8"/>
        <xdr:cNvGrpSpPr/>
      </xdr:nvGrpSpPr>
      <xdr:grpSpPr>
        <a:xfrm>
          <a:off x="153670" y="0"/>
          <a:ext cx="9213215" cy="1295400"/>
          <a:chOff x="224204" y="0"/>
          <a:chExt cx="9143914" cy="118782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4204" y="62157"/>
            <a:ext cx="1598773" cy="1118196"/>
          </a:xfrm>
          <a:prstGeom prst="rect">
            <a:avLst/>
          </a:prstGeom>
        </xdr:spPr>
      </xdr:pic>
      <xdr:grpSp>
        <xdr:nvGrpSpPr>
          <xdr:cNvPr id="11" name="Group 10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12" name="TextBox 11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HeadStore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13" name="TextBox 12"/>
            <xdr:cNvSpPr txBox="1"/>
          </xdr:nvSpPr>
          <xdr:spPr>
            <a:xfrm>
              <a:off x="2241174" y="709705"/>
              <a:ext cx="3956604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SPV Recapitulation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7</xdr:row>
      <xdr:rowOff>0</xdr:rowOff>
    </xdr:from>
    <xdr:to>
      <xdr:col>77</xdr:col>
      <xdr:colOff>113304</xdr:colOff>
      <xdr:row>7</xdr:row>
      <xdr:rowOff>11537</xdr:rowOff>
    </xdr:to>
    <xdr:cxnSp>
      <xdr:nvCxnSpPr>
        <xdr:cNvPr id="2" name="Straight Connector 1"/>
        <xdr:cNvCxnSpPr/>
      </xdr:nvCxnSpPr>
      <xdr:spPr>
        <a:xfrm>
          <a:off x="0" y="1466850"/>
          <a:ext cx="56546115" cy="11430"/>
        </a:xfrm>
        <a:prstGeom prst="line">
          <a:avLst/>
        </a:prstGeom>
        <a:ln w="38100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572407</xdr:colOff>
      <xdr:row>7</xdr:row>
      <xdr:rowOff>60778</xdr:rowOff>
    </xdr:from>
    <xdr:to>
      <xdr:col>7</xdr:col>
      <xdr:colOff>0</xdr:colOff>
      <xdr:row>9</xdr:row>
      <xdr:rowOff>132831</xdr:rowOff>
    </xdr:to>
    <xdr:sp>
      <xdr:nvSpPr>
        <xdr:cNvPr id="3" name="Rectangle 2"/>
        <xdr:cNvSpPr/>
      </xdr:nvSpPr>
      <xdr:spPr>
        <a:xfrm>
          <a:off x="572135" y="1527175"/>
          <a:ext cx="7332980" cy="49149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85B96"/>
              </a:solidFill>
              <a:effectLst/>
              <a:uLnTx/>
              <a:uFillTx/>
              <a:latin typeface="Franklin Gothic Demi" panose="020B0703020102020204" pitchFamily="34" charset="0"/>
              <a:ea typeface="+mn-ea"/>
              <a:cs typeface="Arial" panose="020B0604020202020204" pitchFamily="7" charset="0"/>
            </a:rPr>
            <a:t>Shift</a:t>
          </a:r>
          <a:r>
            <a:rPr kumimoji="0" lang="en-ID" sz="2800" b="0" i="0" u="none" strike="noStrike" kern="0" cap="none" spc="0" normalizeH="0" baseline="0" noProof="0">
              <a:ln>
                <a:noFill/>
              </a:ln>
              <a:solidFill>
                <a:srgbClr val="197ACF"/>
              </a:solidFill>
              <a:effectLst/>
              <a:uLnTx/>
              <a:uFillTx/>
              <a:latin typeface="+mn-lt"/>
              <a:ea typeface="+mn-ea"/>
              <a:cs typeface="Arial" panose="020B0604020202020204" pitchFamily="7" charset="0"/>
            </a:rPr>
            <a:t>Recapitulation</a:t>
          </a:r>
          <a:endParaRPr kumimoji="0" lang="en-ID" sz="2800" b="0" i="0" u="none" strike="noStrike" kern="0" cap="none" spc="0" normalizeH="0" baseline="0" noProof="0">
            <a:ln>
              <a:noFill/>
            </a:ln>
            <a:solidFill>
              <a:srgbClr val="197ACF"/>
            </a:solidFill>
            <a:effectLst/>
            <a:uLnTx/>
            <a:uFillTx/>
            <a:latin typeface="+mn-lt"/>
            <a:ea typeface="+mn-ea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154214</xdr:colOff>
      <xdr:row>0</xdr:row>
      <xdr:rowOff>0</xdr:rowOff>
    </xdr:from>
    <xdr:to>
      <xdr:col>8</xdr:col>
      <xdr:colOff>139700</xdr:colOff>
      <xdr:row>6</xdr:row>
      <xdr:rowOff>38681</xdr:rowOff>
    </xdr:to>
    <xdr:grpSp>
      <xdr:nvGrpSpPr>
        <xdr:cNvPr id="4" name="Group 3"/>
        <xdr:cNvGrpSpPr/>
      </xdr:nvGrpSpPr>
      <xdr:grpSpPr>
        <a:xfrm>
          <a:off x="153670" y="0"/>
          <a:ext cx="8564880" cy="1295400"/>
          <a:chOff x="224204" y="0"/>
          <a:chExt cx="9143914" cy="1187822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4204" y="62157"/>
            <a:ext cx="1598773" cy="1118196"/>
          </a:xfrm>
          <a:prstGeom prst="rect">
            <a:avLst/>
          </a:prstGeom>
        </xdr:spPr>
      </xdr:pic>
      <xdr:grpSp>
        <xdr:nvGrpSpPr>
          <xdr:cNvPr id="6" name="Group 5"/>
          <xdr:cNvGrpSpPr/>
        </xdr:nvGrpSpPr>
        <xdr:grpSpPr>
          <a:xfrm>
            <a:off x="1770530" y="0"/>
            <a:ext cx="7597588" cy="1187822"/>
            <a:chOff x="2121648" y="44824"/>
            <a:chExt cx="7597588" cy="1187822"/>
          </a:xfrm>
        </xdr:grpSpPr>
        <xdr:sp>
          <xdr:nvSpPr>
            <xdr:cNvPr id="7" name="TextBox 6"/>
            <xdr:cNvSpPr txBox="1"/>
          </xdr:nvSpPr>
          <xdr:spPr>
            <a:xfrm>
              <a:off x="2121648" y="44824"/>
              <a:ext cx="7597588" cy="9562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D" sz="5400" b="1">
                  <a:solidFill>
                    <a:schemeClr val="accent1"/>
                  </a:solidFill>
                  <a:latin typeface="+mj-lt"/>
                  <a:cs typeface="Arial" panose="020B0604020202020204" pitchFamily="7" charset="0"/>
                </a:rPr>
                <a:t>HeadStore</a:t>
              </a:r>
              <a:r>
                <a:rPr lang="en-ID" sz="5400" b="0">
                  <a:solidFill>
                    <a:srgbClr val="197ACF"/>
                  </a:solidFill>
                  <a:latin typeface="+mn-lt"/>
                  <a:cs typeface="Arial" panose="020B0604020202020204" pitchFamily="7" charset="0"/>
                </a:rPr>
                <a:t>Summary</a:t>
              </a:r>
              <a:endParaRPr lang="en-ID" sz="54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6000" b="0">
                <a:solidFill>
                  <a:srgbClr val="197ACF"/>
                </a:solidFill>
                <a:latin typeface="+mn-lt"/>
                <a:cs typeface="Arial" panose="020B0604020202020204" pitchFamily="7" charset="0"/>
              </a:endParaRPr>
            </a:p>
            <a:p>
              <a:endParaRPr lang="en-ID" sz="2400" b="0">
                <a:latin typeface="Franklin Gothic Heavy" panose="020B0903020102020204" pitchFamily="34" charset="0"/>
                <a:cs typeface="Arial" panose="020B0604020202020204" pitchFamily="7" charset="0"/>
              </a:endParaRPr>
            </a:p>
          </xdr:txBody>
        </xdr:sp>
        <xdr:sp>
          <xdr:nvSpPr>
            <xdr:cNvPr id="8" name="TextBox 7"/>
            <xdr:cNvSpPr txBox="1"/>
          </xdr:nvSpPr>
          <xdr:spPr>
            <a:xfrm>
              <a:off x="2241174" y="709705"/>
              <a:ext cx="6715812" cy="52294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kumimoji="0" lang="en-ID" sz="3200" b="0" i="0" u="none" strike="noStrike" kern="0" cap="none" spc="0" normalizeH="0" baseline="0" noProof="0">
                  <a:ln>
                    <a:noFill/>
                  </a:ln>
                  <a:solidFill>
                    <a:srgbClr val="0070C0"/>
                  </a:solidFill>
                  <a:effectLst/>
                  <a:uLnTx/>
                  <a:uFillTx/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rPr>
                <a:t>Shift &amp; Commission Recapitulation</a:t>
              </a: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32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endParaRPr kumimoji="0" lang="en-ID" sz="16600" b="0" i="0" u="none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endParaRPr>
            </a:p>
            <a:p>
              <a:endParaRPr lang="en-ID" sz="1100"/>
            </a:p>
          </xdr:txBody>
        </xdr:sp>
      </xdr:grpSp>
    </xdr:grpSp>
    <xdr:clientData/>
  </xdr:twoCellAnchor>
</xdr:wsDr>
</file>

<file path=xl/tables/table1.xml><?xml version="1.0" encoding="utf-8"?>
<table xmlns="http://schemas.openxmlformats.org/spreadsheetml/2006/main" id="1" name="TRANSHARI1_ROKOKPAGI" displayName="TRANSHARI1_ROKOKPAGI" ref="A84:J134" totalsRowShown="0">
  <autoFilter xmlns:etc="http://www.wps.cn/officeDocument/2017/etCustomData" ref="A84:J134" etc:filterBottomFollowUsedRange="0"/>
  <tableColumns count="10">
    <tableColumn id="1" name="NO." dataDxfId="0"/>
    <tableColumn id="2" name="PRODUK" dataDxfId="1"/>
    <tableColumn id="10" name="QUANTITY" dataDxfId="2"/>
    <tableColumn id="3" name="HARGA" dataDxfId="3">
      <calculatedColumnFormula>IFERROR(VLOOKUP(TRANSHARI1_ROKOKPAGI[[#This Row],[PRODUK]],DATA_ROKOK[],3,FALSE),"")</calculatedColumnFormula>
    </tableColumn>
    <tableColumn id="4" name="PRICE TOLERANCE" dataDxfId="4"/>
    <tableColumn id="5" name="DEBIT" dataDxfId="5">
      <calculatedColumnFormula>IFERROR(IF(TRANSHARI1_ROKOKPAGI[[#This Row],[NAMA PENGHUTANG]]="",((TRANSHARI1_ROKOKPAGI[[#This Row],[HARGA]]*TRANSHARI1_ROKOKPAGI[[#This Row],[QUANTITY]])+TRANSHARI1_ROKOKPAGI[[#This Row],[PRICE TOLERANCE]]),""),"")</calculatedColumnFormula>
    </tableColumn>
    <tableColumn id="6" name="KREDIT" dataDxfId="6">
      <calculatedColumnFormula>IFERROR(IF(TRANSHARI1_ROKOKPAGI[[#This Row],[NAMA PENGHUTANG]]="","",((TRANSHARI1_ROKOKPAGI[[#This Row],[HARGA]]*TRANSHARI1_ROKOKPAGI[[#This Row],[QUANTITY]])+TRANSHARI1_ROKOKPAGI[[#This Row],[PRICE TOLERANCE]])),"")</calculatedColumnFormula>
    </tableColumn>
    <tableColumn id="7" name="NAMA PENGHUTANG" dataDxfId="7"/>
    <tableColumn id="8" name="NOMINAL TRANSFER" dataDxfId="8">
      <calculatedColumnFormula>IFERROR(IF(TRANSHARI1_ROKOKPAGI[[#This Row],[NAMA REKENING]]="","",TRANSHARI1_ROKOKPAGI[[#This Row],[DEBIT]]),"")</calculatedColumnFormula>
    </tableColumn>
    <tableColumn id="9" name="NAMA REKENING" dataDxfId="9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id="2" name="TRANSHARI1_PULSAPAGI" displayName="TRANSHARI1_PULSAPAGI" ref="A27:I77" totalsRowShown="0">
  <autoFilter xmlns:etc="http://www.wps.cn/officeDocument/2017/etCustomData" ref="A27:I77" etc:filterBottomFollowUsedRange="0"/>
  <tableColumns count="9">
    <tableColumn id="1" name="NO." dataDxfId="10"/>
    <tableColumn id="2" name="NO. TELEPON" dataDxfId="11"/>
    <tableColumn id="5" name="DEBIT" dataDxfId="12"/>
    <tableColumn id="6" name="KREDIT" dataDxfId="13"/>
    <tableColumn id="7" name="NAMA PENGHUTANG" dataDxfId="14"/>
    <tableColumn id="8" name="SALDO MINUS" dataDxfId="15"/>
    <tableColumn id="9" name="APLIKASI" dataDxfId="16"/>
    <tableColumn id="11" name="NOMINAL TRANSFER" dataDxfId="17">
      <calculatedColumnFormula>IFERROR(IF(TRANSHARI1_PULSAPAGI[[#This Row],[NAMA REKENING]]="","",TRANSHARI1_PULSAPAGI[[#This Row],[DEBIT]]),"")</calculatedColumnFormula>
    </tableColumn>
    <tableColumn id="12" name="NAMA REKENING" dataDxfId="18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id="17" name="TRANSHARI1_SPVOUPAGI" displayName="TRANSHARI1_SPVOUPAGI" ref="A141:J191" totalsRowShown="0">
  <autoFilter xmlns:etc="http://www.wps.cn/officeDocument/2017/etCustomData" ref="A141:J191" etc:filterBottomFollowUsedRange="0"/>
  <tableColumns count="10">
    <tableColumn id="1" name="NO." dataDxfId="19"/>
    <tableColumn id="2" name="PRODUK" dataDxfId="20"/>
    <tableColumn id="10" name="QUANTITY" dataDxfId="21"/>
    <tableColumn id="3" name="HARGA" dataDxfId="22">
      <calculatedColumnFormula>IFERROR(VLOOKUP(TRANSHARI1_SPVOUPAGI[[#This Row],[PRODUK]],DATA_SPVOU[],3,FALSE),"")</calculatedColumnFormula>
    </tableColumn>
    <tableColumn id="4" name="PRICE TOLERANCE" dataDxfId="23"/>
    <tableColumn id="5" name="DEBIT" dataDxfId="24">
      <calculatedColumnFormula>IFERROR(IF(TRANSHARI1_SPVOUPAGI[[#This Row],[NAMA PENGHUTANG]]="",((TRANSHARI1_SPVOUPAGI[[#This Row],[HARGA]]*TRANSHARI1_SPVOUPAGI[[#This Row],[QUANTITY]])+TRANSHARI1_SPVOUPAGI[[#This Row],[PRICE TOLERANCE]]),""),"")</calculatedColumnFormula>
    </tableColumn>
    <tableColumn id="6" name="KREDIT" dataDxfId="25">
      <calculatedColumnFormula>IFERROR(IF(TRANSHARI1_SPVOUPAGI[[#This Row],[NAMA PENGHUTANG]]="","",((TRANSHARI1_SPVOUPAGI[[#This Row],[HARGA]]*TRANSHARI1_SPVOUPAGI[[#This Row],[QUANTITY]])+TRANSHARI1_SPVOUPAGI[[#This Row],[PRICE TOLERANCE]])),"")</calculatedColumnFormula>
    </tableColumn>
    <tableColumn id="7" name="NAMA PENGHUTANG" dataDxfId="26"/>
    <tableColumn id="8" name="NOMINAL TRANSFER" dataDxfId="27">
      <calculatedColumnFormula>IFERROR(IF(TRANSHARI1_SPVOUPAGI[[#This Row],[NAMA REKENING]]="","",TRANSHARI1_SPVOUPAGI[[#This Row],[DEBIT]]),"")</calculatedColumnFormula>
    </tableColumn>
    <tableColumn id="9" name="NAMA REKENING" dataDxfId="28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id="3" name="TRANSHARI1_SOFTDRINKPAGI" displayName="TRANSHARI1_SOFTDRINKPAGI" ref="A198:J248" totalsRowShown="0">
  <autoFilter xmlns:etc="http://www.wps.cn/officeDocument/2017/etCustomData" ref="A198:J248" etc:filterBottomFollowUsedRange="0"/>
  <tableColumns count="10">
    <tableColumn id="1" name="NO." dataDxfId="29"/>
    <tableColumn id="2" name="PRODUK" dataDxfId="30"/>
    <tableColumn id="10" name="QUANTITY" dataDxfId="31"/>
    <tableColumn id="3" name="HARGA" dataDxfId="32">
      <calculatedColumnFormula>IFERROR(VLOOKUP(TRANSHARI1_SOFTDRINKPAGI[[#This Row],[PRODUK]],DATA_SOFTDRINK[],3,FALSE),"")</calculatedColumnFormula>
    </tableColumn>
    <tableColumn id="4" name="PRICE TOLERANCE" dataDxfId="33"/>
    <tableColumn id="5" name="DEBIT" dataDxfId="34">
      <calculatedColumnFormula>IFERROR(IF(TRANSHARI1_SOFTDRINKPAGI[[#This Row],[NAMA PENGHUTANG]]="",((TRANSHARI1_SOFTDRINKPAGI[[#This Row],[HARGA]]*TRANSHARI1_SOFTDRINKPAGI[[#This Row],[QUANTITY]])+TRANSHARI1_SOFTDRINKPAGI[[#This Row],[PRICE TOLERANCE]]),""),"")</calculatedColumnFormula>
    </tableColumn>
    <tableColumn id="6" name="KREDIT" dataDxfId="35">
      <calculatedColumnFormula>IFERROR(IF(TRANSHARI1_SOFTDRINKPAGI[[#This Row],[NAMA PENGHUTANG]]="","",((TRANSHARI1_SOFTDRINKPAGI[[#This Row],[HARGA]]*TRANSHARI1_SOFTDRINKPAGI[[#This Row],[QUANTITY]])+TRANSHARI1_SOFTDRINKPAGI[[#This Row],[PRICE TOLERANCE]])),"")</calculatedColumnFormula>
    </tableColumn>
    <tableColumn id="7" name="NAMA PENGHUTANG" dataDxfId="36"/>
    <tableColumn id="8" name="NOMINAL TRANSFER" dataDxfId="37">
      <calculatedColumnFormula>IFERROR(IF(TRANSHARI1_SOFTDRINKPAGI[[#This Row],[NAMA REKENING]]="","",TRANSHARI1_SOFTDRINKPAGI[[#This Row],[DEBIT]]),"")</calculatedColumnFormula>
    </tableColumn>
    <tableColumn id="9" name="NAMA REKENING" dataDxfId="38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id="4" name="TRANSHARI1_ICECREAMPAGI" displayName="TRANSHARI1_ICECREAMPAGI" ref="A255:J305" totalsRowShown="0">
  <autoFilter xmlns:etc="http://www.wps.cn/officeDocument/2017/etCustomData" ref="A255:J305" etc:filterBottomFollowUsedRange="0"/>
  <tableColumns count="10">
    <tableColumn id="1" name="NO." dataDxfId="39"/>
    <tableColumn id="2" name="PRODUK" dataDxfId="40"/>
    <tableColumn id="10" name="QUANTITY" dataDxfId="41"/>
    <tableColumn id="3" name="HARGA" dataDxfId="42">
      <calculatedColumnFormula>IFERROR(VLOOKUP(TRANSHARI1_ICECREAMPAGI[[#This Row],[PRODUK]],DATA_ICECREAM[],3,FALSE),"")</calculatedColumnFormula>
    </tableColumn>
    <tableColumn id="4" name="PRICE TOLERANCE" dataDxfId="43"/>
    <tableColumn id="5" name="DEBIT" dataDxfId="44">
      <calculatedColumnFormula>IFERROR(IF(TRANSHARI1_ICECREAMPAGI[[#This Row],[NAMA PENGHUTANG]]="",((TRANSHARI1_ICECREAMPAGI[[#This Row],[HARGA]]*TRANSHARI1_ICECREAMPAGI[[#This Row],[QUANTITY]])+TRANSHARI1_ICECREAMPAGI[[#This Row],[PRICE TOLERANCE]]),""),"")</calculatedColumnFormula>
    </tableColumn>
    <tableColumn id="6" name="KREDIT" dataDxfId="45">
      <calculatedColumnFormula>IFERROR(IF(TRANSHARI1_ICECREAMPAGI[[#This Row],[NAMA PENGHUTANG]]="","",((TRANSHARI1_ICECREAMPAGI[[#This Row],[HARGA]]*TRANSHARI1_ICECREAMPAGI[[#This Row],[QUANTITY]])+TRANSHARI1_ICECREAMPAGI[[#This Row],[PRICE TOLERANCE]])),"")</calculatedColumnFormula>
    </tableColumn>
    <tableColumn id="7" name="NAMA PENGHUTANG" dataDxfId="46"/>
    <tableColumn id="8" name="NOMINAL TRANSFER" dataDxfId="47">
      <calculatedColumnFormula>IFERROR(IF(TRANSHARI1_ICECREAMPAGI[[#This Row],[NAMA REKENING]]="","",TRANSHARI1_ICECREAMPAGI[[#This Row],[DEBIT]]),"")</calculatedColumnFormula>
    </tableColumn>
    <tableColumn id="9" name="NAMA REKENING" dataDxfId="48"/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id="5" name="TRANSHARI1_ACCPAGI" displayName="TRANSHARI1_ACCPAGI" ref="A312:J342" totalsRowShown="0">
  <autoFilter xmlns:etc="http://www.wps.cn/officeDocument/2017/etCustomData" ref="A312:J342" etc:filterBottomFollowUsedRange="0"/>
  <tableColumns count="10">
    <tableColumn id="1" name="NO." dataDxfId="49"/>
    <tableColumn id="2" name="PRODUK" dataDxfId="50"/>
    <tableColumn id="10" name="QUANTITY" dataDxfId="51"/>
    <tableColumn id="3" name="HARGA" dataDxfId="52">
      <calculatedColumnFormula>IFERROR(VLOOKUP(TRANSHARI1_ACCPAGI[[#This Row],[PRODUK]],DATA_ACC[],3,FALSE),"")</calculatedColumnFormula>
    </tableColumn>
    <tableColumn id="4" name="PRICE TOLERANCE" dataDxfId="53"/>
    <tableColumn id="5" name="DEBIT" dataDxfId="54">
      <calculatedColumnFormula>IFERROR(IF(TRANSHARI1_ACCPAGI[[#This Row],[NAMA PENGHUTANG]]="",((TRANSHARI1_ACCPAGI[[#This Row],[HARGA]]*TRANSHARI1_ACCPAGI[[#This Row],[QUANTITY]])+TRANSHARI1_ACCPAGI[[#This Row],[PRICE TOLERANCE]]),""),"")</calculatedColumnFormula>
    </tableColumn>
    <tableColumn id="6" name="KREDIT" dataDxfId="55">
      <calculatedColumnFormula>IFERROR(IF(TRANSHARI1_ACCPAGI[[#This Row],[NAMA PENGHUTANG]]="","",((TRANSHARI1_ACCPAGI[[#This Row],[HARGA]]*TRANSHARI1_ACCPAGI[[#This Row],[QUANTITY]])+TRANSHARI1_ACCPAGI[[#This Row],[PRICE TOLERANCE]])),"")</calculatedColumnFormula>
    </tableColumn>
    <tableColumn id="7" name="NAMA PENGHUTANG" dataDxfId="56"/>
    <tableColumn id="8" name="NOMINAL TRANSFER" dataDxfId="57">
      <calculatedColumnFormula>IFERROR(IF(TRANSHARI1_ACCPAGI[[#This Row],[NAMA REKENING]]="","",TRANSHARI1_ACCPAGI[[#This Row],[DEBIT]]),"")</calculatedColumnFormula>
    </tableColumn>
    <tableColumn id="9" name="NAMA REKENING" dataDxfId="58"/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id="6" name="TRANSHARI1_HYDROPAGI" displayName="TRANSHARI1_HYDROPAGI" ref="A349:J379" totalsRowShown="0">
  <autoFilter xmlns:etc="http://www.wps.cn/officeDocument/2017/etCustomData" ref="A349:J379" etc:filterBottomFollowUsedRange="0"/>
  <tableColumns count="10">
    <tableColumn id="1" name="NO." dataDxfId="59"/>
    <tableColumn id="2" name="PRODUK" dataDxfId="60"/>
    <tableColumn id="10" name="QUANTITY" dataDxfId="61"/>
    <tableColumn id="3" name="HARGA" dataDxfId="62">
      <calculatedColumnFormula>IFERROR(VLOOKUP(TRANSHARI1_HYDROPAGI[[#This Row],[PRODUK]],DATA_HYDRO[],3,FALSE),"")</calculatedColumnFormula>
    </tableColumn>
    <tableColumn id="4" name="PRICE TOLERANCE" dataDxfId="63"/>
    <tableColumn id="5" name="DEBIT" dataDxfId="64">
      <calculatedColumnFormula>IFERROR(IF(TRANSHARI1_HYDROPAGI[[#This Row],[NAMA PENGHUTANG]]="",((TRANSHARI1_HYDROPAGI[[#This Row],[HARGA]]*TRANSHARI1_HYDROPAGI[[#This Row],[QUANTITY]])+TRANSHARI1_HYDROPAGI[[#This Row],[PRICE TOLERANCE]]),""),"")</calculatedColumnFormula>
    </tableColumn>
    <tableColumn id="6" name="KREDIT" dataDxfId="65">
      <calculatedColumnFormula>IFERROR(IF(TRANSHARI1_HYDROPAGI[[#This Row],[NAMA PENGHUTANG]]="","",((TRANSHARI1_HYDROPAGI[[#This Row],[HARGA]]*TRANSHARI1_HYDROPAGI[[#This Row],[QUANTITY]])+TRANSHARI1_HYDROPAGI[[#This Row],[PRICE TOLERANCE]])),"")</calculatedColumnFormula>
    </tableColumn>
    <tableColumn id="7" name="NAMA PENGHUTANG" dataDxfId="66"/>
    <tableColumn id="8" name="NOMINAL TRANSFER" dataDxfId="67">
      <calculatedColumnFormula>IFERROR(IF(TRANSHARI1_HYDROPAGI[[#This Row],[NAMA REKENING]]="","",TRANSHARI1_HYDROPAGI[[#This Row],[DEBIT]]),"")</calculatedColumnFormula>
    </tableColumn>
    <tableColumn id="9" name="NAMA REKENING" dataDxfId="68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id="7" name="TRANSHARI1_ROKOKMALAM" displayName="TRANSHARI1_ROKOKMALAM" ref="P84:Y134" totalsRowShown="0">
  <autoFilter xmlns:etc="http://www.wps.cn/officeDocument/2017/etCustomData" ref="P84:Y134" etc:filterBottomFollowUsedRange="0"/>
  <tableColumns count="10">
    <tableColumn id="1" name="NO." dataDxfId="69"/>
    <tableColumn id="2" name="PRODUK" dataDxfId="70"/>
    <tableColumn id="10" name="QUANTITY" dataDxfId="71"/>
    <tableColumn id="3" name="HARGA" dataDxfId="72">
      <calculatedColumnFormula>IFERROR(VLOOKUP(TRANSHARI1_ROKOKMALAM[[#This Row],[PRODUK]],DATA_ROKOK[],3,FALSE),"")</calculatedColumnFormula>
    </tableColumn>
    <tableColumn id="4" name="PRICE TOLERANCE" dataDxfId="73"/>
    <tableColumn id="5" name="DEBIT" dataDxfId="74">
      <calculatedColumnFormula>IFERROR(IF(TRANSHARI1_ROKOKMALAM[[#This Row],[NAMA PENGHUTANG]]="",((TRANSHARI1_ROKOKMALAM[[#This Row],[HARGA]]*TRANSHARI1_ROKOKMALAM[[#This Row],[QUANTITY]])+TRANSHARI1_ROKOKMALAM[[#This Row],[PRICE TOLERANCE]]),""),"")</calculatedColumnFormula>
    </tableColumn>
    <tableColumn id="6" name="KREDIT" dataDxfId="75">
      <calculatedColumnFormula>IFERROR(IF(TRANSHARI1_ROKOKMALAM[[#This Row],[NAMA PENGHUTANG]]="","",((TRANSHARI1_ROKOKMALAM[[#This Row],[HARGA]]*TRANSHARI1_ROKOKMALAM[[#This Row],[QUANTITY]])+TRANSHARI1_ROKOKMALAM[[#This Row],[PRICE TOLERANCE]])),"")</calculatedColumnFormula>
    </tableColumn>
    <tableColumn id="7" name="NAMA PENGHUTANG" dataDxfId="76"/>
    <tableColumn id="8" name="NOMINAL TRANSFER" dataDxfId="77">
      <calculatedColumnFormula>IFERROR(IF(TRANSHARI1_ROKOKMALAM[[#This Row],[NAMA REKENING]]="","",TRANSHARI1_ROKOKMALAM[[#This Row],[DEBIT]]),"")</calculatedColumnFormula>
    </tableColumn>
    <tableColumn id="9" name="NAMA REKENING" dataDxfId="78"/>
  </tableColumns>
  <tableStyleInfo name="TableStyleMedium16" showFirstColumn="0" showLastColumn="0" showRowStripes="1" showColumnStripes="0"/>
</table>
</file>

<file path=xl/tables/table9.xml><?xml version="1.0" encoding="utf-8"?>
<table xmlns="http://schemas.openxmlformats.org/spreadsheetml/2006/main" id="8" name="TRANSHARI1_PULSAMALAM" displayName="TRANSHARI1_PULSAMALAM" ref="P27:X77" totalsRowShown="0">
  <autoFilter xmlns:etc="http://www.wps.cn/officeDocument/2017/etCustomData" ref="P27:X77" etc:filterBottomFollowUsedRange="0"/>
  <tableColumns count="9">
    <tableColumn id="1" name="NO." dataDxfId="79"/>
    <tableColumn id="2" name="NO. TELEPON" dataDxfId="80"/>
    <tableColumn id="5" name="DEBIT" dataDxfId="81"/>
    <tableColumn id="6" name="KREDIT" dataDxfId="82"/>
    <tableColumn id="7" name="NAMA PENGHUTANG" dataDxfId="83"/>
    <tableColumn id="8" name="SALDO MINUS" dataDxfId="84"/>
    <tableColumn id="9" name="APLIKASI" dataDxfId="85"/>
    <tableColumn id="11" name="NOMINAL TRANSFER" dataDxfId="86">
      <calculatedColumnFormula>IFERROR(IF(TRANSHARI1_PULSAMALAM[[#This Row],[NAMA REKENING]]="","",TRANSHARI1_PULSAMALAM[[#This Row],[DEBIT]]),"")</calculatedColumnFormula>
    </tableColumn>
    <tableColumn id="12" name="NAMA REKENING" dataDxfId="87"/>
  </tableColumns>
  <tableStyleInfo name="TableStyleMedium16" showFirstColumn="0" showLastColumn="0" showRowStripes="1" showColumnStripes="0"/>
</table>
</file>

<file path=xl/tables/table10.xml><?xml version="1.0" encoding="utf-8"?>
<table xmlns="http://schemas.openxmlformats.org/spreadsheetml/2006/main" id="12" name="TRANSHARI1_SPVOUMALAM" displayName="TRANSHARI1_SPVOUMALAM" ref="P141:Y191" totalsRowShown="0">
  <autoFilter xmlns:etc="http://www.wps.cn/officeDocument/2017/etCustomData" ref="P141:Y191" etc:filterBottomFollowUsedRange="0"/>
  <tableColumns count="10">
    <tableColumn id="1" name="NO." dataDxfId="88"/>
    <tableColumn id="2" name="PRODUK" dataDxfId="89"/>
    <tableColumn id="10" name="QUANTITY" dataDxfId="90"/>
    <tableColumn id="3" name="HARGA" dataDxfId="91">
      <calculatedColumnFormula>IFERROR(VLOOKUP(TRANSHARI1_SPVOUMALAM[[#This Row],[PRODUK]],DATA_SPVOU[],3,FALSE),"")</calculatedColumnFormula>
    </tableColumn>
    <tableColumn id="4" name="PRICE TOLERANCE" dataDxfId="92"/>
    <tableColumn id="5" name="DEBIT" dataDxfId="93">
      <calculatedColumnFormula>IFERROR(IF(TRANSHARI1_SPVOUMALAM[[#This Row],[NAMA PENGHUTANG]]="",((TRANSHARI1_SPVOUMALAM[[#This Row],[HARGA]]*TRANSHARI1_SPVOUMALAM[[#This Row],[QUANTITY]])+TRANSHARI1_SPVOUMALAM[[#This Row],[PRICE TOLERANCE]]),""),"")</calculatedColumnFormula>
    </tableColumn>
    <tableColumn id="6" name="KREDIT" dataDxfId="94">
      <calculatedColumnFormula>IFERROR(IF(TRANSHARI1_SPVOUMALAM[[#This Row],[NAMA PENGHUTANG]]="","",((TRANSHARI1_SPVOUMALAM[[#This Row],[HARGA]]*TRANSHARI1_SPVOUMALAM[[#This Row],[QUANTITY]])+TRANSHARI1_SPVOUMALAM[[#This Row],[PRICE TOLERANCE]])),"")</calculatedColumnFormula>
    </tableColumn>
    <tableColumn id="7" name="NAMA PENGHUTANG" dataDxfId="95"/>
    <tableColumn id="8" name="NOMINAL TRANSFER" dataDxfId="96">
      <calculatedColumnFormula>IFERROR(IF(TRANSHARI1_SPVOUMALAM[[#This Row],[NAMA REKENING]]="","",TRANSHARI1_SPVOUMALAM[[#This Row],[DEBIT]]),"")</calculatedColumnFormula>
    </tableColumn>
    <tableColumn id="9" name="NAMA REKENING" dataDxfId="97"/>
  </tableColumns>
  <tableStyleInfo name="TableStyleMedium16" showFirstColumn="0" showLastColumn="0" showRowStripes="1" showColumnStripes="0"/>
</table>
</file>

<file path=xl/tables/table11.xml><?xml version="1.0" encoding="utf-8"?>
<table xmlns="http://schemas.openxmlformats.org/spreadsheetml/2006/main" id="16" name="TRANSHARI1_SOFTDRINKMALAM" displayName="TRANSHARI1_SOFTDRINKMALAM" ref="P198:Y248" totalsRowShown="0">
  <autoFilter xmlns:etc="http://www.wps.cn/officeDocument/2017/etCustomData" ref="P198:Y248" etc:filterBottomFollowUsedRange="0"/>
  <tableColumns count="10">
    <tableColumn id="1" name="NO." dataDxfId="98"/>
    <tableColumn id="2" name="PRODUK" dataDxfId="99"/>
    <tableColumn id="10" name="QUANTITY" dataDxfId="100"/>
    <tableColumn id="3" name="HARGA" dataDxfId="101">
      <calculatedColumnFormula>IFERROR(VLOOKUP(TRANSHARI1_SOFTDRINKMALAM[[#This Row],[PRODUK]],DATA_SOFTDRINK[],3,FALSE),"")</calculatedColumnFormula>
    </tableColumn>
    <tableColumn id="4" name="PRICE TOLERANCE" dataDxfId="102"/>
    <tableColumn id="5" name="DEBIT" dataDxfId="103">
      <calculatedColumnFormula>IFERROR(IF(TRANSHARI1_SOFTDRINKMALAM[[#This Row],[NAMA PENGHUTANG]]="",((TRANSHARI1_SOFTDRINKMALAM[[#This Row],[HARGA]]*TRANSHARI1_SOFTDRINKMALAM[[#This Row],[QUANTITY]])+TRANSHARI1_SOFTDRINKMALAM[[#This Row],[PRICE TOLERANCE]]),""),"")</calculatedColumnFormula>
    </tableColumn>
    <tableColumn id="6" name="KREDIT" dataDxfId="104">
      <calculatedColumnFormula>IFERROR(IF(TRANSHARI1_SOFTDRINKMALAM[[#This Row],[NAMA PENGHUTANG]]="","",((TRANSHARI1_SOFTDRINKMALAM[[#This Row],[HARGA]]*TRANSHARI1_SOFTDRINKMALAM[[#This Row],[QUANTITY]])+TRANSHARI1_SOFTDRINKMALAM[[#This Row],[PRICE TOLERANCE]])),"")</calculatedColumnFormula>
    </tableColumn>
    <tableColumn id="7" name="NAMA PENGHUTANG" dataDxfId="105"/>
    <tableColumn id="8" name="NOMINAL TRANSFER" dataDxfId="106">
      <calculatedColumnFormula>IFERROR(IF(TRANSHARI1_SOFTDRINKMALAM[[#This Row],[NAMA REKENING]]="","",TRANSHARI1_SOFTDRINKMALAM[[#This Row],[DEBIT]]),"")</calculatedColumnFormula>
    </tableColumn>
    <tableColumn id="9" name="NAMA REKENING" dataDxfId="107"/>
  </tableColumns>
  <tableStyleInfo name="TableStyleMedium16" showFirstColumn="0" showLastColumn="0" showRowStripes="1" showColumnStripes="0"/>
</table>
</file>

<file path=xl/tables/table12.xml><?xml version="1.0" encoding="utf-8"?>
<table xmlns="http://schemas.openxmlformats.org/spreadsheetml/2006/main" id="18" name="TRANSHARI1_ICECREAMMALAM" displayName="TRANSHARI1_ICECREAMMALAM" ref="P255:Y305" totalsRowShown="0">
  <autoFilter xmlns:etc="http://www.wps.cn/officeDocument/2017/etCustomData" ref="P255:Y305" etc:filterBottomFollowUsedRange="0"/>
  <tableColumns count="10">
    <tableColumn id="1" name="NO." dataDxfId="108"/>
    <tableColumn id="2" name="PRODUK" dataDxfId="109"/>
    <tableColumn id="10" name="QUANTITY" dataDxfId="110"/>
    <tableColumn id="3" name="HARGA" dataDxfId="111">
      <calculatedColumnFormula>IFERROR(VLOOKUP(TRANSHARI1_ICECREAMMALAM[[#This Row],[PRODUK]],DATA_ICECREAM[],3,FALSE),"")</calculatedColumnFormula>
    </tableColumn>
    <tableColumn id="4" name="PRICE TOLERANCE" dataDxfId="112"/>
    <tableColumn id="5" name="DEBIT" dataDxfId="113">
      <calculatedColumnFormula>IFERROR(IF(TRANSHARI1_ICECREAMMALAM[[#This Row],[NAMA PENGHUTANG]]="",((TRANSHARI1_ICECREAMMALAM[[#This Row],[HARGA]]*TRANSHARI1_ICECREAMMALAM[[#This Row],[QUANTITY]])+TRANSHARI1_ICECREAMMALAM[[#This Row],[PRICE TOLERANCE]]),""),"")</calculatedColumnFormula>
    </tableColumn>
    <tableColumn id="6" name="KREDIT" dataDxfId="114">
      <calculatedColumnFormula>IFERROR(IF(TRANSHARI1_ICECREAMMALAM[[#This Row],[NAMA PENGHUTANG]]="","",((TRANSHARI1_ICECREAMMALAM[[#This Row],[HARGA]]*TRANSHARI1_ICECREAMMALAM[[#This Row],[QUANTITY]])+TRANSHARI1_ICECREAMMALAM[[#This Row],[PRICE TOLERANCE]])),"")</calculatedColumnFormula>
    </tableColumn>
    <tableColumn id="7" name="NAMA PENGHUTANG" dataDxfId="115"/>
    <tableColumn id="8" name="NOMINAL TRANSFER" dataDxfId="116">
      <calculatedColumnFormula>IFERROR(IF(TRANSHARI1_ICECREAMMALAM[[#This Row],[NAMA REKENING]]="","",TRANSHARI1_ICECREAMMALAM[[#This Row],[DEBIT]]),"")</calculatedColumnFormula>
    </tableColumn>
    <tableColumn id="9" name="NAMA REKENING" dataDxfId="117"/>
  </tableColumns>
  <tableStyleInfo name="TableStyleMedium16" showFirstColumn="0" showLastColumn="0" showRowStripes="1" showColumnStripes="0"/>
</table>
</file>

<file path=xl/tables/table13.xml><?xml version="1.0" encoding="utf-8"?>
<table xmlns="http://schemas.openxmlformats.org/spreadsheetml/2006/main" id="19" name="TRANSHARI1_ACCMALAM" displayName="TRANSHARI1_ACCMALAM" ref="P312:Y342" totalsRowShown="0">
  <autoFilter xmlns:etc="http://www.wps.cn/officeDocument/2017/etCustomData" ref="P312:Y342" etc:filterBottomFollowUsedRange="0"/>
  <tableColumns count="10">
    <tableColumn id="1" name="NO." dataDxfId="118"/>
    <tableColumn id="2" name="PRODUK" dataDxfId="119"/>
    <tableColumn id="10" name="QUANTITY" dataDxfId="120"/>
    <tableColumn id="3" name="HARGA" dataDxfId="121">
      <calculatedColumnFormula>IFERROR(VLOOKUP(TRANSHARI1_ACCMALAM[[#This Row],[PRODUK]],DATA_ACC[],3,FALSE),"")</calculatedColumnFormula>
    </tableColumn>
    <tableColumn id="4" name="PRICE TOLERANCE" dataDxfId="122"/>
    <tableColumn id="5" name="DEBIT" dataDxfId="123">
      <calculatedColumnFormula>IFERROR(IF(TRANSHARI1_ACCMALAM[[#This Row],[NAMA PENGHUTANG]]="",((TRANSHARI1_ACCMALAM[[#This Row],[HARGA]]*TRANSHARI1_ACCMALAM[[#This Row],[QUANTITY]])+TRANSHARI1_ACCMALAM[[#This Row],[PRICE TOLERANCE]]),""),"")</calculatedColumnFormula>
    </tableColumn>
    <tableColumn id="6" name="KREDIT" dataDxfId="124">
      <calculatedColumnFormula>IFERROR(IF(TRANSHARI1_ACCMALAM[[#This Row],[NAMA PENGHUTANG]]="","",((TRANSHARI1_ACCMALAM[[#This Row],[HARGA]]*TRANSHARI1_ACCMALAM[[#This Row],[QUANTITY]])+TRANSHARI1_ACCMALAM[[#This Row],[PRICE TOLERANCE]])),"")</calculatedColumnFormula>
    </tableColumn>
    <tableColumn id="7" name="NAMA PENGHUTANG" dataDxfId="125"/>
    <tableColumn id="8" name="NOMINAL TRANSFER" dataDxfId="126">
      <calculatedColumnFormula>IFERROR(IF(TRANSHARI1_ACCMALAM[[#This Row],[NAMA REKENING]]="","",TRANSHARI1_ACCMALAM[[#This Row],[DEBIT]]),"")</calculatedColumnFormula>
    </tableColumn>
    <tableColumn id="9" name="NAMA REKENING" dataDxfId="127"/>
  </tableColumns>
  <tableStyleInfo name="TableStyleMedium16" showFirstColumn="0" showLastColumn="0" showRowStripes="1" showColumnStripes="0"/>
</table>
</file>

<file path=xl/tables/table14.xml><?xml version="1.0" encoding="utf-8"?>
<table xmlns="http://schemas.openxmlformats.org/spreadsheetml/2006/main" id="20" name="TRANSHARI1_HYDROMALAM" displayName="TRANSHARI1_HYDROMALAM" ref="P349:Y379" totalsRowShown="0">
  <autoFilter xmlns:etc="http://www.wps.cn/officeDocument/2017/etCustomData" ref="P349:Y379" etc:filterBottomFollowUsedRange="0"/>
  <tableColumns count="10">
    <tableColumn id="1" name="NO." dataDxfId="128"/>
    <tableColumn id="2" name="PRODUK" dataDxfId="129"/>
    <tableColumn id="10" name="QUANTITY" dataDxfId="130"/>
    <tableColumn id="3" name="HARGA" dataDxfId="131">
      <calculatedColumnFormula>IFERROR(VLOOKUP(TRANSHARI1_HYDROMALAM[[#This Row],[PRODUK]],DATA_HYDRO[],3,FALSE),"")</calculatedColumnFormula>
    </tableColumn>
    <tableColumn id="4" name="PRICE TOLERANCE" dataDxfId="132"/>
    <tableColumn id="5" name="DEBIT" dataDxfId="133">
      <calculatedColumnFormula>IFERROR(IF(TRANSHARI1_HYDROMALAM[[#This Row],[NAMA PENGHUTANG]]="",((TRANSHARI1_HYDROMALAM[[#This Row],[HARGA]]*TRANSHARI1_HYDROMALAM[[#This Row],[QUANTITY]])+TRANSHARI1_HYDROMALAM[[#This Row],[PRICE TOLERANCE]]),""),"")</calculatedColumnFormula>
    </tableColumn>
    <tableColumn id="6" name="KREDIT" dataDxfId="134">
      <calculatedColumnFormula>IFERROR(IF(TRANSHARI1_HYDROMALAM[[#This Row],[NAMA PENGHUTANG]]="","",((TRANSHARI1_HYDROMALAM[[#This Row],[HARGA]]*TRANSHARI1_HYDROMALAM[[#This Row],[QUANTITY]])+TRANSHARI1_HYDROMALAM[[#This Row],[PRICE TOLERANCE]])),"")</calculatedColumnFormula>
    </tableColumn>
    <tableColumn id="7" name="NAMA PENGHUTANG" dataDxfId="135"/>
    <tableColumn id="8" name="NOMINAL TRANSFER" dataDxfId="136">
      <calculatedColumnFormula>IFERROR(IF(TRANSHARI1_HYDROMALAM[[#This Row],[NAMA REKENING]]="","",TRANSHARI1_HYDROMALAM[[#This Row],[DEBIT]]),"")</calculatedColumnFormula>
    </tableColumn>
    <tableColumn id="9" name="NAMA REKENING" dataDxfId="137"/>
  </tableColumns>
  <tableStyleInfo name="TableStyleMedium16" showFirstColumn="0" showLastColumn="0" showRowStripes="1" showColumnStripes="0"/>
</table>
</file>

<file path=xl/tables/table15.xml><?xml version="1.0" encoding="utf-8"?>
<table xmlns="http://schemas.openxmlformats.org/spreadsheetml/2006/main" id="21" name="TRANSHARI2_ROKOKPAGI" displayName="TRANSHARI2_ROKOKPAGI" ref="A84:J134" totalsRowShown="0">
  <autoFilter xmlns:etc="http://www.wps.cn/officeDocument/2017/etCustomData" ref="A84:J134" etc:filterBottomFollowUsedRange="0"/>
  <tableColumns count="10">
    <tableColumn id="1" name="NO." dataDxfId="139"/>
    <tableColumn id="2" name="PRODUK" dataDxfId="140"/>
    <tableColumn id="10" name="QUANTITY" dataDxfId="141"/>
    <tableColumn id="3" name="HARGA" dataDxfId="142">
      <calculatedColumnFormula>IFERROR(VLOOKUP(TRANSHARI2_ROKOKPAGI[[#This Row],[PRODUK]],DATA_ROKOK[],4,FALSE),"")</calculatedColumnFormula>
    </tableColumn>
    <tableColumn id="4" name="PRICE TOLERANCE" dataDxfId="143"/>
    <tableColumn id="5" name="DEBIT" dataDxfId="144">
      <calculatedColumnFormula>IFERROR(IF(TRANSHARI2_ROKOKPAGI[[#This Row],[NAMA PENGHUTANG]]="",((TRANSHARI2_ROKOKPAGI[[#This Row],[HARGA]]*TRANSHARI2_ROKOKPAGI[[#This Row],[QUANTITY]])+TRANSHARI2_ROKOKPAGI[[#This Row],[PRICE TOLERANCE]]),""),"")</calculatedColumnFormula>
    </tableColumn>
    <tableColumn id="6" name="KREDIT" dataDxfId="145">
      <calculatedColumnFormula>IFERROR(IF(TRANSHARI2_ROKOKPAGI[[#This Row],[NAMA PENGHUTANG]]="","",((TRANSHARI2_ROKOKPAGI[[#This Row],[HARGA]]*TRANSHARI2_ROKOKPAGI[[#This Row],[QUANTITY]])+TRANSHARI2_ROKOKPAGI[[#This Row],[PRICE TOLERANCE]])),"")</calculatedColumnFormula>
    </tableColumn>
    <tableColumn id="7" name="NAMA PENGHUTANG" dataDxfId="146"/>
    <tableColumn id="8" name="NOMINAL TRANSFER" dataDxfId="147">
      <calculatedColumnFormula>IFERROR(IF(TRANSHARI2_ROKOKPAGI[[#This Row],[NAMA REKENING]]="","",TRANSHARI2_ROKOKPAGI[[#This Row],[DEBIT]]),"")</calculatedColumnFormula>
    </tableColumn>
    <tableColumn id="9" name="NAMA REKENING" dataDxfId="148"/>
  </tableColumns>
  <tableStyleInfo name="TableStyleMedium16" showFirstColumn="0" showLastColumn="0" showRowStripes="1" showColumnStripes="0"/>
</table>
</file>

<file path=xl/tables/table16.xml><?xml version="1.0" encoding="utf-8"?>
<table xmlns="http://schemas.openxmlformats.org/spreadsheetml/2006/main" id="22" name="TRANSHARI2_PULSAPAGI" displayName="TRANSHARI2_PULSAPAGI" ref="A27:I77" totalsRowShown="0">
  <autoFilter xmlns:etc="http://www.wps.cn/officeDocument/2017/etCustomData" ref="A27:I77" etc:filterBottomFollowUsedRange="0"/>
  <tableColumns count="9">
    <tableColumn id="1" name="NO." dataDxfId="149"/>
    <tableColumn id="2" name="NO. TELEPON" dataDxfId="150"/>
    <tableColumn id="5" name="DEBIT" dataDxfId="151"/>
    <tableColumn id="6" name="KREDIT" dataDxfId="152"/>
    <tableColumn id="7" name="NAMA PENGHUTANG" dataDxfId="153"/>
    <tableColumn id="8" name="SALDO MINUS" dataDxfId="154"/>
    <tableColumn id="9" name="APLIKASI" dataDxfId="155"/>
    <tableColumn id="11" name="NOMINAL TRANSFER" dataDxfId="156">
      <calculatedColumnFormula>IFERROR(IF(TRANSHARI2_PULSAPAGI[[#This Row],[NAMA REKENING]]="","",TRANSHARI2_PULSAPAGI[[#This Row],[DEBIT]]),"")</calculatedColumnFormula>
    </tableColumn>
    <tableColumn id="12" name="NAMA REKENING" dataDxfId="157"/>
  </tableColumns>
  <tableStyleInfo name="TableStyleMedium16" showFirstColumn="0" showLastColumn="0" showRowStripes="1" showColumnStripes="0"/>
</table>
</file>

<file path=xl/tables/table17.xml><?xml version="1.0" encoding="utf-8"?>
<table xmlns="http://schemas.openxmlformats.org/spreadsheetml/2006/main" id="23" name="TRANSHARI2_SPVOUPAGI" displayName="TRANSHARI2_SPVOUPAGI" ref="A141:J191" totalsRowShown="0">
  <autoFilter xmlns:etc="http://www.wps.cn/officeDocument/2017/etCustomData" ref="A141:J191" etc:filterBottomFollowUsedRange="0"/>
  <tableColumns count="10">
    <tableColumn id="1" name="NO." dataDxfId="158"/>
    <tableColumn id="2" name="PRODUK" dataDxfId="159"/>
    <tableColumn id="10" name="QUANTITY" dataDxfId="160"/>
    <tableColumn id="3" name="HARGA" dataDxfId="161">
      <calculatedColumnFormula>IFERROR(VLOOKUP(TRANSHARI2_SPVOUPAGI[[#This Row],[PRODUK]],DATA_SPVOU[],4,FALSE),"")</calculatedColumnFormula>
    </tableColumn>
    <tableColumn id="4" name="PRICE TOLERANCE" dataDxfId="162"/>
    <tableColumn id="5" name="DEBIT" dataDxfId="163">
      <calculatedColumnFormula>IFERROR(IF(TRANSHARI2_SPVOUPAGI[[#This Row],[NAMA PENGHUTANG]]="",((TRANSHARI2_SPVOUPAGI[[#This Row],[HARGA]]*TRANSHARI2_SPVOUPAGI[[#This Row],[QUANTITY]])+TRANSHARI2_SPVOUPAGI[[#This Row],[PRICE TOLERANCE]]),""),"")</calculatedColumnFormula>
    </tableColumn>
    <tableColumn id="6" name="KREDIT" dataDxfId="164">
      <calculatedColumnFormula>IFERROR(IF(TRANSHARI2_SPVOUPAGI[[#This Row],[NAMA PENGHUTANG]]="","",((TRANSHARI2_SPVOUPAGI[[#This Row],[HARGA]]*TRANSHARI2_SPVOUPAGI[[#This Row],[QUANTITY]])+TRANSHARI2_SPVOUPAGI[[#This Row],[PRICE TOLERANCE]])),"")</calculatedColumnFormula>
    </tableColumn>
    <tableColumn id="7" name="NAMA PENGHUTANG" dataDxfId="165"/>
    <tableColumn id="8" name="NOMINAL TRANSFER" dataDxfId="166">
      <calculatedColumnFormula>IFERROR(IF(TRANSHARI2_SPVOUPAGI[[#This Row],[NAMA REKENING]]="","",TRANSHARI2_SPVOUPAGI[[#This Row],[DEBIT]]),"")</calculatedColumnFormula>
    </tableColumn>
    <tableColumn id="9" name="NAMA REKENING" dataDxfId="167"/>
  </tableColumns>
  <tableStyleInfo name="TableStyleMedium16" showFirstColumn="0" showLastColumn="0" showRowStripes="1" showColumnStripes="0"/>
</table>
</file>

<file path=xl/tables/table18.xml><?xml version="1.0" encoding="utf-8"?>
<table xmlns="http://schemas.openxmlformats.org/spreadsheetml/2006/main" id="24" name="TRANSHARI2_SOFTDRINKPAGI" displayName="TRANSHARI2_SOFTDRINKPAGI" ref="A198:J248" totalsRowShown="0">
  <autoFilter xmlns:etc="http://www.wps.cn/officeDocument/2017/etCustomData" ref="A198:J248" etc:filterBottomFollowUsedRange="0"/>
  <tableColumns count="10">
    <tableColumn id="1" name="NO." dataDxfId="168"/>
    <tableColumn id="2" name="PRODUK" dataDxfId="169"/>
    <tableColumn id="10" name="QUANTITY" dataDxfId="170"/>
    <tableColumn id="3" name="HARGA" dataDxfId="171">
      <calculatedColumnFormula>IFERROR(VLOOKUP(TRANSHARI2_SOFTDRINKPAGI[[#This Row],[PRODUK]],DATA_SOFTDRINK[],4,FALSE),"")</calculatedColumnFormula>
    </tableColumn>
    <tableColumn id="4" name="PRICE TOLERANCE" dataDxfId="172"/>
    <tableColumn id="5" name="DEBIT" dataDxfId="173">
      <calculatedColumnFormula>IFERROR(IF(TRANSHARI2_SOFTDRINKPAGI[[#This Row],[NAMA PENGHUTANG]]="",((TRANSHARI2_SOFTDRINKPAGI[[#This Row],[HARGA]]*TRANSHARI2_SOFTDRINKPAGI[[#This Row],[QUANTITY]])+TRANSHARI2_SOFTDRINKPAGI[[#This Row],[PRICE TOLERANCE]]),""),"")</calculatedColumnFormula>
    </tableColumn>
    <tableColumn id="6" name="KREDIT" dataDxfId="174">
      <calculatedColumnFormula>IFERROR(IF(TRANSHARI2_SOFTDRINKPAGI[[#This Row],[NAMA PENGHUTANG]]="","",((TRANSHARI2_SOFTDRINKPAGI[[#This Row],[HARGA]]*TRANSHARI2_SOFTDRINKPAGI[[#This Row],[QUANTITY]])+TRANSHARI2_SOFTDRINKPAGI[[#This Row],[PRICE TOLERANCE]])),"")</calculatedColumnFormula>
    </tableColumn>
    <tableColumn id="7" name="NAMA PENGHUTANG" dataDxfId="175"/>
    <tableColumn id="8" name="NOMINAL TRANSFER" dataDxfId="176">
      <calculatedColumnFormula>IFERROR(IF(TRANSHARI2_SOFTDRINKPAGI[[#This Row],[NAMA REKENING]]="","",TRANSHARI2_SOFTDRINKPAGI[[#This Row],[DEBIT]]),"")</calculatedColumnFormula>
    </tableColumn>
    <tableColumn id="9" name="NAMA REKENING" dataDxfId="177"/>
  </tableColumns>
  <tableStyleInfo name="TableStyleMedium16" showFirstColumn="0" showLastColumn="0" showRowStripes="1" showColumnStripes="0"/>
</table>
</file>

<file path=xl/tables/table19.xml><?xml version="1.0" encoding="utf-8"?>
<table xmlns="http://schemas.openxmlformats.org/spreadsheetml/2006/main" id="25" name="TRANSHARI2_ICECREAMPAGI" displayName="TRANSHARI2_ICECREAMPAGI" ref="A255:J305" totalsRowShown="0">
  <autoFilter xmlns:etc="http://www.wps.cn/officeDocument/2017/etCustomData" ref="A255:J305" etc:filterBottomFollowUsedRange="0"/>
  <tableColumns count="10">
    <tableColumn id="1" name="NO." dataDxfId="178"/>
    <tableColumn id="2" name="PRODUK" dataDxfId="179"/>
    <tableColumn id="10" name="QUANTITY" dataDxfId="180"/>
    <tableColumn id="3" name="HARGA" dataDxfId="181">
      <calculatedColumnFormula>IFERROR(VLOOKUP(TRANSHARI2_ICECREAMPAGI[[#This Row],[PRODUK]],DATA_ICECREAM[],4,FALSE),"")</calculatedColumnFormula>
    </tableColumn>
    <tableColumn id="4" name="PRICE TOLERANCE" dataDxfId="182"/>
    <tableColumn id="5" name="DEBIT" dataDxfId="183">
      <calculatedColumnFormula>IFERROR(IF(TRANSHARI2_ICECREAMPAGI[[#This Row],[NAMA PENGHUTANG]]="",((TRANSHARI2_ICECREAMPAGI[[#This Row],[HARGA]]*TRANSHARI2_ICECREAMPAGI[[#This Row],[QUANTITY]])+TRANSHARI2_ICECREAMPAGI[[#This Row],[PRICE TOLERANCE]]),""),"")</calculatedColumnFormula>
    </tableColumn>
    <tableColumn id="6" name="KREDIT" dataDxfId="184">
      <calculatedColumnFormula>IFERROR(IF(TRANSHARI2_ICECREAMPAGI[[#This Row],[NAMA PENGHUTANG]]="","",((TRANSHARI2_ICECREAMPAGI[[#This Row],[HARGA]]*TRANSHARI2_ICECREAMPAGI[[#This Row],[QUANTITY]])+TRANSHARI2_ICECREAMPAGI[[#This Row],[PRICE TOLERANCE]])),"")</calculatedColumnFormula>
    </tableColumn>
    <tableColumn id="7" name="NAMA PENGHUTANG" dataDxfId="185"/>
    <tableColumn id="8" name="NOMINAL TRANSFER" dataDxfId="186">
      <calculatedColumnFormula>IFERROR(IF(TRANSHARI2_ICECREAMPAGI[[#This Row],[NAMA REKENING]]="","",TRANSHARI2_ICECREAMPAGI[[#This Row],[DEBIT]]),"")</calculatedColumnFormula>
    </tableColumn>
    <tableColumn id="9" name="NAMA REKENING" dataDxfId="187"/>
  </tableColumns>
  <tableStyleInfo name="TableStyleMedium16" showFirstColumn="0" showLastColumn="0" showRowStripes="1" showColumnStripes="0"/>
</table>
</file>

<file path=xl/tables/table20.xml><?xml version="1.0" encoding="utf-8"?>
<table xmlns="http://schemas.openxmlformats.org/spreadsheetml/2006/main" id="26" name="TRANSHARI2_ACCPAGI" displayName="TRANSHARI2_ACCPAGI" ref="A312:J342" totalsRowShown="0">
  <autoFilter xmlns:etc="http://www.wps.cn/officeDocument/2017/etCustomData" ref="A312:J342" etc:filterBottomFollowUsedRange="0"/>
  <tableColumns count="10">
    <tableColumn id="1" name="NO." dataDxfId="188"/>
    <tableColumn id="2" name="PRODUK" dataDxfId="189"/>
    <tableColumn id="10" name="QUANTITY" dataDxfId="190"/>
    <tableColumn id="3" name="HARGA" dataDxfId="191">
      <calculatedColumnFormula>IFERROR(VLOOKUP(TRANSHARI2_ACCPAGI[[#This Row],[PRODUK]],DATA_ACC[],4,FALSE),"")</calculatedColumnFormula>
    </tableColumn>
    <tableColumn id="4" name="PRICE TOLERANCE" dataDxfId="192"/>
    <tableColumn id="5" name="DEBIT" dataDxfId="193">
      <calculatedColumnFormula>IFERROR(IF(TRANSHARI2_ACCPAGI[[#This Row],[NAMA PENGHUTANG]]="",((TRANSHARI2_ACCPAGI[[#This Row],[HARGA]]*TRANSHARI2_ACCPAGI[[#This Row],[QUANTITY]])+TRANSHARI2_ACCPAGI[[#This Row],[PRICE TOLERANCE]]),""),"")</calculatedColumnFormula>
    </tableColumn>
    <tableColumn id="6" name="KREDIT" dataDxfId="194">
      <calculatedColumnFormula>IFERROR(IF(TRANSHARI2_ACCPAGI[[#This Row],[NAMA PENGHUTANG]]="","",((TRANSHARI2_ACCPAGI[[#This Row],[HARGA]]*TRANSHARI2_ACCPAGI[[#This Row],[QUANTITY]])+TRANSHARI2_ACCPAGI[[#This Row],[PRICE TOLERANCE]])),"")</calculatedColumnFormula>
    </tableColumn>
    <tableColumn id="7" name="NAMA PENGHUTANG" dataDxfId="195"/>
    <tableColumn id="8" name="NOMINAL TRANSFER" dataDxfId="196">
      <calculatedColumnFormula>IFERROR(IF(TRANSHARI2_ACCPAGI[[#This Row],[NAMA REKENING]]="","",TRANSHARI2_ACCPAGI[[#This Row],[DEBIT]]),"")</calculatedColumnFormula>
    </tableColumn>
    <tableColumn id="9" name="NAMA REKENING" dataDxfId="197"/>
  </tableColumns>
  <tableStyleInfo name="TableStyleMedium16" showFirstColumn="0" showLastColumn="0" showRowStripes="1" showColumnStripes="0"/>
</table>
</file>

<file path=xl/tables/table21.xml><?xml version="1.0" encoding="utf-8"?>
<table xmlns="http://schemas.openxmlformats.org/spreadsheetml/2006/main" id="27" name="TRANSHARI2_HYDROPAGI" displayName="TRANSHARI2_HYDROPAGI" ref="A349:J379" totalsRowShown="0">
  <autoFilter xmlns:etc="http://www.wps.cn/officeDocument/2017/etCustomData" ref="A349:J379" etc:filterBottomFollowUsedRange="0"/>
  <tableColumns count="10">
    <tableColumn id="1" name="NO." dataDxfId="198"/>
    <tableColumn id="2" name="PRODUK" dataDxfId="199"/>
    <tableColumn id="10" name="QUANTITY" dataDxfId="200"/>
    <tableColumn id="3" name="HARGA" dataDxfId="201">
      <calculatedColumnFormula>IFERROR(VLOOKUP(TRANSHARI2_HYDROPAGI[[#This Row],[PRODUK]],DATA_HYDRO[],4,FALSE),"")</calculatedColumnFormula>
    </tableColumn>
    <tableColumn id="4" name="PRICE TOLERANCE" dataDxfId="202"/>
    <tableColumn id="5" name="DEBIT" dataDxfId="203">
      <calculatedColumnFormula>IFERROR(IF(TRANSHARI2_HYDROPAGI[[#This Row],[NAMA PENGHUTANG]]="",((TRANSHARI2_HYDROPAGI[[#This Row],[HARGA]]*TRANSHARI2_HYDROPAGI[[#This Row],[QUANTITY]])+TRANSHARI2_HYDROPAGI[[#This Row],[PRICE TOLERANCE]]),""),"")</calculatedColumnFormula>
    </tableColumn>
    <tableColumn id="6" name="KREDIT" dataDxfId="204">
      <calculatedColumnFormula>IFERROR(IF(TRANSHARI2_HYDROPAGI[[#This Row],[NAMA PENGHUTANG]]="","",((TRANSHARI2_HYDROPAGI[[#This Row],[HARGA]]*TRANSHARI2_HYDROPAGI[[#This Row],[QUANTITY]])+TRANSHARI2_HYDROPAGI[[#This Row],[PRICE TOLERANCE]])),"")</calculatedColumnFormula>
    </tableColumn>
    <tableColumn id="7" name="NAMA PENGHUTANG" dataDxfId="205"/>
    <tableColumn id="8" name="NOMINAL TRANSFER" dataDxfId="206">
      <calculatedColumnFormula>IFERROR(IF(TRANSHARI2_HYDROPAGI[[#This Row],[NAMA REKENING]]="","",TRANSHARI2_HYDROPAGI[[#This Row],[DEBIT]]),"")</calculatedColumnFormula>
    </tableColumn>
    <tableColumn id="9" name="NAMA REKENING" dataDxfId="207"/>
  </tableColumns>
  <tableStyleInfo name="TableStyleMedium16" showFirstColumn="0" showLastColumn="0" showRowStripes="1" showColumnStripes="0"/>
</table>
</file>

<file path=xl/tables/table22.xml><?xml version="1.0" encoding="utf-8"?>
<table xmlns="http://schemas.openxmlformats.org/spreadsheetml/2006/main" id="28" name="TRANSHARI2_ROKOKMALAM" displayName="TRANSHARI2_ROKOKMALAM" ref="P84:Y134" totalsRowShown="0">
  <autoFilter xmlns:etc="http://www.wps.cn/officeDocument/2017/etCustomData" ref="P84:Y134" etc:filterBottomFollowUsedRange="0"/>
  <tableColumns count="10">
    <tableColumn id="1" name="NO." dataDxfId="208"/>
    <tableColumn id="2" name="PRODUK" dataDxfId="209"/>
    <tableColumn id="10" name="QUANTITY" dataDxfId="210"/>
    <tableColumn id="3" name="HARGA" dataDxfId="211">
      <calculatedColumnFormula>IFERROR(VLOOKUP(TRANSHARI2_ROKOKMALAM[[#This Row],[PRODUK]],DATA_ROKOK[],4,FALSE),"")</calculatedColumnFormula>
    </tableColumn>
    <tableColumn id="4" name="PRICE TOLERANCE" dataDxfId="212"/>
    <tableColumn id="5" name="DEBIT" dataDxfId="213">
      <calculatedColumnFormula>IFERROR(IF(TRANSHARI2_ROKOKMALAM[[#This Row],[NAMA PENGHUTANG]]="",((TRANSHARI2_ROKOKMALAM[[#This Row],[HARGA]]*TRANSHARI2_ROKOKMALAM[[#This Row],[QUANTITY]])+TRANSHARI2_ROKOKMALAM[[#This Row],[PRICE TOLERANCE]]),""),"")</calculatedColumnFormula>
    </tableColumn>
    <tableColumn id="6" name="KREDIT" dataDxfId="214">
      <calculatedColumnFormula>IFERROR(IF(TRANSHARI2_ROKOKMALAM[[#This Row],[NAMA PENGHUTANG]]="","",((TRANSHARI2_ROKOKMALAM[[#This Row],[HARGA]]*TRANSHARI2_ROKOKMALAM[[#This Row],[QUANTITY]])+TRANSHARI2_ROKOKMALAM[[#This Row],[PRICE TOLERANCE]])),"")</calculatedColumnFormula>
    </tableColumn>
    <tableColumn id="7" name="NAMA PENGHUTANG" dataDxfId="215"/>
    <tableColumn id="8" name="NOMINAL TRANSFER" dataDxfId="216">
      <calculatedColumnFormula>IFERROR(IF(TRANSHARI2_ROKOKMALAM[[#This Row],[NAMA REKENING]]="","",TRANSHARI2_ROKOKMALAM[[#This Row],[DEBIT]]),"")</calculatedColumnFormula>
    </tableColumn>
    <tableColumn id="9" name="NAMA REKENING" dataDxfId="217"/>
  </tableColumns>
  <tableStyleInfo name="TableStyleMedium16" showFirstColumn="0" showLastColumn="0" showRowStripes="1" showColumnStripes="0"/>
</table>
</file>

<file path=xl/tables/table23.xml><?xml version="1.0" encoding="utf-8"?>
<table xmlns="http://schemas.openxmlformats.org/spreadsheetml/2006/main" id="29" name="TRANSHARI2_PULSAMALAM" displayName="TRANSHARI2_PULSAMALAM" ref="P27:X77" totalsRowShown="0">
  <autoFilter xmlns:etc="http://www.wps.cn/officeDocument/2017/etCustomData" ref="P27:X77" etc:filterBottomFollowUsedRange="0"/>
  <tableColumns count="9">
    <tableColumn id="1" name="NO." dataDxfId="218"/>
    <tableColumn id="2" name="NO. TELEPON" dataDxfId="219"/>
    <tableColumn id="5" name="DEBIT" dataDxfId="220"/>
    <tableColumn id="6" name="KREDIT" dataDxfId="221"/>
    <tableColumn id="7" name="NAMA PENGHUTANG" dataDxfId="222"/>
    <tableColumn id="8" name="SALDO MINUS" dataDxfId="223"/>
    <tableColumn id="9" name="APLIKASI" dataDxfId="224"/>
    <tableColumn id="11" name="NOMINAL TRANSFER" dataDxfId="225">
      <calculatedColumnFormula>IFERROR(IF(TRANSHARI2_PULSAMALAM[[#This Row],[NAMA REKENING]]="","",TRANSHARI2_PULSAMALAM[[#This Row],[DEBIT]]),"")</calculatedColumnFormula>
    </tableColumn>
    <tableColumn id="12" name="NAMA REKENING" dataDxfId="226"/>
  </tableColumns>
  <tableStyleInfo name="TableStyleMedium16" showFirstColumn="0" showLastColumn="0" showRowStripes="1" showColumnStripes="0"/>
</table>
</file>

<file path=xl/tables/table24.xml><?xml version="1.0" encoding="utf-8"?>
<table xmlns="http://schemas.openxmlformats.org/spreadsheetml/2006/main" id="30" name="TRANSHARI2_SPVOUMALAM" displayName="TRANSHARI2_SPVOUMALAM" ref="P141:Y191" totalsRowShown="0">
  <autoFilter xmlns:etc="http://www.wps.cn/officeDocument/2017/etCustomData" ref="P141:Y191" etc:filterBottomFollowUsedRange="0"/>
  <tableColumns count="10">
    <tableColumn id="1" name="NO." dataDxfId="227"/>
    <tableColumn id="2" name="PRODUK" dataDxfId="228"/>
    <tableColumn id="10" name="QUANTITY" dataDxfId="229"/>
    <tableColumn id="3" name="HARGA" dataDxfId="230">
      <calculatedColumnFormula>IFERROR(VLOOKUP(TRANSHARI2_SPVOUMALAM[[#This Row],[PRODUK]],DATA_SPVOU[],4,FALSE),"")</calculatedColumnFormula>
    </tableColumn>
    <tableColumn id="4" name="PRICE TOLERANCE" dataDxfId="231"/>
    <tableColumn id="5" name="DEBIT" dataDxfId="232">
      <calculatedColumnFormula>IFERROR(IF(TRANSHARI2_SPVOUMALAM[[#This Row],[NAMA PENGHUTANG]]="",((TRANSHARI2_SPVOUMALAM[[#This Row],[HARGA]]*TRANSHARI2_SPVOUMALAM[[#This Row],[QUANTITY]])+TRANSHARI2_SPVOUMALAM[[#This Row],[PRICE TOLERANCE]]),""),"")</calculatedColumnFormula>
    </tableColumn>
    <tableColumn id="6" name="KREDIT" dataDxfId="233">
      <calculatedColumnFormula>IFERROR(IF(TRANSHARI2_SPVOUMALAM[[#This Row],[NAMA PENGHUTANG]]="","",((TRANSHARI2_SPVOUMALAM[[#This Row],[HARGA]]*TRANSHARI2_SPVOUMALAM[[#This Row],[QUANTITY]])+TRANSHARI2_SPVOUMALAM[[#This Row],[PRICE TOLERANCE]])),"")</calculatedColumnFormula>
    </tableColumn>
    <tableColumn id="7" name="NAMA PENGHUTANG" dataDxfId="234"/>
    <tableColumn id="8" name="NOMINAL TRANSFER" dataDxfId="235">
      <calculatedColumnFormula>IFERROR(IF(TRANSHARI2_SPVOUMALAM[[#This Row],[NAMA REKENING]]="","",TRANSHARI2_SPVOUMALAM[[#This Row],[DEBIT]]),"")</calculatedColumnFormula>
    </tableColumn>
    <tableColumn id="9" name="NAMA REKENING" dataDxfId="236"/>
  </tableColumns>
  <tableStyleInfo name="TableStyleMedium16" showFirstColumn="0" showLastColumn="0" showRowStripes="1" showColumnStripes="0"/>
</table>
</file>

<file path=xl/tables/table25.xml><?xml version="1.0" encoding="utf-8"?>
<table xmlns="http://schemas.openxmlformats.org/spreadsheetml/2006/main" id="31" name="TRANSHARI2_SOFTDRINKMALAM" displayName="TRANSHARI2_SOFTDRINKMALAM" ref="P198:Y248" totalsRowShown="0">
  <autoFilter xmlns:etc="http://www.wps.cn/officeDocument/2017/etCustomData" ref="P198:Y248" etc:filterBottomFollowUsedRange="0"/>
  <tableColumns count="10">
    <tableColumn id="1" name="NO." dataDxfId="237"/>
    <tableColumn id="2" name="PRODUK" dataDxfId="238"/>
    <tableColumn id="10" name="QUANTITY" dataDxfId="239"/>
    <tableColumn id="3" name="HARGA" dataDxfId="240">
      <calculatedColumnFormula>IFERROR(VLOOKUP(TRANSHARI2_SOFTDRINKMALAM[[#This Row],[PRODUK]],DATA_SOFTDRINK[],4,FALSE),"")</calculatedColumnFormula>
    </tableColumn>
    <tableColumn id="4" name="PRICE TOLERANCE" dataDxfId="241"/>
    <tableColumn id="5" name="DEBIT" dataDxfId="242">
      <calculatedColumnFormula>IFERROR(IF(TRANSHARI2_SOFTDRINKMALAM[[#This Row],[NAMA PENGHUTANG]]="",((TRANSHARI2_SOFTDRINKMALAM[[#This Row],[HARGA]]*TRANSHARI2_SOFTDRINKMALAM[[#This Row],[QUANTITY]])+TRANSHARI2_SOFTDRINKMALAM[[#This Row],[PRICE TOLERANCE]]),""),"")</calculatedColumnFormula>
    </tableColumn>
    <tableColumn id="6" name="KREDIT" dataDxfId="243">
      <calculatedColumnFormula>IFERROR(IF(TRANSHARI2_SOFTDRINKMALAM[[#This Row],[NAMA PENGHUTANG]]="","",((TRANSHARI2_SOFTDRINKMALAM[[#This Row],[HARGA]]*TRANSHARI2_SOFTDRINKMALAM[[#This Row],[QUANTITY]])+TRANSHARI2_SOFTDRINKMALAM[[#This Row],[PRICE TOLERANCE]])),"")</calculatedColumnFormula>
    </tableColumn>
    <tableColumn id="7" name="NAMA PENGHUTANG" dataDxfId="244"/>
    <tableColumn id="8" name="NOMINAL TRANSFER" dataDxfId="245">
      <calculatedColumnFormula>IFERROR(IF(TRANSHARI2_SOFTDRINKMALAM[[#This Row],[NAMA REKENING]]="","",TRANSHARI2_SOFTDRINKMALAM[[#This Row],[DEBIT]]),"")</calculatedColumnFormula>
    </tableColumn>
    <tableColumn id="9" name="NAMA REKENING" dataDxfId="246"/>
  </tableColumns>
  <tableStyleInfo name="TableStyleMedium16" showFirstColumn="0" showLastColumn="0" showRowStripes="1" showColumnStripes="0"/>
</table>
</file>

<file path=xl/tables/table26.xml><?xml version="1.0" encoding="utf-8"?>
<table xmlns="http://schemas.openxmlformats.org/spreadsheetml/2006/main" id="32" name="TRANSHARI2_ICECREAMMALAM" displayName="TRANSHARI2_ICECREAMMALAM" ref="P255:Y305" totalsRowShown="0">
  <autoFilter xmlns:etc="http://www.wps.cn/officeDocument/2017/etCustomData" ref="P255:Y305" etc:filterBottomFollowUsedRange="0"/>
  <tableColumns count="10">
    <tableColumn id="1" name="NO." dataDxfId="247"/>
    <tableColumn id="2" name="PRODUK" dataDxfId="248"/>
    <tableColumn id="10" name="QUANTITY" dataDxfId="249"/>
    <tableColumn id="3" name="HARGA" dataDxfId="250">
      <calculatedColumnFormula>IFERROR(VLOOKUP(TRANSHARI2_ICECREAMMALAM[[#This Row],[PRODUK]],DATA_ICECREAM[],4,FALSE),"")</calculatedColumnFormula>
    </tableColumn>
    <tableColumn id="4" name="PRICE TOLERANCE" dataDxfId="251"/>
    <tableColumn id="5" name="DEBIT" dataDxfId="252">
      <calculatedColumnFormula>IFERROR(IF(TRANSHARI2_ICECREAMMALAM[[#This Row],[NAMA PENGHUTANG]]="",((TRANSHARI2_ICECREAMMALAM[[#This Row],[HARGA]]*TRANSHARI2_ICECREAMMALAM[[#This Row],[QUANTITY]])+TRANSHARI2_ICECREAMMALAM[[#This Row],[PRICE TOLERANCE]]),""),"")</calculatedColumnFormula>
    </tableColumn>
    <tableColumn id="6" name="KREDIT" dataDxfId="253">
      <calculatedColumnFormula>IFERROR(IF(TRANSHARI2_ICECREAMMALAM[[#This Row],[NAMA PENGHUTANG]]="","",((TRANSHARI2_ICECREAMMALAM[[#This Row],[HARGA]]*TRANSHARI2_ICECREAMMALAM[[#This Row],[QUANTITY]])+TRANSHARI2_ICECREAMMALAM[[#This Row],[PRICE TOLERANCE]])),"")</calculatedColumnFormula>
    </tableColumn>
    <tableColumn id="7" name="NAMA PENGHUTANG" dataDxfId="254"/>
    <tableColumn id="8" name="NOMINAL TRANSFER" dataDxfId="255">
      <calculatedColumnFormula>IFERROR(IF(TRANSHARI2_ICECREAMMALAM[[#This Row],[NAMA REKENING]]="","",TRANSHARI2_ICECREAMMALAM[[#This Row],[DEBIT]]),"")</calculatedColumnFormula>
    </tableColumn>
    <tableColumn id="9" name="NAMA REKENING" dataDxfId="256"/>
  </tableColumns>
  <tableStyleInfo name="TableStyleMedium16" showFirstColumn="0" showLastColumn="0" showRowStripes="1" showColumnStripes="0"/>
</table>
</file>

<file path=xl/tables/table27.xml><?xml version="1.0" encoding="utf-8"?>
<table xmlns="http://schemas.openxmlformats.org/spreadsheetml/2006/main" id="33" name="TRANSHARI2_ACCMALAM" displayName="TRANSHARI2_ACCMALAM" ref="P312:Y342" totalsRowShown="0">
  <autoFilter xmlns:etc="http://www.wps.cn/officeDocument/2017/etCustomData" ref="P312:Y342" etc:filterBottomFollowUsedRange="0"/>
  <tableColumns count="10">
    <tableColumn id="1" name="NO." dataDxfId="257"/>
    <tableColumn id="2" name="PRODUK" dataDxfId="258"/>
    <tableColumn id="10" name="QUANTITY" dataDxfId="259"/>
    <tableColumn id="3" name="HARGA" dataDxfId="260">
      <calculatedColumnFormula>IFERROR(VLOOKUP(TRANSHARI2_ACCMALAM[[#This Row],[PRODUK]],DATA_ACC[],4,FALSE),"")</calculatedColumnFormula>
    </tableColumn>
    <tableColumn id="4" name="PRICE TOLERANCE" dataDxfId="261"/>
    <tableColumn id="5" name="DEBIT" dataDxfId="262">
      <calculatedColumnFormula>IFERROR(IF(TRANSHARI2_ACCMALAM[[#This Row],[NAMA PENGHUTANG]]="",((TRANSHARI2_ACCMALAM[[#This Row],[HARGA]]*TRANSHARI2_ACCMALAM[[#This Row],[QUANTITY]])+TRANSHARI2_ACCMALAM[[#This Row],[PRICE TOLERANCE]]),""),"")</calculatedColumnFormula>
    </tableColumn>
    <tableColumn id="6" name="KREDIT" dataDxfId="263">
      <calculatedColumnFormula>IFERROR(IF(TRANSHARI2_ACCMALAM[[#This Row],[NAMA PENGHUTANG]]="","",((TRANSHARI2_ACCMALAM[[#This Row],[HARGA]]*TRANSHARI2_ACCMALAM[[#This Row],[QUANTITY]])+TRANSHARI2_ACCMALAM[[#This Row],[PRICE TOLERANCE]])),"")</calculatedColumnFormula>
    </tableColumn>
    <tableColumn id="7" name="NAMA PENGHUTANG" dataDxfId="264"/>
    <tableColumn id="8" name="NOMINAL TRANSFER" dataDxfId="265">
      <calculatedColumnFormula>IFERROR(IF(TRANSHARI2_ACCMALAM[[#This Row],[NAMA REKENING]]="","",TRANSHARI2_ACCMALAM[[#This Row],[DEBIT]]),"")</calculatedColumnFormula>
    </tableColumn>
    <tableColumn id="9" name="NAMA REKENING" dataDxfId="266"/>
  </tableColumns>
  <tableStyleInfo name="TableStyleMedium16" showFirstColumn="0" showLastColumn="0" showRowStripes="1" showColumnStripes="0"/>
</table>
</file>

<file path=xl/tables/table28.xml><?xml version="1.0" encoding="utf-8"?>
<table xmlns="http://schemas.openxmlformats.org/spreadsheetml/2006/main" id="34" name="TRANSHARI2_HYDROMALAM" displayName="TRANSHARI2_HYDROMALAM" ref="P349:Y379" totalsRowShown="0">
  <autoFilter xmlns:etc="http://www.wps.cn/officeDocument/2017/etCustomData" ref="P349:Y379" etc:filterBottomFollowUsedRange="0"/>
  <tableColumns count="10">
    <tableColumn id="1" name="NO." dataDxfId="267"/>
    <tableColumn id="2" name="PRODUK" dataDxfId="268"/>
    <tableColumn id="10" name="QUANTITY" dataDxfId="269"/>
    <tableColumn id="3" name="HARGA" dataDxfId="270">
      <calculatedColumnFormula>IFERROR(VLOOKUP(TRANSHARI2_HYDROMALAM[[#This Row],[PRODUK]],DATA_HYDRO[],4,FALSE),"")</calculatedColumnFormula>
    </tableColumn>
    <tableColumn id="4" name="PRICE TOLERANCE" dataDxfId="271"/>
    <tableColumn id="5" name="DEBIT" dataDxfId="272">
      <calculatedColumnFormula>IFERROR(IF(TRANSHARI2_HYDROMALAM[[#This Row],[NAMA PENGHUTANG]]="",((TRANSHARI2_HYDROMALAM[[#This Row],[HARGA]]*TRANSHARI2_HYDROMALAM[[#This Row],[QUANTITY]])+TRANSHARI2_HYDROMALAM[[#This Row],[PRICE TOLERANCE]]),""),"")</calculatedColumnFormula>
    </tableColumn>
    <tableColumn id="6" name="KREDIT" dataDxfId="273">
      <calculatedColumnFormula>IFERROR(IF(TRANSHARI2_HYDROMALAM[[#This Row],[NAMA PENGHUTANG]]="","",((TRANSHARI2_HYDROMALAM[[#This Row],[HARGA]]*TRANSHARI2_HYDROMALAM[[#This Row],[QUANTITY]])+TRANSHARI2_HYDROMALAM[[#This Row],[PRICE TOLERANCE]])),"")</calculatedColumnFormula>
    </tableColumn>
    <tableColumn id="7" name="NAMA PENGHUTANG" dataDxfId="274"/>
    <tableColumn id="8" name="NOMINAL TRANSFER" dataDxfId="275">
      <calculatedColumnFormula>IFERROR(IF(TRANSHARI2_HYDROMALAM[[#This Row],[NAMA REKENING]]="","",TRANSHARI2_HYDROMALAM[[#This Row],[DEBIT]]),"")</calculatedColumnFormula>
    </tableColumn>
    <tableColumn id="9" name="NAMA REKENING" dataDxfId="276"/>
  </tableColumns>
  <tableStyleInfo name="TableStyleMedium16" showFirstColumn="0" showLastColumn="0" showRowStripes="1" showColumnStripes="0"/>
</table>
</file>

<file path=xl/tables/table29.xml><?xml version="1.0" encoding="utf-8"?>
<table xmlns="http://schemas.openxmlformats.org/spreadsheetml/2006/main" id="35" name="TRANSHARI3_ROKOKPAGI" displayName="TRANSHARI3_ROKOKPAGI" ref="A84:J134" totalsRowShown="0">
  <autoFilter xmlns:etc="http://www.wps.cn/officeDocument/2017/etCustomData" ref="A84:J134" etc:filterBottomFollowUsedRange="0"/>
  <tableColumns count="10">
    <tableColumn id="1" name="NO." dataDxfId="277"/>
    <tableColumn id="2" name="PRODUK" dataDxfId="278"/>
    <tableColumn id="10" name="QUANTITY" dataDxfId="279"/>
    <tableColumn id="3" name="HARGA" dataDxfId="280">
      <calculatedColumnFormula>IFERROR(VLOOKUP(TRANSHARI3_ROKOKPAGI[[#This Row],[PRODUK]],DATA_ROKOK[],5,FALSE),"")</calculatedColumnFormula>
    </tableColumn>
    <tableColumn id="4" name="PRICE TOLERANCE" dataDxfId="281"/>
    <tableColumn id="5" name="DEBIT" dataDxfId="282">
      <calculatedColumnFormula>IFERROR(IF(TRANSHARI3_ROKOKPAGI[[#This Row],[NAMA PENGHUTANG]]="",((TRANSHARI3_ROKOKPAGI[[#This Row],[HARGA]]*TRANSHARI3_ROKOKPAGI[[#This Row],[QUANTITY]])+TRANSHARI3_ROKOKPAGI[[#This Row],[PRICE TOLERANCE]]),""),"")</calculatedColumnFormula>
    </tableColumn>
    <tableColumn id="6" name="KREDIT" dataDxfId="283">
      <calculatedColumnFormula>IFERROR(IF(TRANSHARI3_ROKOKPAGI[[#This Row],[NAMA PENGHUTANG]]="","",((TRANSHARI3_ROKOKPAGI[[#This Row],[HARGA]]*TRANSHARI3_ROKOKPAGI[[#This Row],[QUANTITY]])+TRANSHARI3_ROKOKPAGI[[#This Row],[PRICE TOLERANCE]])),"")</calculatedColumnFormula>
    </tableColumn>
    <tableColumn id="7" name="NAMA PENGHUTANG" dataDxfId="284"/>
    <tableColumn id="8" name="NOMINAL TRANSFER" dataDxfId="285">
      <calculatedColumnFormula>IFERROR(IF(TRANSHARI3_ROKOKPAGI[[#This Row],[NAMA REKENING]]="","",TRANSHARI3_ROKOKPAGI[[#This Row],[DEBIT]]),"")</calculatedColumnFormula>
    </tableColumn>
    <tableColumn id="9" name="NAMA REKENING" dataDxfId="286"/>
  </tableColumns>
  <tableStyleInfo name="TableStyleMedium16" showFirstColumn="0" showLastColumn="0" showRowStripes="1" showColumnStripes="0"/>
</table>
</file>

<file path=xl/tables/table30.xml><?xml version="1.0" encoding="utf-8"?>
<table xmlns="http://schemas.openxmlformats.org/spreadsheetml/2006/main" id="36" name="TRANSHARI3_PULSAPAGI" displayName="TRANSHARI3_PULSAPAGI" ref="A27:I77" totalsRowShown="0">
  <autoFilter xmlns:etc="http://www.wps.cn/officeDocument/2017/etCustomData" ref="A27:I77" etc:filterBottomFollowUsedRange="0"/>
  <tableColumns count="9">
    <tableColumn id="1" name="NO." dataDxfId="287"/>
    <tableColumn id="2" name="NO. TELEPON" dataDxfId="288"/>
    <tableColumn id="5" name="DEBIT" dataDxfId="289"/>
    <tableColumn id="6" name="KREDIT" dataDxfId="290"/>
    <tableColumn id="7" name="NAMA PENGHUTANG" dataDxfId="291"/>
    <tableColumn id="8" name="SALDO MINUS" dataDxfId="292"/>
    <tableColumn id="9" name="APLIKASI" dataDxfId="293"/>
    <tableColumn id="11" name="NOMINAL TRANSFER" dataDxfId="294">
      <calculatedColumnFormula>IFERROR(IF(TRANSHARI3_PULSAPAGI[[#This Row],[NAMA REKENING]]="","",TRANSHARI3_PULSAPAGI[[#This Row],[DEBIT]]),"")</calculatedColumnFormula>
    </tableColumn>
    <tableColumn id="12" name="NAMA REKENING" dataDxfId="295"/>
  </tableColumns>
  <tableStyleInfo name="TableStyleMedium16" showFirstColumn="0" showLastColumn="0" showRowStripes="1" showColumnStripes="0"/>
</table>
</file>

<file path=xl/tables/table31.xml><?xml version="1.0" encoding="utf-8"?>
<table xmlns="http://schemas.openxmlformats.org/spreadsheetml/2006/main" id="37" name="TRANSHARI3_SPVOUPAGI" displayName="TRANSHARI3_SPVOUPAGI" ref="A141:J191" totalsRowShown="0">
  <autoFilter xmlns:etc="http://www.wps.cn/officeDocument/2017/etCustomData" ref="A141:J191" etc:filterBottomFollowUsedRange="0"/>
  <tableColumns count="10">
    <tableColumn id="1" name="NO." dataDxfId="296"/>
    <tableColumn id="2" name="PRODUK" dataDxfId="297"/>
    <tableColumn id="10" name="QUANTITY" dataDxfId="298"/>
    <tableColumn id="3" name="HARGA" dataDxfId="299">
      <calculatedColumnFormula>IFERROR(VLOOKUP(TRANSHARI3_SPVOUPAGI[[#This Row],[PRODUK]],DATA_SPVOU[],5,FALSE),"")</calculatedColumnFormula>
    </tableColumn>
    <tableColumn id="4" name="PRICE TOLERANCE" dataDxfId="300"/>
    <tableColumn id="5" name="DEBIT" dataDxfId="301">
      <calculatedColumnFormula>IFERROR(IF(TRANSHARI3_SPVOUPAGI[[#This Row],[NAMA PENGHUTANG]]="",((TRANSHARI3_SPVOUPAGI[[#This Row],[HARGA]]*TRANSHARI3_SPVOUPAGI[[#This Row],[QUANTITY]])+TRANSHARI3_SPVOUPAGI[[#This Row],[PRICE TOLERANCE]]),""),"")</calculatedColumnFormula>
    </tableColumn>
    <tableColumn id="6" name="KREDIT" dataDxfId="302">
      <calculatedColumnFormula>IFERROR(IF(TRANSHARI3_SPVOUPAGI[[#This Row],[NAMA PENGHUTANG]]="","",((TRANSHARI3_SPVOUPAGI[[#This Row],[HARGA]]*TRANSHARI3_SPVOUPAGI[[#This Row],[QUANTITY]])+TRANSHARI3_SPVOUPAGI[[#This Row],[PRICE TOLERANCE]])),"")</calculatedColumnFormula>
    </tableColumn>
    <tableColumn id="7" name="NAMA PENGHUTANG" dataDxfId="303"/>
    <tableColumn id="8" name="NOMINAL TRANSFER" dataDxfId="304">
      <calculatedColumnFormula>IFERROR(IF(TRANSHARI3_SPVOUPAGI[[#This Row],[NAMA REKENING]]="","",TRANSHARI3_SPVOUPAGI[[#This Row],[DEBIT]]),"")</calculatedColumnFormula>
    </tableColumn>
    <tableColumn id="9" name="NAMA REKENING" dataDxfId="305"/>
  </tableColumns>
  <tableStyleInfo name="TableStyleMedium16" showFirstColumn="0" showLastColumn="0" showRowStripes="1" showColumnStripes="0"/>
</table>
</file>

<file path=xl/tables/table32.xml><?xml version="1.0" encoding="utf-8"?>
<table xmlns="http://schemas.openxmlformats.org/spreadsheetml/2006/main" id="38" name="TRANSHARI3_SOFTDRINKPAGI" displayName="TRANSHARI3_SOFTDRINKPAGI" ref="A198:J248" totalsRowShown="0">
  <autoFilter xmlns:etc="http://www.wps.cn/officeDocument/2017/etCustomData" ref="A198:J248" etc:filterBottomFollowUsedRange="0"/>
  <tableColumns count="10">
    <tableColumn id="1" name="NO." dataDxfId="306"/>
    <tableColumn id="2" name="PRODUK" dataDxfId="307"/>
    <tableColumn id="10" name="QUANTITY" dataDxfId="308"/>
    <tableColumn id="3" name="HARGA" dataDxfId="309">
      <calculatedColumnFormula>IFERROR(VLOOKUP(TRANSHARI3_SOFTDRINKPAGI[[#This Row],[PRODUK]],DATA_SOFTDRINK[],5,FALSE),"")</calculatedColumnFormula>
    </tableColumn>
    <tableColumn id="4" name="PRICE TOLERANCE" dataDxfId="310"/>
    <tableColumn id="5" name="DEBIT" dataDxfId="311">
      <calculatedColumnFormula>IFERROR(IF(TRANSHARI3_SOFTDRINKPAGI[[#This Row],[NAMA PENGHUTANG]]="",((TRANSHARI3_SOFTDRINKPAGI[[#This Row],[HARGA]]*TRANSHARI3_SOFTDRINKPAGI[[#This Row],[QUANTITY]])+TRANSHARI3_SOFTDRINKPAGI[[#This Row],[PRICE TOLERANCE]]),""),"")</calculatedColumnFormula>
    </tableColumn>
    <tableColumn id="6" name="KREDIT" dataDxfId="312">
      <calculatedColumnFormula>IFERROR(IF(TRANSHARI3_SOFTDRINKPAGI[[#This Row],[NAMA PENGHUTANG]]="","",((TRANSHARI3_SOFTDRINKPAGI[[#This Row],[HARGA]]*TRANSHARI3_SOFTDRINKPAGI[[#This Row],[QUANTITY]])+TRANSHARI3_SOFTDRINKPAGI[[#This Row],[PRICE TOLERANCE]])),"")</calculatedColumnFormula>
    </tableColumn>
    <tableColumn id="7" name="NAMA PENGHUTANG" dataDxfId="313"/>
    <tableColumn id="8" name="NOMINAL TRANSFER" dataDxfId="314">
      <calculatedColumnFormula>IFERROR(IF(TRANSHARI3_SOFTDRINKPAGI[[#This Row],[NAMA REKENING]]="","",TRANSHARI3_SOFTDRINKPAGI[[#This Row],[DEBIT]]),"")</calculatedColumnFormula>
    </tableColumn>
    <tableColumn id="9" name="NAMA REKENING" dataDxfId="315"/>
  </tableColumns>
  <tableStyleInfo name="TableStyleMedium16" showFirstColumn="0" showLastColumn="0" showRowStripes="1" showColumnStripes="0"/>
</table>
</file>

<file path=xl/tables/table33.xml><?xml version="1.0" encoding="utf-8"?>
<table xmlns="http://schemas.openxmlformats.org/spreadsheetml/2006/main" id="39" name="TRANSHARI3_ICECREAMPAGI" displayName="TRANSHARI3_ICECREAMPAGI" ref="A255:J305" totalsRowShown="0">
  <autoFilter xmlns:etc="http://www.wps.cn/officeDocument/2017/etCustomData" ref="A255:J305" etc:filterBottomFollowUsedRange="0"/>
  <tableColumns count="10">
    <tableColumn id="1" name="NO." dataDxfId="316"/>
    <tableColumn id="2" name="PRODUK" dataDxfId="317"/>
    <tableColumn id="10" name="QUANTITY" dataDxfId="318"/>
    <tableColumn id="3" name="HARGA" dataDxfId="319">
      <calculatedColumnFormula>IFERROR(VLOOKUP(TRANSHARI3_ICECREAMPAGI[[#This Row],[PRODUK]],DATA_ICECREAM[],5,FALSE),"")</calculatedColumnFormula>
    </tableColumn>
    <tableColumn id="4" name="PRICE TOLERANCE" dataDxfId="320"/>
    <tableColumn id="5" name="DEBIT" dataDxfId="321">
      <calculatedColumnFormula>IFERROR(IF(TRANSHARI3_ICECREAMPAGI[[#This Row],[NAMA PENGHUTANG]]="",((TRANSHARI3_ICECREAMPAGI[[#This Row],[HARGA]]*TRANSHARI3_ICECREAMPAGI[[#This Row],[QUANTITY]])+TRANSHARI3_ICECREAMPAGI[[#This Row],[PRICE TOLERANCE]]),""),"")</calculatedColumnFormula>
    </tableColumn>
    <tableColumn id="6" name="KREDIT" dataDxfId="322">
      <calculatedColumnFormula>IFERROR(IF(TRANSHARI3_ICECREAMPAGI[[#This Row],[NAMA PENGHUTANG]]="","",((TRANSHARI3_ICECREAMPAGI[[#This Row],[HARGA]]*TRANSHARI3_ICECREAMPAGI[[#This Row],[QUANTITY]])+TRANSHARI3_ICECREAMPAGI[[#This Row],[PRICE TOLERANCE]])),"")</calculatedColumnFormula>
    </tableColumn>
    <tableColumn id="7" name="NAMA PENGHUTANG" dataDxfId="323"/>
    <tableColumn id="8" name="NOMINAL TRANSFER" dataDxfId="324">
      <calculatedColumnFormula>IFERROR(IF(TRANSHARI3_ICECREAMPAGI[[#This Row],[NAMA REKENING]]="","",TRANSHARI3_ICECREAMPAGI[[#This Row],[DEBIT]]),"")</calculatedColumnFormula>
    </tableColumn>
    <tableColumn id="9" name="NAMA REKENING" dataDxfId="325"/>
  </tableColumns>
  <tableStyleInfo name="TableStyleMedium16" showFirstColumn="0" showLastColumn="0" showRowStripes="1" showColumnStripes="0"/>
</table>
</file>

<file path=xl/tables/table34.xml><?xml version="1.0" encoding="utf-8"?>
<table xmlns="http://schemas.openxmlformats.org/spreadsheetml/2006/main" id="40" name="TRANSHARI3_ACCPAGI" displayName="TRANSHARI3_ACCPAGI" ref="A312:J342" totalsRowShown="0">
  <autoFilter xmlns:etc="http://www.wps.cn/officeDocument/2017/etCustomData" ref="A312:J342" etc:filterBottomFollowUsedRange="0"/>
  <tableColumns count="10">
    <tableColumn id="1" name="NO." dataDxfId="326"/>
    <tableColumn id="2" name="PRODUK" dataDxfId="327"/>
    <tableColumn id="10" name="QUANTITY" dataDxfId="328"/>
    <tableColumn id="3" name="HARGA" dataDxfId="329">
      <calculatedColumnFormula>IFERROR(VLOOKUP(TRANSHARI3_ACCPAGI[[#This Row],[PRODUK]],DATA_ACC[],5,FALSE),"")</calculatedColumnFormula>
    </tableColumn>
    <tableColumn id="4" name="PRICE TOLERANCE" dataDxfId="330"/>
    <tableColumn id="5" name="DEBIT" dataDxfId="331">
      <calculatedColumnFormula>IFERROR(IF(TRANSHARI3_ACCPAGI[[#This Row],[NAMA PENGHUTANG]]="",((TRANSHARI3_ACCPAGI[[#This Row],[HARGA]]*TRANSHARI3_ACCPAGI[[#This Row],[QUANTITY]])+TRANSHARI3_ACCPAGI[[#This Row],[PRICE TOLERANCE]]),""),"")</calculatedColumnFormula>
    </tableColumn>
    <tableColumn id="6" name="KREDIT" dataDxfId="332">
      <calculatedColumnFormula>IFERROR(IF(TRANSHARI3_ACCPAGI[[#This Row],[NAMA PENGHUTANG]]="","",((TRANSHARI3_ACCPAGI[[#This Row],[HARGA]]*TRANSHARI3_ACCPAGI[[#This Row],[QUANTITY]])+TRANSHARI3_ACCPAGI[[#This Row],[PRICE TOLERANCE]])),"")</calculatedColumnFormula>
    </tableColumn>
    <tableColumn id="7" name="NAMA PENGHUTANG" dataDxfId="333"/>
    <tableColumn id="8" name="NOMINAL TRANSFER" dataDxfId="334">
      <calculatedColumnFormula>IFERROR(IF(TRANSHARI3_ACCPAGI[[#This Row],[NAMA REKENING]]="","",TRANSHARI3_ACCPAGI[[#This Row],[DEBIT]]),"")</calculatedColumnFormula>
    </tableColumn>
    <tableColumn id="9" name="NAMA REKENING" dataDxfId="335"/>
  </tableColumns>
  <tableStyleInfo name="TableStyleMedium16" showFirstColumn="0" showLastColumn="0" showRowStripes="1" showColumnStripes="0"/>
</table>
</file>

<file path=xl/tables/table35.xml><?xml version="1.0" encoding="utf-8"?>
<table xmlns="http://schemas.openxmlformats.org/spreadsheetml/2006/main" id="41" name="TRANSHARI3_HYDROPAGI" displayName="TRANSHARI3_HYDROPAGI" ref="A349:J379" totalsRowShown="0">
  <autoFilter xmlns:etc="http://www.wps.cn/officeDocument/2017/etCustomData" ref="A349:J379" etc:filterBottomFollowUsedRange="0"/>
  <tableColumns count="10">
    <tableColumn id="1" name="NO." dataDxfId="336"/>
    <tableColumn id="2" name="PRODUK" dataDxfId="337"/>
    <tableColumn id="10" name="QUANTITY" dataDxfId="338"/>
    <tableColumn id="3" name="HARGA" dataDxfId="339">
      <calculatedColumnFormula>IFERROR(VLOOKUP(TRANSHARI3_HYDROPAGI[[#This Row],[PRODUK]],DATA_HYDRO[],5,FALSE),"")</calculatedColumnFormula>
    </tableColumn>
    <tableColumn id="4" name="PRICE TOLERANCE" dataDxfId="340"/>
    <tableColumn id="5" name="DEBIT" dataDxfId="341">
      <calculatedColumnFormula>IFERROR(IF(TRANSHARI3_HYDROPAGI[[#This Row],[NAMA PENGHUTANG]]="",((TRANSHARI3_HYDROPAGI[[#This Row],[HARGA]]*TRANSHARI3_HYDROPAGI[[#This Row],[QUANTITY]])+TRANSHARI3_HYDROPAGI[[#This Row],[PRICE TOLERANCE]]),""),"")</calculatedColumnFormula>
    </tableColumn>
    <tableColumn id="6" name="KREDIT" dataDxfId="342">
      <calculatedColumnFormula>IFERROR(IF(TRANSHARI3_HYDROPAGI[[#This Row],[NAMA PENGHUTANG]]="","",((TRANSHARI3_HYDROPAGI[[#This Row],[HARGA]]*TRANSHARI3_HYDROPAGI[[#This Row],[QUANTITY]])+TRANSHARI3_HYDROPAGI[[#This Row],[PRICE TOLERANCE]])),"")</calculatedColumnFormula>
    </tableColumn>
    <tableColumn id="7" name="NAMA PENGHUTANG" dataDxfId="343"/>
    <tableColumn id="8" name="NOMINAL TRANSFER" dataDxfId="344">
      <calculatedColumnFormula>IFERROR(IF(TRANSHARI3_HYDROPAGI[[#This Row],[NAMA REKENING]]="","",TRANSHARI3_HYDROPAGI[[#This Row],[DEBIT]]),"")</calculatedColumnFormula>
    </tableColumn>
    <tableColumn id="9" name="NAMA REKENING" dataDxfId="345"/>
  </tableColumns>
  <tableStyleInfo name="TableStyleMedium16" showFirstColumn="0" showLastColumn="0" showRowStripes="1" showColumnStripes="0"/>
</table>
</file>

<file path=xl/tables/table36.xml><?xml version="1.0" encoding="utf-8"?>
<table xmlns="http://schemas.openxmlformats.org/spreadsheetml/2006/main" id="42" name="TRANSHARI3_ROKOKMALAM" displayName="TRANSHARI3_ROKOKMALAM" ref="P84:Y134" totalsRowShown="0">
  <autoFilter xmlns:etc="http://www.wps.cn/officeDocument/2017/etCustomData" ref="P84:Y134" etc:filterBottomFollowUsedRange="0"/>
  <tableColumns count="10">
    <tableColumn id="1" name="NO." dataDxfId="346"/>
    <tableColumn id="2" name="PRODUK" dataDxfId="347"/>
    <tableColumn id="10" name="QUANTITY" dataDxfId="348"/>
    <tableColumn id="3" name="HARGA" dataDxfId="349">
      <calculatedColumnFormula>IFERROR(VLOOKUP(TRANSHARI3_ROKOKMALAM[[#This Row],[PRODUK]],DATA_ROKOK[],5,FALSE),"")</calculatedColumnFormula>
    </tableColumn>
    <tableColumn id="4" name="PRICE TOLERANCE" dataDxfId="350"/>
    <tableColumn id="5" name="DEBIT" dataDxfId="351">
      <calculatedColumnFormula>IFERROR(IF(TRANSHARI3_ROKOKMALAM[[#This Row],[NAMA PENGHUTANG]]="",((TRANSHARI3_ROKOKMALAM[[#This Row],[HARGA]]*TRANSHARI3_ROKOKMALAM[[#This Row],[QUANTITY]])+TRANSHARI3_ROKOKMALAM[[#This Row],[PRICE TOLERANCE]]),""),"")</calculatedColumnFormula>
    </tableColumn>
    <tableColumn id="6" name="KREDIT" dataDxfId="352">
      <calculatedColumnFormula>IFERROR(IF(TRANSHARI3_ROKOKMALAM[[#This Row],[NAMA PENGHUTANG]]="","",((TRANSHARI3_ROKOKMALAM[[#This Row],[HARGA]]*TRANSHARI3_ROKOKMALAM[[#This Row],[QUANTITY]])+TRANSHARI3_ROKOKMALAM[[#This Row],[PRICE TOLERANCE]])),"")</calculatedColumnFormula>
    </tableColumn>
    <tableColumn id="7" name="NAMA PENGHUTANG" dataDxfId="353"/>
    <tableColumn id="8" name="NOMINAL TRANSFER" dataDxfId="354">
      <calculatedColumnFormula>IFERROR(IF(TRANSHARI3_ROKOKMALAM[[#This Row],[NAMA REKENING]]="","",TRANSHARI3_ROKOKMALAM[[#This Row],[DEBIT]]),"")</calculatedColumnFormula>
    </tableColumn>
    <tableColumn id="9" name="NAMA REKENING" dataDxfId="355"/>
  </tableColumns>
  <tableStyleInfo name="TableStyleMedium16" showFirstColumn="0" showLastColumn="0" showRowStripes="1" showColumnStripes="0"/>
</table>
</file>

<file path=xl/tables/table37.xml><?xml version="1.0" encoding="utf-8"?>
<table xmlns="http://schemas.openxmlformats.org/spreadsheetml/2006/main" id="43" name="TRANSHARI3_PULSAMALAM" displayName="TRANSHARI3_PULSAMALAM" ref="P27:X77" totalsRowShown="0">
  <autoFilter xmlns:etc="http://www.wps.cn/officeDocument/2017/etCustomData" ref="P27:X77" etc:filterBottomFollowUsedRange="0"/>
  <tableColumns count="9">
    <tableColumn id="1" name="NO." dataDxfId="356"/>
    <tableColumn id="2" name="NO. TELEPON" dataDxfId="357"/>
    <tableColumn id="5" name="DEBIT" dataDxfId="358"/>
    <tableColumn id="6" name="KREDIT" dataDxfId="359"/>
    <tableColumn id="7" name="NAMA PENGHUTANG" dataDxfId="360"/>
    <tableColumn id="8" name="SALDO MINUS" dataDxfId="361"/>
    <tableColumn id="9" name="APLIKASI" dataDxfId="362"/>
    <tableColumn id="11" name="NOMINAL TRANSFER" dataDxfId="363">
      <calculatedColumnFormula>IFERROR(IF(TRANSHARI3_PULSAMALAM[[#This Row],[NAMA REKENING]]="","",TRANSHARI3_PULSAMALAM[[#This Row],[DEBIT]]),"")</calculatedColumnFormula>
    </tableColumn>
    <tableColumn id="12" name="NAMA REKENING" dataDxfId="364"/>
  </tableColumns>
  <tableStyleInfo name="TableStyleMedium16" showFirstColumn="0" showLastColumn="0" showRowStripes="1" showColumnStripes="0"/>
</table>
</file>

<file path=xl/tables/table38.xml><?xml version="1.0" encoding="utf-8"?>
<table xmlns="http://schemas.openxmlformats.org/spreadsheetml/2006/main" id="44" name="TRANSHARI3_SPVOUMALAM" displayName="TRANSHARI3_SPVOUMALAM" ref="P141:Y191" totalsRowShown="0">
  <autoFilter xmlns:etc="http://www.wps.cn/officeDocument/2017/etCustomData" ref="P141:Y191" etc:filterBottomFollowUsedRange="0"/>
  <tableColumns count="10">
    <tableColumn id="1" name="NO." dataDxfId="365"/>
    <tableColumn id="2" name="PRODUK" dataDxfId="366"/>
    <tableColumn id="10" name="QUANTITY" dataDxfId="367"/>
    <tableColumn id="3" name="HARGA" dataDxfId="368">
      <calculatedColumnFormula>IFERROR(VLOOKUP(TRANSHARI3_SPVOUMALAM[[#This Row],[PRODUK]],DATA_SPVOU[],5,FALSE),"")</calculatedColumnFormula>
    </tableColumn>
    <tableColumn id="4" name="PRICE TOLERANCE" dataDxfId="369"/>
    <tableColumn id="5" name="DEBIT" dataDxfId="370">
      <calculatedColumnFormula>IFERROR(IF(TRANSHARI3_SPVOUMALAM[[#This Row],[NAMA PENGHUTANG]]="",((TRANSHARI3_SPVOUMALAM[[#This Row],[HARGA]]*TRANSHARI3_SPVOUMALAM[[#This Row],[QUANTITY]])+TRANSHARI3_SPVOUMALAM[[#This Row],[PRICE TOLERANCE]]),""),"")</calculatedColumnFormula>
    </tableColumn>
    <tableColumn id="6" name="KREDIT" dataDxfId="371">
      <calculatedColumnFormula>IFERROR(IF(TRANSHARI3_SPVOUMALAM[[#This Row],[NAMA PENGHUTANG]]="","",((TRANSHARI3_SPVOUMALAM[[#This Row],[HARGA]]*TRANSHARI3_SPVOUMALAM[[#This Row],[QUANTITY]])+TRANSHARI3_SPVOUMALAM[[#This Row],[PRICE TOLERANCE]])),"")</calculatedColumnFormula>
    </tableColumn>
    <tableColumn id="7" name="NAMA PENGHUTANG" dataDxfId="372"/>
    <tableColumn id="8" name="NOMINAL TRANSFER" dataDxfId="373">
      <calculatedColumnFormula>IFERROR(IF(TRANSHARI3_SPVOUMALAM[[#This Row],[NAMA REKENING]]="","",TRANSHARI3_SPVOUMALAM[[#This Row],[DEBIT]]),"")</calculatedColumnFormula>
    </tableColumn>
    <tableColumn id="9" name="NAMA REKENING" dataDxfId="374"/>
  </tableColumns>
  <tableStyleInfo name="TableStyleMedium16" showFirstColumn="0" showLastColumn="0" showRowStripes="1" showColumnStripes="0"/>
</table>
</file>

<file path=xl/tables/table39.xml><?xml version="1.0" encoding="utf-8"?>
<table xmlns="http://schemas.openxmlformats.org/spreadsheetml/2006/main" id="45" name="TRANSHARI3_SOFTDRINKMALAM" displayName="TRANSHARI3_SOFTDRINKMALAM" ref="P198:Y248" totalsRowShown="0">
  <autoFilter xmlns:etc="http://www.wps.cn/officeDocument/2017/etCustomData" ref="P198:Y248" etc:filterBottomFollowUsedRange="0"/>
  <tableColumns count="10">
    <tableColumn id="1" name="NO." dataDxfId="375"/>
    <tableColumn id="2" name="PRODUK" dataDxfId="376"/>
    <tableColumn id="10" name="QUANTITY" dataDxfId="377"/>
    <tableColumn id="3" name="HARGA" dataDxfId="378">
      <calculatedColumnFormula>IFERROR(VLOOKUP(TRANSHARI3_SOFTDRINKMALAM[[#This Row],[PRODUK]],DATA_SOFTDRINK[],5,FALSE),"")</calculatedColumnFormula>
    </tableColumn>
    <tableColumn id="4" name="PRICE TOLERANCE" dataDxfId="379"/>
    <tableColumn id="5" name="DEBIT" dataDxfId="380">
      <calculatedColumnFormula>IFERROR(IF(TRANSHARI3_SOFTDRINKMALAM[[#This Row],[NAMA PENGHUTANG]]="",((TRANSHARI3_SOFTDRINKMALAM[[#This Row],[HARGA]]*TRANSHARI3_SOFTDRINKMALAM[[#This Row],[QUANTITY]])+TRANSHARI3_SOFTDRINKMALAM[[#This Row],[PRICE TOLERANCE]]),""),"")</calculatedColumnFormula>
    </tableColumn>
    <tableColumn id="6" name="KREDIT" dataDxfId="381">
      <calculatedColumnFormula>IFERROR(IF(TRANSHARI3_SOFTDRINKMALAM[[#This Row],[NAMA PENGHUTANG]]="","",((TRANSHARI3_SOFTDRINKMALAM[[#This Row],[HARGA]]*TRANSHARI3_SOFTDRINKMALAM[[#This Row],[QUANTITY]])+TRANSHARI3_SOFTDRINKMALAM[[#This Row],[PRICE TOLERANCE]])),"")</calculatedColumnFormula>
    </tableColumn>
    <tableColumn id="7" name="NAMA PENGHUTANG" dataDxfId="382"/>
    <tableColumn id="8" name="NOMINAL TRANSFER" dataDxfId="383">
      <calculatedColumnFormula>IFERROR(IF(TRANSHARI3_SOFTDRINKMALAM[[#This Row],[NAMA REKENING]]="","",TRANSHARI3_SOFTDRINKMALAM[[#This Row],[DEBIT]]),"")</calculatedColumnFormula>
    </tableColumn>
    <tableColumn id="9" name="NAMA REKENING" dataDxfId="384"/>
  </tableColumns>
  <tableStyleInfo name="TableStyleMedium16" showFirstColumn="0" showLastColumn="0" showRowStripes="1" showColumnStripes="0"/>
</table>
</file>

<file path=xl/tables/table40.xml><?xml version="1.0" encoding="utf-8"?>
<table xmlns="http://schemas.openxmlformats.org/spreadsheetml/2006/main" id="46" name="TRANSHARI3_ICECREAMMALAM" displayName="TRANSHARI3_ICECREAMMALAM" ref="P255:Y305" totalsRowShown="0">
  <autoFilter xmlns:etc="http://www.wps.cn/officeDocument/2017/etCustomData" ref="P255:Y305" etc:filterBottomFollowUsedRange="0"/>
  <tableColumns count="10">
    <tableColumn id="1" name="NO." dataDxfId="385"/>
    <tableColumn id="2" name="PRODUK" dataDxfId="386"/>
    <tableColumn id="10" name="QUANTITY" dataDxfId="387"/>
    <tableColumn id="3" name="HARGA" dataDxfId="388">
      <calculatedColumnFormula>IFERROR(VLOOKUP(TRANSHARI3_ICECREAMMALAM[[#This Row],[PRODUK]],DATA_ICECREAM[],5,FALSE),"")</calculatedColumnFormula>
    </tableColumn>
    <tableColumn id="4" name="PRICE TOLERANCE" dataDxfId="389"/>
    <tableColumn id="5" name="DEBIT" dataDxfId="390">
      <calculatedColumnFormula>IFERROR(IF(TRANSHARI3_ICECREAMMALAM[[#This Row],[NAMA PENGHUTANG]]="",((TRANSHARI3_ICECREAMMALAM[[#This Row],[HARGA]]*TRANSHARI3_ICECREAMMALAM[[#This Row],[QUANTITY]])+TRANSHARI3_ICECREAMMALAM[[#This Row],[PRICE TOLERANCE]]),""),"")</calculatedColumnFormula>
    </tableColumn>
    <tableColumn id="6" name="KREDIT" dataDxfId="391">
      <calculatedColumnFormula>IFERROR(IF(TRANSHARI3_ICECREAMMALAM[[#This Row],[NAMA PENGHUTANG]]="","",((TRANSHARI3_ICECREAMMALAM[[#This Row],[HARGA]]*TRANSHARI3_ICECREAMMALAM[[#This Row],[QUANTITY]])+TRANSHARI3_ICECREAMMALAM[[#This Row],[PRICE TOLERANCE]])),"")</calculatedColumnFormula>
    </tableColumn>
    <tableColumn id="7" name="NAMA PENGHUTANG" dataDxfId="392"/>
    <tableColumn id="8" name="NOMINAL TRANSFER" dataDxfId="393">
      <calculatedColumnFormula>IFERROR(IF(TRANSHARI3_ICECREAMMALAM[[#This Row],[NAMA REKENING]]="","",TRANSHARI3_ICECREAMMALAM[[#This Row],[DEBIT]]),"")</calculatedColumnFormula>
    </tableColumn>
    <tableColumn id="9" name="NAMA REKENING" dataDxfId="394"/>
  </tableColumns>
  <tableStyleInfo name="TableStyleMedium16" showFirstColumn="0" showLastColumn="0" showRowStripes="1" showColumnStripes="0"/>
</table>
</file>

<file path=xl/tables/table41.xml><?xml version="1.0" encoding="utf-8"?>
<table xmlns="http://schemas.openxmlformats.org/spreadsheetml/2006/main" id="47" name="TRANSHARI3_ACCMALAM" displayName="TRANSHARI3_ACCMALAM" ref="P312:Y342" totalsRowShown="0">
  <autoFilter xmlns:etc="http://www.wps.cn/officeDocument/2017/etCustomData" ref="P312:Y342" etc:filterBottomFollowUsedRange="0"/>
  <tableColumns count="10">
    <tableColumn id="1" name="NO." dataDxfId="395"/>
    <tableColumn id="2" name="PRODUK" dataDxfId="396"/>
    <tableColumn id="10" name="QUANTITY" dataDxfId="397"/>
    <tableColumn id="3" name="HARGA" dataDxfId="398">
      <calculatedColumnFormula>IFERROR(VLOOKUP(TRANSHARI3_ACCMALAM[[#This Row],[PRODUK]],DATA_ACC[],5,FALSE),"")</calculatedColumnFormula>
    </tableColumn>
    <tableColumn id="4" name="PRICE TOLERANCE" dataDxfId="399"/>
    <tableColumn id="5" name="DEBIT" dataDxfId="400">
      <calculatedColumnFormula>IFERROR(IF(TRANSHARI3_ACCMALAM[[#This Row],[NAMA PENGHUTANG]]="",((TRANSHARI3_ACCMALAM[[#This Row],[HARGA]]*TRANSHARI3_ACCMALAM[[#This Row],[QUANTITY]])+TRANSHARI3_ACCMALAM[[#This Row],[PRICE TOLERANCE]]),""),"")</calculatedColumnFormula>
    </tableColumn>
    <tableColumn id="6" name="KREDIT" dataDxfId="401">
      <calculatedColumnFormula>IFERROR(IF(TRANSHARI3_ACCMALAM[[#This Row],[NAMA PENGHUTANG]]="","",((TRANSHARI3_ACCMALAM[[#This Row],[HARGA]]*TRANSHARI3_ACCMALAM[[#This Row],[QUANTITY]])+TRANSHARI3_ACCMALAM[[#This Row],[PRICE TOLERANCE]])),"")</calculatedColumnFormula>
    </tableColumn>
    <tableColumn id="7" name="NAMA PENGHUTANG" dataDxfId="402"/>
    <tableColumn id="8" name="NOMINAL TRANSFER" dataDxfId="403">
      <calculatedColumnFormula>IFERROR(IF(TRANSHARI3_ACCMALAM[[#This Row],[NAMA REKENING]]="","",TRANSHARI3_ACCMALAM[[#This Row],[DEBIT]]),"")</calculatedColumnFormula>
    </tableColumn>
    <tableColumn id="9" name="NAMA REKENING" dataDxfId="404"/>
  </tableColumns>
  <tableStyleInfo name="TableStyleMedium16" showFirstColumn="0" showLastColumn="0" showRowStripes="1" showColumnStripes="0"/>
</table>
</file>

<file path=xl/tables/table42.xml><?xml version="1.0" encoding="utf-8"?>
<table xmlns="http://schemas.openxmlformats.org/spreadsheetml/2006/main" id="48" name="TRANSHARI3_HYDROMALAM" displayName="TRANSHARI3_HYDROMALAM" ref="P349:Y379" totalsRowShown="0">
  <autoFilter xmlns:etc="http://www.wps.cn/officeDocument/2017/etCustomData" ref="P349:Y379" etc:filterBottomFollowUsedRange="0"/>
  <tableColumns count="10">
    <tableColumn id="1" name="NO." dataDxfId="405"/>
    <tableColumn id="2" name="PRODUK" dataDxfId="406"/>
    <tableColumn id="10" name="QUANTITY" dataDxfId="407"/>
    <tableColumn id="3" name="HARGA" dataDxfId="408">
      <calculatedColumnFormula>IFERROR(VLOOKUP(TRANSHARI3_HYDROMALAM[[#This Row],[PRODUK]],DATA_HYDRO[],5,FALSE),"")</calculatedColumnFormula>
    </tableColumn>
    <tableColumn id="4" name="PRICE TOLERANCE" dataDxfId="409"/>
    <tableColumn id="5" name="DEBIT" dataDxfId="410">
      <calculatedColumnFormula>IFERROR(IF(TRANSHARI3_HYDROMALAM[[#This Row],[NAMA PENGHUTANG]]="",((TRANSHARI3_HYDROMALAM[[#This Row],[HARGA]]*TRANSHARI3_HYDROMALAM[[#This Row],[QUANTITY]])+TRANSHARI3_HYDROMALAM[[#This Row],[PRICE TOLERANCE]]),""),"")</calculatedColumnFormula>
    </tableColumn>
    <tableColumn id="6" name="KREDIT" dataDxfId="411">
      <calculatedColumnFormula>IFERROR(IF(TRANSHARI3_HYDROMALAM[[#This Row],[NAMA PENGHUTANG]]="","",((TRANSHARI3_HYDROMALAM[[#This Row],[HARGA]]*TRANSHARI3_HYDROMALAM[[#This Row],[QUANTITY]])+TRANSHARI3_HYDROMALAM[[#This Row],[PRICE TOLERANCE]])),"")</calculatedColumnFormula>
    </tableColumn>
    <tableColumn id="7" name="NAMA PENGHUTANG" dataDxfId="412"/>
    <tableColumn id="8" name="NOMINAL TRANSFER" dataDxfId="413">
      <calculatedColumnFormula>IFERROR(IF(TRANSHARI3_HYDROMALAM[[#This Row],[NAMA REKENING]]="","",TRANSHARI3_HYDROMALAM[[#This Row],[DEBIT]]),"")</calculatedColumnFormula>
    </tableColumn>
    <tableColumn id="9" name="NAMA REKENING" dataDxfId="414"/>
  </tableColumns>
  <tableStyleInfo name="TableStyleMedium16" showFirstColumn="0" showLastColumn="0" showRowStripes="1" showColumnStripes="0"/>
</table>
</file>

<file path=xl/tables/table43.xml><?xml version="1.0" encoding="utf-8"?>
<table xmlns="http://schemas.openxmlformats.org/spreadsheetml/2006/main" id="49" name="TRANSHARI4_ROKOKPAGI" displayName="TRANSHARI4_ROKOKPAGI" ref="A84:J134" totalsRowShown="0">
  <autoFilter xmlns:etc="http://www.wps.cn/officeDocument/2017/etCustomData" ref="A84:J134" etc:filterBottomFollowUsedRange="0"/>
  <tableColumns count="10">
    <tableColumn id="1" name="NO." dataDxfId="415"/>
    <tableColumn id="2" name="PRODUK" dataDxfId="416"/>
    <tableColumn id="10" name="QUANTITY" dataDxfId="417"/>
    <tableColumn id="3" name="HARGA" dataDxfId="418">
      <calculatedColumnFormula>IFERROR(VLOOKUP(TRANSHARI4_ROKOKPAGI[[#This Row],[PRODUK]],DATA_ROKOK[],6,FALSE),"")</calculatedColumnFormula>
    </tableColumn>
    <tableColumn id="4" name="PRICE TOLERANCE" dataDxfId="419"/>
    <tableColumn id="5" name="DEBIT" dataDxfId="420">
      <calculatedColumnFormula>IFERROR(IF(TRANSHARI4_ROKOKPAGI[[#This Row],[NAMA PENGHUTANG]]="",((TRANSHARI4_ROKOKPAGI[[#This Row],[HARGA]]*TRANSHARI4_ROKOKPAGI[[#This Row],[QUANTITY]])+TRANSHARI4_ROKOKPAGI[[#This Row],[PRICE TOLERANCE]]),""),"")</calculatedColumnFormula>
    </tableColumn>
    <tableColumn id="6" name="KREDIT" dataDxfId="421">
      <calculatedColumnFormula>IFERROR(IF(TRANSHARI4_ROKOKPAGI[[#This Row],[NAMA PENGHUTANG]]="","",((TRANSHARI4_ROKOKPAGI[[#This Row],[HARGA]]*TRANSHARI4_ROKOKPAGI[[#This Row],[QUANTITY]])+TRANSHARI4_ROKOKPAGI[[#This Row],[PRICE TOLERANCE]])),"")</calculatedColumnFormula>
    </tableColumn>
    <tableColumn id="7" name="NAMA PENGHUTANG" dataDxfId="422"/>
    <tableColumn id="8" name="NOMINAL TRANSFER" dataDxfId="423">
      <calculatedColumnFormula>IFERROR(IF(TRANSHARI4_ROKOKPAGI[[#This Row],[NAMA REKENING]]="","",TRANSHARI4_ROKOKPAGI[[#This Row],[DEBIT]]),"")</calculatedColumnFormula>
    </tableColumn>
    <tableColumn id="9" name="NAMA REKENING" dataDxfId="424"/>
  </tableColumns>
  <tableStyleInfo name="TableStyleMedium16" showFirstColumn="0" showLastColumn="0" showRowStripes="1" showColumnStripes="0"/>
</table>
</file>

<file path=xl/tables/table44.xml><?xml version="1.0" encoding="utf-8"?>
<table xmlns="http://schemas.openxmlformats.org/spreadsheetml/2006/main" id="50" name="TRANSHARI4_PULSAPAGI" displayName="TRANSHARI4_PULSAPAGI" ref="A27:I77" totalsRowShown="0">
  <autoFilter xmlns:etc="http://www.wps.cn/officeDocument/2017/etCustomData" ref="A27:I77" etc:filterBottomFollowUsedRange="0"/>
  <tableColumns count="9">
    <tableColumn id="1" name="NO." dataDxfId="425"/>
    <tableColumn id="2" name="NO. TELEPON" dataDxfId="426"/>
    <tableColumn id="5" name="DEBIT" dataDxfId="427"/>
    <tableColumn id="6" name="KREDIT" dataDxfId="428"/>
    <tableColumn id="7" name="NAMA PENGHUTANG" dataDxfId="429"/>
    <tableColumn id="8" name="SALDO MINUS" dataDxfId="430"/>
    <tableColumn id="9" name="APLIKASI" dataDxfId="431"/>
    <tableColumn id="11" name="NOMINAL TRANSFER" dataDxfId="432">
      <calculatedColumnFormula>IFERROR(IF(TRANSHARI4_PULSAPAGI[[#This Row],[NAMA REKENING]]="","",TRANSHARI4_PULSAPAGI[[#This Row],[DEBIT]]),"")</calculatedColumnFormula>
    </tableColumn>
    <tableColumn id="12" name="NAMA REKENING" dataDxfId="433"/>
  </tableColumns>
  <tableStyleInfo name="TableStyleMedium16" showFirstColumn="0" showLastColumn="0" showRowStripes="1" showColumnStripes="0"/>
</table>
</file>

<file path=xl/tables/table45.xml><?xml version="1.0" encoding="utf-8"?>
<table xmlns="http://schemas.openxmlformats.org/spreadsheetml/2006/main" id="51" name="TRANSHARI4_SPVOUPAGI" displayName="TRANSHARI4_SPVOUPAGI" ref="A141:J191" totalsRowShown="0">
  <autoFilter xmlns:etc="http://www.wps.cn/officeDocument/2017/etCustomData" ref="A141:J191" etc:filterBottomFollowUsedRange="0"/>
  <tableColumns count="10">
    <tableColumn id="1" name="NO." dataDxfId="434"/>
    <tableColumn id="2" name="PRODUK" dataDxfId="435"/>
    <tableColumn id="10" name="QUANTITY" dataDxfId="436"/>
    <tableColumn id="3" name="HARGA" dataDxfId="437">
      <calculatedColumnFormula>IFERROR(VLOOKUP(TRANSHARI4_SPVOUPAGI[[#This Row],[PRODUK]],DATA_SPVOU[],6,FALSE),"")</calculatedColumnFormula>
    </tableColumn>
    <tableColumn id="4" name="PRICE TOLERANCE" dataDxfId="438"/>
    <tableColumn id="5" name="DEBIT" dataDxfId="439">
      <calculatedColumnFormula>IFERROR(IF(TRANSHARI4_SPVOUPAGI[[#This Row],[NAMA PENGHUTANG]]="",((TRANSHARI4_SPVOUPAGI[[#This Row],[HARGA]]*TRANSHARI4_SPVOUPAGI[[#This Row],[QUANTITY]])+TRANSHARI4_SPVOUPAGI[[#This Row],[PRICE TOLERANCE]]),""),"")</calculatedColumnFormula>
    </tableColumn>
    <tableColumn id="6" name="KREDIT" dataDxfId="440">
      <calculatedColumnFormula>IFERROR(IF(TRANSHARI4_SPVOUPAGI[[#This Row],[NAMA PENGHUTANG]]="","",((TRANSHARI4_SPVOUPAGI[[#This Row],[HARGA]]*TRANSHARI4_SPVOUPAGI[[#This Row],[QUANTITY]])+TRANSHARI4_SPVOUPAGI[[#This Row],[PRICE TOLERANCE]])),"")</calculatedColumnFormula>
    </tableColumn>
    <tableColumn id="7" name="NAMA PENGHUTANG" dataDxfId="441"/>
    <tableColumn id="8" name="NOMINAL TRANSFER" dataDxfId="442">
      <calculatedColumnFormula>IFERROR(IF(TRANSHARI4_SPVOUPAGI[[#This Row],[NAMA REKENING]]="","",TRANSHARI4_SPVOUPAGI[[#This Row],[DEBIT]]),"")</calculatedColumnFormula>
    </tableColumn>
    <tableColumn id="9" name="NAMA REKENING" dataDxfId="443"/>
  </tableColumns>
  <tableStyleInfo name="TableStyleMedium16" showFirstColumn="0" showLastColumn="0" showRowStripes="1" showColumnStripes="0"/>
</table>
</file>

<file path=xl/tables/table46.xml><?xml version="1.0" encoding="utf-8"?>
<table xmlns="http://schemas.openxmlformats.org/spreadsheetml/2006/main" id="52" name="TRANSHARI4_SOFTDRINKPAGI" displayName="TRANSHARI4_SOFTDRINKPAGI" ref="A198:J248" totalsRowShown="0">
  <autoFilter xmlns:etc="http://www.wps.cn/officeDocument/2017/etCustomData" ref="A198:J248" etc:filterBottomFollowUsedRange="0"/>
  <tableColumns count="10">
    <tableColumn id="1" name="NO." dataDxfId="444"/>
    <tableColumn id="2" name="PRODUK" dataDxfId="445"/>
    <tableColumn id="10" name="QUANTITY" dataDxfId="446"/>
    <tableColumn id="3" name="HARGA" dataDxfId="447">
      <calculatedColumnFormula>IFERROR(VLOOKUP(TRANSHARI4_SOFTDRINKPAGI[[#This Row],[PRODUK]],DATA_SOFTDRINK[],6,FALSE),"")</calculatedColumnFormula>
    </tableColumn>
    <tableColumn id="4" name="PRICE TOLERANCE" dataDxfId="448"/>
    <tableColumn id="5" name="DEBIT" dataDxfId="449">
      <calculatedColumnFormula>IFERROR(IF(TRANSHARI4_SOFTDRINKPAGI[[#This Row],[NAMA PENGHUTANG]]="",((TRANSHARI4_SOFTDRINKPAGI[[#This Row],[HARGA]]*TRANSHARI4_SOFTDRINKPAGI[[#This Row],[QUANTITY]])+TRANSHARI4_SOFTDRINKPAGI[[#This Row],[PRICE TOLERANCE]]),""),"")</calculatedColumnFormula>
    </tableColumn>
    <tableColumn id="6" name="KREDIT" dataDxfId="450">
      <calculatedColumnFormula>IFERROR(IF(TRANSHARI4_SOFTDRINKPAGI[[#This Row],[NAMA PENGHUTANG]]="","",((TRANSHARI4_SOFTDRINKPAGI[[#This Row],[HARGA]]*TRANSHARI4_SOFTDRINKPAGI[[#This Row],[QUANTITY]])+TRANSHARI4_SOFTDRINKPAGI[[#This Row],[PRICE TOLERANCE]])),"")</calculatedColumnFormula>
    </tableColumn>
    <tableColumn id="7" name="NAMA PENGHUTANG" dataDxfId="451"/>
    <tableColumn id="8" name="NOMINAL TRANSFER" dataDxfId="452">
      <calculatedColumnFormula>IFERROR(IF(TRANSHARI4_SOFTDRINKPAGI[[#This Row],[NAMA REKENING]]="","",TRANSHARI4_SOFTDRINKPAGI[[#This Row],[DEBIT]]),"")</calculatedColumnFormula>
    </tableColumn>
    <tableColumn id="9" name="NAMA REKENING" dataDxfId="453"/>
  </tableColumns>
  <tableStyleInfo name="TableStyleMedium16" showFirstColumn="0" showLastColumn="0" showRowStripes="1" showColumnStripes="0"/>
</table>
</file>

<file path=xl/tables/table47.xml><?xml version="1.0" encoding="utf-8"?>
<table xmlns="http://schemas.openxmlformats.org/spreadsheetml/2006/main" id="53" name="TRANSHARI4_ICECREAMPAGI" displayName="TRANSHARI4_ICECREAMPAGI" ref="A255:J305" totalsRowShown="0">
  <autoFilter xmlns:etc="http://www.wps.cn/officeDocument/2017/etCustomData" ref="A255:J305" etc:filterBottomFollowUsedRange="0"/>
  <tableColumns count="10">
    <tableColumn id="1" name="NO." dataDxfId="454"/>
    <tableColumn id="2" name="PRODUK" dataDxfId="455"/>
    <tableColumn id="10" name="QUANTITY" dataDxfId="456"/>
    <tableColumn id="3" name="HARGA" dataDxfId="457">
      <calculatedColumnFormula>IFERROR(VLOOKUP(TRANSHARI4_ICECREAMPAGI[[#This Row],[PRODUK]],DATA_ICECREAM[],6,FALSE),"")</calculatedColumnFormula>
    </tableColumn>
    <tableColumn id="4" name="PRICE TOLERANCE" dataDxfId="458"/>
    <tableColumn id="5" name="DEBIT" dataDxfId="459">
      <calculatedColumnFormula>IFERROR(IF(TRANSHARI4_ICECREAMPAGI[[#This Row],[NAMA PENGHUTANG]]="",((TRANSHARI4_ICECREAMPAGI[[#This Row],[HARGA]]*TRANSHARI4_ICECREAMPAGI[[#This Row],[QUANTITY]])+TRANSHARI4_ICECREAMPAGI[[#This Row],[PRICE TOLERANCE]]),""),"")</calculatedColumnFormula>
    </tableColumn>
    <tableColumn id="6" name="KREDIT" dataDxfId="460">
      <calculatedColumnFormula>IFERROR(IF(TRANSHARI4_ICECREAMPAGI[[#This Row],[NAMA PENGHUTANG]]="","",((TRANSHARI4_ICECREAMPAGI[[#This Row],[HARGA]]*TRANSHARI4_ICECREAMPAGI[[#This Row],[QUANTITY]])+TRANSHARI4_ICECREAMPAGI[[#This Row],[PRICE TOLERANCE]])),"")</calculatedColumnFormula>
    </tableColumn>
    <tableColumn id="7" name="NAMA PENGHUTANG" dataDxfId="461"/>
    <tableColumn id="8" name="NOMINAL TRANSFER" dataDxfId="462">
      <calculatedColumnFormula>IFERROR(IF(TRANSHARI4_ICECREAMPAGI[[#This Row],[NAMA REKENING]]="","",TRANSHARI4_ICECREAMPAGI[[#This Row],[DEBIT]]),"")</calculatedColumnFormula>
    </tableColumn>
    <tableColumn id="9" name="NAMA REKENING" dataDxfId="463"/>
  </tableColumns>
  <tableStyleInfo name="TableStyleMedium16" showFirstColumn="0" showLastColumn="0" showRowStripes="1" showColumnStripes="0"/>
</table>
</file>

<file path=xl/tables/table48.xml><?xml version="1.0" encoding="utf-8"?>
<table xmlns="http://schemas.openxmlformats.org/spreadsheetml/2006/main" id="54" name="TRANSHARI4_ACCPAGI" displayName="TRANSHARI4_ACCPAGI" ref="A312:J342" totalsRowShown="0">
  <autoFilter xmlns:etc="http://www.wps.cn/officeDocument/2017/etCustomData" ref="A312:J342" etc:filterBottomFollowUsedRange="0"/>
  <tableColumns count="10">
    <tableColumn id="1" name="NO." dataDxfId="464"/>
    <tableColumn id="2" name="PRODUK" dataDxfId="465"/>
    <tableColumn id="10" name="QUANTITY" dataDxfId="466"/>
    <tableColumn id="3" name="HARGA" dataDxfId="467">
      <calculatedColumnFormula>IFERROR(VLOOKUP(TRANSHARI4_ACCPAGI[[#This Row],[PRODUK]],DATA_ACC[],6,FALSE),"")</calculatedColumnFormula>
    </tableColumn>
    <tableColumn id="4" name="PRICE TOLERANCE" dataDxfId="468"/>
    <tableColumn id="5" name="DEBIT" dataDxfId="469">
      <calculatedColumnFormula>IFERROR(IF(TRANSHARI4_ACCPAGI[[#This Row],[NAMA PENGHUTANG]]="",((TRANSHARI4_ACCPAGI[[#This Row],[HARGA]]*TRANSHARI4_ACCPAGI[[#This Row],[QUANTITY]])+TRANSHARI4_ACCPAGI[[#This Row],[PRICE TOLERANCE]]),""),"")</calculatedColumnFormula>
    </tableColumn>
    <tableColumn id="6" name="KREDIT" dataDxfId="470">
      <calculatedColumnFormula>IFERROR(IF(TRANSHARI4_ACCPAGI[[#This Row],[NAMA PENGHUTANG]]="","",((TRANSHARI4_ACCPAGI[[#This Row],[HARGA]]*TRANSHARI4_ACCPAGI[[#This Row],[QUANTITY]])+TRANSHARI4_ACCPAGI[[#This Row],[PRICE TOLERANCE]])),"")</calculatedColumnFormula>
    </tableColumn>
    <tableColumn id="7" name="NAMA PENGHUTANG" dataDxfId="471"/>
    <tableColumn id="8" name="NOMINAL TRANSFER" dataDxfId="472">
      <calculatedColumnFormula>IFERROR(IF(TRANSHARI4_ACCPAGI[[#This Row],[NAMA REKENING]]="","",TRANSHARI4_ACCPAGI[[#This Row],[DEBIT]]),"")</calculatedColumnFormula>
    </tableColumn>
    <tableColumn id="9" name="NAMA REKENING" dataDxfId="473"/>
  </tableColumns>
  <tableStyleInfo name="TableStyleMedium16" showFirstColumn="0" showLastColumn="0" showRowStripes="1" showColumnStripes="0"/>
</table>
</file>

<file path=xl/tables/table49.xml><?xml version="1.0" encoding="utf-8"?>
<table xmlns="http://schemas.openxmlformats.org/spreadsheetml/2006/main" id="55" name="TRANSHARI4_HYDROPAGI" displayName="TRANSHARI4_HYDROPAGI" ref="A349:J379" totalsRowShown="0">
  <autoFilter xmlns:etc="http://www.wps.cn/officeDocument/2017/etCustomData" ref="A349:J379" etc:filterBottomFollowUsedRange="0"/>
  <tableColumns count="10">
    <tableColumn id="1" name="NO." dataDxfId="474"/>
    <tableColumn id="2" name="PRODUK" dataDxfId="475"/>
    <tableColumn id="10" name="QUANTITY" dataDxfId="476"/>
    <tableColumn id="3" name="HARGA" dataDxfId="477">
      <calculatedColumnFormula>IFERROR(VLOOKUP(TRANSHARI4_HYDROPAGI[[#This Row],[PRODUK]],DATA_HYDRO[],6,FALSE),"")</calculatedColumnFormula>
    </tableColumn>
    <tableColumn id="4" name="PRICE TOLERANCE" dataDxfId="478"/>
    <tableColumn id="5" name="DEBIT" dataDxfId="479">
      <calculatedColumnFormula>IFERROR(IF(TRANSHARI4_HYDROPAGI[[#This Row],[NAMA PENGHUTANG]]="",((TRANSHARI4_HYDROPAGI[[#This Row],[HARGA]]*TRANSHARI4_HYDROPAGI[[#This Row],[QUANTITY]])+TRANSHARI4_HYDROPAGI[[#This Row],[PRICE TOLERANCE]]),""),"")</calculatedColumnFormula>
    </tableColumn>
    <tableColumn id="6" name="KREDIT" dataDxfId="480">
      <calculatedColumnFormula>IFERROR(IF(TRANSHARI4_HYDROPAGI[[#This Row],[NAMA PENGHUTANG]]="","",((TRANSHARI4_HYDROPAGI[[#This Row],[HARGA]]*TRANSHARI4_HYDROPAGI[[#This Row],[QUANTITY]])+TRANSHARI4_HYDROPAGI[[#This Row],[PRICE TOLERANCE]])),"")</calculatedColumnFormula>
    </tableColumn>
    <tableColumn id="7" name="NAMA PENGHUTANG" dataDxfId="481"/>
    <tableColumn id="8" name="NOMINAL TRANSFER" dataDxfId="482">
      <calculatedColumnFormula>IFERROR(IF(TRANSHARI4_HYDROPAGI[[#This Row],[NAMA REKENING]]="","",TRANSHARI4_HYDROPAGI[[#This Row],[DEBIT]]),"")</calculatedColumnFormula>
    </tableColumn>
    <tableColumn id="9" name="NAMA REKENING" dataDxfId="483"/>
  </tableColumns>
  <tableStyleInfo name="TableStyleMedium16" showFirstColumn="0" showLastColumn="0" showRowStripes="1" showColumnStripes="0"/>
</table>
</file>

<file path=xl/tables/table50.xml><?xml version="1.0" encoding="utf-8"?>
<table xmlns="http://schemas.openxmlformats.org/spreadsheetml/2006/main" id="56" name="TRANSHARI4_ROKOKMALAM" displayName="TRANSHARI4_ROKOKMALAM" ref="P84:Y134" totalsRowShown="0">
  <autoFilter xmlns:etc="http://www.wps.cn/officeDocument/2017/etCustomData" ref="P84:Y134" etc:filterBottomFollowUsedRange="0"/>
  <tableColumns count="10">
    <tableColumn id="1" name="NO." dataDxfId="484"/>
    <tableColumn id="2" name="PRODUK" dataDxfId="485"/>
    <tableColumn id="10" name="QUANTITY" dataDxfId="486"/>
    <tableColumn id="3" name="HARGA" dataDxfId="487">
      <calculatedColumnFormula>IFERROR(VLOOKUP(TRANSHARI4_ROKOKMALAM[[#This Row],[PRODUK]],DATA_ROKOK[],6,FALSE),"")</calculatedColumnFormula>
    </tableColumn>
    <tableColumn id="4" name="PRICE TOLERANCE" dataDxfId="488"/>
    <tableColumn id="5" name="DEBIT" dataDxfId="489">
      <calculatedColumnFormula>IFERROR(IF(TRANSHARI4_ROKOKMALAM[[#This Row],[NAMA PENGHUTANG]]="",((TRANSHARI4_ROKOKMALAM[[#This Row],[HARGA]]*TRANSHARI4_ROKOKMALAM[[#This Row],[QUANTITY]])+TRANSHARI4_ROKOKMALAM[[#This Row],[PRICE TOLERANCE]]),""),"")</calculatedColumnFormula>
    </tableColumn>
    <tableColumn id="6" name="KREDIT" dataDxfId="490">
      <calculatedColumnFormula>IFERROR(IF(TRANSHARI4_ROKOKMALAM[[#This Row],[NAMA PENGHUTANG]]="","",((TRANSHARI4_ROKOKMALAM[[#This Row],[HARGA]]*TRANSHARI4_ROKOKMALAM[[#This Row],[QUANTITY]])+TRANSHARI4_ROKOKMALAM[[#This Row],[PRICE TOLERANCE]])),"")</calculatedColumnFormula>
    </tableColumn>
    <tableColumn id="7" name="NAMA PENGHUTANG" dataDxfId="491"/>
    <tableColumn id="8" name="NOMINAL TRANSFER" dataDxfId="492">
      <calculatedColumnFormula>IFERROR(IF(TRANSHARI4_ROKOKMALAM[[#This Row],[NAMA REKENING]]="","",TRANSHARI4_ROKOKMALAM[[#This Row],[DEBIT]]),"")</calculatedColumnFormula>
    </tableColumn>
    <tableColumn id="9" name="NAMA REKENING" dataDxfId="493"/>
  </tableColumns>
  <tableStyleInfo name="TableStyleMedium16" showFirstColumn="0" showLastColumn="0" showRowStripes="1" showColumnStripes="0"/>
</table>
</file>

<file path=xl/tables/table51.xml><?xml version="1.0" encoding="utf-8"?>
<table xmlns="http://schemas.openxmlformats.org/spreadsheetml/2006/main" id="57" name="TRANSHARI4_PULSAMALAM" displayName="TRANSHARI4_PULSAMALAM" ref="P27:X77" totalsRowShown="0">
  <autoFilter xmlns:etc="http://www.wps.cn/officeDocument/2017/etCustomData" ref="P27:X77" etc:filterBottomFollowUsedRange="0"/>
  <tableColumns count="9">
    <tableColumn id="1" name="NO." dataDxfId="494"/>
    <tableColumn id="2" name="NO. TELEPON" dataDxfId="495"/>
    <tableColumn id="5" name="DEBIT" dataDxfId="496"/>
    <tableColumn id="6" name="KREDIT" dataDxfId="497"/>
    <tableColumn id="7" name="NAMA PENGHUTANG" dataDxfId="498"/>
    <tableColumn id="8" name="SALDO MINUS" dataDxfId="499"/>
    <tableColumn id="9" name="APLIKASI" dataDxfId="500"/>
    <tableColumn id="11" name="NOMINAL TRANSFER" dataDxfId="501">
      <calculatedColumnFormula>IFERROR(IF(TRANSHARI4_PULSAMALAM[[#This Row],[NAMA REKENING]]="","",TRANSHARI4_PULSAMALAM[[#This Row],[DEBIT]]),"")</calculatedColumnFormula>
    </tableColumn>
    <tableColumn id="12" name="NAMA REKENING" dataDxfId="502"/>
  </tableColumns>
  <tableStyleInfo name="TableStyleMedium16" showFirstColumn="0" showLastColumn="0" showRowStripes="1" showColumnStripes="0"/>
</table>
</file>

<file path=xl/tables/table52.xml><?xml version="1.0" encoding="utf-8"?>
<table xmlns="http://schemas.openxmlformats.org/spreadsheetml/2006/main" id="58" name="TRANSHARI4_SPVOUMALAM" displayName="TRANSHARI4_SPVOUMALAM" ref="P141:Y191" totalsRowShown="0">
  <autoFilter xmlns:etc="http://www.wps.cn/officeDocument/2017/etCustomData" ref="P141:Y191" etc:filterBottomFollowUsedRange="0"/>
  <tableColumns count="10">
    <tableColumn id="1" name="NO." dataDxfId="503"/>
    <tableColumn id="2" name="PRODUK" dataDxfId="504"/>
    <tableColumn id="10" name="QUANTITY" dataDxfId="505"/>
    <tableColumn id="3" name="HARGA" dataDxfId="506">
      <calculatedColumnFormula>IFERROR(VLOOKUP(TRANSHARI4_SPVOUMALAM[[#This Row],[PRODUK]],DATA_SPVOU[],6,FALSE),"")</calculatedColumnFormula>
    </tableColumn>
    <tableColumn id="4" name="PRICE TOLERANCE" dataDxfId="507"/>
    <tableColumn id="5" name="DEBIT" dataDxfId="508">
      <calculatedColumnFormula>IFERROR(IF(TRANSHARI4_SPVOUMALAM[[#This Row],[NAMA PENGHUTANG]]="",((TRANSHARI4_SPVOUMALAM[[#This Row],[HARGA]]*TRANSHARI4_SPVOUMALAM[[#This Row],[QUANTITY]])+TRANSHARI4_SPVOUMALAM[[#This Row],[PRICE TOLERANCE]]),""),"")</calculatedColumnFormula>
    </tableColumn>
    <tableColumn id="6" name="KREDIT" dataDxfId="509">
      <calculatedColumnFormula>IFERROR(IF(TRANSHARI4_SPVOUMALAM[[#This Row],[NAMA PENGHUTANG]]="","",((TRANSHARI4_SPVOUMALAM[[#This Row],[HARGA]]*TRANSHARI4_SPVOUMALAM[[#This Row],[QUANTITY]])+TRANSHARI4_SPVOUMALAM[[#This Row],[PRICE TOLERANCE]])),"")</calculatedColumnFormula>
    </tableColumn>
    <tableColumn id="7" name="NAMA PENGHUTANG" dataDxfId="510"/>
    <tableColumn id="8" name="NOMINAL TRANSFER" dataDxfId="511">
      <calculatedColumnFormula>IFERROR(IF(TRANSHARI4_SPVOUMALAM[[#This Row],[NAMA REKENING]]="","",TRANSHARI4_SPVOUMALAM[[#This Row],[DEBIT]]),"")</calculatedColumnFormula>
    </tableColumn>
    <tableColumn id="9" name="NAMA REKENING" dataDxfId="512"/>
  </tableColumns>
  <tableStyleInfo name="TableStyleMedium16" showFirstColumn="0" showLastColumn="0" showRowStripes="1" showColumnStripes="0"/>
</table>
</file>

<file path=xl/tables/table53.xml><?xml version="1.0" encoding="utf-8"?>
<table xmlns="http://schemas.openxmlformats.org/spreadsheetml/2006/main" id="59" name="TRANSHARI4_SOFTDRINKMALAM" displayName="TRANSHARI4_SOFTDRINKMALAM" ref="P198:Y248" totalsRowShown="0">
  <autoFilter xmlns:etc="http://www.wps.cn/officeDocument/2017/etCustomData" ref="P198:Y248" etc:filterBottomFollowUsedRange="0"/>
  <tableColumns count="10">
    <tableColumn id="1" name="NO." dataDxfId="513"/>
    <tableColumn id="2" name="PRODUK" dataDxfId="514"/>
    <tableColumn id="10" name="QUANTITY" dataDxfId="515"/>
    <tableColumn id="3" name="HARGA" dataDxfId="516">
      <calculatedColumnFormula>IFERROR(VLOOKUP(TRANSHARI4_SOFTDRINKMALAM[[#This Row],[PRODUK]],DATA_SOFTDRINK[],6,FALSE),"")</calculatedColumnFormula>
    </tableColumn>
    <tableColumn id="4" name="PRICE TOLERANCE" dataDxfId="517"/>
    <tableColumn id="5" name="DEBIT" dataDxfId="518">
      <calculatedColumnFormula>IFERROR(IF(TRANSHARI4_SOFTDRINKMALAM[[#This Row],[NAMA PENGHUTANG]]="",((TRANSHARI4_SOFTDRINKMALAM[[#This Row],[HARGA]]*TRANSHARI4_SOFTDRINKMALAM[[#This Row],[QUANTITY]])+TRANSHARI4_SOFTDRINKMALAM[[#This Row],[PRICE TOLERANCE]]),""),"")</calculatedColumnFormula>
    </tableColumn>
    <tableColumn id="6" name="KREDIT" dataDxfId="519">
      <calculatedColumnFormula>IFERROR(IF(TRANSHARI4_SOFTDRINKMALAM[[#This Row],[NAMA PENGHUTANG]]="","",((TRANSHARI4_SOFTDRINKMALAM[[#This Row],[HARGA]]*TRANSHARI4_SOFTDRINKMALAM[[#This Row],[QUANTITY]])+TRANSHARI4_SOFTDRINKMALAM[[#This Row],[PRICE TOLERANCE]])),"")</calculatedColumnFormula>
    </tableColumn>
    <tableColumn id="7" name="NAMA PENGHUTANG" dataDxfId="520"/>
    <tableColumn id="8" name="NOMINAL TRANSFER" dataDxfId="521">
      <calculatedColumnFormula>IFERROR(IF(TRANSHARI4_SOFTDRINKMALAM[[#This Row],[NAMA REKENING]]="","",TRANSHARI4_SOFTDRINKMALAM[[#This Row],[DEBIT]]),"")</calculatedColumnFormula>
    </tableColumn>
    <tableColumn id="9" name="NAMA REKENING" dataDxfId="522"/>
  </tableColumns>
  <tableStyleInfo name="TableStyleMedium16" showFirstColumn="0" showLastColumn="0" showRowStripes="1" showColumnStripes="0"/>
</table>
</file>

<file path=xl/tables/table54.xml><?xml version="1.0" encoding="utf-8"?>
<table xmlns="http://schemas.openxmlformats.org/spreadsheetml/2006/main" id="60" name="TRANSHARI4_ICECREAMMALAM" displayName="TRANSHARI4_ICECREAMMALAM" ref="P255:Y305" totalsRowShown="0">
  <autoFilter xmlns:etc="http://www.wps.cn/officeDocument/2017/etCustomData" ref="P255:Y305" etc:filterBottomFollowUsedRange="0"/>
  <tableColumns count="10">
    <tableColumn id="1" name="NO." dataDxfId="523"/>
    <tableColumn id="2" name="PRODUK" dataDxfId="524"/>
    <tableColumn id="10" name="QUANTITY" dataDxfId="525"/>
    <tableColumn id="3" name="HARGA" dataDxfId="526">
      <calculatedColumnFormula>IFERROR(VLOOKUP(TRANSHARI4_ICECREAMMALAM[[#This Row],[PRODUK]],DATA_ICECREAM[],6,FALSE),"")</calculatedColumnFormula>
    </tableColumn>
    <tableColumn id="4" name="PRICE TOLERANCE" dataDxfId="527"/>
    <tableColumn id="5" name="DEBIT" dataDxfId="528">
      <calculatedColumnFormula>IFERROR(IF(TRANSHARI4_ICECREAMMALAM[[#This Row],[NAMA PENGHUTANG]]="",((TRANSHARI4_ICECREAMMALAM[[#This Row],[HARGA]]*TRANSHARI4_ICECREAMMALAM[[#This Row],[QUANTITY]])+TRANSHARI4_ICECREAMMALAM[[#This Row],[PRICE TOLERANCE]]),""),"")</calculatedColumnFormula>
    </tableColumn>
    <tableColumn id="6" name="KREDIT" dataDxfId="529">
      <calculatedColumnFormula>IFERROR(IF(TRANSHARI4_ICECREAMMALAM[[#This Row],[NAMA PENGHUTANG]]="","",((TRANSHARI4_ICECREAMMALAM[[#This Row],[HARGA]]*TRANSHARI4_ICECREAMMALAM[[#This Row],[QUANTITY]])+TRANSHARI4_ICECREAMMALAM[[#This Row],[PRICE TOLERANCE]])),"")</calculatedColumnFormula>
    </tableColumn>
    <tableColumn id="7" name="NAMA PENGHUTANG" dataDxfId="530"/>
    <tableColumn id="8" name="NOMINAL TRANSFER" dataDxfId="531">
      <calculatedColumnFormula>IFERROR(IF(TRANSHARI4_ICECREAMMALAM[[#This Row],[NAMA REKENING]]="","",TRANSHARI4_ICECREAMMALAM[[#This Row],[DEBIT]]),"")</calculatedColumnFormula>
    </tableColumn>
    <tableColumn id="9" name="NAMA REKENING" dataDxfId="532"/>
  </tableColumns>
  <tableStyleInfo name="TableStyleMedium16" showFirstColumn="0" showLastColumn="0" showRowStripes="1" showColumnStripes="0"/>
</table>
</file>

<file path=xl/tables/table55.xml><?xml version="1.0" encoding="utf-8"?>
<table xmlns="http://schemas.openxmlformats.org/spreadsheetml/2006/main" id="61" name="TRANSHARI4_ACCMALAM" displayName="TRANSHARI4_ACCMALAM" ref="P312:Y342" totalsRowShown="0">
  <autoFilter xmlns:etc="http://www.wps.cn/officeDocument/2017/etCustomData" ref="P312:Y342" etc:filterBottomFollowUsedRange="0"/>
  <tableColumns count="10">
    <tableColumn id="1" name="NO." dataDxfId="533"/>
    <tableColumn id="2" name="PRODUK" dataDxfId="534"/>
    <tableColumn id="10" name="QUANTITY" dataDxfId="535"/>
    <tableColumn id="3" name="HARGA" dataDxfId="536">
      <calculatedColumnFormula>IFERROR(VLOOKUP(TRANSHARI4_ACCMALAM[[#This Row],[PRODUK]],DATA_ACC[],6,FALSE),"")</calculatedColumnFormula>
    </tableColumn>
    <tableColumn id="4" name="PRICE TOLERANCE" dataDxfId="537"/>
    <tableColumn id="5" name="DEBIT" dataDxfId="538">
      <calculatedColumnFormula>IFERROR(IF(TRANSHARI4_ACCMALAM[[#This Row],[NAMA PENGHUTANG]]="",((TRANSHARI4_ACCMALAM[[#This Row],[HARGA]]*TRANSHARI4_ACCMALAM[[#This Row],[QUANTITY]])+TRANSHARI4_ACCMALAM[[#This Row],[PRICE TOLERANCE]]),""),"")</calculatedColumnFormula>
    </tableColumn>
    <tableColumn id="6" name="KREDIT" dataDxfId="539">
      <calculatedColumnFormula>IFERROR(IF(TRANSHARI4_ACCMALAM[[#This Row],[NAMA PENGHUTANG]]="","",((TRANSHARI4_ACCMALAM[[#This Row],[HARGA]]*TRANSHARI4_ACCMALAM[[#This Row],[QUANTITY]])+TRANSHARI4_ACCMALAM[[#This Row],[PRICE TOLERANCE]])),"")</calculatedColumnFormula>
    </tableColumn>
    <tableColumn id="7" name="NAMA PENGHUTANG" dataDxfId="540"/>
    <tableColumn id="8" name="NOMINAL TRANSFER" dataDxfId="541">
      <calculatedColumnFormula>IFERROR(IF(TRANSHARI4_ACCMALAM[[#This Row],[NAMA REKENING]]="","",TRANSHARI4_ACCMALAM[[#This Row],[DEBIT]]),"")</calculatedColumnFormula>
    </tableColumn>
    <tableColumn id="9" name="NAMA REKENING" dataDxfId="542"/>
  </tableColumns>
  <tableStyleInfo name="TableStyleMedium16" showFirstColumn="0" showLastColumn="0" showRowStripes="1" showColumnStripes="0"/>
</table>
</file>

<file path=xl/tables/table56.xml><?xml version="1.0" encoding="utf-8"?>
<table xmlns="http://schemas.openxmlformats.org/spreadsheetml/2006/main" id="62" name="TRANSHARI4_HYDROMALAM" displayName="TRANSHARI4_HYDROMALAM" ref="P349:Y379" totalsRowShown="0">
  <autoFilter xmlns:etc="http://www.wps.cn/officeDocument/2017/etCustomData" ref="P349:Y379" etc:filterBottomFollowUsedRange="0"/>
  <tableColumns count="10">
    <tableColumn id="1" name="NO." dataDxfId="543"/>
    <tableColumn id="2" name="PRODUK" dataDxfId="544"/>
    <tableColumn id="10" name="QUANTITY" dataDxfId="545"/>
    <tableColumn id="3" name="HARGA" dataDxfId="546">
      <calculatedColumnFormula>IFERROR(VLOOKUP(TRANSHARI4_HYDROMALAM[[#This Row],[PRODUK]],DATA_HYDRO[],6,FALSE),"")</calculatedColumnFormula>
    </tableColumn>
    <tableColumn id="4" name="PRICE TOLERANCE" dataDxfId="547"/>
    <tableColumn id="5" name="DEBIT" dataDxfId="548">
      <calculatedColumnFormula>IFERROR(IF(TRANSHARI4_HYDROMALAM[[#This Row],[NAMA PENGHUTANG]]="",((TRANSHARI4_HYDROMALAM[[#This Row],[HARGA]]*TRANSHARI4_HYDROMALAM[[#This Row],[QUANTITY]])+TRANSHARI4_HYDROMALAM[[#This Row],[PRICE TOLERANCE]]),""),"")</calculatedColumnFormula>
    </tableColumn>
    <tableColumn id="6" name="KREDIT" dataDxfId="549">
      <calculatedColumnFormula>IFERROR(IF(TRANSHARI4_HYDROMALAM[[#This Row],[NAMA PENGHUTANG]]="","",((TRANSHARI4_HYDROMALAM[[#This Row],[HARGA]]*TRANSHARI4_HYDROMALAM[[#This Row],[QUANTITY]])+TRANSHARI4_HYDROMALAM[[#This Row],[PRICE TOLERANCE]])),"")</calculatedColumnFormula>
    </tableColumn>
    <tableColumn id="7" name="NAMA PENGHUTANG" dataDxfId="550"/>
    <tableColumn id="8" name="NOMINAL TRANSFER" dataDxfId="551">
      <calculatedColumnFormula>IFERROR(IF(TRANSHARI4_HYDROMALAM[[#This Row],[NAMA REKENING]]="","",TRANSHARI4_HYDROMALAM[[#This Row],[DEBIT]]),"")</calculatedColumnFormula>
    </tableColumn>
    <tableColumn id="9" name="NAMA REKENING" dataDxfId="552"/>
  </tableColumns>
  <tableStyleInfo name="TableStyleMedium16" showFirstColumn="0" showLastColumn="0" showRowStripes="1" showColumnStripes="0"/>
</table>
</file>

<file path=xl/tables/table57.xml><?xml version="1.0" encoding="utf-8"?>
<table xmlns="http://schemas.openxmlformats.org/spreadsheetml/2006/main" id="63" name="TRANSHARI5_ROKOKPAGI" displayName="TRANSHARI5_ROKOKPAGI" ref="A84:J134" totalsRowShown="0">
  <autoFilter xmlns:etc="http://www.wps.cn/officeDocument/2017/etCustomData" ref="A84:J134" etc:filterBottomFollowUsedRange="0"/>
  <tableColumns count="10">
    <tableColumn id="1" name="NO." dataDxfId="553"/>
    <tableColumn id="2" name="PRODUK" dataDxfId="554"/>
    <tableColumn id="10" name="QUANTITY" dataDxfId="555"/>
    <tableColumn id="3" name="HARGA" dataDxfId="556">
      <calculatedColumnFormula>IFERROR(VLOOKUP(TRANSHARI5_ROKOKPAGI[[#This Row],[PRODUK]],DATA_ROKOK[],7,FALSE),"")</calculatedColumnFormula>
    </tableColumn>
    <tableColumn id="4" name="PRICE TOLERANCE" dataDxfId="557"/>
    <tableColumn id="5" name="DEBIT" dataDxfId="558">
      <calculatedColumnFormula>IFERROR(IF(TRANSHARI5_ROKOKPAGI[[#This Row],[NAMA PENGHUTANG]]="",((TRANSHARI5_ROKOKPAGI[[#This Row],[HARGA]]*TRANSHARI5_ROKOKPAGI[[#This Row],[QUANTITY]])+TRANSHARI5_ROKOKPAGI[[#This Row],[PRICE TOLERANCE]]),""),"")</calculatedColumnFormula>
    </tableColumn>
    <tableColumn id="6" name="KREDIT" dataDxfId="559">
      <calculatedColumnFormula>IFERROR(IF(TRANSHARI5_ROKOKPAGI[[#This Row],[NAMA PENGHUTANG]]="","",((TRANSHARI5_ROKOKPAGI[[#This Row],[HARGA]]*TRANSHARI5_ROKOKPAGI[[#This Row],[QUANTITY]])+TRANSHARI5_ROKOKPAGI[[#This Row],[PRICE TOLERANCE]])),"")</calculatedColumnFormula>
    </tableColumn>
    <tableColumn id="7" name="NAMA PENGHUTANG" dataDxfId="560"/>
    <tableColumn id="8" name="NOMINAL TRANSFER" dataDxfId="561">
      <calculatedColumnFormula>IFERROR(IF(TRANSHARI5_ROKOKPAGI[[#This Row],[NAMA REKENING]]="","",TRANSHARI5_ROKOKPAGI[[#This Row],[DEBIT]]),"")</calculatedColumnFormula>
    </tableColumn>
    <tableColumn id="9" name="NAMA REKENING" dataDxfId="562"/>
  </tableColumns>
  <tableStyleInfo name="TableStyleMedium16" showFirstColumn="0" showLastColumn="0" showRowStripes="1" showColumnStripes="0"/>
</table>
</file>

<file path=xl/tables/table58.xml><?xml version="1.0" encoding="utf-8"?>
<table xmlns="http://schemas.openxmlformats.org/spreadsheetml/2006/main" id="64" name="TRANSHARI5_PULSAPAGI" displayName="TRANSHARI5_PULSAPAGI" ref="A27:I77" totalsRowShown="0">
  <autoFilter xmlns:etc="http://www.wps.cn/officeDocument/2017/etCustomData" ref="A27:I77" etc:filterBottomFollowUsedRange="0"/>
  <tableColumns count="9">
    <tableColumn id="1" name="NO." dataDxfId="563"/>
    <tableColumn id="2" name="NO. TELEPON" dataDxfId="564"/>
    <tableColumn id="5" name="DEBIT" dataDxfId="565"/>
    <tableColumn id="6" name="KREDIT" dataDxfId="566"/>
    <tableColumn id="7" name="NAMA PENGHUTANG" dataDxfId="567"/>
    <tableColumn id="8" name="SALDO MINUS" dataDxfId="568"/>
    <tableColumn id="9" name="APLIKASI" dataDxfId="569"/>
    <tableColumn id="11" name="NOMINAL TRANSFER" dataDxfId="570">
      <calculatedColumnFormula>IFERROR(IF(TRANSHARI5_PULSAPAGI[[#This Row],[NAMA REKENING]]="","",TRANSHARI5_PULSAPAGI[[#This Row],[DEBIT]]),"")</calculatedColumnFormula>
    </tableColumn>
    <tableColumn id="12" name="NAMA REKENING" dataDxfId="571"/>
  </tableColumns>
  <tableStyleInfo name="TableStyleMedium16" showFirstColumn="0" showLastColumn="0" showRowStripes="1" showColumnStripes="0"/>
</table>
</file>

<file path=xl/tables/table59.xml><?xml version="1.0" encoding="utf-8"?>
<table xmlns="http://schemas.openxmlformats.org/spreadsheetml/2006/main" id="65" name="TRANSHARI5_SPVOUPAGI" displayName="TRANSHARI5_SPVOUPAGI" ref="A141:J191" totalsRowShown="0">
  <autoFilter xmlns:etc="http://www.wps.cn/officeDocument/2017/etCustomData" ref="A141:J191" etc:filterBottomFollowUsedRange="0"/>
  <tableColumns count="10">
    <tableColumn id="1" name="NO." dataDxfId="572"/>
    <tableColumn id="2" name="PRODUK" dataDxfId="573"/>
    <tableColumn id="10" name="QUANTITY" dataDxfId="574"/>
    <tableColumn id="3" name="HARGA" dataDxfId="575">
      <calculatedColumnFormula>IFERROR(VLOOKUP(TRANSHARI5_SPVOUPAGI[[#This Row],[PRODUK]],DATA_SPVOU[],7,FALSE),"")</calculatedColumnFormula>
    </tableColumn>
    <tableColumn id="4" name="PRICE TOLERANCE" dataDxfId="576"/>
    <tableColumn id="5" name="DEBIT" dataDxfId="577">
      <calculatedColumnFormula>IFERROR(IF(TRANSHARI5_SPVOUPAGI[[#This Row],[NAMA PENGHUTANG]]="",((TRANSHARI5_SPVOUPAGI[[#This Row],[HARGA]]*TRANSHARI5_SPVOUPAGI[[#This Row],[QUANTITY]])+TRANSHARI5_SPVOUPAGI[[#This Row],[PRICE TOLERANCE]]),""),"")</calculatedColumnFormula>
    </tableColumn>
    <tableColumn id="6" name="KREDIT" dataDxfId="578">
      <calculatedColumnFormula>IFERROR(IF(TRANSHARI5_SPVOUPAGI[[#This Row],[NAMA PENGHUTANG]]="","",((TRANSHARI5_SPVOUPAGI[[#This Row],[HARGA]]*TRANSHARI5_SPVOUPAGI[[#This Row],[QUANTITY]])+TRANSHARI5_SPVOUPAGI[[#This Row],[PRICE TOLERANCE]])),"")</calculatedColumnFormula>
    </tableColumn>
    <tableColumn id="7" name="NAMA PENGHUTANG" dataDxfId="579"/>
    <tableColumn id="8" name="NOMINAL TRANSFER" dataDxfId="580">
      <calculatedColumnFormula>IFERROR(IF(TRANSHARI5_SPVOUPAGI[[#This Row],[NAMA REKENING]]="","",TRANSHARI5_SPVOUPAGI[[#This Row],[DEBIT]]),"")</calculatedColumnFormula>
    </tableColumn>
    <tableColumn id="9" name="NAMA REKENING" dataDxfId="581"/>
  </tableColumns>
  <tableStyleInfo name="TableStyleMedium16" showFirstColumn="0" showLastColumn="0" showRowStripes="1" showColumnStripes="0"/>
</table>
</file>

<file path=xl/tables/table60.xml><?xml version="1.0" encoding="utf-8"?>
<table xmlns="http://schemas.openxmlformats.org/spreadsheetml/2006/main" id="66" name="TRANSHARI5_SOFTDRINKPAGI" displayName="TRANSHARI5_SOFTDRINKPAGI" ref="A198:J248" totalsRowShown="0">
  <autoFilter xmlns:etc="http://www.wps.cn/officeDocument/2017/etCustomData" ref="A198:J248" etc:filterBottomFollowUsedRange="0"/>
  <tableColumns count="10">
    <tableColumn id="1" name="NO." dataDxfId="582"/>
    <tableColumn id="2" name="PRODUK" dataDxfId="583"/>
    <tableColumn id="10" name="QUANTITY" dataDxfId="584"/>
    <tableColumn id="3" name="HARGA" dataDxfId="585">
      <calculatedColumnFormula>IFERROR(VLOOKUP(TRANSHARI5_SOFTDRINKPAGI[[#This Row],[PRODUK]],DATA_SOFTDRINK[],7,FALSE),"")</calculatedColumnFormula>
    </tableColumn>
    <tableColumn id="4" name="PRICE TOLERANCE" dataDxfId="586"/>
    <tableColumn id="5" name="DEBIT" dataDxfId="587">
      <calculatedColumnFormula>IFERROR(IF(TRANSHARI5_SOFTDRINKPAGI[[#This Row],[NAMA PENGHUTANG]]="",((TRANSHARI5_SOFTDRINKPAGI[[#This Row],[HARGA]]*TRANSHARI5_SOFTDRINKPAGI[[#This Row],[QUANTITY]])+TRANSHARI5_SOFTDRINKPAGI[[#This Row],[PRICE TOLERANCE]]),""),"")</calculatedColumnFormula>
    </tableColumn>
    <tableColumn id="6" name="KREDIT" dataDxfId="588">
      <calculatedColumnFormula>IFERROR(IF(TRANSHARI5_SOFTDRINKPAGI[[#This Row],[NAMA PENGHUTANG]]="","",((TRANSHARI5_SOFTDRINKPAGI[[#This Row],[HARGA]]*TRANSHARI5_SOFTDRINKPAGI[[#This Row],[QUANTITY]])+TRANSHARI5_SOFTDRINKPAGI[[#This Row],[PRICE TOLERANCE]])),"")</calculatedColumnFormula>
    </tableColumn>
    <tableColumn id="7" name="NAMA PENGHUTANG" dataDxfId="589"/>
    <tableColumn id="8" name="NOMINAL TRANSFER" dataDxfId="590">
      <calculatedColumnFormula>IFERROR(IF(TRANSHARI5_SOFTDRINKPAGI[[#This Row],[NAMA REKENING]]="","",TRANSHARI5_SOFTDRINKPAGI[[#This Row],[DEBIT]]),"")</calculatedColumnFormula>
    </tableColumn>
    <tableColumn id="9" name="NAMA REKENING" dataDxfId="591"/>
  </tableColumns>
  <tableStyleInfo name="TableStyleMedium16" showFirstColumn="0" showLastColumn="0" showRowStripes="1" showColumnStripes="0"/>
</table>
</file>

<file path=xl/tables/table61.xml><?xml version="1.0" encoding="utf-8"?>
<table xmlns="http://schemas.openxmlformats.org/spreadsheetml/2006/main" id="67" name="TRANSHARI5_ICECREAMPAGI" displayName="TRANSHARI5_ICECREAMPAGI" ref="A255:J305" totalsRowShown="0">
  <autoFilter xmlns:etc="http://www.wps.cn/officeDocument/2017/etCustomData" ref="A255:J305" etc:filterBottomFollowUsedRange="0"/>
  <tableColumns count="10">
    <tableColumn id="1" name="NO." dataDxfId="592"/>
    <tableColumn id="2" name="PRODUK" dataDxfId="593"/>
    <tableColumn id="10" name="QUANTITY" dataDxfId="594"/>
    <tableColumn id="3" name="HARGA" dataDxfId="595">
      <calculatedColumnFormula>IFERROR(VLOOKUP(TRANSHARI5_ICECREAMPAGI[[#This Row],[PRODUK]],DATA_ICECREAM[],7,FALSE),"")</calculatedColumnFormula>
    </tableColumn>
    <tableColumn id="4" name="PRICE TOLERANCE" dataDxfId="596"/>
    <tableColumn id="5" name="DEBIT" dataDxfId="597">
      <calculatedColumnFormula>IFERROR(IF(TRANSHARI5_ICECREAMPAGI[[#This Row],[NAMA PENGHUTANG]]="",((TRANSHARI5_ICECREAMPAGI[[#This Row],[HARGA]]*TRANSHARI5_ICECREAMPAGI[[#This Row],[QUANTITY]])+TRANSHARI5_ICECREAMPAGI[[#This Row],[PRICE TOLERANCE]]),""),"")</calculatedColumnFormula>
    </tableColumn>
    <tableColumn id="6" name="KREDIT" dataDxfId="598">
      <calculatedColumnFormula>IFERROR(IF(TRANSHARI5_ICECREAMPAGI[[#This Row],[NAMA PENGHUTANG]]="","",((TRANSHARI5_ICECREAMPAGI[[#This Row],[HARGA]]*TRANSHARI5_ICECREAMPAGI[[#This Row],[QUANTITY]])+TRANSHARI5_ICECREAMPAGI[[#This Row],[PRICE TOLERANCE]])),"")</calculatedColumnFormula>
    </tableColumn>
    <tableColumn id="7" name="NAMA PENGHUTANG" dataDxfId="599"/>
    <tableColumn id="8" name="NOMINAL TRANSFER" dataDxfId="600">
      <calculatedColumnFormula>IFERROR(IF(TRANSHARI5_ICECREAMPAGI[[#This Row],[NAMA REKENING]]="","",TRANSHARI5_ICECREAMPAGI[[#This Row],[DEBIT]]),"")</calculatedColumnFormula>
    </tableColumn>
    <tableColumn id="9" name="NAMA REKENING" dataDxfId="601"/>
  </tableColumns>
  <tableStyleInfo name="TableStyleMedium16" showFirstColumn="0" showLastColumn="0" showRowStripes="1" showColumnStripes="0"/>
</table>
</file>

<file path=xl/tables/table62.xml><?xml version="1.0" encoding="utf-8"?>
<table xmlns="http://schemas.openxmlformats.org/spreadsheetml/2006/main" id="68" name="TRANSHARI5_ACCPAGI" displayName="TRANSHARI5_ACCPAGI" ref="A312:J342" totalsRowShown="0">
  <autoFilter xmlns:etc="http://www.wps.cn/officeDocument/2017/etCustomData" ref="A312:J342" etc:filterBottomFollowUsedRange="0"/>
  <tableColumns count="10">
    <tableColumn id="1" name="NO." dataDxfId="602"/>
    <tableColumn id="2" name="PRODUK" dataDxfId="603"/>
    <tableColumn id="10" name="QUANTITY" dataDxfId="604"/>
    <tableColumn id="3" name="HARGA" dataDxfId="605">
      <calculatedColumnFormula>IFERROR(VLOOKUP(TRANSHARI5_ACCPAGI[[#This Row],[PRODUK]],DATA_ACC[],7,FALSE),"")</calculatedColumnFormula>
    </tableColumn>
    <tableColumn id="4" name="PRICE TOLERANCE" dataDxfId="606"/>
    <tableColumn id="5" name="DEBIT" dataDxfId="607">
      <calculatedColumnFormula>IFERROR(IF(TRANSHARI5_ACCPAGI[[#This Row],[NAMA PENGHUTANG]]="",((TRANSHARI5_ACCPAGI[[#This Row],[HARGA]]*TRANSHARI5_ACCPAGI[[#This Row],[QUANTITY]])+TRANSHARI5_ACCPAGI[[#This Row],[PRICE TOLERANCE]]),""),"")</calculatedColumnFormula>
    </tableColumn>
    <tableColumn id="6" name="KREDIT" dataDxfId="608">
      <calculatedColumnFormula>IFERROR(IF(TRANSHARI5_ACCPAGI[[#This Row],[NAMA PENGHUTANG]]="","",((TRANSHARI5_ACCPAGI[[#This Row],[HARGA]]*TRANSHARI5_ACCPAGI[[#This Row],[QUANTITY]])+TRANSHARI5_ACCPAGI[[#This Row],[PRICE TOLERANCE]])),"")</calculatedColumnFormula>
    </tableColumn>
    <tableColumn id="7" name="NAMA PENGHUTANG" dataDxfId="609"/>
    <tableColumn id="8" name="NOMINAL TRANSFER" dataDxfId="610">
      <calculatedColumnFormula>IFERROR(IF(TRANSHARI5_ACCPAGI[[#This Row],[NAMA REKENING]]="","",TRANSHARI5_ACCPAGI[[#This Row],[DEBIT]]),"")</calculatedColumnFormula>
    </tableColumn>
    <tableColumn id="9" name="NAMA REKENING" dataDxfId="611"/>
  </tableColumns>
  <tableStyleInfo name="TableStyleMedium16" showFirstColumn="0" showLastColumn="0" showRowStripes="1" showColumnStripes="0"/>
</table>
</file>

<file path=xl/tables/table63.xml><?xml version="1.0" encoding="utf-8"?>
<table xmlns="http://schemas.openxmlformats.org/spreadsheetml/2006/main" id="69" name="TRANSHARI5_HYDROPAGI" displayName="TRANSHARI5_HYDROPAGI" ref="A349:J379" totalsRowShown="0">
  <autoFilter xmlns:etc="http://www.wps.cn/officeDocument/2017/etCustomData" ref="A349:J379" etc:filterBottomFollowUsedRange="0"/>
  <tableColumns count="10">
    <tableColumn id="1" name="NO." dataDxfId="612"/>
    <tableColumn id="2" name="PRODUK" dataDxfId="613"/>
    <tableColumn id="10" name="QUANTITY" dataDxfId="614"/>
    <tableColumn id="3" name="HARGA" dataDxfId="615">
      <calculatedColumnFormula>IFERROR(VLOOKUP(TRANSHARI5_HYDROPAGI[[#This Row],[PRODUK]],DATA_HYDRO[],7,FALSE),"")</calculatedColumnFormula>
    </tableColumn>
    <tableColumn id="4" name="PRICE TOLERANCE" dataDxfId="616"/>
    <tableColumn id="5" name="DEBIT" dataDxfId="617">
      <calculatedColumnFormula>IFERROR(IF(TRANSHARI5_HYDROPAGI[[#This Row],[NAMA PENGHUTANG]]="",((TRANSHARI5_HYDROPAGI[[#This Row],[HARGA]]*TRANSHARI5_HYDROPAGI[[#This Row],[QUANTITY]])+TRANSHARI5_HYDROPAGI[[#This Row],[PRICE TOLERANCE]]),""),"")</calculatedColumnFormula>
    </tableColumn>
    <tableColumn id="6" name="KREDIT" dataDxfId="618">
      <calculatedColumnFormula>IFERROR(IF(TRANSHARI5_HYDROPAGI[[#This Row],[NAMA PENGHUTANG]]="","",((TRANSHARI5_HYDROPAGI[[#This Row],[HARGA]]*TRANSHARI5_HYDROPAGI[[#This Row],[QUANTITY]])+TRANSHARI5_HYDROPAGI[[#This Row],[PRICE TOLERANCE]])),"")</calculatedColumnFormula>
    </tableColumn>
    <tableColumn id="7" name="NAMA PENGHUTANG" dataDxfId="619"/>
    <tableColumn id="8" name="NOMINAL TRANSFER" dataDxfId="620">
      <calculatedColumnFormula>IFERROR(IF(TRANSHARI5_HYDROPAGI[[#This Row],[NAMA REKENING]]="","",TRANSHARI5_HYDROPAGI[[#This Row],[DEBIT]]),"")</calculatedColumnFormula>
    </tableColumn>
    <tableColumn id="9" name="NAMA REKENING" dataDxfId="621"/>
  </tableColumns>
  <tableStyleInfo name="TableStyleMedium16" showFirstColumn="0" showLastColumn="0" showRowStripes="1" showColumnStripes="0"/>
</table>
</file>

<file path=xl/tables/table64.xml><?xml version="1.0" encoding="utf-8"?>
<table xmlns="http://schemas.openxmlformats.org/spreadsheetml/2006/main" id="70" name="TRANSHARI5_ROKOKMALAM" displayName="TRANSHARI5_ROKOKMALAM" ref="P84:Y134" totalsRowShown="0">
  <autoFilter xmlns:etc="http://www.wps.cn/officeDocument/2017/etCustomData" ref="P84:Y134" etc:filterBottomFollowUsedRange="0"/>
  <tableColumns count="10">
    <tableColumn id="1" name="NO." dataDxfId="622"/>
    <tableColumn id="2" name="PRODUK" dataDxfId="623"/>
    <tableColumn id="10" name="QUANTITY" dataDxfId="624"/>
    <tableColumn id="3" name="HARGA" dataDxfId="625">
      <calculatedColumnFormula>IFERROR(VLOOKUP(TRANSHARI5_ROKOKMALAM[[#This Row],[PRODUK]],DATA_ROKOK[],7,FALSE),"")</calculatedColumnFormula>
    </tableColumn>
    <tableColumn id="4" name="PRICE TOLERANCE" dataDxfId="626"/>
    <tableColumn id="5" name="DEBIT" dataDxfId="627">
      <calculatedColumnFormula>IFERROR(IF(TRANSHARI5_ROKOKMALAM[[#This Row],[NAMA PENGHUTANG]]="",((TRANSHARI5_ROKOKMALAM[[#This Row],[HARGA]]*TRANSHARI5_ROKOKMALAM[[#This Row],[QUANTITY]])+TRANSHARI5_ROKOKMALAM[[#This Row],[PRICE TOLERANCE]]),""),"")</calculatedColumnFormula>
    </tableColumn>
    <tableColumn id="6" name="KREDIT" dataDxfId="628">
      <calculatedColumnFormula>IFERROR(IF(TRANSHARI5_ROKOKMALAM[[#This Row],[NAMA PENGHUTANG]]="","",((TRANSHARI5_ROKOKMALAM[[#This Row],[HARGA]]*TRANSHARI5_ROKOKMALAM[[#This Row],[QUANTITY]])+TRANSHARI5_ROKOKMALAM[[#This Row],[PRICE TOLERANCE]])),"")</calculatedColumnFormula>
    </tableColumn>
    <tableColumn id="7" name="NAMA PENGHUTANG" dataDxfId="629"/>
    <tableColumn id="8" name="NOMINAL TRANSFER" dataDxfId="630">
      <calculatedColumnFormula>IFERROR(IF(TRANSHARI5_ROKOKMALAM[[#This Row],[NAMA REKENING]]="","",TRANSHARI5_ROKOKMALAM[[#This Row],[DEBIT]]),"")</calculatedColumnFormula>
    </tableColumn>
    <tableColumn id="9" name="NAMA REKENING" dataDxfId="631"/>
  </tableColumns>
  <tableStyleInfo name="TableStyleMedium16" showFirstColumn="0" showLastColumn="0" showRowStripes="1" showColumnStripes="0"/>
</table>
</file>

<file path=xl/tables/table65.xml><?xml version="1.0" encoding="utf-8"?>
<table xmlns="http://schemas.openxmlformats.org/spreadsheetml/2006/main" id="71" name="TRANSHARI5_PULSAMALAM" displayName="TRANSHARI5_PULSAMALAM" ref="P27:X77" totalsRowShown="0">
  <autoFilter xmlns:etc="http://www.wps.cn/officeDocument/2017/etCustomData" ref="P27:X77" etc:filterBottomFollowUsedRange="0"/>
  <tableColumns count="9">
    <tableColumn id="1" name="NO." dataDxfId="632"/>
    <tableColumn id="2" name="NO. TELEPON" dataDxfId="633"/>
    <tableColumn id="5" name="DEBIT" dataDxfId="634"/>
    <tableColumn id="6" name="KREDIT" dataDxfId="635"/>
    <tableColumn id="7" name="NAMA PENGHUTANG" dataDxfId="636"/>
    <tableColumn id="8" name="SALDO MINUS" dataDxfId="637"/>
    <tableColumn id="9" name="APLIKASI" dataDxfId="638"/>
    <tableColumn id="11" name="NOMINAL TRANSFER" dataDxfId="639">
      <calculatedColumnFormula>IFERROR(IF(TRANSHARI5_PULSAMALAM[[#This Row],[NAMA REKENING]]="","",TRANSHARI5_PULSAMALAM[[#This Row],[DEBIT]]),"")</calculatedColumnFormula>
    </tableColumn>
    <tableColumn id="12" name="NAMA REKENING" dataDxfId="640"/>
  </tableColumns>
  <tableStyleInfo name="TableStyleMedium16" showFirstColumn="0" showLastColumn="0" showRowStripes="1" showColumnStripes="0"/>
</table>
</file>

<file path=xl/tables/table66.xml><?xml version="1.0" encoding="utf-8"?>
<table xmlns="http://schemas.openxmlformats.org/spreadsheetml/2006/main" id="72" name="TRANSHARI5_SPVOUMALAM" displayName="TRANSHARI5_SPVOUMALAM" ref="P141:Y191" totalsRowShown="0">
  <autoFilter xmlns:etc="http://www.wps.cn/officeDocument/2017/etCustomData" ref="P141:Y191" etc:filterBottomFollowUsedRange="0"/>
  <tableColumns count="10">
    <tableColumn id="1" name="NO." dataDxfId="641"/>
    <tableColumn id="2" name="PRODUK" dataDxfId="642"/>
    <tableColumn id="10" name="QUANTITY" dataDxfId="643"/>
    <tableColumn id="3" name="HARGA" dataDxfId="644">
      <calculatedColumnFormula>IFERROR(VLOOKUP(TRANSHARI5_SPVOUMALAM[[#This Row],[PRODUK]],DATA_SPVOU[],7,FALSE),"")</calculatedColumnFormula>
    </tableColumn>
    <tableColumn id="4" name="PRICE TOLERANCE" dataDxfId="645"/>
    <tableColumn id="5" name="DEBIT" dataDxfId="646">
      <calculatedColumnFormula>IFERROR(IF(TRANSHARI5_SPVOUMALAM[[#This Row],[NAMA PENGHUTANG]]="",((TRANSHARI5_SPVOUMALAM[[#This Row],[HARGA]]*TRANSHARI5_SPVOUMALAM[[#This Row],[QUANTITY]])+TRANSHARI5_SPVOUMALAM[[#This Row],[PRICE TOLERANCE]]),""),"")</calculatedColumnFormula>
    </tableColumn>
    <tableColumn id="6" name="KREDIT" dataDxfId="647">
      <calculatedColumnFormula>IFERROR(IF(TRANSHARI5_SPVOUMALAM[[#This Row],[NAMA PENGHUTANG]]="","",((TRANSHARI5_SPVOUMALAM[[#This Row],[HARGA]]*TRANSHARI5_SPVOUMALAM[[#This Row],[QUANTITY]])+TRANSHARI5_SPVOUMALAM[[#This Row],[PRICE TOLERANCE]])),"")</calculatedColumnFormula>
    </tableColumn>
    <tableColumn id="7" name="NAMA PENGHUTANG" dataDxfId="648"/>
    <tableColumn id="8" name="NOMINAL TRANSFER" dataDxfId="649">
      <calculatedColumnFormula>IFERROR(IF(TRANSHARI5_SPVOUMALAM[[#This Row],[NAMA REKENING]]="","",TRANSHARI5_SPVOUMALAM[[#This Row],[DEBIT]]),"")</calculatedColumnFormula>
    </tableColumn>
    <tableColumn id="9" name="NAMA REKENING" dataDxfId="650"/>
  </tableColumns>
  <tableStyleInfo name="TableStyleMedium16" showFirstColumn="0" showLastColumn="0" showRowStripes="1" showColumnStripes="0"/>
</table>
</file>

<file path=xl/tables/table67.xml><?xml version="1.0" encoding="utf-8"?>
<table xmlns="http://schemas.openxmlformats.org/spreadsheetml/2006/main" id="73" name="TRANSHARI5_SOFTDRINKMALAM" displayName="TRANSHARI5_SOFTDRINKMALAM" ref="P198:Y248" totalsRowShown="0">
  <autoFilter xmlns:etc="http://www.wps.cn/officeDocument/2017/etCustomData" ref="P198:Y248" etc:filterBottomFollowUsedRange="0"/>
  <tableColumns count="10">
    <tableColumn id="1" name="NO." dataDxfId="651"/>
    <tableColumn id="2" name="PRODUK" dataDxfId="652"/>
    <tableColumn id="10" name="QUANTITY" dataDxfId="653"/>
    <tableColumn id="3" name="HARGA" dataDxfId="654">
      <calculatedColumnFormula>IFERROR(VLOOKUP(TRANSHARI5_SOFTDRINKMALAM[[#This Row],[PRODUK]],DATA_SOFTDRINK[],7,FALSE),"")</calculatedColumnFormula>
    </tableColumn>
    <tableColumn id="4" name="PRICE TOLERANCE" dataDxfId="655"/>
    <tableColumn id="5" name="DEBIT" dataDxfId="656">
      <calculatedColumnFormula>IFERROR(IF(TRANSHARI5_SOFTDRINKMALAM[[#This Row],[NAMA PENGHUTANG]]="",((TRANSHARI5_SOFTDRINKMALAM[[#This Row],[HARGA]]*TRANSHARI5_SOFTDRINKMALAM[[#This Row],[QUANTITY]])+TRANSHARI5_SOFTDRINKMALAM[[#This Row],[PRICE TOLERANCE]]),""),"")</calculatedColumnFormula>
    </tableColumn>
    <tableColumn id="6" name="KREDIT" dataDxfId="657">
      <calculatedColumnFormula>IFERROR(IF(TRANSHARI5_SOFTDRINKMALAM[[#This Row],[NAMA PENGHUTANG]]="","",((TRANSHARI5_SOFTDRINKMALAM[[#This Row],[HARGA]]*TRANSHARI5_SOFTDRINKMALAM[[#This Row],[QUANTITY]])+TRANSHARI5_SOFTDRINKMALAM[[#This Row],[PRICE TOLERANCE]])),"")</calculatedColumnFormula>
    </tableColumn>
    <tableColumn id="7" name="NAMA PENGHUTANG" dataDxfId="658"/>
    <tableColumn id="8" name="NOMINAL TRANSFER" dataDxfId="659">
      <calculatedColumnFormula>IFERROR(IF(TRANSHARI5_SOFTDRINKMALAM[[#This Row],[NAMA REKENING]]="","",TRANSHARI5_SOFTDRINKMALAM[[#This Row],[DEBIT]]),"")</calculatedColumnFormula>
    </tableColumn>
    <tableColumn id="9" name="NAMA REKENING" dataDxfId="660"/>
  </tableColumns>
  <tableStyleInfo name="TableStyleMedium16" showFirstColumn="0" showLastColumn="0" showRowStripes="1" showColumnStripes="0"/>
</table>
</file>

<file path=xl/tables/table68.xml><?xml version="1.0" encoding="utf-8"?>
<table xmlns="http://schemas.openxmlformats.org/spreadsheetml/2006/main" id="74" name="TRANSHARI5_ICECREAMMALAM" displayName="TRANSHARI5_ICECREAMMALAM" ref="P255:Y305" totalsRowShown="0">
  <autoFilter xmlns:etc="http://www.wps.cn/officeDocument/2017/etCustomData" ref="P255:Y305" etc:filterBottomFollowUsedRange="0"/>
  <tableColumns count="10">
    <tableColumn id="1" name="NO." dataDxfId="661"/>
    <tableColumn id="2" name="PRODUK" dataDxfId="662"/>
    <tableColumn id="10" name="QUANTITY" dataDxfId="663"/>
    <tableColumn id="3" name="HARGA" dataDxfId="664">
      <calculatedColumnFormula>IFERROR(VLOOKUP(TRANSHARI5_ICECREAMMALAM[[#This Row],[PRODUK]],DATA_ICECREAM[],7,FALSE),"")</calculatedColumnFormula>
    </tableColumn>
    <tableColumn id="4" name="PRICE TOLERANCE" dataDxfId="665"/>
    <tableColumn id="5" name="DEBIT" dataDxfId="666">
      <calculatedColumnFormula>IFERROR(IF(TRANSHARI5_ICECREAMMALAM[[#This Row],[NAMA PENGHUTANG]]="",((TRANSHARI5_ICECREAMMALAM[[#This Row],[HARGA]]*TRANSHARI5_ICECREAMMALAM[[#This Row],[QUANTITY]])+TRANSHARI5_ICECREAMMALAM[[#This Row],[PRICE TOLERANCE]]),""),"")</calculatedColumnFormula>
    </tableColumn>
    <tableColumn id="6" name="KREDIT" dataDxfId="667">
      <calculatedColumnFormula>IFERROR(IF(TRANSHARI5_ICECREAMMALAM[[#This Row],[NAMA PENGHUTANG]]="","",((TRANSHARI5_ICECREAMMALAM[[#This Row],[HARGA]]*TRANSHARI5_ICECREAMMALAM[[#This Row],[QUANTITY]])+TRANSHARI5_ICECREAMMALAM[[#This Row],[PRICE TOLERANCE]])),"")</calculatedColumnFormula>
    </tableColumn>
    <tableColumn id="7" name="NAMA PENGHUTANG" dataDxfId="668"/>
    <tableColumn id="8" name="NOMINAL TRANSFER" dataDxfId="669">
      <calculatedColumnFormula>IFERROR(IF(TRANSHARI5_ICECREAMMALAM[[#This Row],[NAMA REKENING]]="","",TRANSHARI5_ICECREAMMALAM[[#This Row],[DEBIT]]),"")</calculatedColumnFormula>
    </tableColumn>
    <tableColumn id="9" name="NAMA REKENING" dataDxfId="670"/>
  </tableColumns>
  <tableStyleInfo name="TableStyleMedium16" showFirstColumn="0" showLastColumn="0" showRowStripes="1" showColumnStripes="0"/>
</table>
</file>

<file path=xl/tables/table69.xml><?xml version="1.0" encoding="utf-8"?>
<table xmlns="http://schemas.openxmlformats.org/spreadsheetml/2006/main" id="75" name="TRANSHARI5_ACCMALAM" displayName="TRANSHARI5_ACCMALAM" ref="P312:Y342" totalsRowShown="0">
  <autoFilter xmlns:etc="http://www.wps.cn/officeDocument/2017/etCustomData" ref="P312:Y342" etc:filterBottomFollowUsedRange="0"/>
  <tableColumns count="10">
    <tableColumn id="1" name="NO." dataDxfId="671"/>
    <tableColumn id="2" name="PRODUK" dataDxfId="672"/>
    <tableColumn id="10" name="QUANTITY" dataDxfId="673"/>
    <tableColumn id="3" name="HARGA" dataDxfId="674">
      <calculatedColumnFormula>IFERROR(VLOOKUP(TRANSHARI5_ACCMALAM[[#This Row],[PRODUK]],DATA_ACC[],7,FALSE),"")</calculatedColumnFormula>
    </tableColumn>
    <tableColumn id="4" name="PRICE TOLERANCE" dataDxfId="675"/>
    <tableColumn id="5" name="DEBIT" dataDxfId="676">
      <calculatedColumnFormula>IFERROR(IF(TRANSHARI5_ACCMALAM[[#This Row],[NAMA PENGHUTANG]]="",((TRANSHARI5_ACCMALAM[[#This Row],[HARGA]]*TRANSHARI5_ACCMALAM[[#This Row],[QUANTITY]])+TRANSHARI5_ACCMALAM[[#This Row],[PRICE TOLERANCE]]),""),"")</calculatedColumnFormula>
    </tableColumn>
    <tableColumn id="6" name="KREDIT" dataDxfId="677">
      <calculatedColumnFormula>IFERROR(IF(TRANSHARI5_ACCMALAM[[#This Row],[NAMA PENGHUTANG]]="","",((TRANSHARI5_ACCMALAM[[#This Row],[HARGA]]*TRANSHARI5_ACCMALAM[[#This Row],[QUANTITY]])+TRANSHARI5_ACCMALAM[[#This Row],[PRICE TOLERANCE]])),"")</calculatedColumnFormula>
    </tableColumn>
    <tableColumn id="7" name="NAMA PENGHUTANG" dataDxfId="678"/>
    <tableColumn id="8" name="NOMINAL TRANSFER" dataDxfId="679">
      <calculatedColumnFormula>IFERROR(IF(TRANSHARI5_ACCMALAM[[#This Row],[NAMA REKENING]]="","",TRANSHARI5_ACCMALAM[[#This Row],[DEBIT]]),"")</calculatedColumnFormula>
    </tableColumn>
    <tableColumn id="9" name="NAMA REKENING" dataDxfId="680"/>
  </tableColumns>
  <tableStyleInfo name="TableStyleMedium16" showFirstColumn="0" showLastColumn="0" showRowStripes="1" showColumnStripes="0"/>
</table>
</file>

<file path=xl/tables/table70.xml><?xml version="1.0" encoding="utf-8"?>
<table xmlns="http://schemas.openxmlformats.org/spreadsheetml/2006/main" id="76" name="TRANSHARI5_HYDROMALAM" displayName="TRANSHARI5_HYDROMALAM" ref="P349:Y379" totalsRowShown="0">
  <autoFilter xmlns:etc="http://www.wps.cn/officeDocument/2017/etCustomData" ref="P349:Y379" etc:filterBottomFollowUsedRange="0"/>
  <tableColumns count="10">
    <tableColumn id="1" name="NO." dataDxfId="681"/>
    <tableColumn id="2" name="PRODUK" dataDxfId="682"/>
    <tableColumn id="10" name="QUANTITY" dataDxfId="683"/>
    <tableColumn id="3" name="HARGA" dataDxfId="684">
      <calculatedColumnFormula>IFERROR(VLOOKUP(TRANSHARI5_HYDROMALAM[[#This Row],[PRODUK]],DATA_HYDRO[],7,FALSE),"")</calculatedColumnFormula>
    </tableColumn>
    <tableColumn id="4" name="PRICE TOLERANCE" dataDxfId="685"/>
    <tableColumn id="5" name="DEBIT" dataDxfId="686">
      <calculatedColumnFormula>IFERROR(IF(TRANSHARI5_HYDROMALAM[[#This Row],[NAMA PENGHUTANG]]="",((TRANSHARI5_HYDROMALAM[[#This Row],[HARGA]]*TRANSHARI5_HYDROMALAM[[#This Row],[QUANTITY]])+TRANSHARI5_HYDROMALAM[[#This Row],[PRICE TOLERANCE]]),""),"")</calculatedColumnFormula>
    </tableColumn>
    <tableColumn id="6" name="KREDIT" dataDxfId="687">
      <calculatedColumnFormula>IFERROR(IF(TRANSHARI5_HYDROMALAM[[#This Row],[NAMA PENGHUTANG]]="","",((TRANSHARI5_HYDROMALAM[[#This Row],[HARGA]]*TRANSHARI5_HYDROMALAM[[#This Row],[QUANTITY]])+TRANSHARI5_HYDROMALAM[[#This Row],[PRICE TOLERANCE]])),"")</calculatedColumnFormula>
    </tableColumn>
    <tableColumn id="7" name="NAMA PENGHUTANG" dataDxfId="688"/>
    <tableColumn id="8" name="NOMINAL TRANSFER" dataDxfId="689">
      <calculatedColumnFormula>IFERROR(IF(TRANSHARI5_HYDROMALAM[[#This Row],[NAMA REKENING]]="","",TRANSHARI5_HYDROMALAM[[#This Row],[DEBIT]]),"")</calculatedColumnFormula>
    </tableColumn>
    <tableColumn id="9" name="NAMA REKENING" dataDxfId="690"/>
  </tableColumns>
  <tableStyleInfo name="TableStyleMedium16" showFirstColumn="0" showLastColumn="0" showRowStripes="1" showColumnStripes="0"/>
</table>
</file>

<file path=xl/tables/table71.xml><?xml version="1.0" encoding="utf-8"?>
<table xmlns="http://schemas.openxmlformats.org/spreadsheetml/2006/main" id="77" name="TRANSHARI6_ROKOKPAGI" displayName="TRANSHARI6_ROKOKPAGI" ref="A84:J134" totalsRowShown="0">
  <autoFilter xmlns:etc="http://www.wps.cn/officeDocument/2017/etCustomData" ref="A84:J134" etc:filterBottomFollowUsedRange="0"/>
  <tableColumns count="10">
    <tableColumn id="1" name="NO." dataDxfId="691"/>
    <tableColumn id="2" name="PRODUK" dataDxfId="692"/>
    <tableColumn id="10" name="QUANTITY" dataDxfId="693"/>
    <tableColumn id="3" name="HARGA" dataDxfId="694">
      <calculatedColumnFormula>IFERROR(VLOOKUP(TRANSHARI6_ROKOKPAGI[[#This Row],[PRODUK]],DATA_ROKOK[],8,FALSE),"")</calculatedColumnFormula>
    </tableColumn>
    <tableColumn id="4" name="PRICE TOLERANCE" dataDxfId="695"/>
    <tableColumn id="5" name="DEBIT" dataDxfId="696">
      <calculatedColumnFormula>IFERROR(IF(TRANSHARI6_ROKOKPAGI[[#This Row],[NAMA PENGHUTANG]]="",((TRANSHARI6_ROKOKPAGI[[#This Row],[HARGA]]*TRANSHARI6_ROKOKPAGI[[#This Row],[QUANTITY]])+TRANSHARI6_ROKOKPAGI[[#This Row],[PRICE TOLERANCE]]),""),"")</calculatedColumnFormula>
    </tableColumn>
    <tableColumn id="6" name="KREDIT" dataDxfId="697">
      <calculatedColumnFormula>IFERROR(IF(TRANSHARI6_ROKOKPAGI[[#This Row],[NAMA PENGHUTANG]]="","",((TRANSHARI6_ROKOKPAGI[[#This Row],[HARGA]]*TRANSHARI6_ROKOKPAGI[[#This Row],[QUANTITY]])+TRANSHARI6_ROKOKPAGI[[#This Row],[PRICE TOLERANCE]])),"")</calculatedColumnFormula>
    </tableColumn>
    <tableColumn id="7" name="NAMA PENGHUTANG" dataDxfId="698"/>
    <tableColumn id="8" name="NOMINAL TRANSFER" dataDxfId="699">
      <calculatedColumnFormula>IFERROR(IF(TRANSHARI6_ROKOKPAGI[[#This Row],[NAMA REKENING]]="","",TRANSHARI6_ROKOKPAGI[[#This Row],[DEBIT]]),"")</calculatedColumnFormula>
    </tableColumn>
    <tableColumn id="9" name="NAMA REKENING" dataDxfId="700"/>
  </tableColumns>
  <tableStyleInfo name="TableStyleMedium16" showFirstColumn="0" showLastColumn="0" showRowStripes="1" showColumnStripes="0"/>
</table>
</file>

<file path=xl/tables/table72.xml><?xml version="1.0" encoding="utf-8"?>
<table xmlns="http://schemas.openxmlformats.org/spreadsheetml/2006/main" id="78" name="TRANSHARI6_PULSAPAGI" displayName="TRANSHARI6_PULSAPAGI" ref="A27:I77" totalsRowShown="0">
  <autoFilter xmlns:etc="http://www.wps.cn/officeDocument/2017/etCustomData" ref="A27:I77" etc:filterBottomFollowUsedRange="0"/>
  <tableColumns count="9">
    <tableColumn id="1" name="NO." dataDxfId="701"/>
    <tableColumn id="2" name="NO. TELEPON" dataDxfId="702"/>
    <tableColumn id="5" name="DEBIT" dataDxfId="703"/>
    <tableColumn id="6" name="KREDIT" dataDxfId="704"/>
    <tableColumn id="7" name="NAMA PENGHUTANG" dataDxfId="705"/>
    <tableColumn id="8" name="SALDO MINUS" dataDxfId="706"/>
    <tableColumn id="9" name="APLIKASI" dataDxfId="707"/>
    <tableColumn id="11" name="NOMINAL TRANSFER" dataDxfId="708">
      <calculatedColumnFormula>IFERROR(IF(TRANSHARI6_PULSAPAGI[[#This Row],[NAMA REKENING]]="","",TRANSHARI6_PULSAPAGI[[#This Row],[DEBIT]]),"")</calculatedColumnFormula>
    </tableColumn>
    <tableColumn id="12" name="NAMA REKENING" dataDxfId="709"/>
  </tableColumns>
  <tableStyleInfo name="TableStyleMedium16" showFirstColumn="0" showLastColumn="0" showRowStripes="1" showColumnStripes="0"/>
</table>
</file>

<file path=xl/tables/table73.xml><?xml version="1.0" encoding="utf-8"?>
<table xmlns="http://schemas.openxmlformats.org/spreadsheetml/2006/main" id="79" name="TRANSHARI6_SPVOUPAGI" displayName="TRANSHARI6_SPVOUPAGI" ref="A141:J191" totalsRowShown="0">
  <autoFilter xmlns:etc="http://www.wps.cn/officeDocument/2017/etCustomData" ref="A141:J191" etc:filterBottomFollowUsedRange="0"/>
  <tableColumns count="10">
    <tableColumn id="1" name="NO." dataDxfId="710"/>
    <tableColumn id="2" name="PRODUK" dataDxfId="711"/>
    <tableColumn id="10" name="QUANTITY" dataDxfId="712"/>
    <tableColumn id="3" name="HARGA" dataDxfId="713">
      <calculatedColumnFormula>IFERROR(VLOOKUP(TRANSHARI6_SPVOUPAGI[[#This Row],[PRODUK]],DATA_SPVOU[],8,FALSE),"")</calculatedColumnFormula>
    </tableColumn>
    <tableColumn id="4" name="PRICE TOLERANCE" dataDxfId="714"/>
    <tableColumn id="5" name="DEBIT" dataDxfId="715">
      <calculatedColumnFormula>IFERROR(IF(TRANSHARI6_SPVOUPAGI[[#This Row],[NAMA PENGHUTANG]]="",((TRANSHARI6_SPVOUPAGI[[#This Row],[HARGA]]*TRANSHARI6_SPVOUPAGI[[#This Row],[QUANTITY]])+TRANSHARI6_SPVOUPAGI[[#This Row],[PRICE TOLERANCE]]),""),"")</calculatedColumnFormula>
    </tableColumn>
    <tableColumn id="6" name="KREDIT" dataDxfId="716">
      <calculatedColumnFormula>IFERROR(IF(TRANSHARI6_SPVOUPAGI[[#This Row],[NAMA PENGHUTANG]]="","",((TRANSHARI6_SPVOUPAGI[[#This Row],[HARGA]]*TRANSHARI6_SPVOUPAGI[[#This Row],[QUANTITY]])+TRANSHARI6_SPVOUPAGI[[#This Row],[PRICE TOLERANCE]])),"")</calculatedColumnFormula>
    </tableColumn>
    <tableColumn id="7" name="NAMA PENGHUTANG" dataDxfId="717"/>
    <tableColumn id="8" name="NOMINAL TRANSFER" dataDxfId="718">
      <calculatedColumnFormula>IFERROR(IF(TRANSHARI6_SPVOUPAGI[[#This Row],[NAMA REKENING]]="","",TRANSHARI6_SPVOUPAGI[[#This Row],[DEBIT]]),"")</calculatedColumnFormula>
    </tableColumn>
    <tableColumn id="9" name="NAMA REKENING" dataDxfId="719"/>
  </tableColumns>
  <tableStyleInfo name="TableStyleMedium16" showFirstColumn="0" showLastColumn="0" showRowStripes="1" showColumnStripes="0"/>
</table>
</file>

<file path=xl/tables/table74.xml><?xml version="1.0" encoding="utf-8"?>
<table xmlns="http://schemas.openxmlformats.org/spreadsheetml/2006/main" id="80" name="TRANSHARI6_SOFTDRINKPAGI" displayName="TRANSHARI6_SOFTDRINKPAGI" ref="A198:J248" totalsRowShown="0">
  <autoFilter xmlns:etc="http://www.wps.cn/officeDocument/2017/etCustomData" ref="A198:J248" etc:filterBottomFollowUsedRange="0"/>
  <tableColumns count="10">
    <tableColumn id="1" name="NO." dataDxfId="720"/>
    <tableColumn id="2" name="PRODUK" dataDxfId="721"/>
    <tableColumn id="10" name="QUANTITY" dataDxfId="722"/>
    <tableColumn id="3" name="HARGA" dataDxfId="723">
      <calculatedColumnFormula>IFERROR(VLOOKUP(TRANSHARI6_SOFTDRINKPAGI[[#This Row],[PRODUK]],DATA_SOFTDRINK[],8,FALSE),"")</calculatedColumnFormula>
    </tableColumn>
    <tableColumn id="4" name="PRICE TOLERANCE" dataDxfId="724"/>
    <tableColumn id="5" name="DEBIT" dataDxfId="725">
      <calculatedColumnFormula>IFERROR(IF(TRANSHARI6_SOFTDRINKPAGI[[#This Row],[NAMA PENGHUTANG]]="",((TRANSHARI6_SOFTDRINKPAGI[[#This Row],[HARGA]]*TRANSHARI6_SOFTDRINKPAGI[[#This Row],[QUANTITY]])+TRANSHARI6_SOFTDRINKPAGI[[#This Row],[PRICE TOLERANCE]]),""),"")</calculatedColumnFormula>
    </tableColumn>
    <tableColumn id="6" name="KREDIT" dataDxfId="726">
      <calculatedColumnFormula>IFERROR(IF(TRANSHARI6_SOFTDRINKPAGI[[#This Row],[NAMA PENGHUTANG]]="","",((TRANSHARI6_SOFTDRINKPAGI[[#This Row],[HARGA]]*TRANSHARI6_SOFTDRINKPAGI[[#This Row],[QUANTITY]])+TRANSHARI6_SOFTDRINKPAGI[[#This Row],[PRICE TOLERANCE]])),"")</calculatedColumnFormula>
    </tableColumn>
    <tableColumn id="7" name="NAMA PENGHUTANG" dataDxfId="727"/>
    <tableColumn id="8" name="NOMINAL TRANSFER" dataDxfId="728">
      <calculatedColumnFormula>IFERROR(IF(TRANSHARI6_SOFTDRINKPAGI[[#This Row],[NAMA REKENING]]="","",TRANSHARI6_SOFTDRINKPAGI[[#This Row],[DEBIT]]),"")</calculatedColumnFormula>
    </tableColumn>
    <tableColumn id="9" name="NAMA REKENING" dataDxfId="729"/>
  </tableColumns>
  <tableStyleInfo name="TableStyleMedium16" showFirstColumn="0" showLastColumn="0" showRowStripes="1" showColumnStripes="0"/>
</table>
</file>

<file path=xl/tables/table75.xml><?xml version="1.0" encoding="utf-8"?>
<table xmlns="http://schemas.openxmlformats.org/spreadsheetml/2006/main" id="81" name="TRANSHARI6_ICECREAMPAGI" displayName="TRANSHARI6_ICECREAMPAGI" ref="A255:J305" totalsRowShown="0">
  <autoFilter xmlns:etc="http://www.wps.cn/officeDocument/2017/etCustomData" ref="A255:J305" etc:filterBottomFollowUsedRange="0"/>
  <tableColumns count="10">
    <tableColumn id="1" name="NO." dataDxfId="730"/>
    <tableColumn id="2" name="PRODUK" dataDxfId="731"/>
    <tableColumn id="10" name="QUANTITY" dataDxfId="732"/>
    <tableColumn id="3" name="HARGA" dataDxfId="733">
      <calculatedColumnFormula>IFERROR(VLOOKUP(TRANSHARI6_ICECREAMPAGI[[#This Row],[PRODUK]],DATA_ICECREAM[],8,FALSE),"")</calculatedColumnFormula>
    </tableColumn>
    <tableColumn id="4" name="PRICE TOLERANCE" dataDxfId="734"/>
    <tableColumn id="5" name="DEBIT" dataDxfId="735">
      <calculatedColumnFormula>IFERROR(IF(TRANSHARI6_ICECREAMPAGI[[#This Row],[NAMA PENGHUTANG]]="",((TRANSHARI6_ICECREAMPAGI[[#This Row],[HARGA]]*TRANSHARI6_ICECREAMPAGI[[#This Row],[QUANTITY]])+TRANSHARI6_ICECREAMPAGI[[#This Row],[PRICE TOLERANCE]]),""),"")</calculatedColumnFormula>
    </tableColumn>
    <tableColumn id="6" name="KREDIT" dataDxfId="736">
      <calculatedColumnFormula>IFERROR(IF(TRANSHARI6_ICECREAMPAGI[[#This Row],[NAMA PENGHUTANG]]="","",((TRANSHARI6_ICECREAMPAGI[[#This Row],[HARGA]]*TRANSHARI6_ICECREAMPAGI[[#This Row],[QUANTITY]])+TRANSHARI6_ICECREAMPAGI[[#This Row],[PRICE TOLERANCE]])),"")</calculatedColumnFormula>
    </tableColumn>
    <tableColumn id="7" name="NAMA PENGHUTANG" dataDxfId="737"/>
    <tableColumn id="8" name="NOMINAL TRANSFER" dataDxfId="738">
      <calculatedColumnFormula>IFERROR(IF(TRANSHARI6_ICECREAMPAGI[[#This Row],[NAMA REKENING]]="","",TRANSHARI6_ICECREAMPAGI[[#This Row],[DEBIT]]),"")</calculatedColumnFormula>
    </tableColumn>
    <tableColumn id="9" name="NAMA REKENING" dataDxfId="739"/>
  </tableColumns>
  <tableStyleInfo name="TableStyleMedium16" showFirstColumn="0" showLastColumn="0" showRowStripes="1" showColumnStripes="0"/>
</table>
</file>

<file path=xl/tables/table76.xml><?xml version="1.0" encoding="utf-8"?>
<table xmlns="http://schemas.openxmlformats.org/spreadsheetml/2006/main" id="82" name="TRANSHARI6_ACCPAGI" displayName="TRANSHARI6_ACCPAGI" ref="A312:J342" totalsRowShown="0">
  <autoFilter xmlns:etc="http://www.wps.cn/officeDocument/2017/etCustomData" ref="A312:J342" etc:filterBottomFollowUsedRange="0"/>
  <tableColumns count="10">
    <tableColumn id="1" name="NO." dataDxfId="740"/>
    <tableColumn id="2" name="PRODUK" dataDxfId="741"/>
    <tableColumn id="10" name="QUANTITY" dataDxfId="742"/>
    <tableColumn id="3" name="HARGA" dataDxfId="743">
      <calculatedColumnFormula>IFERROR(VLOOKUP(TRANSHARI6_ACCPAGI[[#This Row],[PRODUK]],DATA_ACC[],8,FALSE),"")</calculatedColumnFormula>
    </tableColumn>
    <tableColumn id="4" name="PRICE TOLERANCE" dataDxfId="744"/>
    <tableColumn id="5" name="DEBIT" dataDxfId="745">
      <calculatedColumnFormula>IFERROR(IF(TRANSHARI6_ACCPAGI[[#This Row],[NAMA PENGHUTANG]]="",((TRANSHARI6_ACCPAGI[[#This Row],[HARGA]]*TRANSHARI6_ACCPAGI[[#This Row],[QUANTITY]])+TRANSHARI6_ACCPAGI[[#This Row],[PRICE TOLERANCE]]),""),"")</calculatedColumnFormula>
    </tableColumn>
    <tableColumn id="6" name="KREDIT" dataDxfId="746">
      <calculatedColumnFormula>IFERROR(IF(TRANSHARI6_ACCPAGI[[#This Row],[NAMA PENGHUTANG]]="","",((TRANSHARI6_ACCPAGI[[#This Row],[HARGA]]*TRANSHARI6_ACCPAGI[[#This Row],[QUANTITY]])+TRANSHARI6_ACCPAGI[[#This Row],[PRICE TOLERANCE]])),"")</calculatedColumnFormula>
    </tableColumn>
    <tableColumn id="7" name="NAMA PENGHUTANG" dataDxfId="747"/>
    <tableColumn id="8" name="NOMINAL TRANSFER" dataDxfId="748">
      <calculatedColumnFormula>IFERROR(IF(TRANSHARI6_ACCPAGI[[#This Row],[NAMA REKENING]]="","",TRANSHARI6_ACCPAGI[[#This Row],[DEBIT]]),"")</calculatedColumnFormula>
    </tableColumn>
    <tableColumn id="9" name="NAMA REKENING" dataDxfId="749"/>
  </tableColumns>
  <tableStyleInfo name="TableStyleMedium16" showFirstColumn="0" showLastColumn="0" showRowStripes="1" showColumnStripes="0"/>
</table>
</file>

<file path=xl/tables/table77.xml><?xml version="1.0" encoding="utf-8"?>
<table xmlns="http://schemas.openxmlformats.org/spreadsheetml/2006/main" id="83" name="TRANSHARI6_HYDROPAGI" displayName="TRANSHARI6_HYDROPAGI" ref="A349:J379" totalsRowShown="0">
  <autoFilter xmlns:etc="http://www.wps.cn/officeDocument/2017/etCustomData" ref="A349:J379" etc:filterBottomFollowUsedRange="0"/>
  <tableColumns count="10">
    <tableColumn id="1" name="NO." dataDxfId="750"/>
    <tableColumn id="2" name="PRODUK" dataDxfId="751"/>
    <tableColumn id="10" name="QUANTITY" dataDxfId="752"/>
    <tableColumn id="3" name="HARGA" dataDxfId="753">
      <calculatedColumnFormula>IFERROR(VLOOKUP(TRANSHARI6_HYDROPAGI[[#This Row],[PRODUK]],DATA_HYDRO[],8,FALSE),"")</calculatedColumnFormula>
    </tableColumn>
    <tableColumn id="4" name="PRICE TOLERANCE" dataDxfId="754"/>
    <tableColumn id="5" name="DEBIT" dataDxfId="755">
      <calculatedColumnFormula>IFERROR(IF(TRANSHARI6_HYDROPAGI[[#This Row],[NAMA PENGHUTANG]]="",((TRANSHARI6_HYDROPAGI[[#This Row],[HARGA]]*TRANSHARI6_HYDROPAGI[[#This Row],[QUANTITY]])+TRANSHARI6_HYDROPAGI[[#This Row],[PRICE TOLERANCE]]),""),"")</calculatedColumnFormula>
    </tableColumn>
    <tableColumn id="6" name="KREDIT" dataDxfId="756">
      <calculatedColumnFormula>IFERROR(IF(TRANSHARI6_HYDROPAGI[[#This Row],[NAMA PENGHUTANG]]="","",((TRANSHARI6_HYDROPAGI[[#This Row],[HARGA]]*TRANSHARI6_HYDROPAGI[[#This Row],[QUANTITY]])+TRANSHARI6_HYDROPAGI[[#This Row],[PRICE TOLERANCE]])),"")</calculatedColumnFormula>
    </tableColumn>
    <tableColumn id="7" name="NAMA PENGHUTANG" dataDxfId="757"/>
    <tableColumn id="8" name="NOMINAL TRANSFER" dataDxfId="758">
      <calculatedColumnFormula>IFERROR(IF(TRANSHARI6_HYDROPAGI[[#This Row],[NAMA REKENING]]="","",TRANSHARI6_HYDROPAGI[[#This Row],[DEBIT]]),"")</calculatedColumnFormula>
    </tableColumn>
    <tableColumn id="9" name="NAMA REKENING" dataDxfId="759"/>
  </tableColumns>
  <tableStyleInfo name="TableStyleMedium16" showFirstColumn="0" showLastColumn="0" showRowStripes="1" showColumnStripes="0"/>
</table>
</file>

<file path=xl/tables/table78.xml><?xml version="1.0" encoding="utf-8"?>
<table xmlns="http://schemas.openxmlformats.org/spreadsheetml/2006/main" id="84" name="TRANSHARI6_ROKOKMALAM" displayName="TRANSHARI6_ROKOKMALAM" ref="P84:Y134" totalsRowShown="0">
  <autoFilter xmlns:etc="http://www.wps.cn/officeDocument/2017/etCustomData" ref="P84:Y134" etc:filterBottomFollowUsedRange="0"/>
  <tableColumns count="10">
    <tableColumn id="1" name="NO." dataDxfId="760"/>
    <tableColumn id="2" name="PRODUK" dataDxfId="761"/>
    <tableColumn id="10" name="QUANTITY" dataDxfId="762"/>
    <tableColumn id="3" name="HARGA" dataDxfId="763">
      <calculatedColumnFormula>IFERROR(VLOOKUP(TRANSHARI6_ROKOKMALAM[[#This Row],[PRODUK]],DATA_ROKOK[],8,FALSE),"")</calculatedColumnFormula>
    </tableColumn>
    <tableColumn id="4" name="PRICE TOLERANCE" dataDxfId="764"/>
    <tableColumn id="5" name="DEBIT" dataDxfId="765">
      <calculatedColumnFormula>IFERROR(IF(TRANSHARI6_ROKOKMALAM[[#This Row],[NAMA PENGHUTANG]]="",((TRANSHARI6_ROKOKMALAM[[#This Row],[HARGA]]*TRANSHARI6_ROKOKMALAM[[#This Row],[QUANTITY]])+TRANSHARI6_ROKOKMALAM[[#This Row],[PRICE TOLERANCE]]),""),"")</calculatedColumnFormula>
    </tableColumn>
    <tableColumn id="6" name="KREDIT" dataDxfId="766">
      <calculatedColumnFormula>IFERROR(IF(TRANSHARI6_ROKOKMALAM[[#This Row],[NAMA PENGHUTANG]]="","",((TRANSHARI6_ROKOKMALAM[[#This Row],[HARGA]]*TRANSHARI6_ROKOKMALAM[[#This Row],[QUANTITY]])+TRANSHARI6_ROKOKMALAM[[#This Row],[PRICE TOLERANCE]])),"")</calculatedColumnFormula>
    </tableColumn>
    <tableColumn id="7" name="NAMA PENGHUTANG" dataDxfId="767"/>
    <tableColumn id="8" name="NOMINAL TRANSFER" dataDxfId="768">
      <calculatedColumnFormula>IFERROR(IF(TRANSHARI6_ROKOKMALAM[[#This Row],[NAMA REKENING]]="","",TRANSHARI6_ROKOKMALAM[[#This Row],[DEBIT]]),"")</calculatedColumnFormula>
    </tableColumn>
    <tableColumn id="9" name="NAMA REKENING" dataDxfId="769"/>
  </tableColumns>
  <tableStyleInfo name="TableStyleMedium16" showFirstColumn="0" showLastColumn="0" showRowStripes="1" showColumnStripes="0"/>
</table>
</file>

<file path=xl/tables/table79.xml><?xml version="1.0" encoding="utf-8"?>
<table xmlns="http://schemas.openxmlformats.org/spreadsheetml/2006/main" id="85" name="TRANSHARI6_PULSAMALAM" displayName="TRANSHARI6_PULSAMALAM" ref="P27:X77" totalsRowShown="0">
  <autoFilter xmlns:etc="http://www.wps.cn/officeDocument/2017/etCustomData" ref="P27:X77" etc:filterBottomFollowUsedRange="0"/>
  <tableColumns count="9">
    <tableColumn id="1" name="NO." dataDxfId="770"/>
    <tableColumn id="2" name="NO. TELEPON" dataDxfId="771"/>
    <tableColumn id="5" name="DEBIT" dataDxfId="772"/>
    <tableColumn id="6" name="KREDIT" dataDxfId="773"/>
    <tableColumn id="7" name="NAMA PENGHUTANG" dataDxfId="774"/>
    <tableColumn id="8" name="SALDO MINUS" dataDxfId="775"/>
    <tableColumn id="9" name="APLIKASI" dataDxfId="776"/>
    <tableColumn id="11" name="NOMINAL TRANSFER" dataDxfId="777">
      <calculatedColumnFormula>IFERROR(IF(TRANSHARI6_PULSAMALAM[[#This Row],[NAMA REKENING]]="","",TRANSHARI6_PULSAMALAM[[#This Row],[DEBIT]]),"")</calculatedColumnFormula>
    </tableColumn>
    <tableColumn id="12" name="NAMA REKENING" dataDxfId="778"/>
  </tableColumns>
  <tableStyleInfo name="TableStyleMedium16" showFirstColumn="0" showLastColumn="0" showRowStripes="1" showColumnStripes="0"/>
</table>
</file>

<file path=xl/tables/table80.xml><?xml version="1.0" encoding="utf-8"?>
<table xmlns="http://schemas.openxmlformats.org/spreadsheetml/2006/main" id="86" name="TRANSHARI6_SPVOUMALAM" displayName="TRANSHARI6_SPVOUMALAM" ref="P141:Y191" totalsRowShown="0">
  <autoFilter xmlns:etc="http://www.wps.cn/officeDocument/2017/etCustomData" ref="P141:Y191" etc:filterBottomFollowUsedRange="0"/>
  <tableColumns count="10">
    <tableColumn id="1" name="NO." dataDxfId="779"/>
    <tableColumn id="2" name="PRODUK" dataDxfId="780"/>
    <tableColumn id="10" name="QUANTITY" dataDxfId="781"/>
    <tableColumn id="3" name="HARGA" dataDxfId="782">
      <calculatedColumnFormula>IFERROR(VLOOKUP(TRANSHARI6_SPVOUMALAM[[#This Row],[PRODUK]],DATA_SPVOU[],8,FALSE),"")</calculatedColumnFormula>
    </tableColumn>
    <tableColumn id="4" name="PRICE TOLERANCE" dataDxfId="783"/>
    <tableColumn id="5" name="DEBIT" dataDxfId="784">
      <calculatedColumnFormula>IFERROR(IF(TRANSHARI6_SPVOUMALAM[[#This Row],[NAMA PENGHUTANG]]="",((TRANSHARI6_SPVOUMALAM[[#This Row],[HARGA]]*TRANSHARI6_SPVOUMALAM[[#This Row],[QUANTITY]])+TRANSHARI6_SPVOUMALAM[[#This Row],[PRICE TOLERANCE]]),""),"")</calculatedColumnFormula>
    </tableColumn>
    <tableColumn id="6" name="KREDIT" dataDxfId="785">
      <calculatedColumnFormula>IFERROR(IF(TRANSHARI6_SPVOUMALAM[[#This Row],[NAMA PENGHUTANG]]="","",((TRANSHARI6_SPVOUMALAM[[#This Row],[HARGA]]*TRANSHARI6_SPVOUMALAM[[#This Row],[QUANTITY]])+TRANSHARI6_SPVOUMALAM[[#This Row],[PRICE TOLERANCE]])),"")</calculatedColumnFormula>
    </tableColumn>
    <tableColumn id="7" name="NAMA PENGHUTANG" dataDxfId="786"/>
    <tableColumn id="8" name="NOMINAL TRANSFER" dataDxfId="787">
      <calculatedColumnFormula>IFERROR(IF(TRANSHARI6_SPVOUMALAM[[#This Row],[NAMA REKENING]]="","",TRANSHARI6_SPVOUMALAM[[#This Row],[DEBIT]]),"")</calculatedColumnFormula>
    </tableColumn>
    <tableColumn id="9" name="NAMA REKENING" dataDxfId="788"/>
  </tableColumns>
  <tableStyleInfo name="TableStyleMedium16" showFirstColumn="0" showLastColumn="0" showRowStripes="1" showColumnStripes="0"/>
</table>
</file>

<file path=xl/tables/table81.xml><?xml version="1.0" encoding="utf-8"?>
<table xmlns="http://schemas.openxmlformats.org/spreadsheetml/2006/main" id="87" name="TRANSHARI6_SOFTDRINKMALAM" displayName="TRANSHARI6_SOFTDRINKMALAM" ref="P198:Y248" totalsRowShown="0">
  <autoFilter xmlns:etc="http://www.wps.cn/officeDocument/2017/etCustomData" ref="P198:Y248" etc:filterBottomFollowUsedRange="0"/>
  <tableColumns count="10">
    <tableColumn id="1" name="NO." dataDxfId="789"/>
    <tableColumn id="2" name="PRODUK" dataDxfId="790"/>
    <tableColumn id="10" name="QUANTITY" dataDxfId="791"/>
    <tableColumn id="3" name="HARGA" dataDxfId="792">
      <calculatedColumnFormula>IFERROR(VLOOKUP(TRANSHARI6_SOFTDRINKMALAM[[#This Row],[PRODUK]],DATA_SOFTDRINK[],8,FALSE),"")</calculatedColumnFormula>
    </tableColumn>
    <tableColumn id="4" name="PRICE TOLERANCE" dataDxfId="793"/>
    <tableColumn id="5" name="DEBIT" dataDxfId="794">
      <calculatedColumnFormula>IFERROR(IF(TRANSHARI6_SOFTDRINKMALAM[[#This Row],[NAMA PENGHUTANG]]="",((TRANSHARI6_SOFTDRINKMALAM[[#This Row],[HARGA]]*TRANSHARI6_SOFTDRINKMALAM[[#This Row],[QUANTITY]])+TRANSHARI6_SOFTDRINKMALAM[[#This Row],[PRICE TOLERANCE]]),""),"")</calculatedColumnFormula>
    </tableColumn>
    <tableColumn id="6" name="KREDIT" dataDxfId="795">
      <calculatedColumnFormula>IFERROR(IF(TRANSHARI6_SOFTDRINKMALAM[[#This Row],[NAMA PENGHUTANG]]="","",((TRANSHARI6_SOFTDRINKMALAM[[#This Row],[HARGA]]*TRANSHARI6_SOFTDRINKMALAM[[#This Row],[QUANTITY]])+TRANSHARI6_SOFTDRINKMALAM[[#This Row],[PRICE TOLERANCE]])),"")</calculatedColumnFormula>
    </tableColumn>
    <tableColumn id="7" name="NAMA PENGHUTANG" dataDxfId="796"/>
    <tableColumn id="8" name="NOMINAL TRANSFER" dataDxfId="797">
      <calculatedColumnFormula>IFERROR(IF(TRANSHARI6_SOFTDRINKMALAM[[#This Row],[NAMA REKENING]]="","",TRANSHARI6_SOFTDRINKMALAM[[#This Row],[DEBIT]]),"")</calculatedColumnFormula>
    </tableColumn>
    <tableColumn id="9" name="NAMA REKENING" dataDxfId="798"/>
  </tableColumns>
  <tableStyleInfo name="TableStyleMedium16" showFirstColumn="0" showLastColumn="0" showRowStripes="1" showColumnStripes="0"/>
</table>
</file>

<file path=xl/tables/table82.xml><?xml version="1.0" encoding="utf-8"?>
<table xmlns="http://schemas.openxmlformats.org/spreadsheetml/2006/main" id="88" name="TRANSHARI6_ICECREAMMALAM" displayName="TRANSHARI6_ICECREAMMALAM" ref="P255:Y305" totalsRowShown="0">
  <autoFilter xmlns:etc="http://www.wps.cn/officeDocument/2017/etCustomData" ref="P255:Y305" etc:filterBottomFollowUsedRange="0"/>
  <tableColumns count="10">
    <tableColumn id="1" name="NO." dataDxfId="799"/>
    <tableColumn id="2" name="PRODUK" dataDxfId="800"/>
    <tableColumn id="10" name="QUANTITY" dataDxfId="801"/>
    <tableColumn id="3" name="HARGA" dataDxfId="802">
      <calculatedColumnFormula>IFERROR(VLOOKUP(TRANSHARI6_ICECREAMMALAM[[#This Row],[PRODUK]],DATA_ICECREAM[],8,FALSE),"")</calculatedColumnFormula>
    </tableColumn>
    <tableColumn id="4" name="PRICE TOLERANCE" dataDxfId="803"/>
    <tableColumn id="5" name="DEBIT" dataDxfId="804">
      <calculatedColumnFormula>IFERROR(IF(TRANSHARI6_ICECREAMMALAM[[#This Row],[NAMA PENGHUTANG]]="",((TRANSHARI6_ICECREAMMALAM[[#This Row],[HARGA]]*TRANSHARI6_ICECREAMMALAM[[#This Row],[QUANTITY]])+TRANSHARI6_ICECREAMMALAM[[#This Row],[PRICE TOLERANCE]]),""),"")</calculatedColumnFormula>
    </tableColumn>
    <tableColumn id="6" name="KREDIT" dataDxfId="805">
      <calculatedColumnFormula>IFERROR(IF(TRANSHARI6_ICECREAMMALAM[[#This Row],[NAMA PENGHUTANG]]="","",((TRANSHARI6_ICECREAMMALAM[[#This Row],[HARGA]]*TRANSHARI6_ICECREAMMALAM[[#This Row],[QUANTITY]])+TRANSHARI6_ICECREAMMALAM[[#This Row],[PRICE TOLERANCE]])),"")</calculatedColumnFormula>
    </tableColumn>
    <tableColumn id="7" name="NAMA PENGHUTANG" dataDxfId="806"/>
    <tableColumn id="8" name="NOMINAL TRANSFER" dataDxfId="807">
      <calculatedColumnFormula>IFERROR(IF(TRANSHARI6_ICECREAMMALAM[[#This Row],[NAMA REKENING]]="","",TRANSHARI6_ICECREAMMALAM[[#This Row],[DEBIT]]),"")</calculatedColumnFormula>
    </tableColumn>
    <tableColumn id="9" name="NAMA REKENING" dataDxfId="808"/>
  </tableColumns>
  <tableStyleInfo name="TableStyleMedium16" showFirstColumn="0" showLastColumn="0" showRowStripes="1" showColumnStripes="0"/>
</table>
</file>

<file path=xl/tables/table83.xml><?xml version="1.0" encoding="utf-8"?>
<table xmlns="http://schemas.openxmlformats.org/spreadsheetml/2006/main" id="89" name="TRANSHARI6_ACCMALAM" displayName="TRANSHARI6_ACCMALAM" ref="P312:Y342" totalsRowShown="0">
  <autoFilter xmlns:etc="http://www.wps.cn/officeDocument/2017/etCustomData" ref="P312:Y342" etc:filterBottomFollowUsedRange="0"/>
  <tableColumns count="10">
    <tableColumn id="1" name="NO." dataDxfId="809"/>
    <tableColumn id="2" name="PRODUK" dataDxfId="810"/>
    <tableColumn id="10" name="QUANTITY" dataDxfId="811"/>
    <tableColumn id="3" name="HARGA" dataDxfId="812">
      <calculatedColumnFormula>IFERROR(VLOOKUP(TRANSHARI6_ACCMALAM[[#This Row],[PRODUK]],DATA_ACC[],8,FALSE),"")</calculatedColumnFormula>
    </tableColumn>
    <tableColumn id="4" name="PRICE TOLERANCE" dataDxfId="813"/>
    <tableColumn id="5" name="DEBIT" dataDxfId="814">
      <calculatedColumnFormula>IFERROR(IF(TRANSHARI6_ACCMALAM[[#This Row],[NAMA PENGHUTANG]]="",((TRANSHARI6_ACCMALAM[[#This Row],[HARGA]]*TRANSHARI6_ACCMALAM[[#This Row],[QUANTITY]])+TRANSHARI6_ACCMALAM[[#This Row],[PRICE TOLERANCE]]),""),"")</calculatedColumnFormula>
    </tableColumn>
    <tableColumn id="6" name="KREDIT" dataDxfId="815">
      <calculatedColumnFormula>IFERROR(IF(TRANSHARI6_ACCMALAM[[#This Row],[NAMA PENGHUTANG]]="","",((TRANSHARI6_ACCMALAM[[#This Row],[HARGA]]*TRANSHARI6_ACCMALAM[[#This Row],[QUANTITY]])+TRANSHARI6_ACCMALAM[[#This Row],[PRICE TOLERANCE]])),"")</calculatedColumnFormula>
    </tableColumn>
    <tableColumn id="7" name="NAMA PENGHUTANG" dataDxfId="816"/>
    <tableColumn id="8" name="NOMINAL TRANSFER" dataDxfId="817">
      <calculatedColumnFormula>IFERROR(IF(TRANSHARI6_ACCMALAM[[#This Row],[NAMA REKENING]]="","",TRANSHARI6_ACCMALAM[[#This Row],[DEBIT]]),"")</calculatedColumnFormula>
    </tableColumn>
    <tableColumn id="9" name="NAMA REKENING" dataDxfId="818"/>
  </tableColumns>
  <tableStyleInfo name="TableStyleMedium16" showFirstColumn="0" showLastColumn="0" showRowStripes="1" showColumnStripes="0"/>
</table>
</file>

<file path=xl/tables/table84.xml><?xml version="1.0" encoding="utf-8"?>
<table xmlns="http://schemas.openxmlformats.org/spreadsheetml/2006/main" id="90" name="TRANSHARI6_HYDROMALAM" displayName="TRANSHARI6_HYDROMALAM" ref="P349:Y379" totalsRowShown="0">
  <autoFilter xmlns:etc="http://www.wps.cn/officeDocument/2017/etCustomData" ref="P349:Y379" etc:filterBottomFollowUsedRange="0"/>
  <tableColumns count="10">
    <tableColumn id="1" name="NO." dataDxfId="819"/>
    <tableColumn id="2" name="PRODUK" dataDxfId="820"/>
    <tableColumn id="10" name="QUANTITY" dataDxfId="821"/>
    <tableColumn id="3" name="HARGA" dataDxfId="822">
      <calculatedColumnFormula>IFERROR(VLOOKUP(TRANSHARI6_HYDROMALAM[[#This Row],[PRODUK]],DATA_HYDRO[],8,FALSE),"")</calculatedColumnFormula>
    </tableColumn>
    <tableColumn id="4" name="PRICE TOLERANCE" dataDxfId="823"/>
    <tableColumn id="5" name="DEBIT" dataDxfId="824">
      <calculatedColumnFormula>IFERROR(IF(TRANSHARI6_HYDROMALAM[[#This Row],[NAMA PENGHUTANG]]="",((TRANSHARI6_HYDROMALAM[[#This Row],[HARGA]]*TRANSHARI6_HYDROMALAM[[#This Row],[QUANTITY]])+TRANSHARI6_HYDROMALAM[[#This Row],[PRICE TOLERANCE]]),""),"")</calculatedColumnFormula>
    </tableColumn>
    <tableColumn id="6" name="KREDIT" dataDxfId="825">
      <calculatedColumnFormula>IFERROR(IF(TRANSHARI6_HYDROMALAM[[#This Row],[NAMA PENGHUTANG]]="","",((TRANSHARI6_HYDROMALAM[[#This Row],[HARGA]]*TRANSHARI6_HYDROMALAM[[#This Row],[QUANTITY]])+TRANSHARI6_HYDROMALAM[[#This Row],[PRICE TOLERANCE]])),"")</calculatedColumnFormula>
    </tableColumn>
    <tableColumn id="7" name="NAMA PENGHUTANG" dataDxfId="826"/>
    <tableColumn id="8" name="NOMINAL TRANSFER" dataDxfId="827">
      <calculatedColumnFormula>IFERROR(IF(TRANSHARI6_HYDROMALAM[[#This Row],[NAMA REKENING]]="","",TRANSHARI6_HYDROMALAM[[#This Row],[DEBIT]]),"")</calculatedColumnFormula>
    </tableColumn>
    <tableColumn id="9" name="NAMA REKENING" dataDxfId="828"/>
  </tableColumns>
  <tableStyleInfo name="TableStyleMedium16" showFirstColumn="0" showLastColumn="0" showRowStripes="1" showColumnStripes="0"/>
</table>
</file>

<file path=xl/tables/table85.xml><?xml version="1.0" encoding="utf-8"?>
<table xmlns="http://schemas.openxmlformats.org/spreadsheetml/2006/main" id="91" name="TRANSHARI7_ROKOKPAGI" displayName="TRANSHARI7_ROKOKPAGI" ref="A84:J134" totalsRowShown="0">
  <autoFilter xmlns:etc="http://www.wps.cn/officeDocument/2017/etCustomData" ref="A84:J134" etc:filterBottomFollowUsedRange="0"/>
  <tableColumns count="10">
    <tableColumn id="1" name="NO." dataDxfId="829"/>
    <tableColumn id="2" name="PRODUK" dataDxfId="830"/>
    <tableColumn id="10" name="QUANTITY" dataDxfId="831"/>
    <tableColumn id="3" name="HARGA" dataDxfId="832">
      <calculatedColumnFormula>IFERROR(VLOOKUP(TRANSHARI7_ROKOKPAGI[[#This Row],[PRODUK]],DATA_ROKOK[],9,FALSE),"")</calculatedColumnFormula>
    </tableColumn>
    <tableColumn id="4" name="PRICE TOLERANCE" dataDxfId="833"/>
    <tableColumn id="5" name="DEBIT" dataDxfId="834">
      <calculatedColumnFormula>IFERROR(IF(TRANSHARI7_ROKOKPAGI[[#This Row],[NAMA PENGHUTANG]]="",((TRANSHARI7_ROKOKPAGI[[#This Row],[HARGA]]*TRANSHARI7_ROKOKPAGI[[#This Row],[QUANTITY]])+TRANSHARI7_ROKOKPAGI[[#This Row],[PRICE TOLERANCE]]),""),"")</calculatedColumnFormula>
    </tableColumn>
    <tableColumn id="6" name="KREDIT" dataDxfId="835">
      <calculatedColumnFormula>IFERROR(IF(TRANSHARI7_ROKOKPAGI[[#This Row],[NAMA PENGHUTANG]]="","",((TRANSHARI7_ROKOKPAGI[[#This Row],[HARGA]]*TRANSHARI7_ROKOKPAGI[[#This Row],[QUANTITY]])+TRANSHARI7_ROKOKPAGI[[#This Row],[PRICE TOLERANCE]])),"")</calculatedColumnFormula>
    </tableColumn>
    <tableColumn id="7" name="NAMA PENGHUTANG" dataDxfId="836"/>
    <tableColumn id="8" name="NOMINAL TRANSFER" dataDxfId="837">
      <calculatedColumnFormula>IFERROR(IF(TRANSHARI7_ROKOKPAGI[[#This Row],[NAMA REKENING]]="","",TRANSHARI7_ROKOKPAGI[[#This Row],[DEBIT]]),"")</calculatedColumnFormula>
    </tableColumn>
    <tableColumn id="9" name="NAMA REKENING" dataDxfId="838"/>
  </tableColumns>
  <tableStyleInfo name="TableStyleMedium16" showFirstColumn="0" showLastColumn="0" showRowStripes="1" showColumnStripes="0"/>
</table>
</file>

<file path=xl/tables/table86.xml><?xml version="1.0" encoding="utf-8"?>
<table xmlns="http://schemas.openxmlformats.org/spreadsheetml/2006/main" id="92" name="TRANSHARI7_PULSAPAGI" displayName="TRANSHARI7_PULSAPAGI" ref="A27:I77" totalsRowShown="0">
  <autoFilter xmlns:etc="http://www.wps.cn/officeDocument/2017/etCustomData" ref="A27:I77" etc:filterBottomFollowUsedRange="0"/>
  <tableColumns count="9">
    <tableColumn id="1" name="NO." dataDxfId="839"/>
    <tableColumn id="2" name="NO. TELEPON" dataDxfId="840"/>
    <tableColumn id="5" name="DEBIT" dataDxfId="841"/>
    <tableColumn id="6" name="KREDIT" dataDxfId="842"/>
    <tableColumn id="7" name="NAMA PENGHUTANG" dataDxfId="843"/>
    <tableColumn id="8" name="SALDO MINUS" dataDxfId="844"/>
    <tableColumn id="9" name="APLIKASI" dataDxfId="845"/>
    <tableColumn id="11" name="NOMINAL TRANSFER" dataDxfId="846">
      <calculatedColumnFormula>IFERROR(IF(TRANSHARI7_PULSAPAGI[[#This Row],[NAMA REKENING]]="","",TRANSHARI7_PULSAPAGI[[#This Row],[DEBIT]]),"")</calculatedColumnFormula>
    </tableColumn>
    <tableColumn id="12" name="NAMA REKENING" dataDxfId="847"/>
  </tableColumns>
  <tableStyleInfo name="TableStyleMedium16" showFirstColumn="0" showLastColumn="0" showRowStripes="1" showColumnStripes="0"/>
</table>
</file>

<file path=xl/tables/table87.xml><?xml version="1.0" encoding="utf-8"?>
<table xmlns="http://schemas.openxmlformats.org/spreadsheetml/2006/main" id="93" name="TRANSHARI7_SPVOUPAGI" displayName="TRANSHARI7_SPVOUPAGI" ref="A141:J191" totalsRowShown="0">
  <autoFilter xmlns:etc="http://www.wps.cn/officeDocument/2017/etCustomData" ref="A141:J191" etc:filterBottomFollowUsedRange="0"/>
  <tableColumns count="10">
    <tableColumn id="1" name="NO." dataDxfId="848"/>
    <tableColumn id="2" name="PRODUK" dataDxfId="849"/>
    <tableColumn id="10" name="QUANTITY" dataDxfId="850"/>
    <tableColumn id="3" name="HARGA" dataDxfId="851">
      <calculatedColumnFormula>IFERROR(VLOOKUP(TRANSHARI7_SPVOUPAGI[[#This Row],[PRODUK]],DATA_SPVOU[],9,FALSE),"")</calculatedColumnFormula>
    </tableColumn>
    <tableColumn id="4" name="PRICE TOLERANCE" dataDxfId="852"/>
    <tableColumn id="5" name="DEBIT" dataDxfId="853">
      <calculatedColumnFormula>IFERROR(IF(TRANSHARI7_SPVOUPAGI[[#This Row],[NAMA PENGHUTANG]]="",((TRANSHARI7_SPVOUPAGI[[#This Row],[HARGA]]*TRANSHARI7_SPVOUPAGI[[#This Row],[QUANTITY]])+TRANSHARI7_SPVOUPAGI[[#This Row],[PRICE TOLERANCE]]),""),"")</calculatedColumnFormula>
    </tableColumn>
    <tableColumn id="6" name="KREDIT" dataDxfId="854">
      <calculatedColumnFormula>IFERROR(IF(TRANSHARI7_SPVOUPAGI[[#This Row],[NAMA PENGHUTANG]]="","",((TRANSHARI7_SPVOUPAGI[[#This Row],[HARGA]]*TRANSHARI7_SPVOUPAGI[[#This Row],[QUANTITY]])+TRANSHARI7_SPVOUPAGI[[#This Row],[PRICE TOLERANCE]])),"")</calculatedColumnFormula>
    </tableColumn>
    <tableColumn id="7" name="NAMA PENGHUTANG" dataDxfId="855"/>
    <tableColumn id="8" name="NOMINAL TRANSFER" dataDxfId="856">
      <calculatedColumnFormula>IFERROR(IF(TRANSHARI7_SPVOUPAGI[[#This Row],[NAMA REKENING]]="","",TRANSHARI7_SPVOUPAGI[[#This Row],[DEBIT]]),"")</calculatedColumnFormula>
    </tableColumn>
    <tableColumn id="9" name="NAMA REKENING" dataDxfId="857"/>
  </tableColumns>
  <tableStyleInfo name="TableStyleMedium16" showFirstColumn="0" showLastColumn="0" showRowStripes="1" showColumnStripes="0"/>
</table>
</file>

<file path=xl/tables/table88.xml><?xml version="1.0" encoding="utf-8"?>
<table xmlns="http://schemas.openxmlformats.org/spreadsheetml/2006/main" id="94" name="TRANSHARI7_SOFTDRINKPAGI" displayName="TRANSHARI7_SOFTDRINKPAGI" ref="A198:J248" totalsRowShown="0">
  <autoFilter xmlns:etc="http://www.wps.cn/officeDocument/2017/etCustomData" ref="A198:J248" etc:filterBottomFollowUsedRange="0"/>
  <tableColumns count="10">
    <tableColumn id="1" name="NO." dataDxfId="858"/>
    <tableColumn id="2" name="PRODUK" dataDxfId="859"/>
    <tableColumn id="10" name="QUANTITY" dataDxfId="860"/>
    <tableColumn id="3" name="HARGA" dataDxfId="861">
      <calculatedColumnFormula>IFERROR(VLOOKUP(TRANSHARI7_SOFTDRINKPAGI[[#This Row],[PRODUK]],DATA_SOFTDRINK[],9,FALSE),"")</calculatedColumnFormula>
    </tableColumn>
    <tableColumn id="4" name="PRICE TOLERANCE" dataDxfId="862"/>
    <tableColumn id="5" name="DEBIT" dataDxfId="863">
      <calculatedColumnFormula>IFERROR(IF(TRANSHARI7_SOFTDRINKPAGI[[#This Row],[NAMA PENGHUTANG]]="",((TRANSHARI7_SOFTDRINKPAGI[[#This Row],[HARGA]]*TRANSHARI7_SOFTDRINKPAGI[[#This Row],[QUANTITY]])+TRANSHARI7_SOFTDRINKPAGI[[#This Row],[PRICE TOLERANCE]]),""),"")</calculatedColumnFormula>
    </tableColumn>
    <tableColumn id="6" name="KREDIT" dataDxfId="864">
      <calculatedColumnFormula>IFERROR(IF(TRANSHARI7_SOFTDRINKPAGI[[#This Row],[NAMA PENGHUTANG]]="","",((TRANSHARI7_SOFTDRINKPAGI[[#This Row],[HARGA]]*TRANSHARI7_SOFTDRINKPAGI[[#This Row],[QUANTITY]])+TRANSHARI7_SOFTDRINKPAGI[[#This Row],[PRICE TOLERANCE]])),"")</calculatedColumnFormula>
    </tableColumn>
    <tableColumn id="7" name="NAMA PENGHUTANG" dataDxfId="865"/>
    <tableColumn id="8" name="NOMINAL TRANSFER" dataDxfId="866">
      <calculatedColumnFormula>IFERROR(IF(TRANSHARI7_SOFTDRINKPAGI[[#This Row],[NAMA REKENING]]="","",TRANSHARI7_SOFTDRINKPAGI[[#This Row],[DEBIT]]),"")</calculatedColumnFormula>
    </tableColumn>
    <tableColumn id="9" name="NAMA REKENING" dataDxfId="867"/>
  </tableColumns>
  <tableStyleInfo name="TableStyleMedium16" showFirstColumn="0" showLastColumn="0" showRowStripes="1" showColumnStripes="0"/>
</table>
</file>

<file path=xl/tables/table89.xml><?xml version="1.0" encoding="utf-8"?>
<table xmlns="http://schemas.openxmlformats.org/spreadsheetml/2006/main" id="95" name="TRANSHARI7_ICECREAMPAGI" displayName="TRANSHARI7_ICECREAMPAGI" ref="A255:J305" totalsRowShown="0">
  <autoFilter xmlns:etc="http://www.wps.cn/officeDocument/2017/etCustomData" ref="A255:J305" etc:filterBottomFollowUsedRange="0"/>
  <tableColumns count="10">
    <tableColumn id="1" name="NO." dataDxfId="868"/>
    <tableColumn id="2" name="PRODUK" dataDxfId="869"/>
    <tableColumn id="10" name="QUANTITY" dataDxfId="870"/>
    <tableColumn id="3" name="HARGA" dataDxfId="871">
      <calculatedColumnFormula>IFERROR(VLOOKUP(TRANSHARI7_ICECREAMPAGI[[#This Row],[PRODUK]],DATA_ICECREAM[],9,FALSE),"")</calculatedColumnFormula>
    </tableColumn>
    <tableColumn id="4" name="PRICE TOLERANCE" dataDxfId="872"/>
    <tableColumn id="5" name="DEBIT" dataDxfId="873">
      <calculatedColumnFormula>IFERROR(IF(TRANSHARI7_ICECREAMPAGI[[#This Row],[NAMA PENGHUTANG]]="",((TRANSHARI7_ICECREAMPAGI[[#This Row],[HARGA]]*TRANSHARI7_ICECREAMPAGI[[#This Row],[QUANTITY]])+TRANSHARI7_ICECREAMPAGI[[#This Row],[PRICE TOLERANCE]]),""),"")</calculatedColumnFormula>
    </tableColumn>
    <tableColumn id="6" name="KREDIT" dataDxfId="874">
      <calculatedColumnFormula>IFERROR(IF(TRANSHARI7_ICECREAMPAGI[[#This Row],[NAMA PENGHUTANG]]="","",((TRANSHARI7_ICECREAMPAGI[[#This Row],[HARGA]]*TRANSHARI7_ICECREAMPAGI[[#This Row],[QUANTITY]])+TRANSHARI7_ICECREAMPAGI[[#This Row],[PRICE TOLERANCE]])),"")</calculatedColumnFormula>
    </tableColumn>
    <tableColumn id="7" name="NAMA PENGHUTANG" dataDxfId="875"/>
    <tableColumn id="8" name="NOMINAL TRANSFER" dataDxfId="876">
      <calculatedColumnFormula>IFERROR(IF(TRANSHARI7_ICECREAMPAGI[[#This Row],[NAMA REKENING]]="","",TRANSHARI7_ICECREAMPAGI[[#This Row],[DEBIT]]),"")</calculatedColumnFormula>
    </tableColumn>
    <tableColumn id="9" name="NAMA REKENING" dataDxfId="877"/>
  </tableColumns>
  <tableStyleInfo name="TableStyleMedium16" showFirstColumn="0" showLastColumn="0" showRowStripes="1" showColumnStripes="0"/>
</table>
</file>

<file path=xl/tables/table90.xml><?xml version="1.0" encoding="utf-8"?>
<table xmlns="http://schemas.openxmlformats.org/spreadsheetml/2006/main" id="96" name="TRANSHARI7_ACCPAGI" displayName="TRANSHARI7_ACCPAGI" ref="A312:J342" totalsRowShown="0">
  <autoFilter xmlns:etc="http://www.wps.cn/officeDocument/2017/etCustomData" ref="A312:J342" etc:filterBottomFollowUsedRange="0"/>
  <tableColumns count="10">
    <tableColumn id="1" name="NO." dataDxfId="878"/>
    <tableColumn id="2" name="PRODUK" dataDxfId="879"/>
    <tableColumn id="10" name="QUANTITY" dataDxfId="880"/>
    <tableColumn id="3" name="HARGA" dataDxfId="881">
      <calculatedColumnFormula>IFERROR(VLOOKUP(TRANSHARI7_ACCPAGI[[#This Row],[PRODUK]],DATA_ACC[],9,FALSE),"")</calculatedColumnFormula>
    </tableColumn>
    <tableColumn id="4" name="PRICE TOLERANCE" dataDxfId="882"/>
    <tableColumn id="5" name="DEBIT" dataDxfId="883">
      <calculatedColumnFormula>IFERROR(IF(TRANSHARI7_ACCPAGI[[#This Row],[NAMA PENGHUTANG]]="",((TRANSHARI7_ACCPAGI[[#This Row],[HARGA]]*TRANSHARI7_ACCPAGI[[#This Row],[QUANTITY]])+TRANSHARI7_ACCPAGI[[#This Row],[PRICE TOLERANCE]]),""),"")</calculatedColumnFormula>
    </tableColumn>
    <tableColumn id="6" name="KREDIT" dataDxfId="884">
      <calculatedColumnFormula>IFERROR(IF(TRANSHARI7_ACCPAGI[[#This Row],[NAMA PENGHUTANG]]="","",((TRANSHARI7_ACCPAGI[[#This Row],[HARGA]]*TRANSHARI7_ACCPAGI[[#This Row],[QUANTITY]])+TRANSHARI7_ACCPAGI[[#This Row],[PRICE TOLERANCE]])),"")</calculatedColumnFormula>
    </tableColumn>
    <tableColumn id="7" name="NAMA PENGHUTANG" dataDxfId="885"/>
    <tableColumn id="8" name="NOMINAL TRANSFER" dataDxfId="886">
      <calculatedColumnFormula>IFERROR(IF(TRANSHARI7_ACCPAGI[[#This Row],[NAMA REKENING]]="","",TRANSHARI7_ACCPAGI[[#This Row],[DEBIT]]),"")</calculatedColumnFormula>
    </tableColumn>
    <tableColumn id="9" name="NAMA REKENING" dataDxfId="887"/>
  </tableColumns>
  <tableStyleInfo name="TableStyleMedium16" showFirstColumn="0" showLastColumn="0" showRowStripes="1" showColumnStripes="0"/>
</table>
</file>

<file path=xl/tables/table91.xml><?xml version="1.0" encoding="utf-8"?>
<table xmlns="http://schemas.openxmlformats.org/spreadsheetml/2006/main" id="97" name="TRANSHARI7_HYDROPAGI" displayName="TRANSHARI7_HYDROPAGI" ref="A349:J379" totalsRowShown="0">
  <autoFilter xmlns:etc="http://www.wps.cn/officeDocument/2017/etCustomData" ref="A349:J379" etc:filterBottomFollowUsedRange="0"/>
  <tableColumns count="10">
    <tableColumn id="1" name="NO." dataDxfId="888"/>
    <tableColumn id="2" name="PRODUK" dataDxfId="889"/>
    <tableColumn id="10" name="QUANTITY" dataDxfId="890"/>
    <tableColumn id="3" name="HARGA" dataDxfId="891">
      <calculatedColumnFormula>IFERROR(VLOOKUP(TRANSHARI7_HYDROPAGI[[#This Row],[PRODUK]],DATA_HYDRO[],9,FALSE),"")</calculatedColumnFormula>
    </tableColumn>
    <tableColumn id="4" name="PRICE TOLERANCE" dataDxfId="892"/>
    <tableColumn id="5" name="DEBIT" dataDxfId="893">
      <calculatedColumnFormula>IFERROR(IF(TRANSHARI7_HYDROPAGI[[#This Row],[NAMA PENGHUTANG]]="",((TRANSHARI7_HYDROPAGI[[#This Row],[HARGA]]*TRANSHARI7_HYDROPAGI[[#This Row],[QUANTITY]])+TRANSHARI7_HYDROPAGI[[#This Row],[PRICE TOLERANCE]]),""),"")</calculatedColumnFormula>
    </tableColumn>
    <tableColumn id="6" name="KREDIT" dataDxfId="894">
      <calculatedColumnFormula>IFERROR(IF(TRANSHARI7_HYDROPAGI[[#This Row],[NAMA PENGHUTANG]]="","",((TRANSHARI7_HYDROPAGI[[#This Row],[HARGA]]*TRANSHARI7_HYDROPAGI[[#This Row],[QUANTITY]])+TRANSHARI7_HYDROPAGI[[#This Row],[PRICE TOLERANCE]])),"")</calculatedColumnFormula>
    </tableColumn>
    <tableColumn id="7" name="NAMA PENGHUTANG" dataDxfId="895"/>
    <tableColumn id="8" name="NOMINAL TRANSFER" dataDxfId="896">
      <calculatedColumnFormula>IFERROR(IF(TRANSHARI7_HYDROPAGI[[#This Row],[NAMA REKENING]]="","",TRANSHARI7_HYDROPAGI[[#This Row],[DEBIT]]),"")</calculatedColumnFormula>
    </tableColumn>
    <tableColumn id="9" name="NAMA REKENING" dataDxfId="897"/>
  </tableColumns>
  <tableStyleInfo name="TableStyleMedium16" showFirstColumn="0" showLastColumn="0" showRowStripes="1" showColumnStripes="0"/>
</table>
</file>

<file path=xl/tables/table92.xml><?xml version="1.0" encoding="utf-8"?>
<table xmlns="http://schemas.openxmlformats.org/spreadsheetml/2006/main" id="98" name="TRANSHARI7_ROKOKMALAM" displayName="TRANSHARI7_ROKOKMALAM" ref="P84:Y134" totalsRowShown="0">
  <autoFilter xmlns:etc="http://www.wps.cn/officeDocument/2017/etCustomData" ref="P84:Y134" etc:filterBottomFollowUsedRange="0"/>
  <tableColumns count="10">
    <tableColumn id="1" name="NO." dataDxfId="898"/>
    <tableColumn id="2" name="PRODUK" dataDxfId="899"/>
    <tableColumn id="10" name="QUANTITY" dataDxfId="900"/>
    <tableColumn id="3" name="HARGA" dataDxfId="901">
      <calculatedColumnFormula>IFERROR(VLOOKUP(TRANSHARI7_ROKOKMALAM[[#This Row],[PRODUK]],DATA_ROKOK[],9,FALSE),"")</calculatedColumnFormula>
    </tableColumn>
    <tableColumn id="4" name="PRICE TOLERANCE" dataDxfId="902"/>
    <tableColumn id="5" name="DEBIT" dataDxfId="903">
      <calculatedColumnFormula>IFERROR(IF(TRANSHARI7_ROKOKMALAM[[#This Row],[NAMA PENGHUTANG]]="",((TRANSHARI7_ROKOKMALAM[[#This Row],[HARGA]]*TRANSHARI7_ROKOKMALAM[[#This Row],[QUANTITY]])+TRANSHARI7_ROKOKMALAM[[#This Row],[PRICE TOLERANCE]]),""),"")</calculatedColumnFormula>
    </tableColumn>
    <tableColumn id="6" name="KREDIT" dataDxfId="904">
      <calculatedColumnFormula>IFERROR(IF(TRANSHARI7_ROKOKMALAM[[#This Row],[NAMA PENGHUTANG]]="","",((TRANSHARI7_ROKOKMALAM[[#This Row],[HARGA]]*TRANSHARI7_ROKOKMALAM[[#This Row],[QUANTITY]])+TRANSHARI7_ROKOKMALAM[[#This Row],[PRICE TOLERANCE]])),"")</calculatedColumnFormula>
    </tableColumn>
    <tableColumn id="7" name="NAMA PENGHUTANG" dataDxfId="905"/>
    <tableColumn id="8" name="NOMINAL TRANSFER" dataDxfId="906">
      <calculatedColumnFormula>IFERROR(IF(TRANSHARI7_ROKOKMALAM[[#This Row],[NAMA REKENING]]="","",TRANSHARI7_ROKOKMALAM[[#This Row],[DEBIT]]),"")</calculatedColumnFormula>
    </tableColumn>
    <tableColumn id="9" name="NAMA REKENING" dataDxfId="907"/>
  </tableColumns>
  <tableStyleInfo name="TableStyleMedium16" showFirstColumn="0" showLastColumn="0" showRowStripes="1" showColumnStripes="0"/>
</table>
</file>

<file path=xl/tables/table93.xml><?xml version="1.0" encoding="utf-8"?>
<table xmlns="http://schemas.openxmlformats.org/spreadsheetml/2006/main" id="99" name="TRANSHARI7_PULSAMALAM" displayName="TRANSHARI7_PULSAMALAM" ref="P27:X77" totalsRowShown="0">
  <autoFilter xmlns:etc="http://www.wps.cn/officeDocument/2017/etCustomData" ref="P27:X77" etc:filterBottomFollowUsedRange="0"/>
  <tableColumns count="9">
    <tableColumn id="1" name="NO." dataDxfId="908"/>
    <tableColumn id="2" name="NO. TELEPON" dataDxfId="909"/>
    <tableColumn id="5" name="DEBIT" dataDxfId="910"/>
    <tableColumn id="6" name="KREDIT" dataDxfId="911"/>
    <tableColumn id="7" name="NAMA PENGHUTANG" dataDxfId="912"/>
    <tableColumn id="8" name="SALDO MINUS" dataDxfId="913"/>
    <tableColumn id="9" name="APLIKASI" dataDxfId="914"/>
    <tableColumn id="11" name="NOMINAL TRANSFER" dataDxfId="915">
      <calculatedColumnFormula>IFERROR(IF(TRANSHARI7_PULSAMALAM[[#This Row],[NAMA REKENING]]="","",TRANSHARI7_PULSAMALAM[[#This Row],[DEBIT]]),"")</calculatedColumnFormula>
    </tableColumn>
    <tableColumn id="12" name="NAMA REKENING" dataDxfId="916"/>
  </tableColumns>
  <tableStyleInfo name="TableStyleMedium16" showFirstColumn="0" showLastColumn="0" showRowStripes="1" showColumnStripes="0"/>
</table>
</file>

<file path=xl/tables/table94.xml><?xml version="1.0" encoding="utf-8"?>
<table xmlns="http://schemas.openxmlformats.org/spreadsheetml/2006/main" id="100" name="TRANSHARI7_SPVOUMALAM" displayName="TRANSHARI7_SPVOUMALAM" ref="P141:Y191" totalsRowShown="0">
  <autoFilter xmlns:etc="http://www.wps.cn/officeDocument/2017/etCustomData" ref="P141:Y191" etc:filterBottomFollowUsedRange="0"/>
  <tableColumns count="10">
    <tableColumn id="1" name="NO." dataDxfId="917"/>
    <tableColumn id="2" name="PRODUK" dataDxfId="918"/>
    <tableColumn id="10" name="QUANTITY" dataDxfId="919"/>
    <tableColumn id="3" name="HARGA" dataDxfId="920">
      <calculatedColumnFormula>IFERROR(VLOOKUP(TRANSHARI7_SPVOUMALAM[[#This Row],[PRODUK]],DATA_SPVOU[],9,FALSE),"")</calculatedColumnFormula>
    </tableColumn>
    <tableColumn id="4" name="PRICE TOLERANCE" dataDxfId="921"/>
    <tableColumn id="5" name="DEBIT" dataDxfId="922">
      <calculatedColumnFormula>IFERROR(IF(TRANSHARI7_SPVOUMALAM[[#This Row],[NAMA PENGHUTANG]]="",((TRANSHARI7_SPVOUMALAM[[#This Row],[HARGA]]*TRANSHARI7_SPVOUMALAM[[#This Row],[QUANTITY]])+TRANSHARI7_SPVOUMALAM[[#This Row],[PRICE TOLERANCE]]),""),"")</calculatedColumnFormula>
    </tableColumn>
    <tableColumn id="6" name="KREDIT" dataDxfId="923">
      <calculatedColumnFormula>IFERROR(IF(TRANSHARI7_SPVOUMALAM[[#This Row],[NAMA PENGHUTANG]]="","",((TRANSHARI7_SPVOUMALAM[[#This Row],[HARGA]]*TRANSHARI7_SPVOUMALAM[[#This Row],[QUANTITY]])+TRANSHARI7_SPVOUMALAM[[#This Row],[PRICE TOLERANCE]])),"")</calculatedColumnFormula>
    </tableColumn>
    <tableColumn id="7" name="NAMA PENGHUTANG" dataDxfId="924"/>
    <tableColumn id="8" name="NOMINAL TRANSFER" dataDxfId="925">
      <calculatedColumnFormula>IFERROR(IF(TRANSHARI7_SPVOUMALAM[[#This Row],[NAMA REKENING]]="","",TRANSHARI7_SPVOUMALAM[[#This Row],[DEBIT]]),"")</calculatedColumnFormula>
    </tableColumn>
    <tableColumn id="9" name="NAMA REKENING" dataDxfId="926"/>
  </tableColumns>
  <tableStyleInfo name="TableStyleMedium16" showFirstColumn="0" showLastColumn="0" showRowStripes="1" showColumnStripes="0"/>
</table>
</file>

<file path=xl/tables/table95.xml><?xml version="1.0" encoding="utf-8"?>
<table xmlns="http://schemas.openxmlformats.org/spreadsheetml/2006/main" id="101" name="TRANSHARI7_SOFTDRINKMALAM" displayName="TRANSHARI7_SOFTDRINKMALAM" ref="P198:Y248" totalsRowShown="0">
  <autoFilter xmlns:etc="http://www.wps.cn/officeDocument/2017/etCustomData" ref="P198:Y248" etc:filterBottomFollowUsedRange="0"/>
  <tableColumns count="10">
    <tableColumn id="1" name="NO." dataDxfId="927"/>
    <tableColumn id="2" name="PRODUK" dataDxfId="928"/>
    <tableColumn id="10" name="QUANTITY" dataDxfId="929"/>
    <tableColumn id="3" name="HARGA" dataDxfId="930">
      <calculatedColumnFormula>IFERROR(VLOOKUP(TRANSHARI7_SOFTDRINKMALAM[[#This Row],[PRODUK]],DATA_SOFTDRINK[],9,FALSE),"")</calculatedColumnFormula>
    </tableColumn>
    <tableColumn id="4" name="PRICE TOLERANCE" dataDxfId="931"/>
    <tableColumn id="5" name="DEBIT" dataDxfId="932">
      <calculatedColumnFormula>IFERROR(IF(TRANSHARI7_SOFTDRINKMALAM[[#This Row],[NAMA PENGHUTANG]]="",((TRANSHARI7_SOFTDRINKMALAM[[#This Row],[HARGA]]*TRANSHARI7_SOFTDRINKMALAM[[#This Row],[QUANTITY]])+TRANSHARI7_SOFTDRINKMALAM[[#This Row],[PRICE TOLERANCE]]),""),"")</calculatedColumnFormula>
    </tableColumn>
    <tableColumn id="6" name="KREDIT" dataDxfId="933">
      <calculatedColumnFormula>IFERROR(IF(TRANSHARI7_SOFTDRINKMALAM[[#This Row],[NAMA PENGHUTANG]]="","",((TRANSHARI7_SOFTDRINKMALAM[[#This Row],[HARGA]]*TRANSHARI7_SOFTDRINKMALAM[[#This Row],[QUANTITY]])+TRANSHARI7_SOFTDRINKMALAM[[#This Row],[PRICE TOLERANCE]])),"")</calculatedColumnFormula>
    </tableColumn>
    <tableColumn id="7" name="NAMA PENGHUTANG" dataDxfId="934"/>
    <tableColumn id="8" name="NOMINAL TRANSFER" dataDxfId="935">
      <calculatedColumnFormula>IFERROR(IF(TRANSHARI7_SOFTDRINKMALAM[[#This Row],[NAMA REKENING]]="","",TRANSHARI7_SOFTDRINKMALAM[[#This Row],[DEBIT]]),"")</calculatedColumnFormula>
    </tableColumn>
    <tableColumn id="9" name="NAMA REKENING" dataDxfId="936"/>
  </tableColumns>
  <tableStyleInfo name="TableStyleMedium16" showFirstColumn="0" showLastColumn="0" showRowStripes="1" showColumnStripes="0"/>
</table>
</file>

<file path=xl/tables/table96.xml><?xml version="1.0" encoding="utf-8"?>
<table xmlns="http://schemas.openxmlformats.org/spreadsheetml/2006/main" id="102" name="TRANSHARI7_ICECREAMMALAM" displayName="TRANSHARI7_ICECREAMMALAM" ref="P255:Y305" totalsRowShown="0">
  <autoFilter xmlns:etc="http://www.wps.cn/officeDocument/2017/etCustomData" ref="P255:Y305" etc:filterBottomFollowUsedRange="0"/>
  <tableColumns count="10">
    <tableColumn id="1" name="NO." dataDxfId="937"/>
    <tableColumn id="2" name="PRODUK" dataDxfId="938"/>
    <tableColumn id="10" name="QUANTITY" dataDxfId="939"/>
    <tableColumn id="3" name="HARGA" dataDxfId="940">
      <calculatedColumnFormula>IFERROR(VLOOKUP(TRANSHARI7_ICECREAMMALAM[[#This Row],[PRODUK]],DATA_ICECREAM[],9,FALSE),"")</calculatedColumnFormula>
    </tableColumn>
    <tableColumn id="4" name="PRICE TOLERANCE" dataDxfId="941"/>
    <tableColumn id="5" name="DEBIT" dataDxfId="942">
      <calculatedColumnFormula>IFERROR(IF(TRANSHARI7_ICECREAMMALAM[[#This Row],[NAMA PENGHUTANG]]="",((TRANSHARI7_ICECREAMMALAM[[#This Row],[HARGA]]*TRANSHARI7_ICECREAMMALAM[[#This Row],[QUANTITY]])+TRANSHARI7_ICECREAMMALAM[[#This Row],[PRICE TOLERANCE]]),""),"")</calculatedColumnFormula>
    </tableColumn>
    <tableColumn id="6" name="KREDIT" dataDxfId="943">
      <calculatedColumnFormula>IFERROR(IF(TRANSHARI7_ICECREAMMALAM[[#This Row],[NAMA PENGHUTANG]]="","",((TRANSHARI7_ICECREAMMALAM[[#This Row],[HARGA]]*TRANSHARI7_ICECREAMMALAM[[#This Row],[QUANTITY]])+TRANSHARI7_ICECREAMMALAM[[#This Row],[PRICE TOLERANCE]])),"")</calculatedColumnFormula>
    </tableColumn>
    <tableColumn id="7" name="NAMA PENGHUTANG" dataDxfId="944"/>
    <tableColumn id="8" name="NOMINAL TRANSFER" dataDxfId="945">
      <calculatedColumnFormula>IFERROR(IF(TRANSHARI7_ICECREAMMALAM[[#This Row],[NAMA REKENING]]="","",TRANSHARI7_ICECREAMMALAM[[#This Row],[DEBIT]]),"")</calculatedColumnFormula>
    </tableColumn>
    <tableColumn id="9" name="NAMA REKENING" dataDxfId="946"/>
  </tableColumns>
  <tableStyleInfo name="TableStyleMedium16" showFirstColumn="0" showLastColumn="0" showRowStripes="1" showColumnStripes="0"/>
</table>
</file>

<file path=xl/tables/table97.xml><?xml version="1.0" encoding="utf-8"?>
<table xmlns="http://schemas.openxmlformats.org/spreadsheetml/2006/main" id="103" name="TRANSHARI7_ACCMALAM" displayName="TRANSHARI7_ACCMALAM" ref="P312:Y342" totalsRowShown="0">
  <autoFilter xmlns:etc="http://www.wps.cn/officeDocument/2017/etCustomData" ref="P312:Y342" etc:filterBottomFollowUsedRange="0"/>
  <tableColumns count="10">
    <tableColumn id="1" name="NO." dataDxfId="947"/>
    <tableColumn id="2" name="PRODUK" dataDxfId="948"/>
    <tableColumn id="10" name="QUANTITY" dataDxfId="949"/>
    <tableColumn id="3" name="HARGA" dataDxfId="950">
      <calculatedColumnFormula>IFERROR(VLOOKUP(TRANSHARI7_ACCMALAM[[#This Row],[PRODUK]],DATA_ACC[],9,FALSE),"")</calculatedColumnFormula>
    </tableColumn>
    <tableColumn id="4" name="PRICE TOLERANCE" dataDxfId="951"/>
    <tableColumn id="5" name="DEBIT" dataDxfId="952">
      <calculatedColumnFormula>IFERROR(IF(TRANSHARI7_ACCMALAM[[#This Row],[NAMA PENGHUTANG]]="",((TRANSHARI7_ACCMALAM[[#This Row],[HARGA]]*TRANSHARI7_ACCMALAM[[#This Row],[QUANTITY]])+TRANSHARI7_ACCMALAM[[#This Row],[PRICE TOLERANCE]]),""),"")</calculatedColumnFormula>
    </tableColumn>
    <tableColumn id="6" name="KREDIT" dataDxfId="953">
      <calculatedColumnFormula>IFERROR(IF(TRANSHARI7_ACCMALAM[[#This Row],[NAMA PENGHUTANG]]="","",((TRANSHARI7_ACCMALAM[[#This Row],[HARGA]]*TRANSHARI7_ACCMALAM[[#This Row],[QUANTITY]])+TRANSHARI7_ACCMALAM[[#This Row],[PRICE TOLERANCE]])),"")</calculatedColumnFormula>
    </tableColumn>
    <tableColumn id="7" name="NAMA PENGHUTANG" dataDxfId="954"/>
    <tableColumn id="8" name="NOMINAL TRANSFER" dataDxfId="955">
      <calculatedColumnFormula>IFERROR(IF(TRANSHARI7_ACCMALAM[[#This Row],[NAMA REKENING]]="","",TRANSHARI7_ACCMALAM[[#This Row],[DEBIT]]),"")</calculatedColumnFormula>
    </tableColumn>
    <tableColumn id="9" name="NAMA REKENING" dataDxfId="956"/>
  </tableColumns>
  <tableStyleInfo name="TableStyleMedium16" showFirstColumn="0" showLastColumn="0" showRowStripes="1" showColumnStripes="0"/>
</table>
</file>

<file path=xl/tables/table98.xml><?xml version="1.0" encoding="utf-8"?>
<table xmlns="http://schemas.openxmlformats.org/spreadsheetml/2006/main" id="104" name="TRANSHARI7_HYDROMALAM" displayName="TRANSHARI7_HYDROMALAM" ref="P349:Y379" totalsRowShown="0">
  <autoFilter xmlns:etc="http://www.wps.cn/officeDocument/2017/etCustomData" ref="P349:Y379" etc:filterBottomFollowUsedRange="0"/>
  <tableColumns count="10">
    <tableColumn id="1" name="NO." dataDxfId="957"/>
    <tableColumn id="2" name="PRODUK" dataDxfId="958"/>
    <tableColumn id="10" name="QUANTITY" dataDxfId="959"/>
    <tableColumn id="3" name="HARGA" dataDxfId="960">
      <calculatedColumnFormula>IFERROR(VLOOKUP(TRANSHARI7_HYDROMALAM[[#This Row],[PRODUK]],DATA_HYDRO[],9,FALSE),"")</calculatedColumnFormula>
    </tableColumn>
    <tableColumn id="4" name="PRICE TOLERANCE" dataDxfId="961"/>
    <tableColumn id="5" name="DEBIT" dataDxfId="962">
      <calculatedColumnFormula>IFERROR(IF(TRANSHARI7_HYDROMALAM[[#This Row],[NAMA PENGHUTANG]]="",((TRANSHARI7_HYDROMALAM[[#This Row],[HARGA]]*TRANSHARI7_HYDROMALAM[[#This Row],[QUANTITY]])+TRANSHARI7_HYDROMALAM[[#This Row],[PRICE TOLERANCE]]),""),"")</calculatedColumnFormula>
    </tableColumn>
    <tableColumn id="6" name="KREDIT" dataDxfId="963">
      <calculatedColumnFormula>IFERROR(IF(TRANSHARI7_HYDROMALAM[[#This Row],[NAMA PENGHUTANG]]="","",((TRANSHARI7_HYDROMALAM[[#This Row],[HARGA]]*TRANSHARI7_HYDROMALAM[[#This Row],[QUANTITY]])+TRANSHARI7_HYDROMALAM[[#This Row],[PRICE TOLERANCE]])),"")</calculatedColumnFormula>
    </tableColumn>
    <tableColumn id="7" name="NAMA PENGHUTANG" dataDxfId="964"/>
    <tableColumn id="8" name="NOMINAL TRANSFER" dataDxfId="965">
      <calculatedColumnFormula>IFERROR(IF(TRANSHARI7_HYDROMALAM[[#This Row],[NAMA REKENING]]="","",TRANSHARI7_HYDROMALAM[[#This Row],[DEBIT]]),"")</calculatedColumnFormula>
    </tableColumn>
    <tableColumn id="9" name="NAMA REKENING" dataDxfId="966"/>
  </tableColumns>
  <tableStyleInfo name="TableStyleMedium16" showFirstColumn="0" showLastColumn="0" showRowStripes="1" showColumnStripes="0"/>
</table>
</file>

<file path=xl/tables/table99.xml><?xml version="1.0" encoding="utf-8"?>
<table xmlns="http://schemas.openxmlformats.org/spreadsheetml/2006/main" id="105" name="TRANSHARI8_ROKOKPAGI" displayName="TRANSHARI8_ROKOKPAGI" ref="A84:J134" totalsRowShown="0">
  <autoFilter xmlns:etc="http://www.wps.cn/officeDocument/2017/etCustomData" ref="A84:J134" etc:filterBottomFollowUsedRange="0"/>
  <tableColumns count="10">
    <tableColumn id="1" name="NO." dataDxfId="967"/>
    <tableColumn id="2" name="PRODUK" dataDxfId="968"/>
    <tableColumn id="10" name="QUANTITY" dataDxfId="969"/>
    <tableColumn id="3" name="HARGA" dataDxfId="970">
      <calculatedColumnFormula>IFERROR(VLOOKUP(TRANSHARI8_ROKOKPAGI[[#This Row],[PRODUK]],DATA_ROKOK[],10,FALSE),"")</calculatedColumnFormula>
    </tableColumn>
    <tableColumn id="4" name="PRICE TOLERANCE" dataDxfId="971"/>
    <tableColumn id="5" name="DEBIT" dataDxfId="972">
      <calculatedColumnFormula>IFERROR(IF(TRANSHARI8_ROKOKPAGI[[#This Row],[NAMA PENGHUTANG]]="",((TRANSHARI8_ROKOKPAGI[[#This Row],[HARGA]]*TRANSHARI8_ROKOKPAGI[[#This Row],[QUANTITY]])+TRANSHARI8_ROKOKPAGI[[#This Row],[PRICE TOLERANCE]]),""),"")</calculatedColumnFormula>
    </tableColumn>
    <tableColumn id="6" name="KREDIT" dataDxfId="973">
      <calculatedColumnFormula>IFERROR(IF(TRANSHARI8_ROKOKPAGI[[#This Row],[NAMA PENGHUTANG]]="","",((TRANSHARI8_ROKOKPAGI[[#This Row],[HARGA]]*TRANSHARI8_ROKOKPAGI[[#This Row],[QUANTITY]])+TRANSHARI8_ROKOKPAGI[[#This Row],[PRICE TOLERANCE]])),"")</calculatedColumnFormula>
    </tableColumn>
    <tableColumn id="7" name="NAMA PENGHUTANG" dataDxfId="974"/>
    <tableColumn id="8" name="NOMINAL TRANSFER" dataDxfId="975">
      <calculatedColumnFormula>IFERROR(IF(TRANSHARI8_ROKOKPAGI[[#This Row],[NAMA REKENING]]="","",TRANSHARI8_ROKOKPAGI[[#This Row],[DEBIT]]),"")</calculatedColumnFormula>
    </tableColumn>
    <tableColumn id="9" name="NAMA REKENING" dataDxfId="976"/>
  </tableColumns>
  <tableStyleInfo name="TableStyleMedium16" showFirstColumn="0" showLastColumn="0" showRowStripes="1" showColumnStripes="0"/>
</table>
</file>

<file path=xl/tables/table100.xml><?xml version="1.0" encoding="utf-8"?>
<table xmlns="http://schemas.openxmlformats.org/spreadsheetml/2006/main" id="106" name="TRANSHARI8_PULSAPAGI" displayName="TRANSHARI8_PULSAPAGI" ref="A27:I77" totalsRowShown="0">
  <autoFilter xmlns:etc="http://www.wps.cn/officeDocument/2017/etCustomData" ref="A27:I77" etc:filterBottomFollowUsedRange="0"/>
  <tableColumns count="9">
    <tableColumn id="1" name="NO." dataDxfId="977"/>
    <tableColumn id="2" name="NO. TELEPON" dataDxfId="978"/>
    <tableColumn id="5" name="DEBIT" dataDxfId="979"/>
    <tableColumn id="6" name="KREDIT" dataDxfId="980"/>
    <tableColumn id="7" name="NAMA PENGHUTANG" dataDxfId="981"/>
    <tableColumn id="8" name="SALDO MINUS" dataDxfId="982"/>
    <tableColumn id="9" name="APLIKASI" dataDxfId="983"/>
    <tableColumn id="11" name="NOMINAL TRANSFER" dataDxfId="984">
      <calculatedColumnFormula>IFERROR(IF(TRANSHARI8_PULSAPAGI[[#This Row],[NAMA REKENING]]="","",TRANSHARI8_PULSAPAGI[[#This Row],[DEBIT]]),"")</calculatedColumnFormula>
    </tableColumn>
    <tableColumn id="12" name="NAMA REKENING" dataDxfId="985"/>
  </tableColumns>
  <tableStyleInfo name="TableStyleMedium16" showFirstColumn="0" showLastColumn="0" showRowStripes="1" showColumnStripes="0"/>
</table>
</file>

<file path=xl/tables/table101.xml><?xml version="1.0" encoding="utf-8"?>
<table xmlns="http://schemas.openxmlformats.org/spreadsheetml/2006/main" id="107" name="TRANSHARI8_SPVOUPAGI" displayName="TRANSHARI8_SPVOUPAGI" ref="A141:J191" totalsRowShown="0">
  <autoFilter xmlns:etc="http://www.wps.cn/officeDocument/2017/etCustomData" ref="A141:J191" etc:filterBottomFollowUsedRange="0"/>
  <tableColumns count="10">
    <tableColumn id="1" name="NO." dataDxfId="986"/>
    <tableColumn id="2" name="PRODUK" dataDxfId="987"/>
    <tableColumn id="10" name="QUANTITY" dataDxfId="988"/>
    <tableColumn id="3" name="HARGA" dataDxfId="989">
      <calculatedColumnFormula>IFERROR(VLOOKUP(TRANSHARI8_SPVOUPAGI[[#This Row],[PRODUK]],DATA_SPVOU[],10,FALSE),"")</calculatedColumnFormula>
    </tableColumn>
    <tableColumn id="4" name="PRICE TOLERANCE" dataDxfId="990"/>
    <tableColumn id="5" name="DEBIT" dataDxfId="991">
      <calculatedColumnFormula>IFERROR(IF(TRANSHARI8_SPVOUPAGI[[#This Row],[NAMA PENGHUTANG]]="",((TRANSHARI8_SPVOUPAGI[[#This Row],[HARGA]]*TRANSHARI8_SPVOUPAGI[[#This Row],[QUANTITY]])+TRANSHARI8_SPVOUPAGI[[#This Row],[PRICE TOLERANCE]]),""),"")</calculatedColumnFormula>
    </tableColumn>
    <tableColumn id="6" name="KREDIT" dataDxfId="992">
      <calculatedColumnFormula>IFERROR(IF(TRANSHARI8_SPVOUPAGI[[#This Row],[NAMA PENGHUTANG]]="","",((TRANSHARI8_SPVOUPAGI[[#This Row],[HARGA]]*TRANSHARI8_SPVOUPAGI[[#This Row],[QUANTITY]])+TRANSHARI8_SPVOUPAGI[[#This Row],[PRICE TOLERANCE]])),"")</calculatedColumnFormula>
    </tableColumn>
    <tableColumn id="7" name="NAMA PENGHUTANG" dataDxfId="993"/>
    <tableColumn id="8" name="NOMINAL TRANSFER" dataDxfId="994">
      <calculatedColumnFormula>IFERROR(IF(TRANSHARI8_SPVOUPAGI[[#This Row],[NAMA REKENING]]="","",TRANSHARI8_SPVOUPAGI[[#This Row],[DEBIT]]),"")</calculatedColumnFormula>
    </tableColumn>
    <tableColumn id="9" name="NAMA REKENING" dataDxfId="995"/>
  </tableColumns>
  <tableStyleInfo name="TableStyleMedium16" showFirstColumn="0" showLastColumn="0" showRowStripes="1" showColumnStripes="0"/>
</table>
</file>

<file path=xl/tables/table102.xml><?xml version="1.0" encoding="utf-8"?>
<table xmlns="http://schemas.openxmlformats.org/spreadsheetml/2006/main" id="108" name="TRANSHARI8_SOFTDRINKPAGI" displayName="TRANSHARI8_SOFTDRINKPAGI" ref="A198:J248" totalsRowShown="0">
  <autoFilter xmlns:etc="http://www.wps.cn/officeDocument/2017/etCustomData" ref="A198:J248" etc:filterBottomFollowUsedRange="0"/>
  <tableColumns count="10">
    <tableColumn id="1" name="NO." dataDxfId="996"/>
    <tableColumn id="2" name="PRODUK" dataDxfId="997"/>
    <tableColumn id="10" name="QUANTITY" dataDxfId="998"/>
    <tableColumn id="3" name="HARGA" dataDxfId="999">
      <calculatedColumnFormula>IFERROR(VLOOKUP(TRANSHARI8_SOFTDRINKPAGI[[#This Row],[PRODUK]],DATA_SOFTDRINK[],10,FALSE),"")</calculatedColumnFormula>
    </tableColumn>
    <tableColumn id="4" name="PRICE TOLERANCE" dataDxfId="1000"/>
    <tableColumn id="5" name="DEBIT" dataDxfId="1001">
      <calculatedColumnFormula>IFERROR(IF(TRANSHARI8_SOFTDRINKPAGI[[#This Row],[NAMA PENGHUTANG]]="",((TRANSHARI8_SOFTDRINKPAGI[[#This Row],[HARGA]]*TRANSHARI8_SOFTDRINKPAGI[[#This Row],[QUANTITY]])+TRANSHARI8_SOFTDRINKPAGI[[#This Row],[PRICE TOLERANCE]]),""),"")</calculatedColumnFormula>
    </tableColumn>
    <tableColumn id="6" name="KREDIT" dataDxfId="1002">
      <calculatedColumnFormula>IFERROR(IF(TRANSHARI8_SOFTDRINKPAGI[[#This Row],[NAMA PENGHUTANG]]="","",((TRANSHARI8_SOFTDRINKPAGI[[#This Row],[HARGA]]*TRANSHARI8_SOFTDRINKPAGI[[#This Row],[QUANTITY]])+TRANSHARI8_SOFTDRINKPAGI[[#This Row],[PRICE TOLERANCE]])),"")</calculatedColumnFormula>
    </tableColumn>
    <tableColumn id="7" name="NAMA PENGHUTANG" dataDxfId="1003"/>
    <tableColumn id="8" name="NOMINAL TRANSFER" dataDxfId="1004">
      <calculatedColumnFormula>IFERROR(IF(TRANSHARI8_SOFTDRINKPAGI[[#This Row],[NAMA REKENING]]="","",TRANSHARI8_SOFTDRINKPAGI[[#This Row],[DEBIT]]),"")</calculatedColumnFormula>
    </tableColumn>
    <tableColumn id="9" name="NAMA REKENING" dataDxfId="1005"/>
  </tableColumns>
  <tableStyleInfo name="TableStyleMedium16" showFirstColumn="0" showLastColumn="0" showRowStripes="1" showColumnStripes="0"/>
</table>
</file>

<file path=xl/tables/table103.xml><?xml version="1.0" encoding="utf-8"?>
<table xmlns="http://schemas.openxmlformats.org/spreadsheetml/2006/main" id="109" name="TRANSHARI8_ICECREAMPAGI" displayName="TRANSHARI8_ICECREAMPAGI" ref="A255:J305" totalsRowShown="0">
  <autoFilter xmlns:etc="http://www.wps.cn/officeDocument/2017/etCustomData" ref="A255:J305" etc:filterBottomFollowUsedRange="0"/>
  <tableColumns count="10">
    <tableColumn id="1" name="NO." dataDxfId="1006"/>
    <tableColumn id="2" name="PRODUK" dataDxfId="1007"/>
    <tableColumn id="10" name="QUANTITY" dataDxfId="1008"/>
    <tableColumn id="3" name="HARGA" dataDxfId="1009">
      <calculatedColumnFormula>IFERROR(VLOOKUP(TRANSHARI8_ICECREAMPAGI[[#This Row],[PRODUK]],DATA_ICECREAM[],10,FALSE),"")</calculatedColumnFormula>
    </tableColumn>
    <tableColumn id="4" name="PRICE TOLERANCE" dataDxfId="1010"/>
    <tableColumn id="5" name="DEBIT" dataDxfId="1011">
      <calculatedColumnFormula>IFERROR(IF(TRANSHARI8_ICECREAMPAGI[[#This Row],[NAMA PENGHUTANG]]="",((TRANSHARI8_ICECREAMPAGI[[#This Row],[HARGA]]*TRANSHARI8_ICECREAMPAGI[[#This Row],[QUANTITY]])+TRANSHARI8_ICECREAMPAGI[[#This Row],[PRICE TOLERANCE]]),""),"")</calculatedColumnFormula>
    </tableColumn>
    <tableColumn id="6" name="KREDIT" dataDxfId="1012">
      <calculatedColumnFormula>IFERROR(IF(TRANSHARI8_ICECREAMPAGI[[#This Row],[NAMA PENGHUTANG]]="","",((TRANSHARI8_ICECREAMPAGI[[#This Row],[HARGA]]*TRANSHARI8_ICECREAMPAGI[[#This Row],[QUANTITY]])+TRANSHARI8_ICECREAMPAGI[[#This Row],[PRICE TOLERANCE]])),"")</calculatedColumnFormula>
    </tableColumn>
    <tableColumn id="7" name="NAMA PENGHUTANG" dataDxfId="1013"/>
    <tableColumn id="8" name="NOMINAL TRANSFER" dataDxfId="1014">
      <calculatedColumnFormula>IFERROR(IF(TRANSHARI8_ICECREAMPAGI[[#This Row],[NAMA REKENING]]="","",TRANSHARI8_ICECREAMPAGI[[#This Row],[DEBIT]]),"")</calculatedColumnFormula>
    </tableColumn>
    <tableColumn id="9" name="NAMA REKENING" dataDxfId="1015"/>
  </tableColumns>
  <tableStyleInfo name="TableStyleMedium16" showFirstColumn="0" showLastColumn="0" showRowStripes="1" showColumnStripes="0"/>
</table>
</file>

<file path=xl/tables/table104.xml><?xml version="1.0" encoding="utf-8"?>
<table xmlns="http://schemas.openxmlformats.org/spreadsheetml/2006/main" id="110" name="TRANSHARI8_ACCPAGI" displayName="TRANSHARI8_ACCPAGI" ref="A312:J342" totalsRowShown="0">
  <autoFilter xmlns:etc="http://www.wps.cn/officeDocument/2017/etCustomData" ref="A312:J342" etc:filterBottomFollowUsedRange="0"/>
  <tableColumns count="10">
    <tableColumn id="1" name="NO." dataDxfId="1016"/>
    <tableColumn id="2" name="PRODUK" dataDxfId="1017"/>
    <tableColumn id="10" name="QUANTITY" dataDxfId="1018"/>
    <tableColumn id="3" name="HARGA" dataDxfId="1019">
      <calculatedColumnFormula>IFERROR(VLOOKUP(TRANSHARI8_ACCPAGI[[#This Row],[PRODUK]],DATA_ACC[],10,FALSE),"")</calculatedColumnFormula>
    </tableColumn>
    <tableColumn id="4" name="PRICE TOLERANCE" dataDxfId="1020"/>
    <tableColumn id="5" name="DEBIT" dataDxfId="1021">
      <calculatedColumnFormula>IFERROR(IF(TRANSHARI8_ACCPAGI[[#This Row],[NAMA PENGHUTANG]]="",((TRANSHARI8_ACCPAGI[[#This Row],[HARGA]]*TRANSHARI8_ACCPAGI[[#This Row],[QUANTITY]])+TRANSHARI8_ACCPAGI[[#This Row],[PRICE TOLERANCE]]),""),"")</calculatedColumnFormula>
    </tableColumn>
    <tableColumn id="6" name="KREDIT" dataDxfId="1022">
      <calculatedColumnFormula>IFERROR(IF(TRANSHARI8_ACCPAGI[[#This Row],[NAMA PENGHUTANG]]="","",((TRANSHARI8_ACCPAGI[[#This Row],[HARGA]]*TRANSHARI8_ACCPAGI[[#This Row],[QUANTITY]])+TRANSHARI8_ACCPAGI[[#This Row],[PRICE TOLERANCE]])),"")</calculatedColumnFormula>
    </tableColumn>
    <tableColumn id="7" name="NAMA PENGHUTANG" dataDxfId="1023"/>
    <tableColumn id="8" name="NOMINAL TRANSFER" dataDxfId="1024">
      <calculatedColumnFormula>IFERROR(IF(TRANSHARI8_ACCPAGI[[#This Row],[NAMA REKENING]]="","",TRANSHARI8_ACCPAGI[[#This Row],[DEBIT]]),"")</calculatedColumnFormula>
    </tableColumn>
    <tableColumn id="9" name="NAMA REKENING" dataDxfId="1025"/>
  </tableColumns>
  <tableStyleInfo name="TableStyleMedium16" showFirstColumn="0" showLastColumn="0" showRowStripes="1" showColumnStripes="0"/>
</table>
</file>

<file path=xl/tables/table105.xml><?xml version="1.0" encoding="utf-8"?>
<table xmlns="http://schemas.openxmlformats.org/spreadsheetml/2006/main" id="111" name="TRANSHARI8_HYDROPAGI" displayName="TRANSHARI8_HYDROPAGI" ref="A349:J379" totalsRowShown="0">
  <autoFilter xmlns:etc="http://www.wps.cn/officeDocument/2017/etCustomData" ref="A349:J379" etc:filterBottomFollowUsedRange="0"/>
  <tableColumns count="10">
    <tableColumn id="1" name="NO." dataDxfId="1026"/>
    <tableColumn id="2" name="PRODUK" dataDxfId="1027"/>
    <tableColumn id="10" name="QUANTITY" dataDxfId="1028"/>
    <tableColumn id="3" name="HARGA" dataDxfId="1029">
      <calculatedColumnFormula>IFERROR(VLOOKUP(TRANSHARI8_HYDROPAGI[[#This Row],[PRODUK]],DATA_HYDRO[],10,FALSE),"")</calculatedColumnFormula>
    </tableColumn>
    <tableColumn id="4" name="PRICE TOLERANCE" dataDxfId="1030"/>
    <tableColumn id="5" name="DEBIT" dataDxfId="1031">
      <calculatedColumnFormula>IFERROR(IF(TRANSHARI8_HYDROPAGI[[#This Row],[NAMA PENGHUTANG]]="",((TRANSHARI8_HYDROPAGI[[#This Row],[HARGA]]*TRANSHARI8_HYDROPAGI[[#This Row],[QUANTITY]])+TRANSHARI8_HYDROPAGI[[#This Row],[PRICE TOLERANCE]]),""),"")</calculatedColumnFormula>
    </tableColumn>
    <tableColumn id="6" name="KREDIT" dataDxfId="1032">
      <calculatedColumnFormula>IFERROR(IF(TRANSHARI8_HYDROPAGI[[#This Row],[NAMA PENGHUTANG]]="","",((TRANSHARI8_HYDROPAGI[[#This Row],[HARGA]]*TRANSHARI8_HYDROPAGI[[#This Row],[QUANTITY]])+TRANSHARI8_HYDROPAGI[[#This Row],[PRICE TOLERANCE]])),"")</calculatedColumnFormula>
    </tableColumn>
    <tableColumn id="7" name="NAMA PENGHUTANG" dataDxfId="1033"/>
    <tableColumn id="8" name="NOMINAL TRANSFER" dataDxfId="1034">
      <calculatedColumnFormula>IFERROR(IF(TRANSHARI8_HYDROPAGI[[#This Row],[NAMA REKENING]]="","",TRANSHARI8_HYDROPAGI[[#This Row],[DEBIT]]),"")</calculatedColumnFormula>
    </tableColumn>
    <tableColumn id="9" name="NAMA REKENING" dataDxfId="1035"/>
  </tableColumns>
  <tableStyleInfo name="TableStyleMedium16" showFirstColumn="0" showLastColumn="0" showRowStripes="1" showColumnStripes="0"/>
</table>
</file>

<file path=xl/tables/table106.xml><?xml version="1.0" encoding="utf-8"?>
<table xmlns="http://schemas.openxmlformats.org/spreadsheetml/2006/main" id="112" name="TRANSHARI8_ROKOKMALAM" displayName="TRANSHARI8_ROKOKMALAM" ref="P84:Y134" totalsRowShown="0">
  <autoFilter xmlns:etc="http://www.wps.cn/officeDocument/2017/etCustomData" ref="P84:Y134" etc:filterBottomFollowUsedRange="0"/>
  <tableColumns count="10">
    <tableColumn id="1" name="NO." dataDxfId="1036"/>
    <tableColumn id="2" name="PRODUK" dataDxfId="1037"/>
    <tableColumn id="10" name="QUANTITY" dataDxfId="1038"/>
    <tableColumn id="3" name="HARGA" dataDxfId="1039">
      <calculatedColumnFormula>IFERROR(VLOOKUP(TRANSHARI8_ROKOKMALAM[[#This Row],[PRODUK]],DATA_ROKOK[],10,FALSE),"")</calculatedColumnFormula>
    </tableColumn>
    <tableColumn id="4" name="PRICE TOLERANCE" dataDxfId="1040"/>
    <tableColumn id="5" name="DEBIT" dataDxfId="1041">
      <calculatedColumnFormula>IFERROR(IF(TRANSHARI8_ROKOKMALAM[[#This Row],[NAMA PENGHUTANG]]="",((TRANSHARI8_ROKOKMALAM[[#This Row],[HARGA]]*TRANSHARI8_ROKOKMALAM[[#This Row],[QUANTITY]])+TRANSHARI8_ROKOKMALAM[[#This Row],[PRICE TOLERANCE]]),""),"")</calculatedColumnFormula>
    </tableColumn>
    <tableColumn id="6" name="KREDIT" dataDxfId="1042">
      <calculatedColumnFormula>IFERROR(IF(TRANSHARI8_ROKOKMALAM[[#This Row],[NAMA PENGHUTANG]]="","",((TRANSHARI8_ROKOKMALAM[[#This Row],[HARGA]]*TRANSHARI8_ROKOKMALAM[[#This Row],[QUANTITY]])+TRANSHARI8_ROKOKMALAM[[#This Row],[PRICE TOLERANCE]])),"")</calculatedColumnFormula>
    </tableColumn>
    <tableColumn id="7" name="NAMA PENGHUTANG" dataDxfId="1043"/>
    <tableColumn id="8" name="NOMINAL TRANSFER" dataDxfId="1044">
      <calculatedColumnFormula>IFERROR(IF(TRANSHARI8_ROKOKMALAM[[#This Row],[NAMA REKENING]]="","",TRANSHARI8_ROKOKMALAM[[#This Row],[DEBIT]]),"")</calculatedColumnFormula>
    </tableColumn>
    <tableColumn id="9" name="NAMA REKENING" dataDxfId="1045"/>
  </tableColumns>
  <tableStyleInfo name="TableStyleMedium16" showFirstColumn="0" showLastColumn="0" showRowStripes="1" showColumnStripes="0"/>
</table>
</file>

<file path=xl/tables/table107.xml><?xml version="1.0" encoding="utf-8"?>
<table xmlns="http://schemas.openxmlformats.org/spreadsheetml/2006/main" id="113" name="TRANSHARI8_PULSAMALAM" displayName="TRANSHARI8_PULSAMALAM" ref="P27:X77" totalsRowShown="0">
  <autoFilter xmlns:etc="http://www.wps.cn/officeDocument/2017/etCustomData" ref="P27:X77" etc:filterBottomFollowUsedRange="0"/>
  <tableColumns count="9">
    <tableColumn id="1" name="NO." dataDxfId="1046"/>
    <tableColumn id="2" name="NO. TELEPON" dataDxfId="1047"/>
    <tableColumn id="5" name="DEBIT" dataDxfId="1048"/>
    <tableColumn id="6" name="KREDIT" dataDxfId="1049"/>
    <tableColumn id="7" name="NAMA PENGHUTANG" dataDxfId="1050"/>
    <tableColumn id="8" name="SALDO MINUS" dataDxfId="1051"/>
    <tableColumn id="9" name="APLIKASI" dataDxfId="1052"/>
    <tableColumn id="11" name="NOMINAL TRANSFER" dataDxfId="1053">
      <calculatedColumnFormula>IFERROR(IF(TRANSHARI8_PULSAMALAM[[#This Row],[NAMA REKENING]]="","",TRANSHARI8_PULSAMALAM[[#This Row],[DEBIT]]),"")</calculatedColumnFormula>
    </tableColumn>
    <tableColumn id="12" name="NAMA REKENING" dataDxfId="1054"/>
  </tableColumns>
  <tableStyleInfo name="TableStyleMedium16" showFirstColumn="0" showLastColumn="0" showRowStripes="1" showColumnStripes="0"/>
</table>
</file>

<file path=xl/tables/table108.xml><?xml version="1.0" encoding="utf-8"?>
<table xmlns="http://schemas.openxmlformats.org/spreadsheetml/2006/main" id="114" name="TRANSHARI8_SPVOUMALAM" displayName="TRANSHARI8_SPVOUMALAM" ref="P141:Y191" totalsRowShown="0">
  <autoFilter xmlns:etc="http://www.wps.cn/officeDocument/2017/etCustomData" ref="P141:Y191" etc:filterBottomFollowUsedRange="0"/>
  <tableColumns count="10">
    <tableColumn id="1" name="NO." dataDxfId="1055"/>
    <tableColumn id="2" name="PRODUK" dataDxfId="1056"/>
    <tableColumn id="10" name="QUANTITY" dataDxfId="1057"/>
    <tableColumn id="3" name="HARGA" dataDxfId="1058">
      <calculatedColumnFormula>IFERROR(VLOOKUP(TRANSHARI8_SPVOUMALAM[[#This Row],[PRODUK]],DATA_SPVOU[],10,FALSE),"")</calculatedColumnFormula>
    </tableColumn>
    <tableColumn id="4" name="PRICE TOLERANCE" dataDxfId="1059"/>
    <tableColumn id="5" name="DEBIT" dataDxfId="1060">
      <calculatedColumnFormula>IFERROR(IF(TRANSHARI8_SPVOUMALAM[[#This Row],[NAMA PENGHUTANG]]="",((TRANSHARI8_SPVOUMALAM[[#This Row],[HARGA]]*TRANSHARI8_SPVOUMALAM[[#This Row],[QUANTITY]])+TRANSHARI8_SPVOUMALAM[[#This Row],[PRICE TOLERANCE]]),""),"")</calculatedColumnFormula>
    </tableColumn>
    <tableColumn id="6" name="KREDIT" dataDxfId="1061">
      <calculatedColumnFormula>IFERROR(IF(TRANSHARI8_SPVOUMALAM[[#This Row],[NAMA PENGHUTANG]]="","",((TRANSHARI8_SPVOUMALAM[[#This Row],[HARGA]]*TRANSHARI8_SPVOUMALAM[[#This Row],[QUANTITY]])+TRANSHARI8_SPVOUMALAM[[#This Row],[PRICE TOLERANCE]])),"")</calculatedColumnFormula>
    </tableColumn>
    <tableColumn id="7" name="NAMA PENGHUTANG" dataDxfId="1062"/>
    <tableColumn id="8" name="NOMINAL TRANSFER" dataDxfId="1063">
      <calculatedColumnFormula>IFERROR(IF(TRANSHARI8_SPVOUMALAM[[#This Row],[NAMA REKENING]]="","",TRANSHARI8_SPVOUMALAM[[#This Row],[DEBIT]]),"")</calculatedColumnFormula>
    </tableColumn>
    <tableColumn id="9" name="NAMA REKENING" dataDxfId="1064"/>
  </tableColumns>
  <tableStyleInfo name="TableStyleMedium16" showFirstColumn="0" showLastColumn="0" showRowStripes="1" showColumnStripes="0"/>
</table>
</file>

<file path=xl/tables/table109.xml><?xml version="1.0" encoding="utf-8"?>
<table xmlns="http://schemas.openxmlformats.org/spreadsheetml/2006/main" id="115" name="TRANSHARI8_SOFTDRINKMALAM" displayName="TRANSHARI8_SOFTDRINKMALAM" ref="P198:Y248" totalsRowShown="0">
  <autoFilter xmlns:etc="http://www.wps.cn/officeDocument/2017/etCustomData" ref="P198:Y248" etc:filterBottomFollowUsedRange="0"/>
  <tableColumns count="10">
    <tableColumn id="1" name="NO." dataDxfId="1065"/>
    <tableColumn id="2" name="PRODUK" dataDxfId="1066"/>
    <tableColumn id="10" name="QUANTITY" dataDxfId="1067"/>
    <tableColumn id="3" name="HARGA" dataDxfId="1068">
      <calculatedColumnFormula>IFERROR(VLOOKUP(TRANSHARI8_SOFTDRINKMALAM[[#This Row],[PRODUK]],DATA_SOFTDRINK[],10,FALSE),"")</calculatedColumnFormula>
    </tableColumn>
    <tableColumn id="4" name="PRICE TOLERANCE" dataDxfId="1069"/>
    <tableColumn id="5" name="DEBIT" dataDxfId="1070">
      <calculatedColumnFormula>IFERROR(IF(TRANSHARI8_SOFTDRINKMALAM[[#This Row],[NAMA PENGHUTANG]]="",((TRANSHARI8_SOFTDRINKMALAM[[#This Row],[HARGA]]*TRANSHARI8_SOFTDRINKMALAM[[#This Row],[QUANTITY]])+TRANSHARI8_SOFTDRINKMALAM[[#This Row],[PRICE TOLERANCE]]),""),"")</calculatedColumnFormula>
    </tableColumn>
    <tableColumn id="6" name="KREDIT" dataDxfId="1071">
      <calculatedColumnFormula>IFERROR(IF(TRANSHARI8_SOFTDRINKMALAM[[#This Row],[NAMA PENGHUTANG]]="","",((TRANSHARI8_SOFTDRINKMALAM[[#This Row],[HARGA]]*TRANSHARI8_SOFTDRINKMALAM[[#This Row],[QUANTITY]])+TRANSHARI8_SOFTDRINKMALAM[[#This Row],[PRICE TOLERANCE]])),"")</calculatedColumnFormula>
    </tableColumn>
    <tableColumn id="7" name="NAMA PENGHUTANG" dataDxfId="1072"/>
    <tableColumn id="8" name="NOMINAL TRANSFER" dataDxfId="1073">
      <calculatedColumnFormula>IFERROR(IF(TRANSHARI8_SOFTDRINKMALAM[[#This Row],[NAMA REKENING]]="","",TRANSHARI8_SOFTDRINKMALAM[[#This Row],[DEBIT]]),"")</calculatedColumnFormula>
    </tableColumn>
    <tableColumn id="9" name="NAMA REKENING" dataDxfId="1074"/>
  </tableColumns>
  <tableStyleInfo name="TableStyleMedium16" showFirstColumn="0" showLastColumn="0" showRowStripes="1" showColumnStripes="0"/>
</table>
</file>

<file path=xl/tables/table110.xml><?xml version="1.0" encoding="utf-8"?>
<table xmlns="http://schemas.openxmlformats.org/spreadsheetml/2006/main" id="116" name="TRANSHARI8_ICECREAMMALAM" displayName="TRANSHARI8_ICECREAMMALAM" ref="P255:Y305" totalsRowShown="0">
  <autoFilter xmlns:etc="http://www.wps.cn/officeDocument/2017/etCustomData" ref="P255:Y305" etc:filterBottomFollowUsedRange="0"/>
  <tableColumns count="10">
    <tableColumn id="1" name="NO." dataDxfId="1075"/>
    <tableColumn id="2" name="PRODUK" dataDxfId="1076"/>
    <tableColumn id="10" name="QUANTITY" dataDxfId="1077"/>
    <tableColumn id="3" name="HARGA" dataDxfId="1078">
      <calculatedColumnFormula>IFERROR(VLOOKUP(TRANSHARI8_ICECREAMMALAM[[#This Row],[PRODUK]],DATA_ICECREAM[],10,FALSE),"")</calculatedColumnFormula>
    </tableColumn>
    <tableColumn id="4" name="PRICE TOLERANCE" dataDxfId="1079"/>
    <tableColumn id="5" name="DEBIT" dataDxfId="1080">
      <calculatedColumnFormula>IFERROR(IF(TRANSHARI8_ICECREAMMALAM[[#This Row],[NAMA PENGHUTANG]]="",((TRANSHARI8_ICECREAMMALAM[[#This Row],[HARGA]]*TRANSHARI8_ICECREAMMALAM[[#This Row],[QUANTITY]])+TRANSHARI8_ICECREAMMALAM[[#This Row],[PRICE TOLERANCE]]),""),"")</calculatedColumnFormula>
    </tableColumn>
    <tableColumn id="6" name="KREDIT" dataDxfId="1081">
      <calculatedColumnFormula>IFERROR(IF(TRANSHARI8_ICECREAMMALAM[[#This Row],[NAMA PENGHUTANG]]="","",((TRANSHARI8_ICECREAMMALAM[[#This Row],[HARGA]]*TRANSHARI8_ICECREAMMALAM[[#This Row],[QUANTITY]])+TRANSHARI8_ICECREAMMALAM[[#This Row],[PRICE TOLERANCE]])),"")</calculatedColumnFormula>
    </tableColumn>
    <tableColumn id="7" name="NAMA PENGHUTANG" dataDxfId="1082"/>
    <tableColumn id="8" name="NOMINAL TRANSFER" dataDxfId="1083">
      <calculatedColumnFormula>IFERROR(IF(TRANSHARI8_ICECREAMMALAM[[#This Row],[NAMA REKENING]]="","",TRANSHARI8_ICECREAMMALAM[[#This Row],[DEBIT]]),"")</calculatedColumnFormula>
    </tableColumn>
    <tableColumn id="9" name="NAMA REKENING" dataDxfId="1084"/>
  </tableColumns>
  <tableStyleInfo name="TableStyleMedium16" showFirstColumn="0" showLastColumn="0" showRowStripes="1" showColumnStripes="0"/>
</table>
</file>

<file path=xl/tables/table111.xml><?xml version="1.0" encoding="utf-8"?>
<table xmlns="http://schemas.openxmlformats.org/spreadsheetml/2006/main" id="117" name="TRANSHARI8_ACCMALAM" displayName="TRANSHARI8_ACCMALAM" ref="P312:Y342" totalsRowShown="0">
  <autoFilter xmlns:etc="http://www.wps.cn/officeDocument/2017/etCustomData" ref="P312:Y342" etc:filterBottomFollowUsedRange="0"/>
  <tableColumns count="10">
    <tableColumn id="1" name="NO." dataDxfId="1085"/>
    <tableColumn id="2" name="PRODUK" dataDxfId="1086"/>
    <tableColumn id="10" name="QUANTITY" dataDxfId="1087"/>
    <tableColumn id="3" name="HARGA" dataDxfId="1088">
      <calculatedColumnFormula>IFERROR(VLOOKUP(TRANSHARI8_ACCMALAM[[#This Row],[PRODUK]],DATA_ACC[],10,FALSE),"")</calculatedColumnFormula>
    </tableColumn>
    <tableColumn id="4" name="PRICE TOLERANCE" dataDxfId="1089"/>
    <tableColumn id="5" name="DEBIT" dataDxfId="1090">
      <calculatedColumnFormula>IFERROR(IF(TRANSHARI8_ACCMALAM[[#This Row],[NAMA PENGHUTANG]]="",((TRANSHARI8_ACCMALAM[[#This Row],[HARGA]]*TRANSHARI8_ACCMALAM[[#This Row],[QUANTITY]])+TRANSHARI8_ACCMALAM[[#This Row],[PRICE TOLERANCE]]),""),"")</calculatedColumnFormula>
    </tableColumn>
    <tableColumn id="6" name="KREDIT" dataDxfId="1091">
      <calculatedColumnFormula>IFERROR(IF(TRANSHARI8_ACCMALAM[[#This Row],[NAMA PENGHUTANG]]="","",((TRANSHARI8_ACCMALAM[[#This Row],[HARGA]]*TRANSHARI8_ACCMALAM[[#This Row],[QUANTITY]])+TRANSHARI8_ACCMALAM[[#This Row],[PRICE TOLERANCE]])),"")</calculatedColumnFormula>
    </tableColumn>
    <tableColumn id="7" name="NAMA PENGHUTANG" dataDxfId="1092"/>
    <tableColumn id="8" name="NOMINAL TRANSFER" dataDxfId="1093">
      <calculatedColumnFormula>IFERROR(IF(TRANSHARI8_ACCMALAM[[#This Row],[NAMA REKENING]]="","",TRANSHARI8_ACCMALAM[[#This Row],[DEBIT]]),"")</calculatedColumnFormula>
    </tableColumn>
    <tableColumn id="9" name="NAMA REKENING" dataDxfId="1094"/>
  </tableColumns>
  <tableStyleInfo name="TableStyleMedium16" showFirstColumn="0" showLastColumn="0" showRowStripes="1" showColumnStripes="0"/>
</table>
</file>

<file path=xl/tables/table112.xml><?xml version="1.0" encoding="utf-8"?>
<table xmlns="http://schemas.openxmlformats.org/spreadsheetml/2006/main" id="118" name="TRANSHARI8_HYDROMALAM" displayName="TRANSHARI8_HYDROMALAM" ref="P349:Y379" totalsRowShown="0">
  <autoFilter xmlns:etc="http://www.wps.cn/officeDocument/2017/etCustomData" ref="P349:Y379" etc:filterBottomFollowUsedRange="0"/>
  <tableColumns count="10">
    <tableColumn id="1" name="NO." dataDxfId="1095"/>
    <tableColumn id="2" name="PRODUK" dataDxfId="1096"/>
    <tableColumn id="10" name="QUANTITY" dataDxfId="1097"/>
    <tableColumn id="3" name="HARGA" dataDxfId="1098">
      <calculatedColumnFormula>IFERROR(VLOOKUP(TRANSHARI8_HYDROMALAM[[#This Row],[PRODUK]],DATA_HYDRO[],10,FALSE),"")</calculatedColumnFormula>
    </tableColumn>
    <tableColumn id="4" name="PRICE TOLERANCE" dataDxfId="1099"/>
    <tableColumn id="5" name="DEBIT" dataDxfId="1100">
      <calculatedColumnFormula>IFERROR(IF(TRANSHARI8_HYDROMALAM[[#This Row],[NAMA PENGHUTANG]]="",((TRANSHARI8_HYDROMALAM[[#This Row],[HARGA]]*TRANSHARI8_HYDROMALAM[[#This Row],[QUANTITY]])+TRANSHARI8_HYDROMALAM[[#This Row],[PRICE TOLERANCE]]),""),"")</calculatedColumnFormula>
    </tableColumn>
    <tableColumn id="6" name="KREDIT" dataDxfId="1101">
      <calculatedColumnFormula>IFERROR(IF(TRANSHARI8_HYDROMALAM[[#This Row],[NAMA PENGHUTANG]]="","",((TRANSHARI8_HYDROMALAM[[#This Row],[HARGA]]*TRANSHARI8_HYDROMALAM[[#This Row],[QUANTITY]])+TRANSHARI8_HYDROMALAM[[#This Row],[PRICE TOLERANCE]])),"")</calculatedColumnFormula>
    </tableColumn>
    <tableColumn id="7" name="NAMA PENGHUTANG" dataDxfId="1102"/>
    <tableColumn id="8" name="NOMINAL TRANSFER" dataDxfId="1103">
      <calculatedColumnFormula>IFERROR(IF(TRANSHARI8_HYDROMALAM[[#This Row],[NAMA REKENING]]="","",TRANSHARI8_HYDROMALAM[[#This Row],[DEBIT]]),"")</calculatedColumnFormula>
    </tableColumn>
    <tableColumn id="9" name="NAMA REKENING" dataDxfId="1104"/>
  </tableColumns>
  <tableStyleInfo name="TableStyleMedium16" showFirstColumn="0" showLastColumn="0" showRowStripes="1" showColumnStripes="0"/>
</table>
</file>

<file path=xl/tables/table113.xml><?xml version="1.0" encoding="utf-8"?>
<table xmlns="http://schemas.openxmlformats.org/spreadsheetml/2006/main" id="119" name="TRANSHARI9_ROKOKPAGI" displayName="TRANSHARI9_ROKOKPAGI" ref="A84:J134" totalsRowShown="0">
  <autoFilter xmlns:etc="http://www.wps.cn/officeDocument/2017/etCustomData" ref="A84:J134" etc:filterBottomFollowUsedRange="0"/>
  <tableColumns count="10">
    <tableColumn id="1" name="NO." dataDxfId="1105"/>
    <tableColumn id="2" name="PRODUK" dataDxfId="1106"/>
    <tableColumn id="10" name="QUANTITY" dataDxfId="1107"/>
    <tableColumn id="3" name="HARGA" dataDxfId="1108">
      <calculatedColumnFormula>IFERROR(VLOOKUP(TRANSHARI9_ROKOKPAGI[[#This Row],[PRODUK]],DATA_ROKOK[],11,FALSE),"")</calculatedColumnFormula>
    </tableColumn>
    <tableColumn id="4" name="PRICE TOLERANCE" dataDxfId="1109"/>
    <tableColumn id="5" name="DEBIT" dataDxfId="1110">
      <calculatedColumnFormula>IFERROR(IF(TRANSHARI9_ROKOKPAGI[[#This Row],[NAMA PENGHUTANG]]="",((TRANSHARI9_ROKOKPAGI[[#This Row],[HARGA]]*TRANSHARI9_ROKOKPAGI[[#This Row],[QUANTITY]])+TRANSHARI9_ROKOKPAGI[[#This Row],[PRICE TOLERANCE]]),""),"")</calculatedColumnFormula>
    </tableColumn>
    <tableColumn id="6" name="KREDIT" dataDxfId="1111">
      <calculatedColumnFormula>IFERROR(IF(TRANSHARI9_ROKOKPAGI[[#This Row],[NAMA PENGHUTANG]]="","",((TRANSHARI9_ROKOKPAGI[[#This Row],[HARGA]]*TRANSHARI9_ROKOKPAGI[[#This Row],[QUANTITY]])+TRANSHARI9_ROKOKPAGI[[#This Row],[PRICE TOLERANCE]])),"")</calculatedColumnFormula>
    </tableColumn>
    <tableColumn id="7" name="NAMA PENGHUTANG" dataDxfId="1112"/>
    <tableColumn id="8" name="NOMINAL TRANSFER" dataDxfId="1113">
      <calculatedColumnFormula>IFERROR(IF(TRANSHARI9_ROKOKPAGI[[#This Row],[NAMA REKENING]]="","",TRANSHARI9_ROKOKPAGI[[#This Row],[DEBIT]]),"")</calculatedColumnFormula>
    </tableColumn>
    <tableColumn id="9" name="NAMA REKENING" dataDxfId="1114"/>
  </tableColumns>
  <tableStyleInfo name="TableStyleMedium16" showFirstColumn="0" showLastColumn="0" showRowStripes="1" showColumnStripes="0"/>
</table>
</file>

<file path=xl/tables/table114.xml><?xml version="1.0" encoding="utf-8"?>
<table xmlns="http://schemas.openxmlformats.org/spreadsheetml/2006/main" id="120" name="TRANSHARI9_PULSAPAGI" displayName="TRANSHARI9_PULSAPAGI" ref="A27:I77" totalsRowShown="0">
  <autoFilter xmlns:etc="http://www.wps.cn/officeDocument/2017/etCustomData" ref="A27:I77" etc:filterBottomFollowUsedRange="0"/>
  <tableColumns count="9">
    <tableColumn id="1" name="NO." dataDxfId="1115"/>
    <tableColumn id="2" name="NO. TELEPON" dataDxfId="1116"/>
    <tableColumn id="5" name="DEBIT" dataDxfId="1117"/>
    <tableColumn id="6" name="KREDIT" dataDxfId="1118"/>
    <tableColumn id="7" name="NAMA PENGHUTANG" dataDxfId="1119"/>
    <tableColumn id="8" name="SALDO MINUS" dataDxfId="1120"/>
    <tableColumn id="9" name="APLIKASI" dataDxfId="1121"/>
    <tableColumn id="11" name="NOMINAL TRANSFER" dataDxfId="1122">
      <calculatedColumnFormula>IFERROR(IF(TRANSHARI9_PULSAPAGI[[#This Row],[NAMA REKENING]]="","",TRANSHARI9_PULSAPAGI[[#This Row],[DEBIT]]),"")</calculatedColumnFormula>
    </tableColumn>
    <tableColumn id="12" name="NAMA REKENING" dataDxfId="1123"/>
  </tableColumns>
  <tableStyleInfo name="TableStyleMedium16" showFirstColumn="0" showLastColumn="0" showRowStripes="1" showColumnStripes="0"/>
</table>
</file>

<file path=xl/tables/table115.xml><?xml version="1.0" encoding="utf-8"?>
<table xmlns="http://schemas.openxmlformats.org/spreadsheetml/2006/main" id="121" name="TRANSHARI9_SPVOUPAGI" displayName="TRANSHARI9_SPVOUPAGI" ref="A141:J191" totalsRowShown="0">
  <autoFilter xmlns:etc="http://www.wps.cn/officeDocument/2017/etCustomData" ref="A141:J191" etc:filterBottomFollowUsedRange="0"/>
  <tableColumns count="10">
    <tableColumn id="1" name="NO." dataDxfId="1124"/>
    <tableColumn id="2" name="PRODUK" dataDxfId="1125"/>
    <tableColumn id="10" name="QUANTITY" dataDxfId="1126"/>
    <tableColumn id="3" name="HARGA" dataDxfId="1127">
      <calculatedColumnFormula>IFERROR(VLOOKUP(TRANSHARI9_SPVOUPAGI[[#This Row],[PRODUK]],DATA_SPVOU[],11,FALSE),"")</calculatedColumnFormula>
    </tableColumn>
    <tableColumn id="4" name="PRICE TOLERANCE" dataDxfId="1128"/>
    <tableColumn id="5" name="DEBIT" dataDxfId="1129">
      <calculatedColumnFormula>IFERROR(IF(TRANSHARI9_SPVOUPAGI[[#This Row],[NAMA PENGHUTANG]]="",((TRANSHARI9_SPVOUPAGI[[#This Row],[HARGA]]*TRANSHARI9_SPVOUPAGI[[#This Row],[QUANTITY]])+TRANSHARI9_SPVOUPAGI[[#This Row],[PRICE TOLERANCE]]),""),"")</calculatedColumnFormula>
    </tableColumn>
    <tableColumn id="6" name="KREDIT" dataDxfId="1130">
      <calculatedColumnFormula>IFERROR(IF(TRANSHARI9_SPVOUPAGI[[#This Row],[NAMA PENGHUTANG]]="","",((TRANSHARI9_SPVOUPAGI[[#This Row],[HARGA]]*TRANSHARI9_SPVOUPAGI[[#This Row],[QUANTITY]])+TRANSHARI9_SPVOUPAGI[[#This Row],[PRICE TOLERANCE]])),"")</calculatedColumnFormula>
    </tableColumn>
    <tableColumn id="7" name="NAMA PENGHUTANG" dataDxfId="1131"/>
    <tableColumn id="8" name="NOMINAL TRANSFER" dataDxfId="1132">
      <calculatedColumnFormula>IFERROR(IF(TRANSHARI9_SPVOUPAGI[[#This Row],[NAMA REKENING]]="","",TRANSHARI9_SPVOUPAGI[[#This Row],[DEBIT]]),"")</calculatedColumnFormula>
    </tableColumn>
    <tableColumn id="9" name="NAMA REKENING" dataDxfId="1133"/>
  </tableColumns>
  <tableStyleInfo name="TableStyleMedium16" showFirstColumn="0" showLastColumn="0" showRowStripes="1" showColumnStripes="0"/>
</table>
</file>

<file path=xl/tables/table116.xml><?xml version="1.0" encoding="utf-8"?>
<table xmlns="http://schemas.openxmlformats.org/spreadsheetml/2006/main" id="122" name="TRANSHARI9_SOFTDRINKPAGI" displayName="TRANSHARI9_SOFTDRINKPAGI" ref="A198:J248" totalsRowShown="0">
  <autoFilter xmlns:etc="http://www.wps.cn/officeDocument/2017/etCustomData" ref="A198:J248" etc:filterBottomFollowUsedRange="0"/>
  <tableColumns count="10">
    <tableColumn id="1" name="NO." dataDxfId="1134"/>
    <tableColumn id="2" name="PRODUK" dataDxfId="1135"/>
    <tableColumn id="10" name="QUANTITY" dataDxfId="1136"/>
    <tableColumn id="3" name="HARGA" dataDxfId="1137">
      <calculatedColumnFormula>IFERROR(VLOOKUP(TRANSHARI9_SOFTDRINKPAGI[[#This Row],[PRODUK]],DATA_SOFTDRINK[],11,FALSE),"")</calculatedColumnFormula>
    </tableColumn>
    <tableColumn id="4" name="PRICE TOLERANCE" dataDxfId="1138"/>
    <tableColumn id="5" name="DEBIT" dataDxfId="1139">
      <calculatedColumnFormula>IFERROR(IF(TRANSHARI9_SOFTDRINKPAGI[[#This Row],[NAMA PENGHUTANG]]="",((TRANSHARI9_SOFTDRINKPAGI[[#This Row],[HARGA]]*TRANSHARI9_SOFTDRINKPAGI[[#This Row],[QUANTITY]])+TRANSHARI9_SOFTDRINKPAGI[[#This Row],[PRICE TOLERANCE]]),""),"")</calculatedColumnFormula>
    </tableColumn>
    <tableColumn id="6" name="KREDIT" dataDxfId="1140">
      <calculatedColumnFormula>IFERROR(IF(TRANSHARI9_SOFTDRINKPAGI[[#This Row],[NAMA PENGHUTANG]]="","",((TRANSHARI9_SOFTDRINKPAGI[[#This Row],[HARGA]]*TRANSHARI9_SOFTDRINKPAGI[[#This Row],[QUANTITY]])+TRANSHARI9_SOFTDRINKPAGI[[#This Row],[PRICE TOLERANCE]])),"")</calculatedColumnFormula>
    </tableColumn>
    <tableColumn id="7" name="NAMA PENGHUTANG" dataDxfId="1141"/>
    <tableColumn id="8" name="NOMINAL TRANSFER" dataDxfId="1142">
      <calculatedColumnFormula>IFERROR(IF(TRANSHARI9_SOFTDRINKPAGI[[#This Row],[NAMA REKENING]]="","",TRANSHARI9_SOFTDRINKPAGI[[#This Row],[DEBIT]]),"")</calculatedColumnFormula>
    </tableColumn>
    <tableColumn id="9" name="NAMA REKENING" dataDxfId="1143"/>
  </tableColumns>
  <tableStyleInfo name="TableStyleMedium16" showFirstColumn="0" showLastColumn="0" showRowStripes="1" showColumnStripes="0"/>
</table>
</file>

<file path=xl/tables/table117.xml><?xml version="1.0" encoding="utf-8"?>
<table xmlns="http://schemas.openxmlformats.org/spreadsheetml/2006/main" id="123" name="TRANSHARI9_ICECREAMPAGI" displayName="TRANSHARI9_ICECREAMPAGI" ref="A255:J305" totalsRowShown="0">
  <autoFilter xmlns:etc="http://www.wps.cn/officeDocument/2017/etCustomData" ref="A255:J305" etc:filterBottomFollowUsedRange="0"/>
  <tableColumns count="10">
    <tableColumn id="1" name="NO." dataDxfId="1144"/>
    <tableColumn id="2" name="PRODUK" dataDxfId="1145"/>
    <tableColumn id="10" name="QUANTITY" dataDxfId="1146"/>
    <tableColumn id="3" name="HARGA" dataDxfId="1147">
      <calculatedColumnFormula>IFERROR(VLOOKUP(TRANSHARI9_ICECREAMPAGI[[#This Row],[PRODUK]],DATA_ICECREAM[],11,FALSE),"")</calculatedColumnFormula>
    </tableColumn>
    <tableColumn id="4" name="PRICE TOLERANCE" dataDxfId="1148"/>
    <tableColumn id="5" name="DEBIT" dataDxfId="1149">
      <calculatedColumnFormula>IFERROR(IF(TRANSHARI9_ICECREAMPAGI[[#This Row],[NAMA PENGHUTANG]]="",((TRANSHARI9_ICECREAMPAGI[[#This Row],[HARGA]]*TRANSHARI9_ICECREAMPAGI[[#This Row],[QUANTITY]])+TRANSHARI9_ICECREAMPAGI[[#This Row],[PRICE TOLERANCE]]),""),"")</calculatedColumnFormula>
    </tableColumn>
    <tableColumn id="6" name="KREDIT" dataDxfId="1150">
      <calculatedColumnFormula>IFERROR(IF(TRANSHARI9_ICECREAMPAGI[[#This Row],[NAMA PENGHUTANG]]="","",((TRANSHARI9_ICECREAMPAGI[[#This Row],[HARGA]]*TRANSHARI9_ICECREAMPAGI[[#This Row],[QUANTITY]])+TRANSHARI9_ICECREAMPAGI[[#This Row],[PRICE TOLERANCE]])),"")</calculatedColumnFormula>
    </tableColumn>
    <tableColumn id="7" name="NAMA PENGHUTANG" dataDxfId="1151"/>
    <tableColumn id="8" name="NOMINAL TRANSFER" dataDxfId="1152">
      <calculatedColumnFormula>IFERROR(IF(TRANSHARI9_ICECREAMPAGI[[#This Row],[NAMA REKENING]]="","",TRANSHARI9_ICECREAMPAGI[[#This Row],[DEBIT]]),"")</calculatedColumnFormula>
    </tableColumn>
    <tableColumn id="9" name="NAMA REKENING" dataDxfId="1153"/>
  </tableColumns>
  <tableStyleInfo name="TableStyleMedium16" showFirstColumn="0" showLastColumn="0" showRowStripes="1" showColumnStripes="0"/>
</table>
</file>

<file path=xl/tables/table118.xml><?xml version="1.0" encoding="utf-8"?>
<table xmlns="http://schemas.openxmlformats.org/spreadsheetml/2006/main" id="124" name="TRANSHARI9_ACCPAGI" displayName="TRANSHARI9_ACCPAGI" ref="A312:J342" totalsRowShown="0">
  <autoFilter xmlns:etc="http://www.wps.cn/officeDocument/2017/etCustomData" ref="A312:J342" etc:filterBottomFollowUsedRange="0"/>
  <tableColumns count="10">
    <tableColumn id="1" name="NO." dataDxfId="1154"/>
    <tableColumn id="2" name="PRODUK" dataDxfId="1155"/>
    <tableColumn id="10" name="QUANTITY" dataDxfId="1156"/>
    <tableColumn id="3" name="HARGA" dataDxfId="1157">
      <calculatedColumnFormula>IFERROR(VLOOKUP(TRANSHARI9_ACCPAGI[[#This Row],[PRODUK]],DATA_ACC[],11,FALSE),"")</calculatedColumnFormula>
    </tableColumn>
    <tableColumn id="4" name="PRICE TOLERANCE" dataDxfId="1158"/>
    <tableColumn id="5" name="DEBIT" dataDxfId="1159">
      <calculatedColumnFormula>IFERROR(IF(TRANSHARI9_ACCPAGI[[#This Row],[NAMA PENGHUTANG]]="",((TRANSHARI9_ACCPAGI[[#This Row],[HARGA]]*TRANSHARI9_ACCPAGI[[#This Row],[QUANTITY]])+TRANSHARI9_ACCPAGI[[#This Row],[PRICE TOLERANCE]]),""),"")</calculatedColumnFormula>
    </tableColumn>
    <tableColumn id="6" name="KREDIT" dataDxfId="1160">
      <calculatedColumnFormula>IFERROR(IF(TRANSHARI9_ACCPAGI[[#This Row],[NAMA PENGHUTANG]]="","",((TRANSHARI9_ACCPAGI[[#This Row],[HARGA]]*TRANSHARI9_ACCPAGI[[#This Row],[QUANTITY]])+TRANSHARI9_ACCPAGI[[#This Row],[PRICE TOLERANCE]])),"")</calculatedColumnFormula>
    </tableColumn>
    <tableColumn id="7" name="NAMA PENGHUTANG" dataDxfId="1161"/>
    <tableColumn id="8" name="NOMINAL TRANSFER" dataDxfId="1162">
      <calculatedColumnFormula>IFERROR(IF(TRANSHARI9_ACCPAGI[[#This Row],[NAMA REKENING]]="","",TRANSHARI9_ACCPAGI[[#This Row],[DEBIT]]),"")</calculatedColumnFormula>
    </tableColumn>
    <tableColumn id="9" name="NAMA REKENING" dataDxfId="1163"/>
  </tableColumns>
  <tableStyleInfo name="TableStyleMedium16" showFirstColumn="0" showLastColumn="0" showRowStripes="1" showColumnStripes="0"/>
</table>
</file>

<file path=xl/tables/table119.xml><?xml version="1.0" encoding="utf-8"?>
<table xmlns="http://schemas.openxmlformats.org/spreadsheetml/2006/main" id="125" name="TRANSHARI9_HYDROPAGI" displayName="TRANSHARI9_HYDROPAGI" ref="A349:J379" totalsRowShown="0">
  <autoFilter xmlns:etc="http://www.wps.cn/officeDocument/2017/etCustomData" ref="A349:J379" etc:filterBottomFollowUsedRange="0"/>
  <tableColumns count="10">
    <tableColumn id="1" name="NO." dataDxfId="1164"/>
    <tableColumn id="2" name="PRODUK" dataDxfId="1165"/>
    <tableColumn id="10" name="QUANTITY" dataDxfId="1166"/>
    <tableColumn id="3" name="HARGA" dataDxfId="1167">
      <calculatedColumnFormula>IFERROR(VLOOKUP(TRANSHARI9_HYDROPAGI[[#This Row],[PRODUK]],DATA_HYDRO[],11,FALSE),"")</calculatedColumnFormula>
    </tableColumn>
    <tableColumn id="4" name="PRICE TOLERANCE" dataDxfId="1168"/>
    <tableColumn id="5" name="DEBIT" dataDxfId="1169">
      <calculatedColumnFormula>IFERROR(IF(TRANSHARI9_HYDROPAGI[[#This Row],[NAMA PENGHUTANG]]="",((TRANSHARI9_HYDROPAGI[[#This Row],[HARGA]]*TRANSHARI9_HYDROPAGI[[#This Row],[QUANTITY]])+TRANSHARI9_HYDROPAGI[[#This Row],[PRICE TOLERANCE]]),""),"")</calculatedColumnFormula>
    </tableColumn>
    <tableColumn id="6" name="KREDIT" dataDxfId="1170">
      <calculatedColumnFormula>IFERROR(IF(TRANSHARI9_HYDROPAGI[[#This Row],[NAMA PENGHUTANG]]="","",((TRANSHARI9_HYDROPAGI[[#This Row],[HARGA]]*TRANSHARI9_HYDROPAGI[[#This Row],[QUANTITY]])+TRANSHARI9_HYDROPAGI[[#This Row],[PRICE TOLERANCE]])),"")</calculatedColumnFormula>
    </tableColumn>
    <tableColumn id="7" name="NAMA PENGHUTANG" dataDxfId="1171"/>
    <tableColumn id="8" name="NOMINAL TRANSFER" dataDxfId="1172">
      <calculatedColumnFormula>IFERROR(IF(TRANSHARI9_HYDROPAGI[[#This Row],[NAMA REKENING]]="","",TRANSHARI9_HYDROPAGI[[#This Row],[DEBIT]]),"")</calculatedColumnFormula>
    </tableColumn>
    <tableColumn id="9" name="NAMA REKENING" dataDxfId="1173"/>
  </tableColumns>
  <tableStyleInfo name="TableStyleMedium16" showFirstColumn="0" showLastColumn="0" showRowStripes="1" showColumnStripes="0"/>
</table>
</file>

<file path=xl/tables/table120.xml><?xml version="1.0" encoding="utf-8"?>
<table xmlns="http://schemas.openxmlformats.org/spreadsheetml/2006/main" id="126" name="TRANSHARI9_ROKOKMALAM" displayName="TRANSHARI9_ROKOKMALAM" ref="P84:Y134" totalsRowShown="0">
  <autoFilter xmlns:etc="http://www.wps.cn/officeDocument/2017/etCustomData" ref="P84:Y134" etc:filterBottomFollowUsedRange="0"/>
  <tableColumns count="10">
    <tableColumn id="1" name="NO." dataDxfId="1174"/>
    <tableColumn id="2" name="PRODUK" dataDxfId="1175"/>
    <tableColumn id="10" name="QUANTITY" dataDxfId="1176"/>
    <tableColumn id="3" name="HARGA" dataDxfId="1177">
      <calculatedColumnFormula>IFERROR(VLOOKUP(TRANSHARI9_ROKOKMALAM[[#This Row],[PRODUK]],DATA_ROKOK[],11,FALSE),"")</calculatedColumnFormula>
    </tableColumn>
    <tableColumn id="4" name="PRICE TOLERANCE" dataDxfId="1178"/>
    <tableColumn id="5" name="DEBIT" dataDxfId="1179">
      <calculatedColumnFormula>IFERROR(IF(TRANSHARI9_ROKOKMALAM[[#This Row],[NAMA PENGHUTANG]]="",((TRANSHARI9_ROKOKMALAM[[#This Row],[HARGA]]*TRANSHARI9_ROKOKMALAM[[#This Row],[QUANTITY]])+TRANSHARI9_ROKOKMALAM[[#This Row],[PRICE TOLERANCE]]),""),"")</calculatedColumnFormula>
    </tableColumn>
    <tableColumn id="6" name="KREDIT" dataDxfId="1180">
      <calculatedColumnFormula>IFERROR(IF(TRANSHARI9_ROKOKMALAM[[#This Row],[NAMA PENGHUTANG]]="","",((TRANSHARI9_ROKOKMALAM[[#This Row],[HARGA]]*TRANSHARI9_ROKOKMALAM[[#This Row],[QUANTITY]])+TRANSHARI9_ROKOKMALAM[[#This Row],[PRICE TOLERANCE]])),"")</calculatedColumnFormula>
    </tableColumn>
    <tableColumn id="7" name="NAMA PENGHUTANG" dataDxfId="1181"/>
    <tableColumn id="8" name="NOMINAL TRANSFER" dataDxfId="1182">
      <calculatedColumnFormula>IFERROR(IF(TRANSHARI9_ROKOKMALAM[[#This Row],[NAMA REKENING]]="","",TRANSHARI9_ROKOKMALAM[[#This Row],[DEBIT]]),"")</calculatedColumnFormula>
    </tableColumn>
    <tableColumn id="9" name="NAMA REKENING" dataDxfId="1183"/>
  </tableColumns>
  <tableStyleInfo name="TableStyleMedium16" showFirstColumn="0" showLastColumn="0" showRowStripes="1" showColumnStripes="0"/>
</table>
</file>

<file path=xl/tables/table121.xml><?xml version="1.0" encoding="utf-8"?>
<table xmlns="http://schemas.openxmlformats.org/spreadsheetml/2006/main" id="127" name="TRANSHARI9_PULSAMALAM" displayName="TRANSHARI9_PULSAMALAM" ref="P27:X77" totalsRowShown="0">
  <autoFilter xmlns:etc="http://www.wps.cn/officeDocument/2017/etCustomData" ref="P27:X77" etc:filterBottomFollowUsedRange="0"/>
  <tableColumns count="9">
    <tableColumn id="1" name="NO." dataDxfId="1184"/>
    <tableColumn id="2" name="NO. TELEPON" dataDxfId="1185"/>
    <tableColumn id="5" name="DEBIT" dataDxfId="1186"/>
    <tableColumn id="6" name="KREDIT" dataDxfId="1187"/>
    <tableColumn id="7" name="NAMA PENGHUTANG" dataDxfId="1188"/>
    <tableColumn id="8" name="SALDO MINUS" dataDxfId="1189"/>
    <tableColumn id="9" name="APLIKASI" dataDxfId="1190"/>
    <tableColumn id="11" name="NOMINAL TRANSFER" dataDxfId="1191">
      <calculatedColumnFormula>IFERROR(IF(TRANSHARI9_PULSAMALAM[[#This Row],[NAMA REKENING]]="","",TRANSHARI9_PULSAMALAM[[#This Row],[DEBIT]]),"")</calculatedColumnFormula>
    </tableColumn>
    <tableColumn id="12" name="NAMA REKENING" dataDxfId="1192"/>
  </tableColumns>
  <tableStyleInfo name="TableStyleMedium16" showFirstColumn="0" showLastColumn="0" showRowStripes="1" showColumnStripes="0"/>
</table>
</file>

<file path=xl/tables/table122.xml><?xml version="1.0" encoding="utf-8"?>
<table xmlns="http://schemas.openxmlformats.org/spreadsheetml/2006/main" id="128" name="TRANSHARI9_SPVOUMALAM" displayName="TRANSHARI9_SPVOUMALAM" ref="P141:Y191" totalsRowShown="0">
  <autoFilter xmlns:etc="http://www.wps.cn/officeDocument/2017/etCustomData" ref="P141:Y191" etc:filterBottomFollowUsedRange="0"/>
  <tableColumns count="10">
    <tableColumn id="1" name="NO." dataDxfId="1193"/>
    <tableColumn id="2" name="PRODUK" dataDxfId="1194"/>
    <tableColumn id="10" name="QUANTITY" dataDxfId="1195"/>
    <tableColumn id="3" name="HARGA" dataDxfId="1196">
      <calculatedColumnFormula>IFERROR(VLOOKUP(TRANSHARI9_SPVOUMALAM[[#This Row],[PRODUK]],DATA_SPVOU[],11,FALSE),"")</calculatedColumnFormula>
    </tableColumn>
    <tableColumn id="4" name="PRICE TOLERANCE" dataDxfId="1197"/>
    <tableColumn id="5" name="DEBIT" dataDxfId="1198">
      <calculatedColumnFormula>IFERROR(IF(TRANSHARI9_SPVOUMALAM[[#This Row],[NAMA PENGHUTANG]]="",((TRANSHARI9_SPVOUMALAM[[#This Row],[HARGA]]*TRANSHARI9_SPVOUMALAM[[#This Row],[QUANTITY]])+TRANSHARI9_SPVOUMALAM[[#This Row],[PRICE TOLERANCE]]),""),"")</calculatedColumnFormula>
    </tableColumn>
    <tableColumn id="6" name="KREDIT" dataDxfId="1199">
      <calculatedColumnFormula>IFERROR(IF(TRANSHARI9_SPVOUMALAM[[#This Row],[NAMA PENGHUTANG]]="","",((TRANSHARI9_SPVOUMALAM[[#This Row],[HARGA]]*TRANSHARI9_SPVOUMALAM[[#This Row],[QUANTITY]])+TRANSHARI9_SPVOUMALAM[[#This Row],[PRICE TOLERANCE]])),"")</calculatedColumnFormula>
    </tableColumn>
    <tableColumn id="7" name="NAMA PENGHUTANG" dataDxfId="1200"/>
    <tableColumn id="8" name="NOMINAL TRANSFER" dataDxfId="1201">
      <calculatedColumnFormula>IFERROR(IF(TRANSHARI9_SPVOUMALAM[[#This Row],[NAMA REKENING]]="","",TRANSHARI9_SPVOUMALAM[[#This Row],[DEBIT]]),"")</calculatedColumnFormula>
    </tableColumn>
    <tableColumn id="9" name="NAMA REKENING" dataDxfId="1202"/>
  </tableColumns>
  <tableStyleInfo name="TableStyleMedium16" showFirstColumn="0" showLastColumn="0" showRowStripes="1" showColumnStripes="0"/>
</table>
</file>

<file path=xl/tables/table123.xml><?xml version="1.0" encoding="utf-8"?>
<table xmlns="http://schemas.openxmlformats.org/spreadsheetml/2006/main" id="129" name="TRANSHARI9_SOFTDRINKMALAM" displayName="TRANSHARI9_SOFTDRINKMALAM" ref="P198:Y248" totalsRowShown="0">
  <autoFilter xmlns:etc="http://www.wps.cn/officeDocument/2017/etCustomData" ref="P198:Y248" etc:filterBottomFollowUsedRange="0"/>
  <tableColumns count="10">
    <tableColumn id="1" name="NO." dataDxfId="1203"/>
    <tableColumn id="2" name="PRODUK" dataDxfId="1204"/>
    <tableColumn id="10" name="QUANTITY" dataDxfId="1205"/>
    <tableColumn id="3" name="HARGA" dataDxfId="1206">
      <calculatedColumnFormula>IFERROR(VLOOKUP(TRANSHARI9_SOFTDRINKMALAM[[#This Row],[PRODUK]],DATA_SOFTDRINK[],11,FALSE),"")</calculatedColumnFormula>
    </tableColumn>
    <tableColumn id="4" name="PRICE TOLERANCE" dataDxfId="1207"/>
    <tableColumn id="5" name="DEBIT" dataDxfId="1208">
      <calculatedColumnFormula>IFERROR(IF(TRANSHARI9_SOFTDRINKMALAM[[#This Row],[NAMA PENGHUTANG]]="",((TRANSHARI9_SOFTDRINKMALAM[[#This Row],[HARGA]]*TRANSHARI9_SOFTDRINKMALAM[[#This Row],[QUANTITY]])+TRANSHARI9_SOFTDRINKMALAM[[#This Row],[PRICE TOLERANCE]]),""),"")</calculatedColumnFormula>
    </tableColumn>
    <tableColumn id="6" name="KREDIT" dataDxfId="1209">
      <calculatedColumnFormula>IFERROR(IF(TRANSHARI9_SOFTDRINKMALAM[[#This Row],[NAMA PENGHUTANG]]="","",((TRANSHARI9_SOFTDRINKMALAM[[#This Row],[HARGA]]*TRANSHARI9_SOFTDRINKMALAM[[#This Row],[QUANTITY]])+TRANSHARI9_SOFTDRINKMALAM[[#This Row],[PRICE TOLERANCE]])),"")</calculatedColumnFormula>
    </tableColumn>
    <tableColumn id="7" name="NAMA PENGHUTANG" dataDxfId="1210"/>
    <tableColumn id="8" name="NOMINAL TRANSFER" dataDxfId="1211">
      <calculatedColumnFormula>IFERROR(IF(TRANSHARI9_SOFTDRINKMALAM[[#This Row],[NAMA REKENING]]="","",TRANSHARI9_SOFTDRINKMALAM[[#This Row],[DEBIT]]),"")</calculatedColumnFormula>
    </tableColumn>
    <tableColumn id="9" name="NAMA REKENING" dataDxfId="1212"/>
  </tableColumns>
  <tableStyleInfo name="TableStyleMedium16" showFirstColumn="0" showLastColumn="0" showRowStripes="1" showColumnStripes="0"/>
</table>
</file>

<file path=xl/tables/table124.xml><?xml version="1.0" encoding="utf-8"?>
<table xmlns="http://schemas.openxmlformats.org/spreadsheetml/2006/main" id="130" name="TRANSHARI9_ICECREAMMALAM" displayName="TRANSHARI9_ICECREAMMALAM" ref="P255:Y305" totalsRowShown="0">
  <autoFilter xmlns:etc="http://www.wps.cn/officeDocument/2017/etCustomData" ref="P255:Y305" etc:filterBottomFollowUsedRange="0"/>
  <tableColumns count="10">
    <tableColumn id="1" name="NO." dataDxfId="1213"/>
    <tableColumn id="2" name="PRODUK" dataDxfId="1214"/>
    <tableColumn id="10" name="QUANTITY" dataDxfId="1215"/>
    <tableColumn id="3" name="HARGA" dataDxfId="1216">
      <calculatedColumnFormula>IFERROR(VLOOKUP(TRANSHARI9_ICECREAMMALAM[[#This Row],[PRODUK]],DATA_ICECREAM[],11,FALSE),"")</calculatedColumnFormula>
    </tableColumn>
    <tableColumn id="4" name="PRICE TOLERANCE" dataDxfId="1217"/>
    <tableColumn id="5" name="DEBIT" dataDxfId="1218">
      <calculatedColumnFormula>IFERROR(IF(TRANSHARI9_ICECREAMMALAM[[#This Row],[NAMA PENGHUTANG]]="",((TRANSHARI9_ICECREAMMALAM[[#This Row],[HARGA]]*TRANSHARI9_ICECREAMMALAM[[#This Row],[QUANTITY]])+TRANSHARI9_ICECREAMMALAM[[#This Row],[PRICE TOLERANCE]]),""),"")</calculatedColumnFormula>
    </tableColumn>
    <tableColumn id="6" name="KREDIT" dataDxfId="1219">
      <calculatedColumnFormula>IFERROR(IF(TRANSHARI9_ICECREAMMALAM[[#This Row],[NAMA PENGHUTANG]]="","",((TRANSHARI9_ICECREAMMALAM[[#This Row],[HARGA]]*TRANSHARI9_ICECREAMMALAM[[#This Row],[QUANTITY]])+TRANSHARI9_ICECREAMMALAM[[#This Row],[PRICE TOLERANCE]])),"")</calculatedColumnFormula>
    </tableColumn>
    <tableColumn id="7" name="NAMA PENGHUTANG" dataDxfId="1220"/>
    <tableColumn id="8" name="NOMINAL TRANSFER" dataDxfId="1221">
      <calculatedColumnFormula>IFERROR(IF(TRANSHARI9_ICECREAMMALAM[[#This Row],[NAMA REKENING]]="","",TRANSHARI9_ICECREAMMALAM[[#This Row],[DEBIT]]),"")</calculatedColumnFormula>
    </tableColumn>
    <tableColumn id="9" name="NAMA REKENING" dataDxfId="1222"/>
  </tableColumns>
  <tableStyleInfo name="TableStyleMedium16" showFirstColumn="0" showLastColumn="0" showRowStripes="1" showColumnStripes="0"/>
</table>
</file>

<file path=xl/tables/table125.xml><?xml version="1.0" encoding="utf-8"?>
<table xmlns="http://schemas.openxmlformats.org/spreadsheetml/2006/main" id="131" name="TRANSHARI9_ACCMALAM" displayName="TRANSHARI9_ACCMALAM" ref="P312:Y342" totalsRowShown="0">
  <autoFilter xmlns:etc="http://www.wps.cn/officeDocument/2017/etCustomData" ref="P312:Y342" etc:filterBottomFollowUsedRange="0"/>
  <tableColumns count="10">
    <tableColumn id="1" name="NO." dataDxfId="1223"/>
    <tableColumn id="2" name="PRODUK" dataDxfId="1224"/>
    <tableColumn id="10" name="QUANTITY" dataDxfId="1225"/>
    <tableColumn id="3" name="HARGA" dataDxfId="1226">
      <calculatedColumnFormula>IFERROR(VLOOKUP(TRANSHARI9_ACCMALAM[[#This Row],[PRODUK]],DATA_ACC[],11,FALSE),"")</calculatedColumnFormula>
    </tableColumn>
    <tableColumn id="4" name="PRICE TOLERANCE" dataDxfId="1227"/>
    <tableColumn id="5" name="DEBIT" dataDxfId="1228">
      <calculatedColumnFormula>IFERROR(IF(TRANSHARI9_ACCMALAM[[#This Row],[NAMA PENGHUTANG]]="",((TRANSHARI9_ACCMALAM[[#This Row],[HARGA]]*TRANSHARI9_ACCMALAM[[#This Row],[QUANTITY]])+TRANSHARI9_ACCMALAM[[#This Row],[PRICE TOLERANCE]]),""),"")</calculatedColumnFormula>
    </tableColumn>
    <tableColumn id="6" name="KREDIT" dataDxfId="1229">
      <calculatedColumnFormula>IFERROR(IF(TRANSHARI9_ACCMALAM[[#This Row],[NAMA PENGHUTANG]]="","",((TRANSHARI9_ACCMALAM[[#This Row],[HARGA]]*TRANSHARI9_ACCMALAM[[#This Row],[QUANTITY]])+TRANSHARI9_ACCMALAM[[#This Row],[PRICE TOLERANCE]])),"")</calculatedColumnFormula>
    </tableColumn>
    <tableColumn id="7" name="NAMA PENGHUTANG" dataDxfId="1230"/>
    <tableColumn id="8" name="NOMINAL TRANSFER" dataDxfId="1231">
      <calculatedColumnFormula>IFERROR(IF(TRANSHARI9_ACCMALAM[[#This Row],[NAMA REKENING]]="","",TRANSHARI9_ACCMALAM[[#This Row],[DEBIT]]),"")</calculatedColumnFormula>
    </tableColumn>
    <tableColumn id="9" name="NAMA REKENING" dataDxfId="1232"/>
  </tableColumns>
  <tableStyleInfo name="TableStyleMedium16" showFirstColumn="0" showLastColumn="0" showRowStripes="1" showColumnStripes="0"/>
</table>
</file>

<file path=xl/tables/table126.xml><?xml version="1.0" encoding="utf-8"?>
<table xmlns="http://schemas.openxmlformats.org/spreadsheetml/2006/main" id="132" name="TRANSHARI9_HYDROMALAM" displayName="TRANSHARI9_HYDROMALAM" ref="P349:Y379" totalsRowShown="0">
  <autoFilter xmlns:etc="http://www.wps.cn/officeDocument/2017/etCustomData" ref="P349:Y379" etc:filterBottomFollowUsedRange="0"/>
  <tableColumns count="10">
    <tableColumn id="1" name="NO." dataDxfId="1233"/>
    <tableColumn id="2" name="PRODUK" dataDxfId="1234"/>
    <tableColumn id="10" name="QUANTITY" dataDxfId="1235"/>
    <tableColumn id="3" name="HARGA" dataDxfId="1236">
      <calculatedColumnFormula>IFERROR(VLOOKUP(TRANSHARI9_HYDROMALAM[[#This Row],[PRODUK]],DATA_HYDRO[],11,FALSE),"")</calculatedColumnFormula>
    </tableColumn>
    <tableColumn id="4" name="PRICE TOLERANCE" dataDxfId="1237"/>
    <tableColumn id="5" name="DEBIT" dataDxfId="1238">
      <calculatedColumnFormula>IFERROR(IF(TRANSHARI9_HYDROMALAM[[#This Row],[NAMA PENGHUTANG]]="",((TRANSHARI9_HYDROMALAM[[#This Row],[HARGA]]*TRANSHARI9_HYDROMALAM[[#This Row],[QUANTITY]])+TRANSHARI9_HYDROMALAM[[#This Row],[PRICE TOLERANCE]]),""),"")</calculatedColumnFormula>
    </tableColumn>
    <tableColumn id="6" name="KREDIT" dataDxfId="1239">
      <calculatedColumnFormula>IFERROR(IF(TRANSHARI9_HYDROMALAM[[#This Row],[NAMA PENGHUTANG]]="","",((TRANSHARI9_HYDROMALAM[[#This Row],[HARGA]]*TRANSHARI9_HYDROMALAM[[#This Row],[QUANTITY]])+TRANSHARI9_HYDROMALAM[[#This Row],[PRICE TOLERANCE]])),"")</calculatedColumnFormula>
    </tableColumn>
    <tableColumn id="7" name="NAMA PENGHUTANG" dataDxfId="1240"/>
    <tableColumn id="8" name="NOMINAL TRANSFER" dataDxfId="1241">
      <calculatedColumnFormula>IFERROR(IF(TRANSHARI9_HYDROMALAM[[#This Row],[NAMA REKENING]]="","",TRANSHARI9_HYDROMALAM[[#This Row],[DEBIT]]),"")</calculatedColumnFormula>
    </tableColumn>
    <tableColumn id="9" name="NAMA REKENING" dataDxfId="1242"/>
  </tableColumns>
  <tableStyleInfo name="TableStyleMedium16" showFirstColumn="0" showLastColumn="0" showRowStripes="1" showColumnStripes="0"/>
</table>
</file>

<file path=xl/tables/table127.xml><?xml version="1.0" encoding="utf-8"?>
<table xmlns="http://schemas.openxmlformats.org/spreadsheetml/2006/main" id="133" name="TRANSHARI10_ROKOKPAGI" displayName="TRANSHARI10_ROKOKPAGI" ref="A84:J134" totalsRowShown="0">
  <autoFilter xmlns:etc="http://www.wps.cn/officeDocument/2017/etCustomData" ref="A84:J134" etc:filterBottomFollowUsedRange="0"/>
  <tableColumns count="10">
    <tableColumn id="1" name="NO." dataDxfId="1243"/>
    <tableColumn id="2" name="PRODUK" dataDxfId="1244"/>
    <tableColumn id="10" name="QUANTITY" dataDxfId="1245"/>
    <tableColumn id="3" name="HARGA" dataDxfId="1246">
      <calculatedColumnFormula>IFERROR(VLOOKUP(TRANSHARI10_ROKOKPAGI[[#This Row],[PRODUK]],DATA_ROKOK[],12,FALSE),"")</calculatedColumnFormula>
    </tableColumn>
    <tableColumn id="4" name="PRICE TOLERANCE" dataDxfId="1247"/>
    <tableColumn id="5" name="DEBIT" dataDxfId="1248">
      <calculatedColumnFormula>IFERROR(IF(TRANSHARI10_ROKOKPAGI[[#This Row],[NAMA PENGHUTANG]]="",((TRANSHARI10_ROKOKPAGI[[#This Row],[HARGA]]*TRANSHARI10_ROKOKPAGI[[#This Row],[QUANTITY]])+TRANSHARI10_ROKOKPAGI[[#This Row],[PRICE TOLERANCE]]),""),"")</calculatedColumnFormula>
    </tableColumn>
    <tableColumn id="6" name="KREDIT" dataDxfId="1249">
      <calculatedColumnFormula>IFERROR(IF(TRANSHARI10_ROKOKPAGI[[#This Row],[NAMA PENGHUTANG]]="","",((TRANSHARI10_ROKOKPAGI[[#This Row],[HARGA]]*TRANSHARI10_ROKOKPAGI[[#This Row],[QUANTITY]])+TRANSHARI10_ROKOKPAGI[[#This Row],[PRICE TOLERANCE]])),"")</calculatedColumnFormula>
    </tableColumn>
    <tableColumn id="7" name="NAMA PENGHUTANG" dataDxfId="1250"/>
    <tableColumn id="8" name="NOMINAL TRANSFER" dataDxfId="1251">
      <calculatedColumnFormula>IFERROR(IF(TRANSHARI10_ROKOKPAGI[[#This Row],[NAMA REKENING]]="","",TRANSHARI10_ROKOKPAGI[[#This Row],[DEBIT]]),"")</calculatedColumnFormula>
    </tableColumn>
    <tableColumn id="9" name="NAMA REKENING" dataDxfId="1252"/>
  </tableColumns>
  <tableStyleInfo name="TableStyleMedium16" showFirstColumn="0" showLastColumn="0" showRowStripes="1" showColumnStripes="0"/>
</table>
</file>

<file path=xl/tables/table128.xml><?xml version="1.0" encoding="utf-8"?>
<table xmlns="http://schemas.openxmlformats.org/spreadsheetml/2006/main" id="134" name="TRANSHARI10_PULSAPAGI" displayName="TRANSHARI10_PULSAPAGI" ref="A27:I77" totalsRowShown="0">
  <autoFilter xmlns:etc="http://www.wps.cn/officeDocument/2017/etCustomData" ref="A27:I77" etc:filterBottomFollowUsedRange="0"/>
  <tableColumns count="9">
    <tableColumn id="1" name="NO." dataDxfId="1253"/>
    <tableColumn id="2" name="NO. TELEPON" dataDxfId="1254"/>
    <tableColumn id="5" name="DEBIT" dataDxfId="1255"/>
    <tableColumn id="6" name="KREDIT" dataDxfId="1256"/>
    <tableColumn id="7" name="NAMA PENGHUTANG" dataDxfId="1257"/>
    <tableColumn id="8" name="SALDO MINUS" dataDxfId="1258"/>
    <tableColumn id="9" name="APLIKASI" dataDxfId="1259"/>
    <tableColumn id="11" name="NOMINAL TRANSFER" dataDxfId="1260">
      <calculatedColumnFormula>IFERROR(IF(TRANSHARI10_PULSAPAGI[[#This Row],[NAMA REKENING]]="","",TRANSHARI10_PULSAPAGI[[#This Row],[DEBIT]]),"")</calculatedColumnFormula>
    </tableColumn>
    <tableColumn id="12" name="NAMA REKENING" dataDxfId="1261"/>
  </tableColumns>
  <tableStyleInfo name="TableStyleMedium16" showFirstColumn="0" showLastColumn="0" showRowStripes="1" showColumnStripes="0"/>
</table>
</file>

<file path=xl/tables/table129.xml><?xml version="1.0" encoding="utf-8"?>
<table xmlns="http://schemas.openxmlformats.org/spreadsheetml/2006/main" id="135" name="TRANSHARI10_SPVOUPAGI" displayName="TRANSHARI10_SPVOUPAGI" ref="A141:J191" totalsRowShown="0">
  <autoFilter xmlns:etc="http://www.wps.cn/officeDocument/2017/etCustomData" ref="A141:J191" etc:filterBottomFollowUsedRange="0"/>
  <tableColumns count="10">
    <tableColumn id="1" name="NO." dataDxfId="1262"/>
    <tableColumn id="2" name="PRODUK" dataDxfId="1263"/>
    <tableColumn id="10" name="QUANTITY" dataDxfId="1264"/>
    <tableColumn id="3" name="HARGA" dataDxfId="1265">
      <calculatedColumnFormula>IFERROR(VLOOKUP(TRANSHARI10_SPVOUPAGI[[#This Row],[PRODUK]],DATA_SPVOU[],12,FALSE),"")</calculatedColumnFormula>
    </tableColumn>
    <tableColumn id="4" name="PRICE TOLERANCE" dataDxfId="1266"/>
    <tableColumn id="5" name="DEBIT" dataDxfId="1267">
      <calculatedColumnFormula>IFERROR(IF(TRANSHARI10_SPVOUPAGI[[#This Row],[NAMA PENGHUTANG]]="",((TRANSHARI10_SPVOUPAGI[[#This Row],[HARGA]]*TRANSHARI10_SPVOUPAGI[[#This Row],[QUANTITY]])+TRANSHARI10_SPVOUPAGI[[#This Row],[PRICE TOLERANCE]]),""),"")</calculatedColumnFormula>
    </tableColumn>
    <tableColumn id="6" name="KREDIT" dataDxfId="1268">
      <calculatedColumnFormula>IFERROR(IF(TRANSHARI10_SPVOUPAGI[[#This Row],[NAMA PENGHUTANG]]="","",((TRANSHARI10_SPVOUPAGI[[#This Row],[HARGA]]*TRANSHARI10_SPVOUPAGI[[#This Row],[QUANTITY]])+TRANSHARI10_SPVOUPAGI[[#This Row],[PRICE TOLERANCE]])),"")</calculatedColumnFormula>
    </tableColumn>
    <tableColumn id="7" name="NAMA PENGHUTANG" dataDxfId="1269"/>
    <tableColumn id="8" name="NOMINAL TRANSFER" dataDxfId="1270">
      <calculatedColumnFormula>IFERROR(IF(TRANSHARI10_SPVOUPAGI[[#This Row],[NAMA REKENING]]="","",TRANSHARI10_SPVOUPAGI[[#This Row],[DEBIT]]),"")</calculatedColumnFormula>
    </tableColumn>
    <tableColumn id="9" name="NAMA REKENING" dataDxfId="1271"/>
  </tableColumns>
  <tableStyleInfo name="TableStyleMedium16" showFirstColumn="0" showLastColumn="0" showRowStripes="1" showColumnStripes="0"/>
</table>
</file>

<file path=xl/tables/table130.xml><?xml version="1.0" encoding="utf-8"?>
<table xmlns="http://schemas.openxmlformats.org/spreadsheetml/2006/main" id="136" name="TRANSHARI10_SOFTDRINKPAGI" displayName="TRANSHARI10_SOFTDRINKPAGI" ref="A198:J248" totalsRowShown="0">
  <autoFilter xmlns:etc="http://www.wps.cn/officeDocument/2017/etCustomData" ref="A198:J248" etc:filterBottomFollowUsedRange="0"/>
  <tableColumns count="10">
    <tableColumn id="1" name="NO." dataDxfId="1272"/>
    <tableColumn id="2" name="PRODUK" dataDxfId="1273"/>
    <tableColumn id="10" name="QUANTITY" dataDxfId="1274"/>
    <tableColumn id="3" name="HARGA" dataDxfId="1275">
      <calculatedColumnFormula>IFERROR(VLOOKUP(TRANSHARI10_SOFTDRINKPAGI[[#This Row],[PRODUK]],DATA_SOFTDRINK[],12,FALSE),"")</calculatedColumnFormula>
    </tableColumn>
    <tableColumn id="4" name="PRICE TOLERANCE" dataDxfId="1276"/>
    <tableColumn id="5" name="DEBIT" dataDxfId="1277">
      <calculatedColumnFormula>IFERROR(IF(TRANSHARI10_SOFTDRINKPAGI[[#This Row],[NAMA PENGHUTANG]]="",((TRANSHARI10_SOFTDRINKPAGI[[#This Row],[HARGA]]*TRANSHARI10_SOFTDRINKPAGI[[#This Row],[QUANTITY]])+TRANSHARI10_SOFTDRINKPAGI[[#This Row],[PRICE TOLERANCE]]),""),"")</calculatedColumnFormula>
    </tableColumn>
    <tableColumn id="6" name="KREDIT" dataDxfId="1278">
      <calculatedColumnFormula>IFERROR(IF(TRANSHARI10_SOFTDRINKPAGI[[#This Row],[NAMA PENGHUTANG]]="","",((TRANSHARI10_SOFTDRINKPAGI[[#This Row],[HARGA]]*TRANSHARI10_SOFTDRINKPAGI[[#This Row],[QUANTITY]])+TRANSHARI10_SOFTDRINKPAGI[[#This Row],[PRICE TOLERANCE]])),"")</calculatedColumnFormula>
    </tableColumn>
    <tableColumn id="7" name="NAMA PENGHUTANG" dataDxfId="1279"/>
    <tableColumn id="8" name="NOMINAL TRANSFER" dataDxfId="1280">
      <calculatedColumnFormula>IFERROR(IF(TRANSHARI10_SOFTDRINKPAGI[[#This Row],[NAMA REKENING]]="","",TRANSHARI10_SOFTDRINKPAGI[[#This Row],[DEBIT]]),"")</calculatedColumnFormula>
    </tableColumn>
    <tableColumn id="9" name="NAMA REKENING" dataDxfId="1281"/>
  </tableColumns>
  <tableStyleInfo name="TableStyleMedium16" showFirstColumn="0" showLastColumn="0" showRowStripes="1" showColumnStripes="0"/>
</table>
</file>

<file path=xl/tables/table131.xml><?xml version="1.0" encoding="utf-8"?>
<table xmlns="http://schemas.openxmlformats.org/spreadsheetml/2006/main" id="137" name="TRANSHARI10_ICECREAMPAGI" displayName="TRANSHARI10_ICECREAMPAGI" ref="A255:J305" totalsRowShown="0">
  <autoFilter xmlns:etc="http://www.wps.cn/officeDocument/2017/etCustomData" ref="A255:J305" etc:filterBottomFollowUsedRange="0"/>
  <tableColumns count="10">
    <tableColumn id="1" name="NO." dataDxfId="1282"/>
    <tableColumn id="2" name="PRODUK" dataDxfId="1283"/>
    <tableColumn id="10" name="QUANTITY" dataDxfId="1284"/>
    <tableColumn id="3" name="HARGA" dataDxfId="1285">
      <calculatedColumnFormula>IFERROR(VLOOKUP(TRANSHARI10_ICECREAMPAGI[[#This Row],[PRODUK]],DATA_ICECREAM[],12,FALSE),"")</calculatedColumnFormula>
    </tableColumn>
    <tableColumn id="4" name="PRICE TOLERANCE" dataDxfId="1286"/>
    <tableColumn id="5" name="DEBIT" dataDxfId="1287">
      <calculatedColumnFormula>IFERROR(IF(TRANSHARI10_ICECREAMPAGI[[#This Row],[NAMA PENGHUTANG]]="",((TRANSHARI10_ICECREAMPAGI[[#This Row],[HARGA]]*TRANSHARI10_ICECREAMPAGI[[#This Row],[QUANTITY]])+TRANSHARI10_ICECREAMPAGI[[#This Row],[PRICE TOLERANCE]]),""),"")</calculatedColumnFormula>
    </tableColumn>
    <tableColumn id="6" name="KREDIT" dataDxfId="1288">
      <calculatedColumnFormula>IFERROR(IF(TRANSHARI10_ICECREAMPAGI[[#This Row],[NAMA PENGHUTANG]]="","",((TRANSHARI10_ICECREAMPAGI[[#This Row],[HARGA]]*TRANSHARI10_ICECREAMPAGI[[#This Row],[QUANTITY]])+TRANSHARI10_ICECREAMPAGI[[#This Row],[PRICE TOLERANCE]])),"")</calculatedColumnFormula>
    </tableColumn>
    <tableColumn id="7" name="NAMA PENGHUTANG" dataDxfId="1289"/>
    <tableColumn id="8" name="NOMINAL TRANSFER" dataDxfId="1290">
      <calculatedColumnFormula>IFERROR(IF(TRANSHARI10_ICECREAMPAGI[[#This Row],[NAMA REKENING]]="","",TRANSHARI10_ICECREAMPAGI[[#This Row],[DEBIT]]),"")</calculatedColumnFormula>
    </tableColumn>
    <tableColumn id="9" name="NAMA REKENING" dataDxfId="1291"/>
  </tableColumns>
  <tableStyleInfo name="TableStyleMedium16" showFirstColumn="0" showLastColumn="0" showRowStripes="1" showColumnStripes="0"/>
</table>
</file>

<file path=xl/tables/table132.xml><?xml version="1.0" encoding="utf-8"?>
<table xmlns="http://schemas.openxmlformats.org/spreadsheetml/2006/main" id="138" name="TRANSHARI10_ACCPAGI" displayName="TRANSHARI10_ACCPAGI" ref="A312:J342" totalsRowShown="0">
  <autoFilter xmlns:etc="http://www.wps.cn/officeDocument/2017/etCustomData" ref="A312:J342" etc:filterBottomFollowUsedRange="0"/>
  <tableColumns count="10">
    <tableColumn id="1" name="NO." dataDxfId="1292"/>
    <tableColumn id="2" name="PRODUK" dataDxfId="1293"/>
    <tableColumn id="10" name="QUANTITY" dataDxfId="1294"/>
    <tableColumn id="3" name="HARGA" dataDxfId="1295">
      <calculatedColumnFormula>IFERROR(VLOOKUP(TRANSHARI10_ACCPAGI[[#This Row],[PRODUK]],DATA_ACC[],12,FALSE),"")</calculatedColumnFormula>
    </tableColumn>
    <tableColumn id="4" name="PRICE TOLERANCE" dataDxfId="1296"/>
    <tableColumn id="5" name="DEBIT" dataDxfId="1297">
      <calculatedColumnFormula>IFERROR(IF(TRANSHARI10_ACCPAGI[[#This Row],[NAMA PENGHUTANG]]="",((TRANSHARI10_ACCPAGI[[#This Row],[HARGA]]*TRANSHARI10_ACCPAGI[[#This Row],[QUANTITY]])+TRANSHARI10_ACCPAGI[[#This Row],[PRICE TOLERANCE]]),""),"")</calculatedColumnFormula>
    </tableColumn>
    <tableColumn id="6" name="KREDIT" dataDxfId="1298">
      <calculatedColumnFormula>IFERROR(IF(TRANSHARI10_ACCPAGI[[#This Row],[NAMA PENGHUTANG]]="","",((TRANSHARI10_ACCPAGI[[#This Row],[HARGA]]*TRANSHARI10_ACCPAGI[[#This Row],[QUANTITY]])+TRANSHARI10_ACCPAGI[[#This Row],[PRICE TOLERANCE]])),"")</calculatedColumnFormula>
    </tableColumn>
    <tableColumn id="7" name="NAMA PENGHUTANG" dataDxfId="1299"/>
    <tableColumn id="8" name="NOMINAL TRANSFER" dataDxfId="1300">
      <calculatedColumnFormula>IFERROR(IF(TRANSHARI10_ACCPAGI[[#This Row],[NAMA REKENING]]="","",TRANSHARI10_ACCPAGI[[#This Row],[DEBIT]]),"")</calculatedColumnFormula>
    </tableColumn>
    <tableColumn id="9" name="NAMA REKENING" dataDxfId="1301"/>
  </tableColumns>
  <tableStyleInfo name="TableStyleMedium16" showFirstColumn="0" showLastColumn="0" showRowStripes="1" showColumnStripes="0"/>
</table>
</file>

<file path=xl/tables/table133.xml><?xml version="1.0" encoding="utf-8"?>
<table xmlns="http://schemas.openxmlformats.org/spreadsheetml/2006/main" id="139" name="TRANSHARI10_HYDROPAGI" displayName="TRANSHARI10_HYDROPAGI" ref="A349:J379" totalsRowShown="0">
  <autoFilter xmlns:etc="http://www.wps.cn/officeDocument/2017/etCustomData" ref="A349:J379" etc:filterBottomFollowUsedRange="0"/>
  <tableColumns count="10">
    <tableColumn id="1" name="NO." dataDxfId="1302"/>
    <tableColumn id="2" name="PRODUK" dataDxfId="1303"/>
    <tableColumn id="10" name="QUANTITY" dataDxfId="1304"/>
    <tableColumn id="3" name="HARGA" dataDxfId="1305">
      <calculatedColumnFormula>IFERROR(VLOOKUP(TRANSHARI10_HYDROPAGI[[#This Row],[PRODUK]],DATA_HYDRO[],12,FALSE),"")</calculatedColumnFormula>
    </tableColumn>
    <tableColumn id="4" name="PRICE TOLERANCE" dataDxfId="1306"/>
    <tableColumn id="5" name="DEBIT" dataDxfId="1307">
      <calculatedColumnFormula>IFERROR(IF(TRANSHARI10_HYDROPAGI[[#This Row],[NAMA PENGHUTANG]]="",((TRANSHARI10_HYDROPAGI[[#This Row],[HARGA]]*TRANSHARI10_HYDROPAGI[[#This Row],[QUANTITY]])+TRANSHARI10_HYDROPAGI[[#This Row],[PRICE TOLERANCE]]),""),"")</calculatedColumnFormula>
    </tableColumn>
    <tableColumn id="6" name="KREDIT" dataDxfId="1308">
      <calculatedColumnFormula>IFERROR(IF(TRANSHARI10_HYDROPAGI[[#This Row],[NAMA PENGHUTANG]]="","",((TRANSHARI10_HYDROPAGI[[#This Row],[HARGA]]*TRANSHARI10_HYDROPAGI[[#This Row],[QUANTITY]])+TRANSHARI10_HYDROPAGI[[#This Row],[PRICE TOLERANCE]])),"")</calculatedColumnFormula>
    </tableColumn>
    <tableColumn id="7" name="NAMA PENGHUTANG" dataDxfId="1309"/>
    <tableColumn id="8" name="NOMINAL TRANSFER" dataDxfId="1310">
      <calculatedColumnFormula>IFERROR(IF(TRANSHARI10_HYDROPAGI[[#This Row],[NAMA REKENING]]="","",TRANSHARI10_HYDROPAGI[[#This Row],[DEBIT]]),"")</calculatedColumnFormula>
    </tableColumn>
    <tableColumn id="9" name="NAMA REKENING" dataDxfId="1311"/>
  </tableColumns>
  <tableStyleInfo name="TableStyleMedium16" showFirstColumn="0" showLastColumn="0" showRowStripes="1" showColumnStripes="0"/>
</table>
</file>

<file path=xl/tables/table134.xml><?xml version="1.0" encoding="utf-8"?>
<table xmlns="http://schemas.openxmlformats.org/spreadsheetml/2006/main" id="140" name="TRANSHARI10_ROKOKMALAM" displayName="TRANSHARI10_ROKOKMALAM" ref="P84:Y134" totalsRowShown="0">
  <autoFilter xmlns:etc="http://www.wps.cn/officeDocument/2017/etCustomData" ref="P84:Y134" etc:filterBottomFollowUsedRange="0"/>
  <tableColumns count="10">
    <tableColumn id="1" name="NO." dataDxfId="1312"/>
    <tableColumn id="2" name="PRODUK" dataDxfId="1313"/>
    <tableColumn id="10" name="QUANTITY" dataDxfId="1314"/>
    <tableColumn id="3" name="HARGA" dataDxfId="1315">
      <calculatedColumnFormula>IFERROR(VLOOKUP(TRANSHARI10_ROKOKMALAM[[#This Row],[PRODUK]],DATA_ROKOK[],12,FALSE),"")</calculatedColumnFormula>
    </tableColumn>
    <tableColumn id="4" name="PRICE TOLERANCE" dataDxfId="1316"/>
    <tableColumn id="5" name="DEBIT" dataDxfId="1317">
      <calculatedColumnFormula>IFERROR(IF(TRANSHARI10_ROKOKMALAM[[#This Row],[NAMA PENGHUTANG]]="",((TRANSHARI10_ROKOKMALAM[[#This Row],[HARGA]]*TRANSHARI10_ROKOKMALAM[[#This Row],[QUANTITY]])+TRANSHARI10_ROKOKMALAM[[#This Row],[PRICE TOLERANCE]]),""),"")</calculatedColumnFormula>
    </tableColumn>
    <tableColumn id="6" name="KREDIT" dataDxfId="1318">
      <calculatedColumnFormula>IFERROR(IF(TRANSHARI10_ROKOKMALAM[[#This Row],[NAMA PENGHUTANG]]="","",((TRANSHARI10_ROKOKMALAM[[#This Row],[HARGA]]*TRANSHARI10_ROKOKMALAM[[#This Row],[QUANTITY]])+TRANSHARI10_ROKOKMALAM[[#This Row],[PRICE TOLERANCE]])),"")</calculatedColumnFormula>
    </tableColumn>
    <tableColumn id="7" name="NAMA PENGHUTANG" dataDxfId="1319"/>
    <tableColumn id="8" name="NOMINAL TRANSFER" dataDxfId="1320">
      <calculatedColumnFormula>IFERROR(IF(TRANSHARI10_ROKOKMALAM[[#This Row],[NAMA REKENING]]="","",TRANSHARI10_ROKOKMALAM[[#This Row],[DEBIT]]),"")</calculatedColumnFormula>
    </tableColumn>
    <tableColumn id="9" name="NAMA REKENING" dataDxfId="1321"/>
  </tableColumns>
  <tableStyleInfo name="TableStyleMedium16" showFirstColumn="0" showLastColumn="0" showRowStripes="1" showColumnStripes="0"/>
</table>
</file>

<file path=xl/tables/table135.xml><?xml version="1.0" encoding="utf-8"?>
<table xmlns="http://schemas.openxmlformats.org/spreadsheetml/2006/main" id="141" name="TRANSHARI10_PULSAMALAM" displayName="TRANSHARI10_PULSAMALAM" ref="P27:X77" totalsRowShown="0">
  <autoFilter xmlns:etc="http://www.wps.cn/officeDocument/2017/etCustomData" ref="P27:X77" etc:filterBottomFollowUsedRange="0"/>
  <tableColumns count="9">
    <tableColumn id="1" name="NO." dataDxfId="1322"/>
    <tableColumn id="2" name="NO. TELEPON" dataDxfId="1323"/>
    <tableColumn id="5" name="DEBIT" dataDxfId="1324"/>
    <tableColumn id="6" name="KREDIT" dataDxfId="1325"/>
    <tableColumn id="7" name="NAMA PENGHUTANG" dataDxfId="1326"/>
    <tableColumn id="8" name="SALDO MINUS" dataDxfId="1327"/>
    <tableColumn id="9" name="APLIKASI" dataDxfId="1328"/>
    <tableColumn id="11" name="NOMINAL TRANSFER" dataDxfId="1329">
      <calculatedColumnFormula>IFERROR(IF(TRANSHARI10_PULSAMALAM[[#This Row],[NAMA REKENING]]="","",TRANSHARI10_PULSAMALAM[[#This Row],[DEBIT]]),"")</calculatedColumnFormula>
    </tableColumn>
    <tableColumn id="12" name="NAMA REKENING" dataDxfId="1330"/>
  </tableColumns>
  <tableStyleInfo name="TableStyleMedium16" showFirstColumn="0" showLastColumn="0" showRowStripes="1" showColumnStripes="0"/>
</table>
</file>

<file path=xl/tables/table136.xml><?xml version="1.0" encoding="utf-8"?>
<table xmlns="http://schemas.openxmlformats.org/spreadsheetml/2006/main" id="142" name="TRANSHARI10_SPVOUMALAM" displayName="TRANSHARI10_SPVOUMALAM" ref="P141:Y191" totalsRowShown="0">
  <autoFilter xmlns:etc="http://www.wps.cn/officeDocument/2017/etCustomData" ref="P141:Y191" etc:filterBottomFollowUsedRange="0"/>
  <tableColumns count="10">
    <tableColumn id="1" name="NO." dataDxfId="1331"/>
    <tableColumn id="2" name="PRODUK" dataDxfId="1332"/>
    <tableColumn id="10" name="QUANTITY" dataDxfId="1333"/>
    <tableColumn id="3" name="HARGA" dataDxfId="1334">
      <calculatedColumnFormula>IFERROR(VLOOKUP(TRANSHARI10_SPVOUMALAM[[#This Row],[PRODUK]],DATA_SPVOU[],12,FALSE),"")</calculatedColumnFormula>
    </tableColumn>
    <tableColumn id="4" name="PRICE TOLERANCE" dataDxfId="1335"/>
    <tableColumn id="5" name="DEBIT" dataDxfId="1336">
      <calculatedColumnFormula>IFERROR(IF(TRANSHARI10_SPVOUMALAM[[#This Row],[NAMA PENGHUTANG]]="",((TRANSHARI10_SPVOUMALAM[[#This Row],[HARGA]]*TRANSHARI10_SPVOUMALAM[[#This Row],[QUANTITY]])+TRANSHARI10_SPVOUMALAM[[#This Row],[PRICE TOLERANCE]]),""),"")</calculatedColumnFormula>
    </tableColumn>
    <tableColumn id="6" name="KREDIT" dataDxfId="1337">
      <calculatedColumnFormula>IFERROR(IF(TRANSHARI10_SPVOUMALAM[[#This Row],[NAMA PENGHUTANG]]="","",((TRANSHARI10_SPVOUMALAM[[#This Row],[HARGA]]*TRANSHARI10_SPVOUMALAM[[#This Row],[QUANTITY]])+TRANSHARI10_SPVOUMALAM[[#This Row],[PRICE TOLERANCE]])),"")</calculatedColumnFormula>
    </tableColumn>
    <tableColumn id="7" name="NAMA PENGHUTANG" dataDxfId="1338"/>
    <tableColumn id="8" name="NOMINAL TRANSFER" dataDxfId="1339">
      <calculatedColumnFormula>IFERROR(IF(TRANSHARI10_SPVOUMALAM[[#This Row],[NAMA REKENING]]="","",TRANSHARI10_SPVOUMALAM[[#This Row],[DEBIT]]),"")</calculatedColumnFormula>
    </tableColumn>
    <tableColumn id="9" name="NAMA REKENING" dataDxfId="1340"/>
  </tableColumns>
  <tableStyleInfo name="TableStyleMedium16" showFirstColumn="0" showLastColumn="0" showRowStripes="1" showColumnStripes="0"/>
</table>
</file>

<file path=xl/tables/table137.xml><?xml version="1.0" encoding="utf-8"?>
<table xmlns="http://schemas.openxmlformats.org/spreadsheetml/2006/main" id="143" name="TRANSHARI10_SOFTDRINKMALAM" displayName="TRANSHARI10_SOFTDRINKMALAM" ref="P198:Y248" totalsRowShown="0">
  <autoFilter xmlns:etc="http://www.wps.cn/officeDocument/2017/etCustomData" ref="P198:Y248" etc:filterBottomFollowUsedRange="0"/>
  <tableColumns count="10">
    <tableColumn id="1" name="NO." dataDxfId="1341"/>
    <tableColumn id="2" name="PRODUK" dataDxfId="1342"/>
    <tableColumn id="10" name="QUANTITY" dataDxfId="1343"/>
    <tableColumn id="3" name="HARGA" dataDxfId="1344">
      <calculatedColumnFormula>IFERROR(VLOOKUP(TRANSHARI10_SOFTDRINKMALAM[[#This Row],[PRODUK]],DATA_SOFTDRINK[],12,FALSE),"")</calculatedColumnFormula>
    </tableColumn>
    <tableColumn id="4" name="PRICE TOLERANCE" dataDxfId="1345"/>
    <tableColumn id="5" name="DEBIT" dataDxfId="1346">
      <calculatedColumnFormula>IFERROR(IF(TRANSHARI10_SOFTDRINKMALAM[[#This Row],[NAMA PENGHUTANG]]="",((TRANSHARI10_SOFTDRINKMALAM[[#This Row],[HARGA]]*TRANSHARI10_SOFTDRINKMALAM[[#This Row],[QUANTITY]])+TRANSHARI10_SOFTDRINKMALAM[[#This Row],[PRICE TOLERANCE]]),""),"")</calculatedColumnFormula>
    </tableColumn>
    <tableColumn id="6" name="KREDIT" dataDxfId="1347">
      <calculatedColumnFormula>IFERROR(IF(TRANSHARI10_SOFTDRINKMALAM[[#This Row],[NAMA PENGHUTANG]]="","",((TRANSHARI10_SOFTDRINKMALAM[[#This Row],[HARGA]]*TRANSHARI10_SOFTDRINKMALAM[[#This Row],[QUANTITY]])+TRANSHARI10_SOFTDRINKMALAM[[#This Row],[PRICE TOLERANCE]])),"")</calculatedColumnFormula>
    </tableColumn>
    <tableColumn id="7" name="NAMA PENGHUTANG" dataDxfId="1348"/>
    <tableColumn id="8" name="NOMINAL TRANSFER" dataDxfId="1349">
      <calculatedColumnFormula>IFERROR(IF(TRANSHARI10_SOFTDRINKMALAM[[#This Row],[NAMA REKENING]]="","",TRANSHARI10_SOFTDRINKMALAM[[#This Row],[DEBIT]]),"")</calculatedColumnFormula>
    </tableColumn>
    <tableColumn id="9" name="NAMA REKENING" dataDxfId="1350"/>
  </tableColumns>
  <tableStyleInfo name="TableStyleMedium16" showFirstColumn="0" showLastColumn="0" showRowStripes="1" showColumnStripes="0"/>
</table>
</file>

<file path=xl/tables/table138.xml><?xml version="1.0" encoding="utf-8"?>
<table xmlns="http://schemas.openxmlformats.org/spreadsheetml/2006/main" id="144" name="TRANSHARI10_ICECREAMMALAM" displayName="TRANSHARI10_ICECREAMMALAM" ref="P255:Y305" totalsRowShown="0">
  <autoFilter xmlns:etc="http://www.wps.cn/officeDocument/2017/etCustomData" ref="P255:Y305" etc:filterBottomFollowUsedRange="0"/>
  <tableColumns count="10">
    <tableColumn id="1" name="NO." dataDxfId="1351"/>
    <tableColumn id="2" name="PRODUK" dataDxfId="1352"/>
    <tableColumn id="10" name="QUANTITY" dataDxfId="1353"/>
    <tableColumn id="3" name="HARGA" dataDxfId="1354">
      <calculatedColumnFormula>IFERROR(VLOOKUP(TRANSHARI10_ICECREAMMALAM[[#This Row],[PRODUK]],DATA_ICECREAM[],12,FALSE),"")</calculatedColumnFormula>
    </tableColumn>
    <tableColumn id="4" name="PRICE TOLERANCE" dataDxfId="1355"/>
    <tableColumn id="5" name="DEBIT" dataDxfId="1356">
      <calculatedColumnFormula>IFERROR(IF(TRANSHARI10_ICECREAMMALAM[[#This Row],[NAMA PENGHUTANG]]="",((TRANSHARI10_ICECREAMMALAM[[#This Row],[HARGA]]*TRANSHARI10_ICECREAMMALAM[[#This Row],[QUANTITY]])+TRANSHARI10_ICECREAMMALAM[[#This Row],[PRICE TOLERANCE]]),""),"")</calculatedColumnFormula>
    </tableColumn>
    <tableColumn id="6" name="KREDIT" dataDxfId="1357">
      <calculatedColumnFormula>IFERROR(IF(TRANSHARI10_ICECREAMMALAM[[#This Row],[NAMA PENGHUTANG]]="","",((TRANSHARI10_ICECREAMMALAM[[#This Row],[HARGA]]*TRANSHARI10_ICECREAMMALAM[[#This Row],[QUANTITY]])+TRANSHARI10_ICECREAMMALAM[[#This Row],[PRICE TOLERANCE]])),"")</calculatedColumnFormula>
    </tableColumn>
    <tableColumn id="7" name="NAMA PENGHUTANG" dataDxfId="1358"/>
    <tableColumn id="8" name="NOMINAL TRANSFER" dataDxfId="1359">
      <calculatedColumnFormula>IFERROR(IF(TRANSHARI10_ICECREAMMALAM[[#This Row],[NAMA REKENING]]="","",TRANSHARI10_ICECREAMMALAM[[#This Row],[DEBIT]]),"")</calculatedColumnFormula>
    </tableColumn>
    <tableColumn id="9" name="NAMA REKENING" dataDxfId="1360"/>
  </tableColumns>
  <tableStyleInfo name="TableStyleMedium16" showFirstColumn="0" showLastColumn="0" showRowStripes="1" showColumnStripes="0"/>
</table>
</file>

<file path=xl/tables/table139.xml><?xml version="1.0" encoding="utf-8"?>
<table xmlns="http://schemas.openxmlformats.org/spreadsheetml/2006/main" id="145" name="TRANSHARI10_ACCMALAM" displayName="TRANSHARI10_ACCMALAM" ref="P312:Y342" totalsRowShown="0">
  <autoFilter xmlns:etc="http://www.wps.cn/officeDocument/2017/etCustomData" ref="P312:Y342" etc:filterBottomFollowUsedRange="0"/>
  <tableColumns count="10">
    <tableColumn id="1" name="NO." dataDxfId="1361"/>
    <tableColumn id="2" name="PRODUK" dataDxfId="1362"/>
    <tableColumn id="10" name="QUANTITY" dataDxfId="1363"/>
    <tableColumn id="3" name="HARGA" dataDxfId="1364">
      <calculatedColumnFormula>IFERROR(VLOOKUP(TRANSHARI10_ACCMALAM[[#This Row],[PRODUK]],DATA_ACC[],12,FALSE),"")</calculatedColumnFormula>
    </tableColumn>
    <tableColumn id="4" name="PRICE TOLERANCE" dataDxfId="1365"/>
    <tableColumn id="5" name="DEBIT" dataDxfId="1366">
      <calculatedColumnFormula>IFERROR(IF(TRANSHARI10_ACCMALAM[[#This Row],[NAMA PENGHUTANG]]="",((TRANSHARI10_ACCMALAM[[#This Row],[HARGA]]*TRANSHARI10_ACCMALAM[[#This Row],[QUANTITY]])+TRANSHARI10_ACCMALAM[[#This Row],[PRICE TOLERANCE]]),""),"")</calculatedColumnFormula>
    </tableColumn>
    <tableColumn id="6" name="KREDIT" dataDxfId="1367">
      <calculatedColumnFormula>IFERROR(IF(TRANSHARI10_ACCMALAM[[#This Row],[NAMA PENGHUTANG]]="","",((TRANSHARI10_ACCMALAM[[#This Row],[HARGA]]*TRANSHARI10_ACCMALAM[[#This Row],[QUANTITY]])+TRANSHARI10_ACCMALAM[[#This Row],[PRICE TOLERANCE]])),"")</calculatedColumnFormula>
    </tableColumn>
    <tableColumn id="7" name="NAMA PENGHUTANG" dataDxfId="1368"/>
    <tableColumn id="8" name="NOMINAL TRANSFER" dataDxfId="1369">
      <calculatedColumnFormula>IFERROR(IF(TRANSHARI10_ACCMALAM[[#This Row],[NAMA REKENING]]="","",TRANSHARI10_ACCMALAM[[#This Row],[DEBIT]]),"")</calculatedColumnFormula>
    </tableColumn>
    <tableColumn id="9" name="NAMA REKENING" dataDxfId="1370"/>
  </tableColumns>
  <tableStyleInfo name="TableStyleMedium16" showFirstColumn="0" showLastColumn="0" showRowStripes="1" showColumnStripes="0"/>
</table>
</file>

<file path=xl/tables/table140.xml><?xml version="1.0" encoding="utf-8"?>
<table xmlns="http://schemas.openxmlformats.org/spreadsheetml/2006/main" id="146" name="TRANSHARI10_HYDROMALAM" displayName="TRANSHARI10_HYDROMALAM" ref="P349:Y379" totalsRowShown="0">
  <autoFilter xmlns:etc="http://www.wps.cn/officeDocument/2017/etCustomData" ref="P349:Y379" etc:filterBottomFollowUsedRange="0"/>
  <tableColumns count="10">
    <tableColumn id="1" name="NO." dataDxfId="1371"/>
    <tableColumn id="2" name="PRODUK" dataDxfId="1372"/>
    <tableColumn id="10" name="QUANTITY" dataDxfId="1373"/>
    <tableColumn id="3" name="HARGA" dataDxfId="1374">
      <calculatedColumnFormula>IFERROR(VLOOKUP(TRANSHARI10_HYDROMALAM[[#This Row],[PRODUK]],DATA_HYDRO[],12,FALSE),"")</calculatedColumnFormula>
    </tableColumn>
    <tableColumn id="4" name="PRICE TOLERANCE" dataDxfId="1375"/>
    <tableColumn id="5" name="DEBIT" dataDxfId="1376">
      <calculatedColumnFormula>IFERROR(IF(TRANSHARI10_HYDROMALAM[[#This Row],[NAMA PENGHUTANG]]="",((TRANSHARI10_HYDROMALAM[[#This Row],[HARGA]]*TRANSHARI10_HYDROMALAM[[#This Row],[QUANTITY]])+TRANSHARI10_HYDROMALAM[[#This Row],[PRICE TOLERANCE]]),""),"")</calculatedColumnFormula>
    </tableColumn>
    <tableColumn id="6" name="KREDIT" dataDxfId="1377">
      <calculatedColumnFormula>IFERROR(IF(TRANSHARI10_HYDROMALAM[[#This Row],[NAMA PENGHUTANG]]="","",((TRANSHARI10_HYDROMALAM[[#This Row],[HARGA]]*TRANSHARI10_HYDROMALAM[[#This Row],[QUANTITY]])+TRANSHARI10_HYDROMALAM[[#This Row],[PRICE TOLERANCE]])),"")</calculatedColumnFormula>
    </tableColumn>
    <tableColumn id="7" name="NAMA PENGHUTANG" dataDxfId="1378"/>
    <tableColumn id="8" name="NOMINAL TRANSFER" dataDxfId="1379">
      <calculatedColumnFormula>IFERROR(IF(TRANSHARI10_HYDROMALAM[[#This Row],[NAMA REKENING]]="","",TRANSHARI10_HYDROMALAM[[#This Row],[DEBIT]]),"")</calculatedColumnFormula>
    </tableColumn>
    <tableColumn id="9" name="NAMA REKENING" dataDxfId="1380"/>
  </tableColumns>
  <tableStyleInfo name="TableStyleMedium16" showFirstColumn="0" showLastColumn="0" showRowStripes="1" showColumnStripes="0"/>
</table>
</file>

<file path=xl/tables/table141.xml><?xml version="1.0" encoding="utf-8"?>
<table xmlns="http://schemas.openxmlformats.org/spreadsheetml/2006/main" id="147" name="TRANSHARI11_ROKOKPAGI" displayName="TRANSHARI11_ROKOKPAGI" ref="A84:J134" totalsRowShown="0">
  <autoFilter xmlns:etc="http://www.wps.cn/officeDocument/2017/etCustomData" ref="A84:J134" etc:filterBottomFollowUsedRange="0"/>
  <tableColumns count="10">
    <tableColumn id="1" name="NO." dataDxfId="1381"/>
    <tableColumn id="2" name="PRODUK" dataDxfId="1382"/>
    <tableColumn id="10" name="QUANTITY" dataDxfId="1383"/>
    <tableColumn id="3" name="HARGA" dataDxfId="1384">
      <calculatedColumnFormula>IFERROR(VLOOKUP(TRANSHARI11_ROKOKPAGI[[#This Row],[PRODUK]],DATA_ROKOK[],13,FALSE),"")</calculatedColumnFormula>
    </tableColumn>
    <tableColumn id="4" name="PRICE TOLERANCE" dataDxfId="1385"/>
    <tableColumn id="5" name="DEBIT" dataDxfId="1386">
      <calculatedColumnFormula>IFERROR(IF(TRANSHARI11_ROKOKPAGI[[#This Row],[NAMA PENGHUTANG]]="",((TRANSHARI11_ROKOKPAGI[[#This Row],[HARGA]]*TRANSHARI11_ROKOKPAGI[[#This Row],[QUANTITY]])+TRANSHARI11_ROKOKPAGI[[#This Row],[PRICE TOLERANCE]]),""),"")</calculatedColumnFormula>
    </tableColumn>
    <tableColumn id="6" name="KREDIT" dataDxfId="1387">
      <calculatedColumnFormula>IFERROR(IF(TRANSHARI11_ROKOKPAGI[[#This Row],[NAMA PENGHUTANG]]="","",((TRANSHARI11_ROKOKPAGI[[#This Row],[HARGA]]*TRANSHARI11_ROKOKPAGI[[#This Row],[QUANTITY]])+TRANSHARI11_ROKOKPAGI[[#This Row],[PRICE TOLERANCE]])),"")</calculatedColumnFormula>
    </tableColumn>
    <tableColumn id="7" name="NAMA PENGHUTANG" dataDxfId="1388"/>
    <tableColumn id="8" name="NOMINAL TRANSFER" dataDxfId="1389">
      <calculatedColumnFormula>IFERROR(IF(TRANSHARI11_ROKOKPAGI[[#This Row],[NAMA REKENING]]="","",TRANSHARI11_ROKOKPAGI[[#This Row],[DEBIT]]),"")</calculatedColumnFormula>
    </tableColumn>
    <tableColumn id="9" name="NAMA REKENING" dataDxfId="1390"/>
  </tableColumns>
  <tableStyleInfo name="TableStyleMedium16" showFirstColumn="0" showLastColumn="0" showRowStripes="1" showColumnStripes="0"/>
</table>
</file>

<file path=xl/tables/table142.xml><?xml version="1.0" encoding="utf-8"?>
<table xmlns="http://schemas.openxmlformats.org/spreadsheetml/2006/main" id="148" name="TRANSHARI11_PULSAPAGI" displayName="TRANSHARI11_PULSAPAGI" ref="A27:I77" totalsRowShown="0">
  <autoFilter xmlns:etc="http://www.wps.cn/officeDocument/2017/etCustomData" ref="A27:I77" etc:filterBottomFollowUsedRange="0"/>
  <tableColumns count="9">
    <tableColumn id="1" name="NO." dataDxfId="1391"/>
    <tableColumn id="2" name="NO. TELEPON" dataDxfId="1392"/>
    <tableColumn id="5" name="DEBIT" dataDxfId="1393"/>
    <tableColumn id="6" name="KREDIT" dataDxfId="1394"/>
    <tableColumn id="7" name="NAMA PENGHUTANG" dataDxfId="1395"/>
    <tableColumn id="8" name="SALDO MINUS" dataDxfId="1396"/>
    <tableColumn id="9" name="APLIKASI" dataDxfId="1397"/>
    <tableColumn id="11" name="NOMINAL TRANSFER" dataDxfId="1398">
      <calculatedColumnFormula>IFERROR(IF(TRANSHARI11_PULSAPAGI[[#This Row],[NAMA REKENING]]="","",TRANSHARI11_PULSAPAGI[[#This Row],[DEBIT]]),"")</calculatedColumnFormula>
    </tableColumn>
    <tableColumn id="12" name="NAMA REKENING" dataDxfId="1399"/>
  </tableColumns>
  <tableStyleInfo name="TableStyleMedium16" showFirstColumn="0" showLastColumn="0" showRowStripes="1" showColumnStripes="0"/>
</table>
</file>

<file path=xl/tables/table143.xml><?xml version="1.0" encoding="utf-8"?>
<table xmlns="http://schemas.openxmlformats.org/spreadsheetml/2006/main" id="149" name="TRANSHARI11_SPVOUPAGI" displayName="TRANSHARI11_SPVOUPAGI" ref="A141:J191" totalsRowShown="0">
  <autoFilter xmlns:etc="http://www.wps.cn/officeDocument/2017/etCustomData" ref="A141:J191" etc:filterBottomFollowUsedRange="0"/>
  <tableColumns count="10">
    <tableColumn id="1" name="NO." dataDxfId="1400"/>
    <tableColumn id="2" name="PRODUK" dataDxfId="1401"/>
    <tableColumn id="10" name="QUANTITY" dataDxfId="1402"/>
    <tableColumn id="3" name="HARGA" dataDxfId="1403">
      <calculatedColumnFormula>IFERROR(VLOOKUP(TRANSHARI11_SPVOUPAGI[[#This Row],[PRODUK]],DATA_SPVOU[],13,FALSE),"")</calculatedColumnFormula>
    </tableColumn>
    <tableColumn id="4" name="PRICE TOLERANCE" dataDxfId="1404"/>
    <tableColumn id="5" name="DEBIT" dataDxfId="1405">
      <calculatedColumnFormula>IFERROR(IF(TRANSHARI11_SPVOUPAGI[[#This Row],[NAMA PENGHUTANG]]="",((TRANSHARI11_SPVOUPAGI[[#This Row],[HARGA]]*TRANSHARI11_SPVOUPAGI[[#This Row],[QUANTITY]])+TRANSHARI11_SPVOUPAGI[[#This Row],[PRICE TOLERANCE]]),""),"")</calculatedColumnFormula>
    </tableColumn>
    <tableColumn id="6" name="KREDIT" dataDxfId="1406">
      <calculatedColumnFormula>IFERROR(IF(TRANSHARI11_SPVOUPAGI[[#This Row],[NAMA PENGHUTANG]]="","",((TRANSHARI11_SPVOUPAGI[[#This Row],[HARGA]]*TRANSHARI11_SPVOUPAGI[[#This Row],[QUANTITY]])+TRANSHARI11_SPVOUPAGI[[#This Row],[PRICE TOLERANCE]])),"")</calculatedColumnFormula>
    </tableColumn>
    <tableColumn id="7" name="NAMA PENGHUTANG" dataDxfId="1407"/>
    <tableColumn id="8" name="NOMINAL TRANSFER" dataDxfId="1408">
      <calculatedColumnFormula>IFERROR(IF(TRANSHARI11_SPVOUPAGI[[#This Row],[NAMA REKENING]]="","",TRANSHARI11_SPVOUPAGI[[#This Row],[DEBIT]]),"")</calculatedColumnFormula>
    </tableColumn>
    <tableColumn id="9" name="NAMA REKENING" dataDxfId="1409"/>
  </tableColumns>
  <tableStyleInfo name="TableStyleMedium16" showFirstColumn="0" showLastColumn="0" showRowStripes="1" showColumnStripes="0"/>
</table>
</file>

<file path=xl/tables/table144.xml><?xml version="1.0" encoding="utf-8"?>
<table xmlns="http://schemas.openxmlformats.org/spreadsheetml/2006/main" id="150" name="TRANSHARI11_SOFTDRINKPAGI" displayName="TRANSHARI11_SOFTDRINKPAGI" ref="A198:J248" totalsRowShown="0">
  <autoFilter xmlns:etc="http://www.wps.cn/officeDocument/2017/etCustomData" ref="A198:J248" etc:filterBottomFollowUsedRange="0"/>
  <tableColumns count="10">
    <tableColumn id="1" name="NO." dataDxfId="1410"/>
    <tableColumn id="2" name="PRODUK" dataDxfId="1411"/>
    <tableColumn id="10" name="QUANTITY" dataDxfId="1412"/>
    <tableColumn id="3" name="HARGA" dataDxfId="1413">
      <calculatedColumnFormula>IFERROR(VLOOKUP(TRANSHARI11_SOFTDRINKPAGI[[#This Row],[PRODUK]],DATA_SOFTDRINK[],13,FALSE),"")</calculatedColumnFormula>
    </tableColumn>
    <tableColumn id="4" name="PRICE TOLERANCE" dataDxfId="1414"/>
    <tableColumn id="5" name="DEBIT" dataDxfId="1415">
      <calculatedColumnFormula>IFERROR(IF(TRANSHARI11_SOFTDRINKPAGI[[#This Row],[NAMA PENGHUTANG]]="",((TRANSHARI11_SOFTDRINKPAGI[[#This Row],[HARGA]]*TRANSHARI11_SOFTDRINKPAGI[[#This Row],[QUANTITY]])+TRANSHARI11_SOFTDRINKPAGI[[#This Row],[PRICE TOLERANCE]]),""),"")</calculatedColumnFormula>
    </tableColumn>
    <tableColumn id="6" name="KREDIT" dataDxfId="1416">
      <calculatedColumnFormula>IFERROR(IF(TRANSHARI11_SOFTDRINKPAGI[[#This Row],[NAMA PENGHUTANG]]="","",((TRANSHARI11_SOFTDRINKPAGI[[#This Row],[HARGA]]*TRANSHARI11_SOFTDRINKPAGI[[#This Row],[QUANTITY]])+TRANSHARI11_SOFTDRINKPAGI[[#This Row],[PRICE TOLERANCE]])),"")</calculatedColumnFormula>
    </tableColumn>
    <tableColumn id="7" name="NAMA PENGHUTANG" dataDxfId="1417"/>
    <tableColumn id="8" name="NOMINAL TRANSFER" dataDxfId="1418">
      <calculatedColumnFormula>IFERROR(IF(TRANSHARI11_SOFTDRINKPAGI[[#This Row],[NAMA REKENING]]="","",TRANSHARI11_SOFTDRINKPAGI[[#This Row],[DEBIT]]),"")</calculatedColumnFormula>
    </tableColumn>
    <tableColumn id="9" name="NAMA REKENING" dataDxfId="1419"/>
  </tableColumns>
  <tableStyleInfo name="TableStyleMedium16" showFirstColumn="0" showLastColumn="0" showRowStripes="1" showColumnStripes="0"/>
</table>
</file>

<file path=xl/tables/table145.xml><?xml version="1.0" encoding="utf-8"?>
<table xmlns="http://schemas.openxmlformats.org/spreadsheetml/2006/main" id="151" name="TRANSHARI11_ICECREAMPAGI" displayName="TRANSHARI11_ICECREAMPAGI" ref="A255:J305" totalsRowShown="0">
  <autoFilter xmlns:etc="http://www.wps.cn/officeDocument/2017/etCustomData" ref="A255:J305" etc:filterBottomFollowUsedRange="0"/>
  <tableColumns count="10">
    <tableColumn id="1" name="NO." dataDxfId="1420"/>
    <tableColumn id="2" name="PRODUK" dataDxfId="1421"/>
    <tableColumn id="10" name="QUANTITY" dataDxfId="1422"/>
    <tableColumn id="3" name="HARGA" dataDxfId="1423">
      <calculatedColumnFormula>IFERROR(VLOOKUP(TRANSHARI11_ICECREAMPAGI[[#This Row],[PRODUK]],DATA_ICECREAM[],13,FALSE),"")</calculatedColumnFormula>
    </tableColumn>
    <tableColumn id="4" name="PRICE TOLERANCE" dataDxfId="1424"/>
    <tableColumn id="5" name="DEBIT" dataDxfId="1425">
      <calculatedColumnFormula>IFERROR(IF(TRANSHARI11_ICECREAMPAGI[[#This Row],[NAMA PENGHUTANG]]="",((TRANSHARI11_ICECREAMPAGI[[#This Row],[HARGA]]*TRANSHARI11_ICECREAMPAGI[[#This Row],[QUANTITY]])+TRANSHARI11_ICECREAMPAGI[[#This Row],[PRICE TOLERANCE]]),""),"")</calculatedColumnFormula>
    </tableColumn>
    <tableColumn id="6" name="KREDIT" dataDxfId="1426">
      <calculatedColumnFormula>IFERROR(IF(TRANSHARI11_ICECREAMPAGI[[#This Row],[NAMA PENGHUTANG]]="","",((TRANSHARI11_ICECREAMPAGI[[#This Row],[HARGA]]*TRANSHARI11_ICECREAMPAGI[[#This Row],[QUANTITY]])+TRANSHARI11_ICECREAMPAGI[[#This Row],[PRICE TOLERANCE]])),"")</calculatedColumnFormula>
    </tableColumn>
    <tableColumn id="7" name="NAMA PENGHUTANG" dataDxfId="1427"/>
    <tableColumn id="8" name="NOMINAL TRANSFER" dataDxfId="1428">
      <calculatedColumnFormula>IFERROR(IF(TRANSHARI11_ICECREAMPAGI[[#This Row],[NAMA REKENING]]="","",TRANSHARI11_ICECREAMPAGI[[#This Row],[DEBIT]]),"")</calculatedColumnFormula>
    </tableColumn>
    <tableColumn id="9" name="NAMA REKENING" dataDxfId="1429"/>
  </tableColumns>
  <tableStyleInfo name="TableStyleMedium16" showFirstColumn="0" showLastColumn="0" showRowStripes="1" showColumnStripes="0"/>
</table>
</file>

<file path=xl/tables/table146.xml><?xml version="1.0" encoding="utf-8"?>
<table xmlns="http://schemas.openxmlformats.org/spreadsheetml/2006/main" id="152" name="TRANSHARI11_ACCPAGI" displayName="TRANSHARI11_ACCPAGI" ref="A312:J342" totalsRowShown="0">
  <autoFilter xmlns:etc="http://www.wps.cn/officeDocument/2017/etCustomData" ref="A312:J342" etc:filterBottomFollowUsedRange="0"/>
  <tableColumns count="10">
    <tableColumn id="1" name="NO." dataDxfId="1430"/>
    <tableColumn id="2" name="PRODUK" dataDxfId="1431"/>
    <tableColumn id="10" name="QUANTITY" dataDxfId="1432"/>
    <tableColumn id="3" name="HARGA" dataDxfId="1433">
      <calculatedColumnFormula>IFERROR(VLOOKUP(TRANSHARI11_ACCPAGI[[#This Row],[PRODUK]],DATA_ACC[],13,FALSE),"")</calculatedColumnFormula>
    </tableColumn>
    <tableColumn id="4" name="PRICE TOLERANCE" dataDxfId="1434"/>
    <tableColumn id="5" name="DEBIT" dataDxfId="1435">
      <calculatedColumnFormula>IFERROR(IF(TRANSHARI11_ACCPAGI[[#This Row],[NAMA PENGHUTANG]]="",((TRANSHARI11_ACCPAGI[[#This Row],[HARGA]]*TRANSHARI11_ACCPAGI[[#This Row],[QUANTITY]])+TRANSHARI11_ACCPAGI[[#This Row],[PRICE TOLERANCE]]),""),"")</calculatedColumnFormula>
    </tableColumn>
    <tableColumn id="6" name="KREDIT" dataDxfId="1436">
      <calculatedColumnFormula>IFERROR(IF(TRANSHARI11_ACCPAGI[[#This Row],[NAMA PENGHUTANG]]="","",((TRANSHARI11_ACCPAGI[[#This Row],[HARGA]]*TRANSHARI11_ACCPAGI[[#This Row],[QUANTITY]])+TRANSHARI11_ACCPAGI[[#This Row],[PRICE TOLERANCE]])),"")</calculatedColumnFormula>
    </tableColumn>
    <tableColumn id="7" name="NAMA PENGHUTANG" dataDxfId="1437"/>
    <tableColumn id="8" name="NOMINAL TRANSFER" dataDxfId="1438">
      <calculatedColumnFormula>IFERROR(IF(TRANSHARI11_ACCPAGI[[#This Row],[NAMA REKENING]]="","",TRANSHARI11_ACCPAGI[[#This Row],[DEBIT]]),"")</calculatedColumnFormula>
    </tableColumn>
    <tableColumn id="9" name="NAMA REKENING" dataDxfId="1439"/>
  </tableColumns>
  <tableStyleInfo name="TableStyleMedium16" showFirstColumn="0" showLastColumn="0" showRowStripes="1" showColumnStripes="0"/>
</table>
</file>

<file path=xl/tables/table147.xml><?xml version="1.0" encoding="utf-8"?>
<table xmlns="http://schemas.openxmlformats.org/spreadsheetml/2006/main" id="153" name="TRANSHARI11_HYDROPAGI" displayName="TRANSHARI11_HYDROPAGI" ref="A349:J379" totalsRowShown="0">
  <autoFilter xmlns:etc="http://www.wps.cn/officeDocument/2017/etCustomData" ref="A349:J379" etc:filterBottomFollowUsedRange="0"/>
  <tableColumns count="10">
    <tableColumn id="1" name="NO." dataDxfId="1440"/>
    <tableColumn id="2" name="PRODUK" dataDxfId="1441"/>
    <tableColumn id="10" name="QUANTITY" dataDxfId="1442"/>
    <tableColumn id="3" name="HARGA" dataDxfId="1443">
      <calculatedColumnFormula>IFERROR(VLOOKUP(TRANSHARI11_HYDROPAGI[[#This Row],[PRODUK]],DATA_HYDRO[],13,FALSE),"")</calculatedColumnFormula>
    </tableColumn>
    <tableColumn id="4" name="PRICE TOLERANCE" dataDxfId="1444"/>
    <tableColumn id="5" name="DEBIT" dataDxfId="1445">
      <calculatedColumnFormula>IFERROR(IF(TRANSHARI11_HYDROPAGI[[#This Row],[NAMA PENGHUTANG]]="",((TRANSHARI11_HYDROPAGI[[#This Row],[HARGA]]*TRANSHARI11_HYDROPAGI[[#This Row],[QUANTITY]])+TRANSHARI11_HYDROPAGI[[#This Row],[PRICE TOLERANCE]]),""),"")</calculatedColumnFormula>
    </tableColumn>
    <tableColumn id="6" name="KREDIT" dataDxfId="1446">
      <calculatedColumnFormula>IFERROR(IF(TRANSHARI11_HYDROPAGI[[#This Row],[NAMA PENGHUTANG]]="","",((TRANSHARI11_HYDROPAGI[[#This Row],[HARGA]]*TRANSHARI11_HYDROPAGI[[#This Row],[QUANTITY]])+TRANSHARI11_HYDROPAGI[[#This Row],[PRICE TOLERANCE]])),"")</calculatedColumnFormula>
    </tableColumn>
    <tableColumn id="7" name="NAMA PENGHUTANG" dataDxfId="1447"/>
    <tableColumn id="8" name="NOMINAL TRANSFER" dataDxfId="1448">
      <calculatedColumnFormula>IFERROR(IF(TRANSHARI11_HYDROPAGI[[#This Row],[NAMA REKENING]]="","",TRANSHARI11_HYDROPAGI[[#This Row],[DEBIT]]),"")</calculatedColumnFormula>
    </tableColumn>
    <tableColumn id="9" name="NAMA REKENING" dataDxfId="1449"/>
  </tableColumns>
  <tableStyleInfo name="TableStyleMedium16" showFirstColumn="0" showLastColumn="0" showRowStripes="1" showColumnStripes="0"/>
</table>
</file>

<file path=xl/tables/table148.xml><?xml version="1.0" encoding="utf-8"?>
<table xmlns="http://schemas.openxmlformats.org/spreadsheetml/2006/main" id="154" name="TRANSHARI11_ROKOKMALAM" displayName="TRANSHARI11_ROKOKMALAM" ref="P84:Y134" totalsRowShown="0">
  <autoFilter xmlns:etc="http://www.wps.cn/officeDocument/2017/etCustomData" ref="P84:Y134" etc:filterBottomFollowUsedRange="0"/>
  <tableColumns count="10">
    <tableColumn id="1" name="NO." dataDxfId="1450"/>
    <tableColumn id="2" name="PRODUK" dataDxfId="1451"/>
    <tableColumn id="10" name="QUANTITY" dataDxfId="1452"/>
    <tableColumn id="3" name="HARGA" dataDxfId="1453">
      <calculatedColumnFormula>IFERROR(VLOOKUP(TRANSHARI11_ROKOKMALAM[[#This Row],[PRODUK]],DATA_ROKOK[],13,FALSE),"")</calculatedColumnFormula>
    </tableColumn>
    <tableColumn id="4" name="PRICE TOLERANCE" dataDxfId="1454"/>
    <tableColumn id="5" name="DEBIT" dataDxfId="1455">
      <calculatedColumnFormula>IFERROR(IF(TRANSHARI11_ROKOKMALAM[[#This Row],[NAMA PENGHUTANG]]="",((TRANSHARI11_ROKOKMALAM[[#This Row],[HARGA]]*TRANSHARI11_ROKOKMALAM[[#This Row],[QUANTITY]])+TRANSHARI11_ROKOKMALAM[[#This Row],[PRICE TOLERANCE]]),""),"")</calculatedColumnFormula>
    </tableColumn>
    <tableColumn id="6" name="KREDIT" dataDxfId="1456">
      <calculatedColumnFormula>IFERROR(IF(TRANSHARI11_ROKOKMALAM[[#This Row],[NAMA PENGHUTANG]]="","",((TRANSHARI11_ROKOKMALAM[[#This Row],[HARGA]]*TRANSHARI11_ROKOKMALAM[[#This Row],[QUANTITY]])+TRANSHARI11_ROKOKMALAM[[#This Row],[PRICE TOLERANCE]])),"")</calculatedColumnFormula>
    </tableColumn>
    <tableColumn id="7" name="NAMA PENGHUTANG" dataDxfId="1457"/>
    <tableColumn id="8" name="NOMINAL TRANSFER" dataDxfId="1458">
      <calculatedColumnFormula>IFERROR(IF(TRANSHARI11_ROKOKMALAM[[#This Row],[NAMA REKENING]]="","",TRANSHARI11_ROKOKMALAM[[#This Row],[DEBIT]]),"")</calculatedColumnFormula>
    </tableColumn>
    <tableColumn id="9" name="NAMA REKENING" dataDxfId="1459"/>
  </tableColumns>
  <tableStyleInfo name="TableStyleMedium16" showFirstColumn="0" showLastColumn="0" showRowStripes="1" showColumnStripes="0"/>
</table>
</file>

<file path=xl/tables/table149.xml><?xml version="1.0" encoding="utf-8"?>
<table xmlns="http://schemas.openxmlformats.org/spreadsheetml/2006/main" id="155" name="TRANSHARI11_PULSAMALAM" displayName="TRANSHARI11_PULSAMALAM" ref="P27:X77" totalsRowShown="0">
  <autoFilter xmlns:etc="http://www.wps.cn/officeDocument/2017/etCustomData" ref="P27:X77" etc:filterBottomFollowUsedRange="0"/>
  <tableColumns count="9">
    <tableColumn id="1" name="NO." dataDxfId="1460"/>
    <tableColumn id="2" name="NO. TELEPON" dataDxfId="1461"/>
    <tableColumn id="5" name="DEBIT" dataDxfId="1462"/>
    <tableColumn id="6" name="KREDIT" dataDxfId="1463"/>
    <tableColumn id="7" name="NAMA PENGHUTANG" dataDxfId="1464"/>
    <tableColumn id="8" name="SALDO MINUS" dataDxfId="1465"/>
    <tableColumn id="9" name="APLIKASI" dataDxfId="1466"/>
    <tableColumn id="11" name="NOMINAL TRANSFER" dataDxfId="1467">
      <calculatedColumnFormula>IFERROR(IF(TRANSHARI11_PULSAMALAM[[#This Row],[NAMA REKENING]]="","",TRANSHARI11_PULSAMALAM[[#This Row],[DEBIT]]),"")</calculatedColumnFormula>
    </tableColumn>
    <tableColumn id="12" name="NAMA REKENING" dataDxfId="1468"/>
  </tableColumns>
  <tableStyleInfo name="TableStyleMedium16" showFirstColumn="0" showLastColumn="0" showRowStripes="1" showColumnStripes="0"/>
</table>
</file>

<file path=xl/tables/table150.xml><?xml version="1.0" encoding="utf-8"?>
<table xmlns="http://schemas.openxmlformats.org/spreadsheetml/2006/main" id="156" name="TRANSHARI11_SPVOUMALAM" displayName="TRANSHARI11_SPVOUMALAM" ref="P141:Y191" totalsRowShown="0">
  <autoFilter xmlns:etc="http://www.wps.cn/officeDocument/2017/etCustomData" ref="P141:Y191" etc:filterBottomFollowUsedRange="0"/>
  <tableColumns count="10">
    <tableColumn id="1" name="NO." dataDxfId="1469"/>
    <tableColumn id="2" name="PRODUK" dataDxfId="1470"/>
    <tableColumn id="10" name="QUANTITY" dataDxfId="1471"/>
    <tableColumn id="3" name="HARGA" dataDxfId="1472">
      <calculatedColumnFormula>IFERROR(VLOOKUP(TRANSHARI11_SPVOUMALAM[[#This Row],[PRODUK]],DATA_SPVOU[],13,FALSE),"")</calculatedColumnFormula>
    </tableColumn>
    <tableColumn id="4" name="PRICE TOLERANCE" dataDxfId="1473"/>
    <tableColumn id="5" name="DEBIT" dataDxfId="1474">
      <calculatedColumnFormula>IFERROR(IF(TRANSHARI11_SPVOUMALAM[[#This Row],[NAMA PENGHUTANG]]="",((TRANSHARI11_SPVOUMALAM[[#This Row],[HARGA]]*TRANSHARI11_SPVOUMALAM[[#This Row],[QUANTITY]])+TRANSHARI11_SPVOUMALAM[[#This Row],[PRICE TOLERANCE]]),""),"")</calculatedColumnFormula>
    </tableColumn>
    <tableColumn id="6" name="KREDIT" dataDxfId="1475">
      <calculatedColumnFormula>IFERROR(IF(TRANSHARI11_SPVOUMALAM[[#This Row],[NAMA PENGHUTANG]]="","",((TRANSHARI11_SPVOUMALAM[[#This Row],[HARGA]]*TRANSHARI11_SPVOUMALAM[[#This Row],[QUANTITY]])+TRANSHARI11_SPVOUMALAM[[#This Row],[PRICE TOLERANCE]])),"")</calculatedColumnFormula>
    </tableColumn>
    <tableColumn id="7" name="NAMA PENGHUTANG" dataDxfId="1476"/>
    <tableColumn id="8" name="NOMINAL TRANSFER" dataDxfId="1477">
      <calculatedColumnFormula>IFERROR(IF(TRANSHARI11_SPVOUMALAM[[#This Row],[NAMA REKENING]]="","",TRANSHARI11_SPVOUMALAM[[#This Row],[DEBIT]]),"")</calculatedColumnFormula>
    </tableColumn>
    <tableColumn id="9" name="NAMA REKENING" dataDxfId="1478"/>
  </tableColumns>
  <tableStyleInfo name="TableStyleMedium16" showFirstColumn="0" showLastColumn="0" showRowStripes="1" showColumnStripes="0"/>
</table>
</file>

<file path=xl/tables/table151.xml><?xml version="1.0" encoding="utf-8"?>
<table xmlns="http://schemas.openxmlformats.org/spreadsheetml/2006/main" id="157" name="TRANSHARI11_SOFTDRINKMALAM" displayName="TRANSHARI11_SOFTDRINKMALAM" ref="P198:Y248" totalsRowShown="0">
  <autoFilter xmlns:etc="http://www.wps.cn/officeDocument/2017/etCustomData" ref="P198:Y248" etc:filterBottomFollowUsedRange="0"/>
  <tableColumns count="10">
    <tableColumn id="1" name="NO." dataDxfId="1479"/>
    <tableColumn id="2" name="PRODUK" dataDxfId="1480"/>
    <tableColumn id="10" name="QUANTITY" dataDxfId="1481"/>
    <tableColumn id="3" name="HARGA" dataDxfId="1482">
      <calculatedColumnFormula>IFERROR(VLOOKUP(TRANSHARI11_SOFTDRINKMALAM[[#This Row],[PRODUK]],DATA_SOFTDRINK[],13,FALSE),"")</calculatedColumnFormula>
    </tableColumn>
    <tableColumn id="4" name="PRICE TOLERANCE" dataDxfId="1483"/>
    <tableColumn id="5" name="DEBIT" dataDxfId="1484">
      <calculatedColumnFormula>IFERROR(IF(TRANSHARI11_SOFTDRINKMALAM[[#This Row],[NAMA PENGHUTANG]]="",((TRANSHARI11_SOFTDRINKMALAM[[#This Row],[HARGA]]*TRANSHARI11_SOFTDRINKMALAM[[#This Row],[QUANTITY]])+TRANSHARI11_SOFTDRINKMALAM[[#This Row],[PRICE TOLERANCE]]),""),"")</calculatedColumnFormula>
    </tableColumn>
    <tableColumn id="6" name="KREDIT" dataDxfId="1485">
      <calculatedColumnFormula>IFERROR(IF(TRANSHARI11_SOFTDRINKMALAM[[#This Row],[NAMA PENGHUTANG]]="","",((TRANSHARI11_SOFTDRINKMALAM[[#This Row],[HARGA]]*TRANSHARI11_SOFTDRINKMALAM[[#This Row],[QUANTITY]])+TRANSHARI11_SOFTDRINKMALAM[[#This Row],[PRICE TOLERANCE]])),"")</calculatedColumnFormula>
    </tableColumn>
    <tableColumn id="7" name="NAMA PENGHUTANG" dataDxfId="1486"/>
    <tableColumn id="8" name="NOMINAL TRANSFER" dataDxfId="1487">
      <calculatedColumnFormula>IFERROR(IF(TRANSHARI11_SOFTDRINKMALAM[[#This Row],[NAMA REKENING]]="","",TRANSHARI11_SOFTDRINKMALAM[[#This Row],[DEBIT]]),"")</calculatedColumnFormula>
    </tableColumn>
    <tableColumn id="9" name="NAMA REKENING" dataDxfId="1488"/>
  </tableColumns>
  <tableStyleInfo name="TableStyleMedium16" showFirstColumn="0" showLastColumn="0" showRowStripes="1" showColumnStripes="0"/>
</table>
</file>

<file path=xl/tables/table152.xml><?xml version="1.0" encoding="utf-8"?>
<table xmlns="http://schemas.openxmlformats.org/spreadsheetml/2006/main" id="158" name="TRANSHARI11_ICECREAMMALAM" displayName="TRANSHARI11_ICECREAMMALAM" ref="P255:Y305" totalsRowShown="0">
  <autoFilter xmlns:etc="http://www.wps.cn/officeDocument/2017/etCustomData" ref="P255:Y305" etc:filterBottomFollowUsedRange="0"/>
  <tableColumns count="10">
    <tableColumn id="1" name="NO." dataDxfId="1489"/>
    <tableColumn id="2" name="PRODUK" dataDxfId="1490"/>
    <tableColumn id="10" name="QUANTITY" dataDxfId="1491"/>
    <tableColumn id="3" name="HARGA" dataDxfId="1492">
      <calculatedColumnFormula>IFERROR(VLOOKUP(TRANSHARI11_ICECREAMMALAM[[#This Row],[PRODUK]],DATA_ICECREAM[],13,FALSE),"")</calculatedColumnFormula>
    </tableColumn>
    <tableColumn id="4" name="PRICE TOLERANCE" dataDxfId="1493"/>
    <tableColumn id="5" name="DEBIT" dataDxfId="1494">
      <calculatedColumnFormula>IFERROR(IF(TRANSHARI11_ICECREAMMALAM[[#This Row],[NAMA PENGHUTANG]]="",((TRANSHARI11_ICECREAMMALAM[[#This Row],[HARGA]]*TRANSHARI11_ICECREAMMALAM[[#This Row],[QUANTITY]])+TRANSHARI11_ICECREAMMALAM[[#This Row],[PRICE TOLERANCE]]),""),"")</calculatedColumnFormula>
    </tableColumn>
    <tableColumn id="6" name="KREDIT" dataDxfId="1495">
      <calculatedColumnFormula>IFERROR(IF(TRANSHARI11_ICECREAMMALAM[[#This Row],[NAMA PENGHUTANG]]="","",((TRANSHARI11_ICECREAMMALAM[[#This Row],[HARGA]]*TRANSHARI11_ICECREAMMALAM[[#This Row],[QUANTITY]])+TRANSHARI11_ICECREAMMALAM[[#This Row],[PRICE TOLERANCE]])),"")</calculatedColumnFormula>
    </tableColumn>
    <tableColumn id="7" name="NAMA PENGHUTANG" dataDxfId="1496"/>
    <tableColumn id="8" name="NOMINAL TRANSFER" dataDxfId="1497">
      <calculatedColumnFormula>IFERROR(IF(TRANSHARI11_ICECREAMMALAM[[#This Row],[NAMA REKENING]]="","",TRANSHARI11_ICECREAMMALAM[[#This Row],[DEBIT]]),"")</calculatedColumnFormula>
    </tableColumn>
    <tableColumn id="9" name="NAMA REKENING" dataDxfId="1498"/>
  </tableColumns>
  <tableStyleInfo name="TableStyleMedium16" showFirstColumn="0" showLastColumn="0" showRowStripes="1" showColumnStripes="0"/>
</table>
</file>

<file path=xl/tables/table153.xml><?xml version="1.0" encoding="utf-8"?>
<table xmlns="http://schemas.openxmlformats.org/spreadsheetml/2006/main" id="159" name="TRANSHARI11_ACCMALAM" displayName="TRANSHARI11_ACCMALAM" ref="P312:Y342" totalsRowShown="0">
  <autoFilter xmlns:etc="http://www.wps.cn/officeDocument/2017/etCustomData" ref="P312:Y342" etc:filterBottomFollowUsedRange="0"/>
  <tableColumns count="10">
    <tableColumn id="1" name="NO." dataDxfId="1499"/>
    <tableColumn id="2" name="PRODUK" dataDxfId="1500"/>
    <tableColumn id="10" name="QUANTITY" dataDxfId="1501"/>
    <tableColumn id="3" name="HARGA" dataDxfId="1502">
      <calculatedColumnFormula>IFERROR(VLOOKUP(TRANSHARI11_ACCMALAM[[#This Row],[PRODUK]],DATA_ACC[],13,FALSE),"")</calculatedColumnFormula>
    </tableColumn>
    <tableColumn id="4" name="PRICE TOLERANCE" dataDxfId="1503"/>
    <tableColumn id="5" name="DEBIT" dataDxfId="1504">
      <calculatedColumnFormula>IFERROR(IF(TRANSHARI11_ACCMALAM[[#This Row],[NAMA PENGHUTANG]]="",((TRANSHARI11_ACCMALAM[[#This Row],[HARGA]]*TRANSHARI11_ACCMALAM[[#This Row],[QUANTITY]])+TRANSHARI11_ACCMALAM[[#This Row],[PRICE TOLERANCE]]),""),"")</calculatedColumnFormula>
    </tableColumn>
    <tableColumn id="6" name="KREDIT" dataDxfId="1505">
      <calculatedColumnFormula>IFERROR(IF(TRANSHARI11_ACCMALAM[[#This Row],[NAMA PENGHUTANG]]="","",((TRANSHARI11_ACCMALAM[[#This Row],[HARGA]]*TRANSHARI11_ACCMALAM[[#This Row],[QUANTITY]])+TRANSHARI11_ACCMALAM[[#This Row],[PRICE TOLERANCE]])),"")</calculatedColumnFormula>
    </tableColumn>
    <tableColumn id="7" name="NAMA PENGHUTANG" dataDxfId="1506"/>
    <tableColumn id="8" name="NOMINAL TRANSFER" dataDxfId="1507">
      <calculatedColumnFormula>IFERROR(IF(TRANSHARI11_ACCMALAM[[#This Row],[NAMA REKENING]]="","",TRANSHARI11_ACCMALAM[[#This Row],[DEBIT]]),"")</calculatedColumnFormula>
    </tableColumn>
    <tableColumn id="9" name="NAMA REKENING" dataDxfId="1508"/>
  </tableColumns>
  <tableStyleInfo name="TableStyleMedium16" showFirstColumn="0" showLastColumn="0" showRowStripes="1" showColumnStripes="0"/>
</table>
</file>

<file path=xl/tables/table154.xml><?xml version="1.0" encoding="utf-8"?>
<table xmlns="http://schemas.openxmlformats.org/spreadsheetml/2006/main" id="160" name="TRANSHARI11_HYDROMALAM" displayName="TRANSHARI11_HYDROMALAM" ref="P349:Y379" totalsRowShown="0">
  <autoFilter xmlns:etc="http://www.wps.cn/officeDocument/2017/etCustomData" ref="P349:Y379" etc:filterBottomFollowUsedRange="0"/>
  <tableColumns count="10">
    <tableColumn id="1" name="NO." dataDxfId="1509"/>
    <tableColumn id="2" name="PRODUK" dataDxfId="1510"/>
    <tableColumn id="10" name="QUANTITY" dataDxfId="1511"/>
    <tableColumn id="3" name="HARGA" dataDxfId="1512">
      <calculatedColumnFormula>IFERROR(VLOOKUP(TRANSHARI11_HYDROMALAM[[#This Row],[PRODUK]],DATA_HYDRO[],13,FALSE),"")</calculatedColumnFormula>
    </tableColumn>
    <tableColumn id="4" name="PRICE TOLERANCE" dataDxfId="1513"/>
    <tableColumn id="5" name="DEBIT" dataDxfId="1514">
      <calculatedColumnFormula>IFERROR(IF(TRANSHARI11_HYDROMALAM[[#This Row],[NAMA PENGHUTANG]]="",((TRANSHARI11_HYDROMALAM[[#This Row],[HARGA]]*TRANSHARI11_HYDROMALAM[[#This Row],[QUANTITY]])+TRANSHARI11_HYDROMALAM[[#This Row],[PRICE TOLERANCE]]),""),"")</calculatedColumnFormula>
    </tableColumn>
    <tableColumn id="6" name="KREDIT" dataDxfId="1515">
      <calculatedColumnFormula>IFERROR(IF(TRANSHARI11_HYDROMALAM[[#This Row],[NAMA PENGHUTANG]]="","",((TRANSHARI11_HYDROMALAM[[#This Row],[HARGA]]*TRANSHARI11_HYDROMALAM[[#This Row],[QUANTITY]])+TRANSHARI11_HYDROMALAM[[#This Row],[PRICE TOLERANCE]])),"")</calculatedColumnFormula>
    </tableColumn>
    <tableColumn id="7" name="NAMA PENGHUTANG" dataDxfId="1516"/>
    <tableColumn id="8" name="NOMINAL TRANSFER" dataDxfId="1517">
      <calculatedColumnFormula>IFERROR(IF(TRANSHARI11_HYDROMALAM[[#This Row],[NAMA REKENING]]="","",TRANSHARI11_HYDROMALAM[[#This Row],[DEBIT]]),"")</calculatedColumnFormula>
    </tableColumn>
    <tableColumn id="9" name="NAMA REKENING" dataDxfId="1518"/>
  </tableColumns>
  <tableStyleInfo name="TableStyleMedium16" showFirstColumn="0" showLastColumn="0" showRowStripes="1" showColumnStripes="0"/>
</table>
</file>

<file path=xl/tables/table155.xml><?xml version="1.0" encoding="utf-8"?>
<table xmlns="http://schemas.openxmlformats.org/spreadsheetml/2006/main" id="9" name="DATA_ROKOK" displayName="DATA_ROKOK" ref="D11:P45" totalsRowShown="0">
  <autoFilter xmlns:etc="http://www.wps.cn/officeDocument/2017/etCustomData" ref="D11:P45" etc:filterBottomFollowUsedRange="0"/>
  <tableColumns count="13">
    <tableColumn id="1" name="PRODUK" dataDxfId="1519"/>
    <tableColumn id="2" name="HARGA AWAL" dataDxfId="1520"/>
    <tableColumn id="3" name="HARI 1" dataDxfId="1521">
      <calculatedColumnFormula>DATA_ROKOK[[#This Row],[HARGA AWAL]]</calculatedColumnFormula>
    </tableColumn>
    <tableColumn id="4" name="HARI 2" dataDxfId="1522">
      <calculatedColumnFormula>DATA_ROKOK[[#This Row],[HARI 1]]</calculatedColumnFormula>
    </tableColumn>
    <tableColumn id="5" name="HARI 3" dataDxfId="1523">
      <calculatedColumnFormula>DATA_ROKOK[[#This Row],[HARI 2]]</calculatedColumnFormula>
    </tableColumn>
    <tableColumn id="6" name="HARI 4" dataDxfId="1524">
      <calculatedColumnFormula>DATA_ROKOK[[#This Row],[HARI 3]]</calculatedColumnFormula>
    </tableColumn>
    <tableColumn id="7" name="HARI 5" dataDxfId="1525">
      <calculatedColumnFormula>DATA_ROKOK[[#This Row],[HARI 4]]</calculatedColumnFormula>
    </tableColumn>
    <tableColumn id="8" name="HARI 6" dataDxfId="1526">
      <calculatedColumnFormula>DATA_ROKOK[[#This Row],[HARI 5]]</calculatedColumnFormula>
    </tableColumn>
    <tableColumn id="9" name="HARI 7" dataDxfId="1527">
      <calculatedColumnFormula>DATA_ROKOK[[#This Row],[HARI 6]]</calculatedColumnFormula>
    </tableColumn>
    <tableColumn id="10" name="HARI 8" dataDxfId="1528">
      <calculatedColumnFormula>DATA_ROKOK[[#This Row],[HARI 7]]</calculatedColumnFormula>
    </tableColumn>
    <tableColumn id="11" name="HARI 9" dataDxfId="1529">
      <calculatedColumnFormula>DATA_ROKOK[[#This Row],[HARI 8]]</calculatedColumnFormula>
    </tableColumn>
    <tableColumn id="12" name="HARI 10" dataDxfId="1530">
      <calculatedColumnFormula>DATA_ROKOK[[#This Row],[HARI 9]]</calculatedColumnFormula>
    </tableColumn>
    <tableColumn id="13" name="HARI 11" dataDxfId="1531">
      <calculatedColumnFormula>DATA_ROKOK[[#This Row],[HARI 10]]</calculatedColumnFormula>
    </tableColumn>
  </tableColumns>
  <tableStyleInfo name="TableStyleLight9" showFirstColumn="0" showLastColumn="0" showRowStripes="1" showColumnStripes="0"/>
</table>
</file>

<file path=xl/tables/table156.xml><?xml version="1.0" encoding="utf-8"?>
<table xmlns="http://schemas.openxmlformats.org/spreadsheetml/2006/main" id="10" name="DATA_SPVOU" displayName="DATA_SPVOU" ref="R11:AD80" totalsRowShown="0">
  <autoFilter xmlns:etc="http://www.wps.cn/officeDocument/2017/etCustomData" ref="R11:AD80" etc:filterBottomFollowUsedRange="0"/>
  <tableColumns count="13">
    <tableColumn id="1" name="PRODUK" dataDxfId="1532"/>
    <tableColumn id="2" name="HARGA AWAL" dataDxfId="1533"/>
    <tableColumn id="3" name="HARI 1" dataDxfId="1534">
      <calculatedColumnFormula>DATA_SPVOU[[#This Row],[HARGA AWAL]]</calculatedColumnFormula>
    </tableColumn>
    <tableColumn id="4" name="HARI 2" dataDxfId="1535">
      <calculatedColumnFormula>DATA_SPVOU[[#This Row],[HARI 1]]</calculatedColumnFormula>
    </tableColumn>
    <tableColumn id="5" name="HARI 3" dataDxfId="1536">
      <calculatedColumnFormula>DATA_SPVOU[[#This Row],[HARI 2]]</calculatedColumnFormula>
    </tableColumn>
    <tableColumn id="6" name="HARI 4" dataDxfId="1537">
      <calculatedColumnFormula>DATA_SPVOU[[#This Row],[HARI 3]]</calculatedColumnFormula>
    </tableColumn>
    <tableColumn id="7" name="HARI 5" dataDxfId="1538">
      <calculatedColumnFormula>DATA_SPVOU[[#This Row],[HARI 4]]</calculatedColumnFormula>
    </tableColumn>
    <tableColumn id="8" name="HARI 6" dataDxfId="1539">
      <calculatedColumnFormula>DATA_SPVOU[[#This Row],[HARI 5]]</calculatedColumnFormula>
    </tableColumn>
    <tableColumn id="9" name="HARI 7" dataDxfId="1540">
      <calculatedColumnFormula>DATA_SPVOU[[#This Row],[HARI 6]]</calculatedColumnFormula>
    </tableColumn>
    <tableColumn id="10" name="HARI 8" dataDxfId="1541">
      <calculatedColumnFormula>DATA_SPVOU[[#This Row],[HARI 7]]</calculatedColumnFormula>
    </tableColumn>
    <tableColumn id="11" name="HARI 9" dataDxfId="1542">
      <calculatedColumnFormula>DATA_SPVOU[[#This Row],[HARI 8]]</calculatedColumnFormula>
    </tableColumn>
    <tableColumn id="12" name="HARI 10" dataDxfId="1543">
      <calculatedColumnFormula>DATA_SPVOU[[#This Row],[HARI 9]]</calculatedColumnFormula>
    </tableColumn>
    <tableColumn id="13" name="HARI 11" dataDxfId="1544">
      <calculatedColumnFormula>DATA_SPVOU[[#This Row],[HARI 10]]</calculatedColumnFormula>
    </tableColumn>
  </tableColumns>
  <tableStyleInfo name="TableStyleLight9" showFirstColumn="0" showLastColumn="0" showRowStripes="1" showColumnStripes="0"/>
</table>
</file>

<file path=xl/tables/table157.xml><?xml version="1.0" encoding="utf-8"?>
<table xmlns="http://schemas.openxmlformats.org/spreadsheetml/2006/main" id="11" name="DATA_SOFTDRINK" displayName="DATA_SOFTDRINK" ref="AF11:AR29" totalsRowShown="0">
  <autoFilter xmlns:etc="http://www.wps.cn/officeDocument/2017/etCustomData" ref="AF11:AR29" etc:filterBottomFollowUsedRange="0"/>
  <tableColumns count="13">
    <tableColumn id="1" name="PRODUK" dataDxfId="1545"/>
    <tableColumn id="2" name="HARGA AWAL" dataDxfId="1546"/>
    <tableColumn id="3" name="HARI 1" dataDxfId="1547">
      <calculatedColumnFormula>DATA_SOFTDRINK[[#This Row],[HARGA AWAL]]</calculatedColumnFormula>
    </tableColumn>
    <tableColumn id="4" name="HARI 2" dataDxfId="1548">
      <calculatedColumnFormula>DATA_SOFTDRINK[[#This Row],[HARI 1]]</calculatedColumnFormula>
    </tableColumn>
    <tableColumn id="5" name="HARI 3" dataDxfId="1549">
      <calculatedColumnFormula>DATA_SOFTDRINK[[#This Row],[HARI 2]]</calculatedColumnFormula>
    </tableColumn>
    <tableColumn id="6" name="HARI 4" dataDxfId="1550">
      <calculatedColumnFormula>DATA_SOFTDRINK[[#This Row],[HARI 3]]</calculatedColumnFormula>
    </tableColumn>
    <tableColumn id="7" name="HARI 5" dataDxfId="1551">
      <calculatedColumnFormula>DATA_SOFTDRINK[[#This Row],[HARI 4]]</calculatedColumnFormula>
    </tableColumn>
    <tableColumn id="8" name="HARI 6" dataDxfId="1552">
      <calculatedColumnFormula>DATA_SOFTDRINK[[#This Row],[HARI 5]]</calculatedColumnFormula>
    </tableColumn>
    <tableColumn id="9" name="HARI 7" dataDxfId="1553">
      <calculatedColumnFormula>DATA_SOFTDRINK[[#This Row],[HARI 6]]</calculatedColumnFormula>
    </tableColumn>
    <tableColumn id="10" name="HARI 8" dataDxfId="1554">
      <calculatedColumnFormula>DATA_SOFTDRINK[[#This Row],[HARI 7]]</calculatedColumnFormula>
    </tableColumn>
    <tableColumn id="11" name="HARI 9" dataDxfId="1555">
      <calculatedColumnFormula>DATA_SOFTDRINK[[#This Row],[HARI 8]]</calculatedColumnFormula>
    </tableColumn>
    <tableColumn id="12" name="HARI 10" dataDxfId="1556">
      <calculatedColumnFormula>DATA_SOFTDRINK[[#This Row],[HARI 9]]</calculatedColumnFormula>
    </tableColumn>
    <tableColumn id="13" name="HARI 11" dataDxfId="1557">
      <calculatedColumnFormula>DATA_SOFTDRINK[[#This Row],[HARI 10]]</calculatedColumnFormula>
    </tableColumn>
  </tableColumns>
  <tableStyleInfo name="TableStyleLight9" showFirstColumn="0" showLastColumn="0" showRowStripes="1" showColumnStripes="0"/>
</table>
</file>

<file path=xl/tables/table158.xml><?xml version="1.0" encoding="utf-8"?>
<table xmlns="http://schemas.openxmlformats.org/spreadsheetml/2006/main" id="13" name="DATA_ICECREAM" displayName="DATA_ICECREAM" ref="AT11:BF46" totalsRowShown="0">
  <autoFilter xmlns:etc="http://www.wps.cn/officeDocument/2017/etCustomData" ref="AT11:BF46" etc:filterBottomFollowUsedRange="0"/>
  <tableColumns count="13">
    <tableColumn id="1" name="PRODUK" dataDxfId="1558"/>
    <tableColumn id="2" name="HARGA AWAL" dataDxfId="1559"/>
    <tableColumn id="3" name="HARI 1" dataDxfId="1560">
      <calculatedColumnFormula>DATA_ICECREAM[[#This Row],[HARGA AWAL]]</calculatedColumnFormula>
    </tableColumn>
    <tableColumn id="4" name="HARI 2" dataDxfId="1561">
      <calculatedColumnFormula>DATA_ICECREAM[[#This Row],[HARI 1]]</calculatedColumnFormula>
    </tableColumn>
    <tableColumn id="5" name="HARI 3" dataDxfId="1562">
      <calculatedColumnFormula>DATA_ICECREAM[[#This Row],[HARI 2]]</calculatedColumnFormula>
    </tableColumn>
    <tableColumn id="6" name="HARI 4" dataDxfId="1563">
      <calculatedColumnFormula>DATA_ICECREAM[[#This Row],[HARI 3]]</calculatedColumnFormula>
    </tableColumn>
    <tableColumn id="7" name="HARI 5" dataDxfId="1564">
      <calculatedColumnFormula>DATA_ICECREAM[[#This Row],[HARI 4]]</calculatedColumnFormula>
    </tableColumn>
    <tableColumn id="8" name="HARI 6" dataDxfId="1565">
      <calculatedColumnFormula>DATA_ICECREAM[[#This Row],[HARI 5]]</calculatedColumnFormula>
    </tableColumn>
    <tableColumn id="9" name="HARI 7" dataDxfId="1566">
      <calculatedColumnFormula>DATA_ICECREAM[[#This Row],[HARI 6]]</calculatedColumnFormula>
    </tableColumn>
    <tableColumn id="10" name="HARI 8" dataDxfId="1567">
      <calculatedColumnFormula>DATA_ICECREAM[[#This Row],[HARI 7]]</calculatedColumnFormula>
    </tableColumn>
    <tableColumn id="11" name="HARI 9" dataDxfId="1568">
      <calculatedColumnFormula>DATA_ICECREAM[[#This Row],[HARI 8]]</calculatedColumnFormula>
    </tableColumn>
    <tableColumn id="12" name="HARI 10" dataDxfId="1569">
      <calculatedColumnFormula>DATA_ICECREAM[[#This Row],[HARI 9]]</calculatedColumnFormula>
    </tableColumn>
    <tableColumn id="13" name="HARI 11" dataDxfId="1570">
      <calculatedColumnFormula>DATA_ICECREAM[[#This Row],[HARI 10]]</calculatedColumnFormula>
    </tableColumn>
  </tableColumns>
  <tableStyleInfo name="TableStyleLight9" showFirstColumn="0" showLastColumn="0" showRowStripes="1" showColumnStripes="0"/>
</table>
</file>

<file path=xl/tables/table159.xml><?xml version="1.0" encoding="utf-8"?>
<table xmlns="http://schemas.openxmlformats.org/spreadsheetml/2006/main" id="14" name="DATA_ACC" displayName="DATA_ACC" ref="BH11:BT168" totalsRowShown="0">
  <autoFilter xmlns:etc="http://www.wps.cn/officeDocument/2017/etCustomData" ref="BH11:BT168" etc:filterBottomFollowUsedRange="0"/>
  <tableColumns count="13">
    <tableColumn id="1" name="PRODUK" dataDxfId="1571"/>
    <tableColumn id="2" name="HARGA AWAL" dataDxfId="1572"/>
    <tableColumn id="3" name="HARI 1" dataDxfId="1573">
      <calculatedColumnFormula>DATA_ACC[[#This Row],[HARGA AWAL]]</calculatedColumnFormula>
    </tableColumn>
    <tableColumn id="4" name="HARI 2" dataDxfId="1574">
      <calculatedColumnFormula>DATA_ACC[[#This Row],[HARI 1]]</calculatedColumnFormula>
    </tableColumn>
    <tableColumn id="5" name="HARI 3" dataDxfId="1575">
      <calculatedColumnFormula>DATA_ACC[[#This Row],[HARI 2]]</calculatedColumnFormula>
    </tableColumn>
    <tableColumn id="6" name="HARI 4" dataDxfId="1576">
      <calculatedColumnFormula>DATA_ACC[[#This Row],[HARI 3]]</calculatedColumnFormula>
    </tableColumn>
    <tableColumn id="7" name="HARI 5" dataDxfId="1577">
      <calculatedColumnFormula>DATA_ACC[[#This Row],[HARI 4]]</calculatedColumnFormula>
    </tableColumn>
    <tableColumn id="8" name="HARI 6" dataDxfId="1578">
      <calculatedColumnFormula>DATA_ACC[[#This Row],[HARI 5]]</calculatedColumnFormula>
    </tableColumn>
    <tableColumn id="9" name="HARI 7" dataDxfId="1579">
      <calculatedColumnFormula>DATA_ACC[[#This Row],[HARI 6]]</calculatedColumnFormula>
    </tableColumn>
    <tableColumn id="10" name="HARI 8" dataDxfId="1580">
      <calculatedColumnFormula>DATA_ACC[[#This Row],[HARI 7]]</calculatedColumnFormula>
    </tableColumn>
    <tableColumn id="11" name="HARI 9" dataDxfId="1581">
      <calculatedColumnFormula>DATA_ACC[[#This Row],[HARI 8]]</calculatedColumnFormula>
    </tableColumn>
    <tableColumn id="12" name="HARI 10" dataDxfId="1582">
      <calculatedColumnFormula>DATA_ACC[[#This Row],[HARI 9]]</calculatedColumnFormula>
    </tableColumn>
    <tableColumn id="13" name="HARI 11" dataDxfId="1583">
      <calculatedColumnFormula>DATA_ACC[[#This Row],[HARI 10]]</calculatedColumnFormula>
    </tableColumn>
  </tableColumns>
  <tableStyleInfo name="TableStyleLight9" showFirstColumn="0" showLastColumn="0" showRowStripes="1" showColumnStripes="0"/>
</table>
</file>

<file path=xl/tables/table160.xml><?xml version="1.0" encoding="utf-8"?>
<table xmlns="http://schemas.openxmlformats.org/spreadsheetml/2006/main" id="15" name="DATA_HYDRO" displayName="DATA_HYDRO" ref="BV11:CH32" totalsRowShown="0">
  <autoFilter xmlns:etc="http://www.wps.cn/officeDocument/2017/etCustomData" ref="BV11:CH32" etc:filterBottomFollowUsedRange="0"/>
  <tableColumns count="13">
    <tableColumn id="1" name="PRODUK" dataDxfId="1584"/>
    <tableColumn id="2" name="HARGA AWAL" dataDxfId="1585"/>
    <tableColumn id="3" name="HARI 1" dataDxfId="1586">
      <calculatedColumnFormula>DATA_HYDRO[[#This Row],[HARGA AWAL]]</calculatedColumnFormula>
    </tableColumn>
    <tableColumn id="4" name="HARI 2" dataDxfId="1587">
      <calculatedColumnFormula>DATA_HYDRO[[#This Row],[HARI 1]]</calculatedColumnFormula>
    </tableColumn>
    <tableColumn id="5" name="HARI 3" dataDxfId="1588">
      <calculatedColumnFormula>DATA_HYDRO[[#This Row],[HARI 2]]</calculatedColumnFormula>
    </tableColumn>
    <tableColumn id="6" name="HARI 4" dataDxfId="1589">
      <calculatedColumnFormula>DATA_HYDRO[[#This Row],[HARI 3]]</calculatedColumnFormula>
    </tableColumn>
    <tableColumn id="7" name="HARI 5" dataDxfId="1590">
      <calculatedColumnFormula>DATA_HYDRO[[#This Row],[HARI 4]]</calculatedColumnFormula>
    </tableColumn>
    <tableColumn id="8" name="HARI 6" dataDxfId="1591">
      <calculatedColumnFormula>DATA_HYDRO[[#This Row],[HARI 5]]</calculatedColumnFormula>
    </tableColumn>
    <tableColumn id="9" name="HARI 7" dataDxfId="1592">
      <calculatedColumnFormula>DATA_HYDRO[[#This Row],[HARI 6]]</calculatedColumnFormula>
    </tableColumn>
    <tableColumn id="10" name="HARI 8" dataDxfId="1593">
      <calculatedColumnFormula>DATA_HYDRO[[#This Row],[HARI 7]]</calculatedColumnFormula>
    </tableColumn>
    <tableColumn id="11" name="HARI 9" dataDxfId="1594">
      <calculatedColumnFormula>DATA_HYDRO[[#This Row],[HARI 8]]</calculatedColumnFormula>
    </tableColumn>
    <tableColumn id="12" name="HARI 10" dataDxfId="1595">
      <calculatedColumnFormula>DATA_HYDRO[[#This Row],[HARI 9]]</calculatedColumnFormula>
    </tableColumn>
    <tableColumn id="13" name="HARI 11" dataDxfId="1596">
      <calculatedColumnFormula>DATA_HYDRO[[#This Row],[HARI 10]]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rgbClr val="191919"/>
      </a:dk1>
      <a:lt1>
        <a:srgbClr val="FAFAFA"/>
      </a:lt1>
      <a:dk2>
        <a:srgbClr val="44546A"/>
      </a:dk2>
      <a:lt2>
        <a:srgbClr val="E7E6E6"/>
      </a:lt2>
      <a:accent1>
        <a:srgbClr val="185B96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DumDum">
      <a:majorFont>
        <a:latin typeface="Trebuchet MS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table" Target="../tables/table8.xml"/><Relationship Id="rId8" Type="http://schemas.openxmlformats.org/officeDocument/2006/relationships/table" Target="../tables/table7.xml"/><Relationship Id="rId7" Type="http://schemas.openxmlformats.org/officeDocument/2006/relationships/table" Target="../tables/table6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5" Type="http://schemas.openxmlformats.org/officeDocument/2006/relationships/table" Target="../tables/table14.xml"/><Relationship Id="rId14" Type="http://schemas.openxmlformats.org/officeDocument/2006/relationships/table" Target="../tables/table13.xml"/><Relationship Id="rId13" Type="http://schemas.openxmlformats.org/officeDocument/2006/relationships/table" Target="../tables/table12.xml"/><Relationship Id="rId12" Type="http://schemas.openxmlformats.org/officeDocument/2006/relationships/table" Target="../tables/table11.xml"/><Relationship Id="rId11" Type="http://schemas.openxmlformats.org/officeDocument/2006/relationships/table" Target="../tables/table10.xml"/><Relationship Id="rId10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table" Target="../tables/table22.xml"/><Relationship Id="rId8" Type="http://schemas.openxmlformats.org/officeDocument/2006/relationships/table" Target="../tables/table21.xml"/><Relationship Id="rId7" Type="http://schemas.openxmlformats.org/officeDocument/2006/relationships/table" Target="../tables/table20.xml"/><Relationship Id="rId6" Type="http://schemas.openxmlformats.org/officeDocument/2006/relationships/table" Target="../tables/table19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5" Type="http://schemas.openxmlformats.org/officeDocument/2006/relationships/table" Target="../tables/table28.xml"/><Relationship Id="rId14" Type="http://schemas.openxmlformats.org/officeDocument/2006/relationships/table" Target="../tables/table27.xml"/><Relationship Id="rId13" Type="http://schemas.openxmlformats.org/officeDocument/2006/relationships/table" Target="../tables/table26.xml"/><Relationship Id="rId12" Type="http://schemas.openxmlformats.org/officeDocument/2006/relationships/table" Target="../tables/table25.xml"/><Relationship Id="rId11" Type="http://schemas.openxmlformats.org/officeDocument/2006/relationships/table" Target="../tables/table24.xml"/><Relationship Id="rId10" Type="http://schemas.openxmlformats.org/officeDocument/2006/relationships/table" Target="../tables/table2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table" Target="../tables/table36.xml"/><Relationship Id="rId8" Type="http://schemas.openxmlformats.org/officeDocument/2006/relationships/table" Target="../tables/table35.xml"/><Relationship Id="rId7" Type="http://schemas.openxmlformats.org/officeDocument/2006/relationships/table" Target="../tables/table34.xml"/><Relationship Id="rId6" Type="http://schemas.openxmlformats.org/officeDocument/2006/relationships/table" Target="../tables/table33.xml"/><Relationship Id="rId5" Type="http://schemas.openxmlformats.org/officeDocument/2006/relationships/table" Target="../tables/table32.xml"/><Relationship Id="rId4" Type="http://schemas.openxmlformats.org/officeDocument/2006/relationships/table" Target="../tables/table31.xml"/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5" Type="http://schemas.openxmlformats.org/officeDocument/2006/relationships/table" Target="../tables/table42.xml"/><Relationship Id="rId14" Type="http://schemas.openxmlformats.org/officeDocument/2006/relationships/table" Target="../tables/table41.xml"/><Relationship Id="rId13" Type="http://schemas.openxmlformats.org/officeDocument/2006/relationships/table" Target="../tables/table40.xml"/><Relationship Id="rId12" Type="http://schemas.openxmlformats.org/officeDocument/2006/relationships/table" Target="../tables/table39.xml"/><Relationship Id="rId11" Type="http://schemas.openxmlformats.org/officeDocument/2006/relationships/table" Target="../tables/table38.xml"/><Relationship Id="rId10" Type="http://schemas.openxmlformats.org/officeDocument/2006/relationships/table" Target="../tables/table37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table" Target="../tables/table50.xml"/><Relationship Id="rId8" Type="http://schemas.openxmlformats.org/officeDocument/2006/relationships/table" Target="../tables/table49.xml"/><Relationship Id="rId7" Type="http://schemas.openxmlformats.org/officeDocument/2006/relationships/table" Target="../tables/table48.xml"/><Relationship Id="rId6" Type="http://schemas.openxmlformats.org/officeDocument/2006/relationships/table" Target="../tables/table47.xml"/><Relationship Id="rId5" Type="http://schemas.openxmlformats.org/officeDocument/2006/relationships/table" Target="../tables/table46.xml"/><Relationship Id="rId4" Type="http://schemas.openxmlformats.org/officeDocument/2006/relationships/table" Target="../tables/table45.xml"/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5" Type="http://schemas.openxmlformats.org/officeDocument/2006/relationships/table" Target="../tables/table56.xml"/><Relationship Id="rId14" Type="http://schemas.openxmlformats.org/officeDocument/2006/relationships/table" Target="../tables/table55.xml"/><Relationship Id="rId13" Type="http://schemas.openxmlformats.org/officeDocument/2006/relationships/table" Target="../tables/table54.xml"/><Relationship Id="rId12" Type="http://schemas.openxmlformats.org/officeDocument/2006/relationships/table" Target="../tables/table53.xml"/><Relationship Id="rId11" Type="http://schemas.openxmlformats.org/officeDocument/2006/relationships/table" Target="../tables/table52.xml"/><Relationship Id="rId10" Type="http://schemas.openxmlformats.org/officeDocument/2006/relationships/table" Target="../tables/table5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table" Target="../tables/table64.xml"/><Relationship Id="rId8" Type="http://schemas.openxmlformats.org/officeDocument/2006/relationships/table" Target="../tables/table63.xml"/><Relationship Id="rId7" Type="http://schemas.openxmlformats.org/officeDocument/2006/relationships/table" Target="../tables/table62.xml"/><Relationship Id="rId6" Type="http://schemas.openxmlformats.org/officeDocument/2006/relationships/table" Target="../tables/table61.xml"/><Relationship Id="rId5" Type="http://schemas.openxmlformats.org/officeDocument/2006/relationships/table" Target="../tables/table60.xml"/><Relationship Id="rId4" Type="http://schemas.openxmlformats.org/officeDocument/2006/relationships/table" Target="../tables/table59.xml"/><Relationship Id="rId3" Type="http://schemas.openxmlformats.org/officeDocument/2006/relationships/table" Target="../tables/table58.xml"/><Relationship Id="rId2" Type="http://schemas.openxmlformats.org/officeDocument/2006/relationships/table" Target="../tables/table57.xml"/><Relationship Id="rId15" Type="http://schemas.openxmlformats.org/officeDocument/2006/relationships/table" Target="../tables/table70.xml"/><Relationship Id="rId14" Type="http://schemas.openxmlformats.org/officeDocument/2006/relationships/table" Target="../tables/table69.xml"/><Relationship Id="rId13" Type="http://schemas.openxmlformats.org/officeDocument/2006/relationships/table" Target="../tables/table68.xml"/><Relationship Id="rId12" Type="http://schemas.openxmlformats.org/officeDocument/2006/relationships/table" Target="../tables/table67.xml"/><Relationship Id="rId11" Type="http://schemas.openxmlformats.org/officeDocument/2006/relationships/table" Target="../tables/table66.xml"/><Relationship Id="rId10" Type="http://schemas.openxmlformats.org/officeDocument/2006/relationships/table" Target="../tables/table6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table" Target="../tables/table78.xml"/><Relationship Id="rId8" Type="http://schemas.openxmlformats.org/officeDocument/2006/relationships/table" Target="../tables/table77.xml"/><Relationship Id="rId7" Type="http://schemas.openxmlformats.org/officeDocument/2006/relationships/table" Target="../tables/table76.xml"/><Relationship Id="rId6" Type="http://schemas.openxmlformats.org/officeDocument/2006/relationships/table" Target="../tables/table75.xml"/><Relationship Id="rId5" Type="http://schemas.openxmlformats.org/officeDocument/2006/relationships/table" Target="../tables/table74.xml"/><Relationship Id="rId4" Type="http://schemas.openxmlformats.org/officeDocument/2006/relationships/table" Target="../tables/table73.xml"/><Relationship Id="rId3" Type="http://schemas.openxmlformats.org/officeDocument/2006/relationships/table" Target="../tables/table72.xml"/><Relationship Id="rId2" Type="http://schemas.openxmlformats.org/officeDocument/2006/relationships/table" Target="../tables/table71.xml"/><Relationship Id="rId15" Type="http://schemas.openxmlformats.org/officeDocument/2006/relationships/table" Target="../tables/table84.xml"/><Relationship Id="rId14" Type="http://schemas.openxmlformats.org/officeDocument/2006/relationships/table" Target="../tables/table83.xml"/><Relationship Id="rId13" Type="http://schemas.openxmlformats.org/officeDocument/2006/relationships/table" Target="../tables/table82.xml"/><Relationship Id="rId12" Type="http://schemas.openxmlformats.org/officeDocument/2006/relationships/table" Target="../tables/table81.xml"/><Relationship Id="rId11" Type="http://schemas.openxmlformats.org/officeDocument/2006/relationships/table" Target="../tables/table80.xml"/><Relationship Id="rId10" Type="http://schemas.openxmlformats.org/officeDocument/2006/relationships/table" Target="../tables/table79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table" Target="../tables/table92.xml"/><Relationship Id="rId8" Type="http://schemas.openxmlformats.org/officeDocument/2006/relationships/table" Target="../tables/table91.xml"/><Relationship Id="rId7" Type="http://schemas.openxmlformats.org/officeDocument/2006/relationships/table" Target="../tables/table90.xml"/><Relationship Id="rId6" Type="http://schemas.openxmlformats.org/officeDocument/2006/relationships/table" Target="../tables/table89.xml"/><Relationship Id="rId5" Type="http://schemas.openxmlformats.org/officeDocument/2006/relationships/table" Target="../tables/table88.xml"/><Relationship Id="rId4" Type="http://schemas.openxmlformats.org/officeDocument/2006/relationships/table" Target="../tables/table87.xml"/><Relationship Id="rId3" Type="http://schemas.openxmlformats.org/officeDocument/2006/relationships/table" Target="../tables/table86.xml"/><Relationship Id="rId2" Type="http://schemas.openxmlformats.org/officeDocument/2006/relationships/table" Target="../tables/table85.xml"/><Relationship Id="rId15" Type="http://schemas.openxmlformats.org/officeDocument/2006/relationships/table" Target="../tables/table98.xml"/><Relationship Id="rId14" Type="http://schemas.openxmlformats.org/officeDocument/2006/relationships/table" Target="../tables/table97.xml"/><Relationship Id="rId13" Type="http://schemas.openxmlformats.org/officeDocument/2006/relationships/table" Target="../tables/table96.xml"/><Relationship Id="rId12" Type="http://schemas.openxmlformats.org/officeDocument/2006/relationships/table" Target="../tables/table95.xml"/><Relationship Id="rId11" Type="http://schemas.openxmlformats.org/officeDocument/2006/relationships/table" Target="../tables/table94.xml"/><Relationship Id="rId10" Type="http://schemas.openxmlformats.org/officeDocument/2006/relationships/table" Target="../tables/table93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9" Type="http://schemas.openxmlformats.org/officeDocument/2006/relationships/table" Target="../tables/table106.xml"/><Relationship Id="rId8" Type="http://schemas.openxmlformats.org/officeDocument/2006/relationships/table" Target="../tables/table105.xml"/><Relationship Id="rId7" Type="http://schemas.openxmlformats.org/officeDocument/2006/relationships/table" Target="../tables/table104.xml"/><Relationship Id="rId6" Type="http://schemas.openxmlformats.org/officeDocument/2006/relationships/table" Target="../tables/table103.xml"/><Relationship Id="rId5" Type="http://schemas.openxmlformats.org/officeDocument/2006/relationships/table" Target="../tables/table102.xml"/><Relationship Id="rId4" Type="http://schemas.openxmlformats.org/officeDocument/2006/relationships/table" Target="../tables/table101.xml"/><Relationship Id="rId3" Type="http://schemas.openxmlformats.org/officeDocument/2006/relationships/table" Target="../tables/table100.xml"/><Relationship Id="rId2" Type="http://schemas.openxmlformats.org/officeDocument/2006/relationships/table" Target="../tables/table99.xml"/><Relationship Id="rId15" Type="http://schemas.openxmlformats.org/officeDocument/2006/relationships/table" Target="../tables/table112.xml"/><Relationship Id="rId14" Type="http://schemas.openxmlformats.org/officeDocument/2006/relationships/table" Target="../tables/table111.xml"/><Relationship Id="rId13" Type="http://schemas.openxmlformats.org/officeDocument/2006/relationships/table" Target="../tables/table110.xml"/><Relationship Id="rId12" Type="http://schemas.openxmlformats.org/officeDocument/2006/relationships/table" Target="../tables/table109.xml"/><Relationship Id="rId11" Type="http://schemas.openxmlformats.org/officeDocument/2006/relationships/table" Target="../tables/table108.xml"/><Relationship Id="rId10" Type="http://schemas.openxmlformats.org/officeDocument/2006/relationships/table" Target="../tables/table107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9" Type="http://schemas.openxmlformats.org/officeDocument/2006/relationships/table" Target="../tables/table120.xml"/><Relationship Id="rId8" Type="http://schemas.openxmlformats.org/officeDocument/2006/relationships/table" Target="../tables/table119.xml"/><Relationship Id="rId7" Type="http://schemas.openxmlformats.org/officeDocument/2006/relationships/table" Target="../tables/table118.xml"/><Relationship Id="rId6" Type="http://schemas.openxmlformats.org/officeDocument/2006/relationships/table" Target="../tables/table117.xml"/><Relationship Id="rId5" Type="http://schemas.openxmlformats.org/officeDocument/2006/relationships/table" Target="../tables/table116.xml"/><Relationship Id="rId4" Type="http://schemas.openxmlformats.org/officeDocument/2006/relationships/table" Target="../tables/table115.xml"/><Relationship Id="rId3" Type="http://schemas.openxmlformats.org/officeDocument/2006/relationships/table" Target="../tables/table114.xml"/><Relationship Id="rId2" Type="http://schemas.openxmlformats.org/officeDocument/2006/relationships/table" Target="../tables/table113.xml"/><Relationship Id="rId15" Type="http://schemas.openxmlformats.org/officeDocument/2006/relationships/table" Target="../tables/table126.xml"/><Relationship Id="rId14" Type="http://schemas.openxmlformats.org/officeDocument/2006/relationships/table" Target="../tables/table125.xml"/><Relationship Id="rId13" Type="http://schemas.openxmlformats.org/officeDocument/2006/relationships/table" Target="../tables/table124.xml"/><Relationship Id="rId12" Type="http://schemas.openxmlformats.org/officeDocument/2006/relationships/table" Target="../tables/table123.xml"/><Relationship Id="rId11" Type="http://schemas.openxmlformats.org/officeDocument/2006/relationships/table" Target="../tables/table122.xml"/><Relationship Id="rId10" Type="http://schemas.openxmlformats.org/officeDocument/2006/relationships/table" Target="../tables/table121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table" Target="../tables/table134.xml"/><Relationship Id="rId8" Type="http://schemas.openxmlformats.org/officeDocument/2006/relationships/table" Target="../tables/table133.xml"/><Relationship Id="rId7" Type="http://schemas.openxmlformats.org/officeDocument/2006/relationships/table" Target="../tables/table132.xml"/><Relationship Id="rId6" Type="http://schemas.openxmlformats.org/officeDocument/2006/relationships/table" Target="../tables/table131.xml"/><Relationship Id="rId5" Type="http://schemas.openxmlformats.org/officeDocument/2006/relationships/table" Target="../tables/table130.xml"/><Relationship Id="rId4" Type="http://schemas.openxmlformats.org/officeDocument/2006/relationships/table" Target="../tables/table129.xml"/><Relationship Id="rId3" Type="http://schemas.openxmlformats.org/officeDocument/2006/relationships/table" Target="../tables/table128.xml"/><Relationship Id="rId2" Type="http://schemas.openxmlformats.org/officeDocument/2006/relationships/table" Target="../tables/table127.xml"/><Relationship Id="rId15" Type="http://schemas.openxmlformats.org/officeDocument/2006/relationships/table" Target="../tables/table140.xml"/><Relationship Id="rId14" Type="http://schemas.openxmlformats.org/officeDocument/2006/relationships/table" Target="../tables/table139.xml"/><Relationship Id="rId13" Type="http://schemas.openxmlformats.org/officeDocument/2006/relationships/table" Target="../tables/table138.xml"/><Relationship Id="rId12" Type="http://schemas.openxmlformats.org/officeDocument/2006/relationships/table" Target="../tables/table137.xml"/><Relationship Id="rId11" Type="http://schemas.openxmlformats.org/officeDocument/2006/relationships/table" Target="../tables/table136.xml"/><Relationship Id="rId10" Type="http://schemas.openxmlformats.org/officeDocument/2006/relationships/table" Target="../tables/table135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9" Type="http://schemas.openxmlformats.org/officeDocument/2006/relationships/table" Target="../tables/table148.xml"/><Relationship Id="rId8" Type="http://schemas.openxmlformats.org/officeDocument/2006/relationships/table" Target="../tables/table147.xml"/><Relationship Id="rId7" Type="http://schemas.openxmlformats.org/officeDocument/2006/relationships/table" Target="../tables/table146.xml"/><Relationship Id="rId6" Type="http://schemas.openxmlformats.org/officeDocument/2006/relationships/table" Target="../tables/table145.xml"/><Relationship Id="rId5" Type="http://schemas.openxmlformats.org/officeDocument/2006/relationships/table" Target="../tables/table144.xml"/><Relationship Id="rId4" Type="http://schemas.openxmlformats.org/officeDocument/2006/relationships/table" Target="../tables/table143.xml"/><Relationship Id="rId3" Type="http://schemas.openxmlformats.org/officeDocument/2006/relationships/table" Target="../tables/table142.xml"/><Relationship Id="rId2" Type="http://schemas.openxmlformats.org/officeDocument/2006/relationships/table" Target="../tables/table141.xml"/><Relationship Id="rId15" Type="http://schemas.openxmlformats.org/officeDocument/2006/relationships/table" Target="../tables/table154.xml"/><Relationship Id="rId14" Type="http://schemas.openxmlformats.org/officeDocument/2006/relationships/table" Target="../tables/table153.xml"/><Relationship Id="rId13" Type="http://schemas.openxmlformats.org/officeDocument/2006/relationships/table" Target="../tables/table152.xml"/><Relationship Id="rId12" Type="http://schemas.openxmlformats.org/officeDocument/2006/relationships/table" Target="../tables/table151.xml"/><Relationship Id="rId11" Type="http://schemas.openxmlformats.org/officeDocument/2006/relationships/table" Target="../tables/table150.xml"/><Relationship Id="rId10" Type="http://schemas.openxmlformats.org/officeDocument/2006/relationships/table" Target="../tables/table149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7" Type="http://schemas.openxmlformats.org/officeDocument/2006/relationships/table" Target="../tables/table160.xml"/><Relationship Id="rId6" Type="http://schemas.openxmlformats.org/officeDocument/2006/relationships/table" Target="../tables/table159.xml"/><Relationship Id="rId5" Type="http://schemas.openxmlformats.org/officeDocument/2006/relationships/table" Target="../tables/table158.xml"/><Relationship Id="rId4" Type="http://schemas.openxmlformats.org/officeDocument/2006/relationships/table" Target="../tables/table157.xml"/><Relationship Id="rId3" Type="http://schemas.openxmlformats.org/officeDocument/2006/relationships/table" Target="../tables/table156.xml"/><Relationship Id="rId2" Type="http://schemas.openxmlformats.org/officeDocument/2006/relationships/table" Target="../tables/table15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9:T41"/>
  <sheetViews>
    <sheetView showGridLines="0" topLeftCell="I1" workbookViewId="0">
      <selection activeCell="O12" sqref="O12:T13"/>
    </sheetView>
  </sheetViews>
  <sheetFormatPr defaultColWidth="8.45" defaultRowHeight="16.5"/>
  <cols>
    <col min="1" max="10" width="8.45" style="53"/>
    <col min="11" max="11" width="9.875" style="53" customWidth="1"/>
    <col min="12" max="17" width="8.45" style="53"/>
    <col min="18" max="18" width="8.45" style="53" customWidth="1"/>
    <col min="19" max="19" width="8.45" style="53"/>
    <col min="20" max="20" width="15.8583333333333" style="53" customWidth="1"/>
    <col min="21" max="16384" width="8.45" style="53"/>
  </cols>
  <sheetData>
    <row r="9" ht="17.25"/>
    <row r="10" ht="14.45" customHeight="1" spans="2:20">
      <c r="B10" s="351" t="s">
        <v>0</v>
      </c>
      <c r="C10" s="379"/>
      <c r="D10" s="379"/>
      <c r="E10" s="379"/>
      <c r="F10" s="379"/>
      <c r="G10" s="379"/>
      <c r="H10" s="352"/>
      <c r="J10" s="351" t="s">
        <v>1</v>
      </c>
      <c r="K10" s="379"/>
      <c r="L10" s="379"/>
      <c r="M10" s="379"/>
      <c r="N10" s="379"/>
      <c r="O10" s="379"/>
      <c r="P10" s="379"/>
      <c r="Q10" s="379"/>
      <c r="R10" s="379"/>
      <c r="S10" s="379"/>
      <c r="T10" s="352"/>
    </row>
    <row r="11" ht="15" customHeight="1" spans="2:20">
      <c r="B11" s="356"/>
      <c r="C11" s="380"/>
      <c r="D11" s="380"/>
      <c r="E11" s="380"/>
      <c r="F11" s="380"/>
      <c r="G11" s="380"/>
      <c r="H11" s="357"/>
      <c r="J11" s="360"/>
      <c r="K11" s="381"/>
      <c r="L11" s="381"/>
      <c r="M11" s="381"/>
      <c r="N11" s="381"/>
      <c r="O11" s="381"/>
      <c r="P11" s="381"/>
      <c r="Q11" s="381"/>
      <c r="R11" s="381"/>
      <c r="S11" s="381"/>
      <c r="T11" s="361"/>
    </row>
    <row r="12" spans="2:20">
      <c r="B12" s="419"/>
      <c r="H12" s="636"/>
      <c r="J12" s="649" t="s">
        <v>2</v>
      </c>
      <c r="K12" s="650"/>
      <c r="L12" s="650"/>
      <c r="M12" s="650"/>
      <c r="N12" s="651"/>
      <c r="O12" s="652">
        <v>458000</v>
      </c>
      <c r="P12" s="653"/>
      <c r="Q12" s="653"/>
      <c r="R12" s="653"/>
      <c r="S12" s="653"/>
      <c r="T12" s="669"/>
    </row>
    <row r="13" ht="14.45" customHeight="1" spans="2:20">
      <c r="B13" s="419"/>
      <c r="D13" s="644">
        <v>234312</v>
      </c>
      <c r="E13" s="644"/>
      <c r="F13" s="644"/>
      <c r="G13" s="644"/>
      <c r="H13" s="636"/>
      <c r="J13" s="654"/>
      <c r="K13" s="655"/>
      <c r="L13" s="655"/>
      <c r="M13" s="655"/>
      <c r="N13" s="656"/>
      <c r="O13" s="657"/>
      <c r="P13" s="658"/>
      <c r="Q13" s="658"/>
      <c r="R13" s="658"/>
      <c r="S13" s="658"/>
      <c r="T13" s="670"/>
    </row>
    <row r="14" ht="15" customHeight="1" spans="2:8">
      <c r="B14" s="419"/>
      <c r="D14" s="644"/>
      <c r="E14" s="644"/>
      <c r="F14" s="644"/>
      <c r="G14" s="644"/>
      <c r="H14" s="636"/>
    </row>
    <row r="15" spans="2:20">
      <c r="B15" s="419"/>
      <c r="D15" s="644"/>
      <c r="E15" s="644"/>
      <c r="F15" s="644"/>
      <c r="G15" s="644"/>
      <c r="H15" s="636"/>
      <c r="J15" s="610" t="s">
        <v>3</v>
      </c>
      <c r="K15" s="611"/>
      <c r="L15" s="611"/>
      <c r="M15" s="611"/>
      <c r="N15" s="611"/>
      <c r="O15" s="611"/>
      <c r="P15" s="611"/>
      <c r="Q15" s="611"/>
      <c r="R15" s="611"/>
      <c r="S15" s="611"/>
      <c r="T15" s="612"/>
    </row>
    <row r="16" spans="2:20">
      <c r="B16" s="419"/>
      <c r="H16" s="636"/>
      <c r="J16" s="613"/>
      <c r="K16" s="614"/>
      <c r="L16" s="614"/>
      <c r="M16" s="614"/>
      <c r="N16" s="614"/>
      <c r="O16" s="614"/>
      <c r="P16" s="614"/>
      <c r="Q16" s="614"/>
      <c r="R16" s="614"/>
      <c r="S16" s="614"/>
      <c r="T16" s="615"/>
    </row>
    <row r="17" ht="14.45" customHeight="1" spans="2:20">
      <c r="B17" s="419"/>
      <c r="H17" s="636"/>
      <c r="J17" s="659" t="s">
        <v>4</v>
      </c>
      <c r="K17" s="14" t="s">
        <v>5</v>
      </c>
      <c r="L17" s="14"/>
      <c r="M17" s="14" t="s">
        <v>6</v>
      </c>
      <c r="N17" s="14"/>
      <c r="O17" s="14" t="s">
        <v>7</v>
      </c>
      <c r="P17" s="14"/>
      <c r="Q17" s="14" t="s">
        <v>8</v>
      </c>
      <c r="R17" s="14"/>
      <c r="S17" s="14"/>
      <c r="T17" s="671"/>
    </row>
    <row r="18" ht="15" customHeight="1" spans="2:20">
      <c r="B18" s="419"/>
      <c r="H18" s="636"/>
      <c r="J18" s="660">
        <v>1</v>
      </c>
      <c r="K18" s="661"/>
      <c r="L18" s="661"/>
      <c r="M18" s="662"/>
      <c r="N18" s="662"/>
      <c r="O18" s="662"/>
      <c r="P18" s="662"/>
      <c r="Q18" s="662"/>
      <c r="R18" s="662"/>
      <c r="S18" s="662"/>
      <c r="T18" s="672"/>
    </row>
    <row r="19" spans="2:20">
      <c r="B19" s="419"/>
      <c r="D19" s="645">
        <v>462958</v>
      </c>
      <c r="E19" s="645"/>
      <c r="F19" s="645"/>
      <c r="G19" s="645"/>
      <c r="H19" s="636"/>
      <c r="J19" s="660"/>
      <c r="K19" s="661"/>
      <c r="L19" s="661"/>
      <c r="M19" s="662"/>
      <c r="N19" s="662"/>
      <c r="O19" s="662"/>
      <c r="P19" s="662"/>
      <c r="Q19" s="662"/>
      <c r="R19" s="662"/>
      <c r="S19" s="662"/>
      <c r="T19" s="672"/>
    </row>
    <row r="20" spans="2:20">
      <c r="B20" s="419"/>
      <c r="D20" s="645"/>
      <c r="E20" s="645"/>
      <c r="F20" s="645"/>
      <c r="G20" s="645"/>
      <c r="H20" s="636"/>
      <c r="J20" s="660">
        <v>2</v>
      </c>
      <c r="K20" s="661"/>
      <c r="L20" s="661"/>
      <c r="M20" s="662"/>
      <c r="N20" s="662"/>
      <c r="O20" s="662"/>
      <c r="P20" s="662"/>
      <c r="Q20" s="662"/>
      <c r="R20" s="662"/>
      <c r="S20" s="662"/>
      <c r="T20" s="672"/>
    </row>
    <row r="21" spans="2:20">
      <c r="B21" s="419"/>
      <c r="D21" s="645"/>
      <c r="E21" s="645"/>
      <c r="F21" s="645"/>
      <c r="G21" s="645"/>
      <c r="H21" s="636"/>
      <c r="J21" s="660"/>
      <c r="K21" s="661"/>
      <c r="L21" s="661"/>
      <c r="M21" s="662"/>
      <c r="N21" s="662"/>
      <c r="O21" s="662"/>
      <c r="P21" s="662"/>
      <c r="Q21" s="662"/>
      <c r="R21" s="662"/>
      <c r="S21" s="662"/>
      <c r="T21" s="672"/>
    </row>
    <row r="22" spans="2:20">
      <c r="B22" s="419"/>
      <c r="H22" s="636"/>
      <c r="J22" s="660">
        <v>3</v>
      </c>
      <c r="K22" s="661"/>
      <c r="L22" s="661"/>
      <c r="M22" s="662"/>
      <c r="N22" s="662"/>
      <c r="O22" s="662"/>
      <c r="P22" s="662"/>
      <c r="Q22" s="662"/>
      <c r="R22" s="662"/>
      <c r="S22" s="662"/>
      <c r="T22" s="672"/>
    </row>
    <row r="23" spans="2:20">
      <c r="B23" s="419"/>
      <c r="H23" s="636"/>
      <c r="J23" s="660"/>
      <c r="K23" s="661"/>
      <c r="L23" s="661"/>
      <c r="M23" s="662"/>
      <c r="N23" s="662"/>
      <c r="O23" s="662"/>
      <c r="P23" s="662"/>
      <c r="Q23" s="662"/>
      <c r="R23" s="662"/>
      <c r="S23" s="662"/>
      <c r="T23" s="672"/>
    </row>
    <row r="24" spans="2:20">
      <c r="B24" s="419"/>
      <c r="H24" s="636"/>
      <c r="J24" s="660">
        <v>4</v>
      </c>
      <c r="K24" s="661"/>
      <c r="L24" s="661"/>
      <c r="M24" s="662"/>
      <c r="N24" s="662"/>
      <c r="O24" s="662"/>
      <c r="P24" s="662"/>
      <c r="Q24" s="662"/>
      <c r="R24" s="662"/>
      <c r="S24" s="662"/>
      <c r="T24" s="672"/>
    </row>
    <row r="25" spans="2:20">
      <c r="B25" s="419"/>
      <c r="D25" s="646">
        <v>126750</v>
      </c>
      <c r="E25" s="646"/>
      <c r="F25" s="646"/>
      <c r="G25" s="646"/>
      <c r="H25" s="636"/>
      <c r="J25" s="660"/>
      <c r="K25" s="661"/>
      <c r="L25" s="661"/>
      <c r="M25" s="662"/>
      <c r="N25" s="662"/>
      <c r="O25" s="662"/>
      <c r="P25" s="662"/>
      <c r="Q25" s="662"/>
      <c r="R25" s="662"/>
      <c r="S25" s="662"/>
      <c r="T25" s="672"/>
    </row>
    <row r="26" spans="2:20">
      <c r="B26" s="419"/>
      <c r="D26" s="646"/>
      <c r="E26" s="646"/>
      <c r="F26" s="646"/>
      <c r="G26" s="646"/>
      <c r="H26" s="636"/>
      <c r="J26" s="660">
        <v>5</v>
      </c>
      <c r="K26" s="661"/>
      <c r="L26" s="661"/>
      <c r="M26" s="662"/>
      <c r="N26" s="662"/>
      <c r="O26" s="662"/>
      <c r="P26" s="662"/>
      <c r="Q26" s="662"/>
      <c r="R26" s="662"/>
      <c r="S26" s="662"/>
      <c r="T26" s="672"/>
    </row>
    <row r="27" ht="17.25" spans="2:20">
      <c r="B27" s="419"/>
      <c r="D27" s="646"/>
      <c r="E27" s="646"/>
      <c r="F27" s="646"/>
      <c r="G27" s="646"/>
      <c r="H27" s="636"/>
      <c r="J27" s="663"/>
      <c r="K27" s="664"/>
      <c r="L27" s="664"/>
      <c r="M27" s="665"/>
      <c r="N27" s="665"/>
      <c r="O27" s="665"/>
      <c r="P27" s="665"/>
      <c r="Q27" s="665"/>
      <c r="R27" s="665"/>
      <c r="S27" s="665"/>
      <c r="T27" s="673"/>
    </row>
    <row r="28" spans="2:8">
      <c r="B28" s="419"/>
      <c r="H28" s="636"/>
    </row>
    <row r="29" ht="15.95" customHeight="1" spans="2:12">
      <c r="B29" s="419"/>
      <c r="H29" s="636"/>
      <c r="J29" s="666" t="s">
        <v>9</v>
      </c>
      <c r="K29" s="667">
        <v>45767</v>
      </c>
      <c r="L29" s="668"/>
    </row>
    <row r="30" ht="14.1" customHeight="1" spans="2:8">
      <c r="B30" s="419"/>
      <c r="H30" s="636"/>
    </row>
    <row r="31" spans="2:8">
      <c r="B31" s="419"/>
      <c r="D31" s="647">
        <v>63406</v>
      </c>
      <c r="E31" s="647"/>
      <c r="F31" s="647"/>
      <c r="G31" s="647"/>
      <c r="H31" s="636"/>
    </row>
    <row r="32" spans="2:8">
      <c r="B32" s="419"/>
      <c r="D32" s="647"/>
      <c r="E32" s="647"/>
      <c r="F32" s="647"/>
      <c r="G32" s="647"/>
      <c r="H32" s="636"/>
    </row>
    <row r="33" spans="2:8">
      <c r="B33" s="419"/>
      <c r="D33" s="647"/>
      <c r="E33" s="647"/>
      <c r="F33" s="647"/>
      <c r="G33" s="647"/>
      <c r="H33" s="636"/>
    </row>
    <row r="34" spans="2:8">
      <c r="B34" s="419"/>
      <c r="H34" s="636"/>
    </row>
    <row r="35" spans="2:8">
      <c r="B35" s="419"/>
      <c r="H35" s="636"/>
    </row>
    <row r="36" spans="2:8">
      <c r="B36" s="419"/>
      <c r="H36" s="636"/>
    </row>
    <row r="37" spans="2:8">
      <c r="B37" s="419"/>
      <c r="D37" s="648">
        <v>148960</v>
      </c>
      <c r="E37" s="648"/>
      <c r="F37" s="648"/>
      <c r="G37" s="648"/>
      <c r="H37" s="636"/>
    </row>
    <row r="38" spans="2:8">
      <c r="B38" s="419"/>
      <c r="D38" s="648"/>
      <c r="E38" s="648"/>
      <c r="F38" s="648"/>
      <c r="G38" s="648"/>
      <c r="H38" s="636"/>
    </row>
    <row r="39" spans="2:8">
      <c r="B39" s="419"/>
      <c r="D39" s="648"/>
      <c r="E39" s="648"/>
      <c r="F39" s="648"/>
      <c r="G39" s="648"/>
      <c r="H39" s="636"/>
    </row>
    <row r="40" spans="2:8">
      <c r="B40" s="419"/>
      <c r="H40" s="636"/>
    </row>
    <row r="41" ht="17.25" spans="2:8">
      <c r="B41" s="566"/>
      <c r="C41" s="567"/>
      <c r="D41" s="567"/>
      <c r="E41" s="567"/>
      <c r="F41" s="567"/>
      <c r="G41" s="567"/>
      <c r="H41" s="639"/>
    </row>
  </sheetData>
  <sheetProtection algorithmName="SHA-512" hashValue="ay6T//yI+xW578alc/SAD3/Gcmo2W9pG/qKFzfnSoYBCaios3fZC/eoT188y7wBBJyZVhE5VO8sBRTdV1/EI+g==" saltValue="CnaPeznFVt7ErxdP7ZYbpQ==" spinCount="100000" sheet="1" selectLockedCells="1" objects="1" scenarios="1"/>
  <mergeCells count="39">
    <mergeCell ref="K17:L17"/>
    <mergeCell ref="M17:N17"/>
    <mergeCell ref="O17:P17"/>
    <mergeCell ref="Q17:T17"/>
    <mergeCell ref="J18:J19"/>
    <mergeCell ref="J20:J21"/>
    <mergeCell ref="J22:J23"/>
    <mergeCell ref="J24:J25"/>
    <mergeCell ref="J26:J27"/>
    <mergeCell ref="B10:H11"/>
    <mergeCell ref="Q18:T19"/>
    <mergeCell ref="D13:G15"/>
    <mergeCell ref="D25:G27"/>
    <mergeCell ref="D37:G39"/>
    <mergeCell ref="D19:G21"/>
    <mergeCell ref="D31:G33"/>
    <mergeCell ref="J10:T11"/>
    <mergeCell ref="J12:N13"/>
    <mergeCell ref="O12:T13"/>
    <mergeCell ref="K18:L19"/>
    <mergeCell ref="M18:N19"/>
    <mergeCell ref="O18:P19"/>
    <mergeCell ref="J15:T16"/>
    <mergeCell ref="K20:L21"/>
    <mergeCell ref="M20:N21"/>
    <mergeCell ref="O20:P21"/>
    <mergeCell ref="Q20:T21"/>
    <mergeCell ref="K22:L23"/>
    <mergeCell ref="M22:N23"/>
    <mergeCell ref="O22:P23"/>
    <mergeCell ref="Q22:T23"/>
    <mergeCell ref="K26:L27"/>
    <mergeCell ref="M26:N27"/>
    <mergeCell ref="O26:P27"/>
    <mergeCell ref="Q26:T27"/>
    <mergeCell ref="K24:L25"/>
    <mergeCell ref="M24:N25"/>
    <mergeCell ref="O24:P25"/>
    <mergeCell ref="Q24:T25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24:AC447"/>
  <sheetViews>
    <sheetView showGridLines="0" zoomScale="67" zoomScaleNormal="67" topLeftCell="Q402" workbookViewId="0">
      <selection activeCell="S433" sqref="S433:U433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10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13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 t="s">
        <v>23</v>
      </c>
      <c r="C28" s="312">
        <v>17000</v>
      </c>
      <c r="D28" s="313"/>
      <c r="E28" s="26"/>
      <c r="F28" s="312">
        <v>15075</v>
      </c>
      <c r="G28" s="311" t="s">
        <v>24</v>
      </c>
      <c r="H28" s="314" t="str">
        <f>IFERROR(IF(TRANSHARI1_PULSAPAGI[[#This Row],[NAMA REKENING]]="","",TRANSHARI1_PULSAPAGI[[#This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 t="s">
        <v>25</v>
      </c>
      <c r="R28" s="312">
        <v>27000</v>
      </c>
      <c r="S28" s="313"/>
      <c r="T28" s="26"/>
      <c r="U28" s="312">
        <v>25238</v>
      </c>
      <c r="V28" s="311" t="s">
        <v>24</v>
      </c>
      <c r="W28" s="314" t="str">
        <f>IFERROR(IF(TRANSHARI1_PULSAMALAM[[#This Row],[NAMA REKENING]]="","",TRANSHARI1_PULSAMALAM[[#This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 t="s">
        <v>26</v>
      </c>
      <c r="C29" s="312">
        <v>102500</v>
      </c>
      <c r="D29" s="313"/>
      <c r="E29" s="26"/>
      <c r="F29" s="312">
        <v>100470</v>
      </c>
      <c r="G29" s="311" t="s">
        <v>24</v>
      </c>
      <c r="H29" s="315" t="str">
        <f>IFERROR(IF(TRANSHARI1_PULSAPAGI[[#This Row],[NAMA REKENING]]="","",TRANSHARI1_PULSAPAGI[[#This Row],[DEBIT]]),"")</f>
        <v/>
      </c>
      <c r="I29" s="311"/>
      <c r="J29" s="326"/>
      <c r="K29" s="330" t="s">
        <v>27</v>
      </c>
      <c r="L29" s="331">
        <f>INITIAL!D13</f>
        <v>234312</v>
      </c>
      <c r="O29" s="324"/>
      <c r="P29" s="329">
        <v>2</v>
      </c>
      <c r="Q29" s="311" t="s">
        <v>28</v>
      </c>
      <c r="R29" s="312">
        <v>17000</v>
      </c>
      <c r="S29" s="313"/>
      <c r="T29" s="26"/>
      <c r="U29" s="312">
        <v>15053</v>
      </c>
      <c r="V29" s="311" t="s">
        <v>24</v>
      </c>
      <c r="W29" s="315" t="str">
        <f>IFERROR(IF(TRANSHARI1_PULSAMALAM[[#This Row],[NAMA REKENING]]="","",TRANSHARI1_PULSAMALAM[[#This Row],[DEBIT]]),"")</f>
        <v/>
      </c>
      <c r="X29" s="311"/>
      <c r="Y29" s="326"/>
      <c r="Z29" s="330" t="s">
        <v>27</v>
      </c>
      <c r="AA29" s="331">
        <f>L33</f>
        <v>991276</v>
      </c>
    </row>
    <row r="30" ht="18" spans="1:27">
      <c r="A30" s="311">
        <v>3</v>
      </c>
      <c r="B30" s="311" t="s">
        <v>29</v>
      </c>
      <c r="C30" s="312">
        <v>12000</v>
      </c>
      <c r="D30" s="313"/>
      <c r="E30" s="26"/>
      <c r="F30" s="312">
        <v>10188</v>
      </c>
      <c r="G30" s="311" t="s">
        <v>24</v>
      </c>
      <c r="H30" s="314" t="str">
        <f>IFERROR(IF(TRANSHARI1_PULSAPAGI[[#This Row],[NAMA REKENING]]="","",TRANSHARI1_PULSAPAGI[[#This Row],[DEBIT]]),"")</f>
        <v/>
      </c>
      <c r="I30" s="311"/>
      <c r="J30" s="326"/>
      <c r="K30" s="332" t="s">
        <v>30</v>
      </c>
      <c r="L30" s="333">
        <f>SUMIF(TRANSHARI1_PULSAPAGI[APLIKASI],K28,TRANSHARI1_PULSAPAGI[SALDO MINUS])</f>
        <v>243168</v>
      </c>
      <c r="O30" s="324"/>
      <c r="P30" s="329">
        <v>3</v>
      </c>
      <c r="Q30" s="311" t="s">
        <v>31</v>
      </c>
      <c r="R30" s="312">
        <v>52500</v>
      </c>
      <c r="S30" s="313"/>
      <c r="T30" s="26"/>
      <c r="U30" s="312">
        <v>50680</v>
      </c>
      <c r="V30" s="311" t="s">
        <v>24</v>
      </c>
      <c r="W30" s="314" t="str">
        <f>IFERROR(IF(TRANSHARI1_PULSAMALAM[[#This Row],[NAMA REKENING]]="","",TRANSHARI1_PULSAMALAM[[#This Row],[DEBIT]]),"")</f>
        <v/>
      </c>
      <c r="X30" s="311"/>
      <c r="Y30" s="326"/>
      <c r="Z30" s="332" t="s">
        <v>30</v>
      </c>
      <c r="AA30" s="333">
        <f>SUMIF(TRANSHARI1_PULSAMALAM[APLIKASI],Z28,TRANSHARI1_PULSAMALAM[SALDO MINUS])</f>
        <v>282704</v>
      </c>
    </row>
    <row r="31" ht="18" spans="1:27">
      <c r="A31" s="311">
        <v>4</v>
      </c>
      <c r="B31" s="311" t="s">
        <v>32</v>
      </c>
      <c r="C31" s="312">
        <v>32000</v>
      </c>
      <c r="D31" s="313"/>
      <c r="E31" s="26"/>
      <c r="F31" s="312">
        <v>29625</v>
      </c>
      <c r="G31" s="311" t="s">
        <v>24</v>
      </c>
      <c r="H31" s="315" t="str">
        <f>IFERROR(IF(TRANSHARI1_PULSAPAGI[[#This Row],[NAMA REKENING]]="","",TRANSHARI1_PULSAPAGI[[#This Row],[DEBIT]]),"")</f>
        <v/>
      </c>
      <c r="I31" s="311"/>
      <c r="J31" s="326"/>
      <c r="K31" s="334" t="s">
        <v>33</v>
      </c>
      <c r="L31" s="335">
        <v>1000132</v>
      </c>
      <c r="O31" s="324"/>
      <c r="P31" s="329">
        <v>4</v>
      </c>
      <c r="Q31" s="311" t="s">
        <v>34</v>
      </c>
      <c r="R31" s="312">
        <v>20000</v>
      </c>
      <c r="S31" s="313"/>
      <c r="T31" s="26"/>
      <c r="U31" s="312">
        <v>14499</v>
      </c>
      <c r="V31" s="311" t="s">
        <v>35</v>
      </c>
      <c r="W31" s="315" t="str">
        <f>IFERROR(IF(TRANSHARI1_PULSAMALAM[[#This Row],[NAMA REKENING]]="","",TRANSHARI1_PULSAMALAM[[#This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 t="s">
        <v>36</v>
      </c>
      <c r="C32" s="312">
        <v>32000</v>
      </c>
      <c r="D32" s="313"/>
      <c r="E32" s="26"/>
      <c r="F32" s="312">
        <v>30603</v>
      </c>
      <c r="G32" s="311" t="s">
        <v>24</v>
      </c>
      <c r="H32" s="314" t="str">
        <f>IFERROR(IF(TRANSHARI1_PULSAPAGI[[#This Row],[NAMA REKENING]]="","",TRANSHARI1_PULSAPAGI[[#This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 t="s">
        <v>34</v>
      </c>
      <c r="R32" s="312">
        <v>7000</v>
      </c>
      <c r="S32" s="313"/>
      <c r="T32" s="26"/>
      <c r="U32" s="312">
        <v>5240</v>
      </c>
      <c r="V32" s="311" t="s">
        <v>24</v>
      </c>
      <c r="W32" s="314" t="str">
        <f>IFERROR(IF(TRANSHARI1_PULSAMALAM[[#This Row],[NAMA REKENING]]="","",TRANSHARI1_PULSAMALAM[[#This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 t="s">
        <v>38</v>
      </c>
      <c r="C33" s="312">
        <v>37000</v>
      </c>
      <c r="D33" s="313"/>
      <c r="E33" s="26"/>
      <c r="F33" s="312">
        <v>35339</v>
      </c>
      <c r="G33" s="311" t="s">
        <v>24</v>
      </c>
      <c r="H33" s="315" t="str">
        <f>IFERROR(IF(TRANSHARI1_PULSAPAGI[[#This Row],[NAMA REKENING]]="","",TRANSHARI1_PULSAPAGI[[#This Row],[DEBIT]]),"")</f>
        <v/>
      </c>
      <c r="I33" s="311"/>
      <c r="J33" s="326"/>
      <c r="K33" s="336" t="s">
        <v>39</v>
      </c>
      <c r="L33" s="337">
        <f>L29-L30+L31+L32</f>
        <v>991276</v>
      </c>
      <c r="O33" s="324"/>
      <c r="P33" s="329">
        <v>6</v>
      </c>
      <c r="Q33" s="311" t="s">
        <v>40</v>
      </c>
      <c r="R33" s="312">
        <v>52500</v>
      </c>
      <c r="S33" s="313"/>
      <c r="T33" s="26"/>
      <c r="U33" s="312">
        <v>50680</v>
      </c>
      <c r="V33" s="311" t="s">
        <v>24</v>
      </c>
      <c r="W33" s="315" t="str">
        <f>IFERROR(IF(TRANSHARI1_PULSAMALAM[[#This Row],[NAMA REKENING]]="","",TRANSHARI1_PULSAMALAM[[#This Row],[DEBIT]]),"")</f>
        <v/>
      </c>
      <c r="X33" s="311"/>
      <c r="Y33" s="326"/>
      <c r="Z33" s="336" t="s">
        <v>39</v>
      </c>
      <c r="AA33" s="337">
        <f>AA29-AA30+AA31+AA32</f>
        <v>708572</v>
      </c>
    </row>
    <row r="34" ht="18.75" spans="1:27">
      <c r="A34" s="311">
        <v>7</v>
      </c>
      <c r="B34" s="311" t="s">
        <v>41</v>
      </c>
      <c r="C34" s="312">
        <v>12000</v>
      </c>
      <c r="D34" s="313"/>
      <c r="E34" s="26"/>
      <c r="F34" s="312">
        <v>10188</v>
      </c>
      <c r="G34" s="311" t="s">
        <v>24</v>
      </c>
      <c r="H34" s="314" t="str">
        <f>IFERROR(IF(TRANSHARI1_PULSAPAGI[[#This Row],[NAMA REKENING]]="","",TRANSHARI1_PULSAPAGI[[#This Row],[DEBIT]]),"")</f>
        <v/>
      </c>
      <c r="I34" s="311"/>
      <c r="J34" s="326"/>
      <c r="K34" s="1"/>
      <c r="L34" s="1"/>
      <c r="O34" s="324"/>
      <c r="P34" s="329">
        <v>7</v>
      </c>
      <c r="Q34" s="311" t="s">
        <v>42</v>
      </c>
      <c r="R34" s="312">
        <v>7000</v>
      </c>
      <c r="S34" s="313"/>
      <c r="T34" s="26"/>
      <c r="U34" s="312">
        <v>5240</v>
      </c>
      <c r="V34" s="311" t="s">
        <v>24</v>
      </c>
      <c r="W34" s="314" t="str">
        <f>IFERROR(IF(TRANSHARI1_PULSAMALAM[[#This Row],[NAMA REKENING]]="","",TRANSHARI1_PULSAMALAM[[#This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 t="s">
        <v>43</v>
      </c>
      <c r="C35" s="312">
        <v>17000</v>
      </c>
      <c r="D35" s="313"/>
      <c r="E35" s="26"/>
      <c r="F35" s="312">
        <v>13498</v>
      </c>
      <c r="G35" s="311" t="s">
        <v>35</v>
      </c>
      <c r="H35" s="315" t="str">
        <f>IFERROR(IF(TRANSHARI1_PULSAPAGI[[#This Row],[NAMA REKENING]]="","",TRANSHARI1_PULSAPAGI[[#This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 t="s">
        <v>44</v>
      </c>
      <c r="R35" s="312">
        <v>7000</v>
      </c>
      <c r="S35" s="313"/>
      <c r="T35" s="26"/>
      <c r="U35" s="312">
        <v>5240</v>
      </c>
      <c r="V35" s="311" t="s">
        <v>24</v>
      </c>
      <c r="W35" s="315" t="str">
        <f>IFERROR(IF(TRANSHARI1_PULSAMALAM[[#This Row],[NAMA REKENING]]="","",TRANSHARI1_PULSAMALAM[[#This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 t="s">
        <v>45</v>
      </c>
      <c r="C36" s="312">
        <v>13000</v>
      </c>
      <c r="D36" s="313"/>
      <c r="E36" s="26"/>
      <c r="F36" s="312">
        <v>11680</v>
      </c>
      <c r="G36" s="311" t="s">
        <v>24</v>
      </c>
      <c r="H36" s="314" t="str">
        <f>IFERROR(IF(TRANSHARI1_PULSAPAGI[[#This Row],[NAMA REKENING]]="","",TRANSHARI1_PULSAPAGI[[#This Row],[DEBIT]]),"")</f>
        <v/>
      </c>
      <c r="I36" s="311"/>
      <c r="J36" s="326"/>
      <c r="K36" s="330" t="s">
        <v>27</v>
      </c>
      <c r="L36" s="331">
        <f>INITIAL!D19</f>
        <v>462958</v>
      </c>
      <c r="O36" s="324"/>
      <c r="P36" s="329">
        <v>9</v>
      </c>
      <c r="Q36" s="311" t="s">
        <v>46</v>
      </c>
      <c r="R36" s="312">
        <v>8000</v>
      </c>
      <c r="S36" s="313"/>
      <c r="T36" s="26"/>
      <c r="U36" s="312">
        <v>6785</v>
      </c>
      <c r="V36" s="311" t="s">
        <v>24</v>
      </c>
      <c r="W36" s="314" t="str">
        <f>IFERROR(IF(TRANSHARI1_PULSAMALAM[[#This Row],[NAMA REKENING]]="","",TRANSHARI1_PULSAMALAM[[#This Row],[DEBIT]]),"")</f>
        <v/>
      </c>
      <c r="X36" s="311"/>
      <c r="Y36" s="326"/>
      <c r="Z36" s="330" t="s">
        <v>27</v>
      </c>
      <c r="AA36" s="331">
        <f>L40</f>
        <v>449460</v>
      </c>
    </row>
    <row r="37" ht="18" spans="1:27">
      <c r="A37" s="311">
        <v>10</v>
      </c>
      <c r="B37" s="311" t="s">
        <v>47</v>
      </c>
      <c r="C37" s="312">
        <v>40000</v>
      </c>
      <c r="D37" s="313"/>
      <c r="E37" s="26"/>
      <c r="F37" s="312">
        <v>36800</v>
      </c>
      <c r="G37" s="311" t="s">
        <v>48</v>
      </c>
      <c r="H37" s="315" t="str">
        <f>IFERROR(IF(TRANSHARI1_PULSAPAGI[[#This Row],[NAMA REKENING]]="","",TRANSHARI1_PULSAPAGI[[#This Row],[DEBIT]]),"")</f>
        <v/>
      </c>
      <c r="I37" s="311"/>
      <c r="J37" s="326"/>
      <c r="K37" s="332" t="s">
        <v>30</v>
      </c>
      <c r="L37" s="333">
        <f>SUMIF(TRANSHARI1_PULSAPAGI[APLIKASI],K35,TRANSHARI1_PULSAPAGI[SALDO MINUS])</f>
        <v>13498</v>
      </c>
      <c r="O37" s="324"/>
      <c r="P37" s="329">
        <v>10</v>
      </c>
      <c r="Q37" s="311" t="s">
        <v>49</v>
      </c>
      <c r="R37" s="312">
        <v>7000</v>
      </c>
      <c r="S37" s="313"/>
      <c r="T37" s="26"/>
      <c r="U37" s="312">
        <v>5340</v>
      </c>
      <c r="V37" s="311" t="s">
        <v>24</v>
      </c>
      <c r="W37" s="315" t="str">
        <f>IFERROR(IF(TRANSHARI1_PULSAMALAM[[#This Row],[NAMA REKENING]]="","",TRANSHARI1_PULSAMALAM[[#This Row],[DEBIT]]),"")</f>
        <v/>
      </c>
      <c r="X37" s="311"/>
      <c r="Y37" s="326"/>
      <c r="Z37" s="332" t="s">
        <v>30</v>
      </c>
      <c r="AA37" s="333">
        <f>SUMIF(TRANSHARI1_PULSAMALAM[APLIKASI],Z35,TRANSHARI1_PULSAMALAM[SALDO MINUS])</f>
        <v>81998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IFERROR(IF(TRANSHARI1_PULSAPAGI[[#This Row],[NAMA REKENING]]="","",TRANSHARI1_PULSAPAGI[[#This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 t="s">
        <v>50</v>
      </c>
      <c r="R38" s="312">
        <v>12000</v>
      </c>
      <c r="S38" s="313"/>
      <c r="T38" s="26"/>
      <c r="U38" s="312">
        <v>10188</v>
      </c>
      <c r="V38" s="311" t="s">
        <v>24</v>
      </c>
      <c r="W38" s="314" t="str">
        <f>IFERROR(IF(TRANSHARI1_PULSAMALAM[[#This Row],[NAMA REKENING]]="","",TRANSHARI1_PULSAMALAM[[#This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IFERROR(IF(TRANSHARI1_PULSAPAGI[[#This Row],[NAMA REKENING]]="","",TRANSHARI1_PULSAPAGI[[#This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 t="s">
        <v>52</v>
      </c>
      <c r="R39" s="312">
        <v>23000</v>
      </c>
      <c r="S39" s="313"/>
      <c r="T39" s="26"/>
      <c r="U39" s="312">
        <v>20824</v>
      </c>
      <c r="V39" s="311" t="s">
        <v>24</v>
      </c>
      <c r="W39" s="315" t="str">
        <f>IFERROR(IF(TRANSHARI1_PULSAMALAM[[#This Row],[NAMA REKENING]]="","",TRANSHARI1_PULSAMALAM[[#This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IFERROR(IF(TRANSHARI1_PULSAPAGI[[#This Row],[NAMA REKENING]]="","",TRANSHARI1_PULSAPAGI[[#This Row],[DEBIT]]),"")</f>
        <v/>
      </c>
      <c r="I40" s="311"/>
      <c r="J40" s="326"/>
      <c r="K40" s="336" t="s">
        <v>39</v>
      </c>
      <c r="L40" s="337">
        <f>L36-L37+L38+L39</f>
        <v>449460</v>
      </c>
      <c r="O40" s="324"/>
      <c r="P40" s="329">
        <v>13</v>
      </c>
      <c r="Q40" s="311" t="s">
        <v>53</v>
      </c>
      <c r="R40" s="312">
        <v>23000</v>
      </c>
      <c r="S40" s="313"/>
      <c r="T40" s="26"/>
      <c r="U40" s="312">
        <v>20824</v>
      </c>
      <c r="V40" s="311" t="s">
        <v>24</v>
      </c>
      <c r="W40" s="314" t="str">
        <f>IFERROR(IF(TRANSHARI1_PULSAMALAM[[#This Row],[NAMA REKENING]]="","",TRANSHARI1_PULSAMALAM[[#This Row],[DEBIT]]),"")</f>
        <v/>
      </c>
      <c r="X40" s="311"/>
      <c r="Y40" s="326"/>
      <c r="Z40" s="336" t="s">
        <v>39</v>
      </c>
      <c r="AA40" s="337">
        <f>AA36-AA37+AA38+AA39</f>
        <v>367462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IFERROR(IF(TRANSHARI1_PULSAPAGI[[#This Row],[NAMA REKENING]]="","",TRANSHARI1_PULSAPAGI[[#This Row],[DEBIT]]),"")</f>
        <v/>
      </c>
      <c r="I41" s="311"/>
      <c r="J41" s="326"/>
      <c r="K41" s="1"/>
      <c r="L41" s="1"/>
      <c r="O41" s="324"/>
      <c r="P41" s="329">
        <v>14</v>
      </c>
      <c r="Q41" s="311" t="s">
        <v>54</v>
      </c>
      <c r="R41" s="312">
        <v>7000</v>
      </c>
      <c r="S41" s="313"/>
      <c r="T41" s="26"/>
      <c r="U41" s="312">
        <v>5340</v>
      </c>
      <c r="V41" s="311" t="s">
        <v>24</v>
      </c>
      <c r="W41" s="315" t="str">
        <f>IFERROR(IF(TRANSHARI1_PULSAMALAM[[#This Row],[NAMA REKENING]]="","",TRANSHARI1_PULSAMALAM[[#This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IFERROR(IF(TRANSHARI1_PULSAPAGI[[#This Row],[NAMA REKENING]]="","",TRANSHARI1_PULSAPAGI[[#This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 t="s">
        <v>56</v>
      </c>
      <c r="R42" s="312">
        <v>22000</v>
      </c>
      <c r="S42" s="313"/>
      <c r="T42" s="26"/>
      <c r="U42" s="312">
        <v>20093</v>
      </c>
      <c r="V42" s="311" t="s">
        <v>24</v>
      </c>
      <c r="W42" s="314" t="str">
        <f>IFERROR(IF(TRANSHARI1_PULSAMALAM[[#This Row],[NAMA REKENING]]="","",TRANSHARI1_PULSAMALAM[[#This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IFERROR(IF(TRANSHARI1_PULSAPAGI[[#This Row],[NAMA REKENING]]="","",TRANSHARI1_PULSAPAGI[[#This Row],[DEBIT]]),"")</f>
        <v/>
      </c>
      <c r="I43" s="311"/>
      <c r="J43" s="326"/>
      <c r="K43" s="330" t="s">
        <v>27</v>
      </c>
      <c r="L43" s="331">
        <f>INITIAL!D25</f>
        <v>126750</v>
      </c>
      <c r="O43" s="324"/>
      <c r="P43" s="329">
        <v>16</v>
      </c>
      <c r="Q43" s="311" t="s">
        <v>57</v>
      </c>
      <c r="R43" s="312">
        <v>23000</v>
      </c>
      <c r="S43" s="313"/>
      <c r="T43" s="26"/>
      <c r="U43" s="312">
        <v>20764</v>
      </c>
      <c r="V43" s="311" t="s">
        <v>24</v>
      </c>
      <c r="W43" s="315" t="str">
        <f>IFERROR(IF(TRANSHARI1_PULSAMALAM[[#This Row],[NAMA REKENING]]="","",TRANSHARI1_PULSAMALAM[[#This Row],[DEBIT]]),"")</f>
        <v/>
      </c>
      <c r="X43" s="311"/>
      <c r="Y43" s="326"/>
      <c r="Z43" s="330" t="s">
        <v>27</v>
      </c>
      <c r="AA43" s="331">
        <f>L47</f>
        <v>126750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IFERROR(IF(TRANSHARI1_PULSAPAGI[[#This Row],[NAMA REKENING]]="","",TRANSHARI1_PULSAPAGI[[#This Row],[DEBIT]]),"")</f>
        <v/>
      </c>
      <c r="I44" s="311"/>
      <c r="J44" s="326"/>
      <c r="K44" s="332" t="s">
        <v>30</v>
      </c>
      <c r="L44" s="333">
        <f>SUMIF(TRANSHARI1_PULSAPAGI[APLIKASI],K42,TRANSHARI1_PULSAPAGI[SALDO MINUS])</f>
        <v>0</v>
      </c>
      <c r="O44" s="324"/>
      <c r="P44" s="329">
        <v>17</v>
      </c>
      <c r="Q44" s="311" t="s">
        <v>58</v>
      </c>
      <c r="R44" s="312">
        <v>23000</v>
      </c>
      <c r="S44" s="313"/>
      <c r="T44" s="26"/>
      <c r="U44" s="312">
        <v>20000</v>
      </c>
      <c r="V44" s="311" t="s">
        <v>35</v>
      </c>
      <c r="W44" s="314" t="str">
        <f>IFERROR(IF(TRANSHARI1_PULSAMALAM[[#This Row],[NAMA REKENING]]="","",TRANSHARI1_PULSAMALAM[[#This Row],[DEBIT]]),"")</f>
        <v/>
      </c>
      <c r="X44" s="311"/>
      <c r="Y44" s="326"/>
      <c r="Z44" s="332" t="s">
        <v>30</v>
      </c>
      <c r="AA44" s="333">
        <f>SUMIF(TRANSHARI1_PULSAMALAM[APLIKASI],Z42,TRANSHARI1_PULSAMALAM[SALDO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IFERROR(IF(TRANSHARI1_PULSAPAGI[[#This Row],[NAMA REKENING]]="","",TRANSHARI1_PULSAPAGI[[#This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 t="s">
        <v>59</v>
      </c>
      <c r="R45" s="312">
        <v>17000</v>
      </c>
      <c r="S45" s="313"/>
      <c r="T45" s="26"/>
      <c r="U45" s="312">
        <v>15175</v>
      </c>
      <c r="V45" s="311" t="s">
        <v>24</v>
      </c>
      <c r="W45" s="315" t="str">
        <f>IFERROR(IF(TRANSHARI1_PULSAMALAM[[#This Row],[NAMA REKENING]]="","",TRANSHARI1_PULSAMALAM[[#This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IFERROR(IF(TRANSHARI1_PULSAPAGI[[#This Row],[NAMA REKENING]]="","",TRANSHARI1_PULSAPAGI[[#This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 t="s">
        <v>60</v>
      </c>
      <c r="R46" s="312">
        <v>20000</v>
      </c>
      <c r="S46" s="313"/>
      <c r="T46" s="26"/>
      <c r="U46" s="312">
        <v>14499</v>
      </c>
      <c r="V46" s="311" t="s">
        <v>35</v>
      </c>
      <c r="W46" s="314" t="str">
        <f>IFERROR(IF(TRANSHARI1_PULSAMALAM[[#This Row],[NAMA REKENING]]="","",TRANSHARI1_PULSAMALAM[[#This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IFERROR(IF(TRANSHARI1_PULSAPAGI[[#This Row],[NAMA REKENING]]="","",TRANSHARI1_PULSAPAGI[[#This Row],[DEBIT]]),"")</f>
        <v/>
      </c>
      <c r="I47" s="311"/>
      <c r="J47" s="326"/>
      <c r="K47" s="336" t="s">
        <v>39</v>
      </c>
      <c r="L47" s="337">
        <f>L43-L44+L45+L46</f>
        <v>126750</v>
      </c>
      <c r="O47" s="324"/>
      <c r="P47" s="329">
        <v>20</v>
      </c>
      <c r="Q47" s="311" t="s">
        <v>61</v>
      </c>
      <c r="R47" s="312">
        <v>36000</v>
      </c>
      <c r="S47" s="313"/>
      <c r="T47" s="26"/>
      <c r="U47" s="312">
        <v>33000</v>
      </c>
      <c r="V47" s="311" t="s">
        <v>35</v>
      </c>
      <c r="W47" s="315" t="str">
        <f>IFERROR(IF(TRANSHARI1_PULSAMALAM[[#This Row],[NAMA REKENING]]="","",TRANSHARI1_PULSAMALAM[[#This Row],[DEBIT]]),"")</f>
        <v/>
      </c>
      <c r="X47" s="311"/>
      <c r="Y47" s="326"/>
      <c r="Z47" s="336" t="s">
        <v>39</v>
      </c>
      <c r="AA47" s="337">
        <f>AA43-AA44+AA45+AA46</f>
        <v>126750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IFERROR(IF(TRANSHARI1_PULSAPAGI[[#This Row],[NAMA REKENING]]="","",TRANSHARI1_PULSAPAGI[[#This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IFERROR(IF(TRANSHARI1_PULSAMALAM[[#This Row],[NAMA REKENING]]="","",TRANSHARI1_PULSAMALAM[[#This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IFERROR(IF(TRANSHARI1_PULSAPAGI[[#This Row],[NAMA REKENING]]="","",TRANSHARI1_PULSAPAGI[[#This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IFERROR(IF(TRANSHARI1_PULSAMALAM[[#This Row],[NAMA REKENING]]="","",TRANSHARI1_PULSAMALAM[[#This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IFERROR(IF(TRANSHARI1_PULSAPAGI[[#This Row],[NAMA REKENING]]="","",TRANSHARI1_PULSAPAGI[[#This Row],[DEBIT]]),"")</f>
        <v/>
      </c>
      <c r="I50" s="311"/>
      <c r="J50" s="326"/>
      <c r="K50" s="330" t="s">
        <v>27</v>
      </c>
      <c r="L50" s="331">
        <f>INITIAL!D31</f>
        <v>63406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IFERROR(IF(TRANSHARI1_PULSAMALAM[[#This Row],[NAMA REKENING]]="","",TRANSHARI1_PULSAMALAM[[#This Row],[DEBIT]]),"")</f>
        <v/>
      </c>
      <c r="X50" s="311"/>
      <c r="Y50" s="326"/>
      <c r="Z50" s="330" t="s">
        <v>27</v>
      </c>
      <c r="AA50" s="331">
        <f>L54</f>
        <v>26606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IFERROR(IF(TRANSHARI1_PULSAPAGI[[#This Row],[NAMA REKENING]]="","",TRANSHARI1_PULSAPAGI[[#This Row],[DEBIT]]),"")</f>
        <v/>
      </c>
      <c r="I51" s="311"/>
      <c r="J51" s="326"/>
      <c r="K51" s="332" t="s">
        <v>30</v>
      </c>
      <c r="L51" s="333">
        <f>SUMIF(TRANSHARI1_PULSAPAGI[APLIKASI],K49,TRANSHARI1_PULSAPAGI[SALDO MINUS])</f>
        <v>36800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IFERROR(IF(TRANSHARI1_PULSAMALAM[[#This Row],[NAMA REKENING]]="","",TRANSHARI1_PULSAMALAM[[#This Row],[DEBIT]]),"")</f>
        <v/>
      </c>
      <c r="X51" s="311"/>
      <c r="Y51" s="326"/>
      <c r="Z51" s="332" t="s">
        <v>30</v>
      </c>
      <c r="AA51" s="333">
        <f>SUMIF(TRANSHARI1_PULSAMALAM[APLIKASI],Z49,TRANSHARI1_PULSAMALAM[SALDO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IFERROR(IF(TRANSHARI1_PULSAPAGI[[#This Row],[NAMA REKENING]]="","",TRANSHARI1_PULSAPAGI[[#This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IFERROR(IF(TRANSHARI1_PULSAMALAM[[#This Row],[NAMA REKENING]]="","",TRANSHARI1_PULSAMALAM[[#This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IFERROR(IF(TRANSHARI1_PULSAPAGI[[#This Row],[NAMA REKENING]]="","",TRANSHARI1_PULSAPAGI[[#This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IFERROR(IF(TRANSHARI1_PULSAMALAM[[#This Row],[NAMA REKENING]]="","",TRANSHARI1_PULSAMALAM[[#This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IFERROR(IF(TRANSHARI1_PULSAPAGI[[#This Row],[NAMA REKENING]]="","",TRANSHARI1_PULSAPAGI[[#This Row],[DEBIT]]),"")</f>
        <v/>
      </c>
      <c r="I54" s="311"/>
      <c r="J54" s="326"/>
      <c r="K54" s="336" t="s">
        <v>39</v>
      </c>
      <c r="L54" s="337">
        <f>L50-L51+L52+L53</f>
        <v>26606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IFERROR(IF(TRANSHARI1_PULSAMALAM[[#This Row],[NAMA REKENING]]="","",TRANSHARI1_PULSAMALAM[[#This Row],[DEBIT]]),"")</f>
        <v/>
      </c>
      <c r="X54" s="311"/>
      <c r="Y54" s="326"/>
      <c r="Z54" s="336" t="s">
        <v>39</v>
      </c>
      <c r="AA54" s="337">
        <f>AA50-AA51+AA52+AA53</f>
        <v>26606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IFERROR(IF(TRANSHARI1_PULSAPAGI[[#This Row],[NAMA REKENING]]="","",TRANSHARI1_PULSAPAGI[[#This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IFERROR(IF(TRANSHARI1_PULSAMALAM[[#This Row],[NAMA REKENING]]="","",TRANSHARI1_PULSAMALAM[[#This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IFERROR(IF(TRANSHARI1_PULSAPAGI[[#This Row],[NAMA REKENING]]="","",TRANSHARI1_PULSAPAGI[[#This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IFERROR(IF(TRANSHARI1_PULSAMALAM[[#This Row],[NAMA REKENING]]="","",TRANSHARI1_PULSAMALAM[[#This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IFERROR(IF(TRANSHARI1_PULSAPAGI[[#This Row],[NAMA REKENING]]="","",TRANSHARI1_PULSAPAGI[[#This Row],[DEBIT]]),"")</f>
        <v/>
      </c>
      <c r="I57" s="311"/>
      <c r="J57" s="326"/>
      <c r="K57" s="330" t="s">
        <v>27</v>
      </c>
      <c r="L57" s="331">
        <f>INITIAL!D37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IFERROR(IF(TRANSHARI1_PULSAMALAM[[#This Row],[NAMA REKENING]]="","",TRANSHARI1_PULSAMALAM[[#This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IFERROR(IF(TRANSHARI1_PULSAPAGI[[#This Row],[NAMA REKENING]]="","",TRANSHARI1_PULSAPAGI[[#This Row],[DEBIT]]),"")</f>
        <v/>
      </c>
      <c r="I58" s="311"/>
      <c r="J58" s="326"/>
      <c r="K58" s="332" t="s">
        <v>30</v>
      </c>
      <c r="L58" s="333">
        <f>SUMIF(TRANSHARI1_PULSAPAGI[APLIKASI],K56,TRANSHARI1_PULSAPAGI[SALDO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IFERROR(IF(TRANSHARI1_PULSAMALAM[[#This Row],[NAMA REKENING]]="","",TRANSHARI1_PULSAMALAM[[#This Row],[DEBIT]]),"")</f>
        <v/>
      </c>
      <c r="X58" s="311"/>
      <c r="Y58" s="326"/>
      <c r="Z58" s="332" t="s">
        <v>30</v>
      </c>
      <c r="AA58" s="333">
        <f>SUMIF(TRANSHARI1_PULSAMALAM[APLIKASI],Z56,TRANSHARI1_PULSAMALAM[SALDO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IFERROR(IF(TRANSHARI1_PULSAPAGI[[#This Row],[NAMA REKENING]]="","",TRANSHARI1_PULSAPAGI[[#This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IFERROR(IF(TRANSHARI1_PULSAMALAM[[#This Row],[NAMA REKENING]]="","",TRANSHARI1_PULSAMALAM[[#This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IFERROR(IF(TRANSHARI1_PULSAPAGI[[#This Row],[NAMA REKENING]]="","",TRANSHARI1_PULSAPAGI[[#This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IFERROR(IF(TRANSHARI1_PULSAMALAM[[#This Row],[NAMA REKENING]]="","",TRANSHARI1_PULSAMALAM[[#This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IFERROR(IF(TRANSHARI1_PULSAPAGI[[#This Row],[NAMA REKENING]]="","",TRANSHARI1_PULSAPAGI[[#This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IFERROR(IF(TRANSHARI1_PULSAMALAM[[#This Row],[NAMA REKENING]]="","",TRANSHARI1_PULSAMALAM[[#This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IFERROR(IF(TRANSHARI1_PULSAPAGI[[#This Row],[NAMA REKENING]]="","",TRANSHARI1_PULSAPAGI[[#This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IFERROR(IF(TRANSHARI1_PULSAMALAM[[#This Row],[NAMA REKENING]]="","",TRANSHARI1_PULSAMALAM[[#This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IFERROR(IF(TRANSHARI1_PULSAPAGI[[#This Row],[NAMA REKENING]]="","",TRANSHARI1_PULSAPAGI[[#This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IFERROR(IF(TRANSHARI1_PULSAMALAM[[#This Row],[NAMA REKENING]]="","",TRANSHARI1_PULSAMALAM[[#This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IFERROR(IF(TRANSHARI1_PULSAPAGI[[#This Row],[NAMA REKENING]]="","",TRANSHARI1_PULSAPAGI[[#This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IFERROR(IF(TRANSHARI1_PULSAMALAM[[#This Row],[NAMA REKENING]]="","",TRANSHARI1_PULSAMALAM[[#This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IFERROR(IF(TRANSHARI1_PULSAPAGI[[#This Row],[NAMA REKENING]]="","",TRANSHARI1_PULSAPAGI[[#This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IFERROR(IF(TRANSHARI1_PULSAMALAM[[#This Row],[NAMA REKENING]]="","",TRANSHARI1_PULSAMALAM[[#This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IFERROR(IF(TRANSHARI1_PULSAPAGI[[#This Row],[NAMA REKENING]]="","",TRANSHARI1_PULSAPAGI[[#This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IFERROR(IF(TRANSHARI1_PULSAMALAM[[#This Row],[NAMA REKENING]]="","",TRANSHARI1_PULSAMALAM[[#This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IFERROR(IF(TRANSHARI1_PULSAPAGI[[#This Row],[NAMA REKENING]]="","",TRANSHARI1_PULSAPAGI[[#This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IFERROR(IF(TRANSHARI1_PULSAMALAM[[#This Row],[NAMA REKENING]]="","",TRANSHARI1_PULSAMALAM[[#This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IFERROR(IF(TRANSHARI1_PULSAPAGI[[#This Row],[NAMA REKENING]]="","",TRANSHARI1_PULSAPAGI[[#This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IFERROR(IF(TRANSHARI1_PULSAMALAM[[#This Row],[NAMA REKENING]]="","",TRANSHARI1_PULSAMALAM[[#This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IFERROR(IF(TRANSHARI1_PULSAPAGI[[#This Row],[NAMA REKENING]]="","",TRANSHARI1_PULSAPAGI[[#This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IFERROR(IF(TRANSHARI1_PULSAMALAM[[#This Row],[NAMA REKENING]]="","",TRANSHARI1_PULSAMALAM[[#This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IFERROR(IF(TRANSHARI1_PULSAPAGI[[#This Row],[NAMA REKENING]]="","",TRANSHARI1_PULSAPAGI[[#This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IFERROR(IF(TRANSHARI1_PULSAMALAM[[#This Row],[NAMA REKENING]]="","",TRANSHARI1_PULSAMALAM[[#This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IFERROR(IF(TRANSHARI1_PULSAPAGI[[#This Row],[NAMA REKENING]]="","",TRANSHARI1_PULSAPAGI[[#This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IFERROR(IF(TRANSHARI1_PULSAMALAM[[#This Row],[NAMA REKENING]]="","",TRANSHARI1_PULSAMALAM[[#This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IFERROR(IF(TRANSHARI1_PULSAPAGI[[#This Row],[NAMA REKENING]]="","",TRANSHARI1_PULSAPAGI[[#This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IFERROR(IF(TRANSHARI1_PULSAMALAM[[#This Row],[NAMA REKENING]]="","",TRANSHARI1_PULSAMALAM[[#This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IFERROR(IF(TRANSHARI1_PULSAPAGI[[#This Row],[NAMA REKENING]]="","",TRANSHARI1_PULSAPAGI[[#This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IFERROR(IF(TRANSHARI1_PULSAMALAM[[#This Row],[NAMA REKENING]]="","",TRANSHARI1_PULSAMALAM[[#This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IFERROR(IF(TRANSHARI1_PULSAPAGI[[#This Row],[NAMA REKENING]]="","",TRANSHARI1_PULSAPAGI[[#This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IFERROR(IF(TRANSHARI1_PULSAMALAM[[#This Row],[NAMA REKENING]]="","",TRANSHARI1_PULSAMALAM[[#This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IFERROR(IF(TRANSHARI1_PULSAPAGI[[#This Row],[NAMA REKENING]]="","",TRANSHARI1_PULSAPAGI[[#This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IFERROR(IF(TRANSHARI1_PULSAMALAM[[#This Row],[NAMA REKENING]]="","",TRANSHARI1_PULSAMALAM[[#This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IFERROR(IF(TRANSHARI1_PULSAPAGI[[#This Row],[NAMA REKENING]]="","",TRANSHARI1_PULSAPAGI[[#This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IFERROR(IF(TRANSHARI1_PULSAMALAM[[#This Row],[NAMA REKENING]]="","",TRANSHARI1_PULSAMALAM[[#This Row],[DEBIT]]),"")</f>
        <v/>
      </c>
      <c r="X76" s="311"/>
      <c r="Y76" s="389">
        <f>C79+R79</f>
        <v>725500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47"/>
      <c r="H77" s="350" t="str">
        <f>IFERROR(IF(TRANSHARI1_PULSAPAGI[[#This Row],[NAMA REKENING]]="","",TRANSHARI1_PULSAPAGI[[#This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IFERROR(IF(TRANSHARI1_PULSAMALAM[[#This Row],[NAMA REKENING]]="","",TRANSHARI1_PULSAMALAM[[#This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SUM(TRANSHARI1_PULSAPAGI[DEBIT])</f>
        <v>314500</v>
      </c>
      <c r="D78" s="353">
        <f>SUM(TRANSHARI1_PULSAPAGI[KREDIT])</f>
        <v>0</v>
      </c>
      <c r="E78" s="167"/>
      <c r="F78" s="353">
        <f>SUM(TRANSHARI1_PULSAPAGI[SALDO MINUS])</f>
        <v>293466</v>
      </c>
      <c r="G78" s="640"/>
      <c r="H78" s="355">
        <f>SUM(TRANSHARI1_PULSAPAGI[NOMINAL TRANSFER])</f>
        <v>0</v>
      </c>
      <c r="I78" s="167"/>
      <c r="O78" s="324"/>
      <c r="P78" s="379" t="s">
        <v>64</v>
      </c>
      <c r="Q78" s="352"/>
      <c r="R78" s="353">
        <f>SUM(TRANSHARI1_PULSAMALAM[DEBIT])</f>
        <v>411000</v>
      </c>
      <c r="S78" s="353">
        <f>SUM(TRANSHARI1_PULSAMALAM[KREDIT])</f>
        <v>0</v>
      </c>
      <c r="T78" s="167"/>
      <c r="U78" s="354">
        <f>SUM(TRANSHARI1_PULSAMALAM[SALDO MINUS])</f>
        <v>364702</v>
      </c>
      <c r="V78" s="167"/>
      <c r="W78" s="355">
        <f>SUM(TRANSHARI1_PULSAMALAM[NOMINAL TRANSFER])</f>
        <v>0</v>
      </c>
      <c r="X78" s="167"/>
    </row>
    <row r="79" ht="15" customHeight="1" spans="1:24">
      <c r="A79" s="356"/>
      <c r="B79" s="357"/>
      <c r="C79" s="358">
        <f>C78+D78</f>
        <v>314500</v>
      </c>
      <c r="D79" s="359"/>
      <c r="E79" s="167"/>
      <c r="F79" s="641"/>
      <c r="G79" s="167"/>
      <c r="I79" s="167"/>
      <c r="O79" s="324"/>
      <c r="P79" s="380"/>
      <c r="Q79" s="357"/>
      <c r="R79" s="358">
        <f>R78+S78</f>
        <v>411000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">
        <v>10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">
        <v>13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 t="s">
        <v>70</v>
      </c>
      <c r="C85" s="368">
        <v>1</v>
      </c>
      <c r="D85" s="369">
        <f>IFERROR(VLOOKUP(TRANSHARI1_ROKOKPAGI[[#This Row],[PRODUK]],DATA_ROKOK[],3,FALSE),"")</f>
        <v>17000</v>
      </c>
      <c r="E85" s="370"/>
      <c r="F85" s="369">
        <f>IFERROR(IF(TRANSHARI1_ROKOKPAGI[[#This Row],[NAMA PENGHUTANG]]="",((TRANSHARI1_ROKOKPAGI[[#This Row],[HARGA]]*TRANSHARI1_ROKOKPAGI[[#This Row],[QUANTITY]])+TRANSHARI1_ROKOKPAGI[[#This Row],[PRICE TOLERANCE]]),""),"")</f>
        <v>17000</v>
      </c>
      <c r="G85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85" s="371"/>
      <c r="I85" s="384" t="str">
        <f>IFERROR(IF(TRANSHARI1_ROKOKPAGI[[#This Row],[NAMA REKENING]]="","",TRANSHARI1_ROKOKPAGI[[#This Row],[DEBIT]]),"")</f>
        <v/>
      </c>
      <c r="J85" s="385"/>
      <c r="O85" s="324"/>
      <c r="P85" s="367">
        <v>1</v>
      </c>
      <c r="Q85" s="368" t="s">
        <v>70</v>
      </c>
      <c r="R85" s="368">
        <v>1</v>
      </c>
      <c r="S85" s="369">
        <f>IFERROR(VLOOKUP(TRANSHARI1_ROKOKMALAM[[#This Row],[PRODUK]],DATA_ROKOK[],3,FALSE),"")</f>
        <v>17000</v>
      </c>
      <c r="T85" s="370"/>
      <c r="U85" s="369">
        <f>IFERROR(IF(TRANSHARI1_ROKOKMALAM[[#This Row],[NAMA PENGHUTANG]]="",((TRANSHARI1_ROKOKMALAM[[#This Row],[HARGA]]*TRANSHARI1_ROKOKMALAM[[#This Row],[QUANTITY]])+TRANSHARI1_ROKOKMALAM[[#This Row],[PRICE TOLERANCE]]),""),"")</f>
        <v>17000</v>
      </c>
      <c r="V85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85" s="371"/>
      <c r="X85" s="384" t="str">
        <f>IFERROR(IF(TRANSHARI1_ROKOKMALAM[[#This Row],[NAMA REKENING]]="","",TRANSHARI1_ROKOKMALAM[[#This Row],[DEBIT]]),"")</f>
        <v/>
      </c>
      <c r="Y85" s="385"/>
    </row>
    <row r="86" spans="1:25">
      <c r="A86" s="367">
        <v>2</v>
      </c>
      <c r="B86" s="368" t="s">
        <v>71</v>
      </c>
      <c r="C86" s="372">
        <v>1</v>
      </c>
      <c r="D86" s="373">
        <f>IFERROR(VLOOKUP(TRANSHARI1_ROKOKPAGI[[#This Row],[PRODUK]],DATA_ROKOK[],3,FALSE),"")</f>
        <v>10000</v>
      </c>
      <c r="E86" s="374"/>
      <c r="F86" s="373">
        <f>IFERROR(IF(TRANSHARI1_ROKOKPAGI[[#This Row],[NAMA PENGHUTANG]]="",((TRANSHARI1_ROKOKPAGI[[#This Row],[HARGA]]*TRANSHARI1_ROKOKPAGI[[#This Row],[QUANTITY]])+TRANSHARI1_ROKOKPAGI[[#This Row],[PRICE TOLERANCE]]),""),"")</f>
        <v>10000</v>
      </c>
      <c r="G86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86" s="12"/>
      <c r="I86" s="386" t="str">
        <f>IFERROR(IF(TRANSHARI1_ROKOKPAGI[[#This Row],[NAMA REKENING]]="","",TRANSHARI1_ROKOKPAGI[[#This Row],[DEBIT]]),"")</f>
        <v/>
      </c>
      <c r="J86" s="387"/>
      <c r="O86" s="324"/>
      <c r="P86" s="367">
        <v>2</v>
      </c>
      <c r="Q86" s="368" t="s">
        <v>72</v>
      </c>
      <c r="R86" s="372">
        <v>1</v>
      </c>
      <c r="S86" s="373">
        <f>IFERROR(VLOOKUP(TRANSHARI1_ROKOKMALAM[[#This Row],[PRODUK]],DATA_ROKOK[],3,FALSE),"")</f>
        <v>20000</v>
      </c>
      <c r="T86" s="374"/>
      <c r="U86" s="373">
        <f>IFERROR(IF(TRANSHARI1_ROKOKMALAM[[#This Row],[NAMA PENGHUTANG]]="",((TRANSHARI1_ROKOKMALAM[[#This Row],[HARGA]]*TRANSHARI1_ROKOKMALAM[[#This Row],[QUANTITY]])+TRANSHARI1_ROKOKMALAM[[#This Row],[PRICE TOLERANCE]]),""),"")</f>
        <v>20000</v>
      </c>
      <c r="V86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86" s="12"/>
      <c r="X86" s="386" t="str">
        <f>IFERROR(IF(TRANSHARI1_ROKOKMALAM[[#This Row],[NAMA REKENING]]="","",TRANSHARI1_ROKOKMALAM[[#This Row],[DEBIT]]),"")</f>
        <v/>
      </c>
      <c r="Y86" s="387"/>
    </row>
    <row r="87" spans="1:25">
      <c r="A87" s="367">
        <v>3</v>
      </c>
      <c r="B87" s="368" t="s">
        <v>73</v>
      </c>
      <c r="C87" s="372">
        <v>1</v>
      </c>
      <c r="D87" s="369">
        <f>IFERROR(VLOOKUP(TRANSHARI1_ROKOKPAGI[[#This Row],[PRODUK]],DATA_ROKOK[],3,FALSE),"")</f>
        <v>2500</v>
      </c>
      <c r="E87" s="374"/>
      <c r="F87" s="369">
        <f>IFERROR(IF(TRANSHARI1_ROKOKPAGI[[#This Row],[NAMA PENGHUTANG]]="",((TRANSHARI1_ROKOKPAGI[[#This Row],[HARGA]]*TRANSHARI1_ROKOKPAGI[[#This Row],[QUANTITY]])+TRANSHARI1_ROKOKPAGI[[#This Row],[PRICE TOLERANCE]]),""),"")</f>
        <v>2500</v>
      </c>
      <c r="G87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87" s="12"/>
      <c r="I87" s="384" t="str">
        <f>IFERROR(IF(TRANSHARI1_ROKOKPAGI[[#This Row],[NAMA REKENING]]="","",TRANSHARI1_ROKOKPAGI[[#This Row],[DEBIT]]),"")</f>
        <v/>
      </c>
      <c r="J87" s="387"/>
      <c r="O87" s="324"/>
      <c r="P87" s="367">
        <v>3</v>
      </c>
      <c r="Q87" s="368" t="s">
        <v>74</v>
      </c>
      <c r="R87" s="372">
        <v>1</v>
      </c>
      <c r="S87" s="369">
        <f>IFERROR(VLOOKUP(TRANSHARI1_ROKOKMALAM[[#This Row],[PRODUK]],DATA_ROKOK[],3,FALSE),"")</f>
        <v>20000</v>
      </c>
      <c r="T87" s="374"/>
      <c r="U87" s="369">
        <f>IFERROR(IF(TRANSHARI1_ROKOKMALAM[[#This Row],[NAMA PENGHUTANG]]="",((TRANSHARI1_ROKOKMALAM[[#This Row],[HARGA]]*TRANSHARI1_ROKOKMALAM[[#This Row],[QUANTITY]])+TRANSHARI1_ROKOKMALAM[[#This Row],[PRICE TOLERANCE]]),""),"")</f>
        <v>20000</v>
      </c>
      <c r="V87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87" s="12"/>
      <c r="X87" s="384" t="str">
        <f>IFERROR(IF(TRANSHARI1_ROKOKMALAM[[#This Row],[NAMA REKENING]]="","",TRANSHARI1_ROKOKMALAM[[#This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IFERROR(VLOOKUP(TRANSHARI1_ROKOKPAGI[[#This Row],[PRODUK]],DATA_ROKOK[],3,FALSE),"")</f>
        <v/>
      </c>
      <c r="E88" s="374"/>
      <c r="F88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88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88" s="12"/>
      <c r="I88" s="386" t="str">
        <f>IFERROR(IF(TRANSHARI1_ROKOKPAGI[[#This Row],[NAMA REKENING]]="","",TRANSHARI1_ROKOKPAGI[[#This Row],[DEBIT]]),"")</f>
        <v/>
      </c>
      <c r="J88" s="387"/>
      <c r="O88" s="324"/>
      <c r="P88" s="367">
        <v>4</v>
      </c>
      <c r="Q88" s="368" t="s">
        <v>71</v>
      </c>
      <c r="R88" s="372">
        <v>1</v>
      </c>
      <c r="S88" s="373">
        <f>IFERROR(VLOOKUP(TRANSHARI1_ROKOKMALAM[[#This Row],[PRODUK]],DATA_ROKOK[],3,FALSE),"")</f>
        <v>10000</v>
      </c>
      <c r="T88" s="374"/>
      <c r="U88" s="373">
        <f>IFERROR(IF(TRANSHARI1_ROKOKMALAM[[#This Row],[NAMA PENGHUTANG]]="",((TRANSHARI1_ROKOKMALAM[[#This Row],[HARGA]]*TRANSHARI1_ROKOKMALAM[[#This Row],[QUANTITY]])+TRANSHARI1_ROKOKMALAM[[#This Row],[PRICE TOLERANCE]]),""),"")</f>
        <v>10000</v>
      </c>
      <c r="V88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88" s="12"/>
      <c r="X88" s="386" t="str">
        <f>IFERROR(IF(TRANSHARI1_ROKOKMALAM[[#This Row],[NAMA REKENING]]="","",TRANSHARI1_ROKOKMALAM[[#This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IFERROR(VLOOKUP(TRANSHARI1_ROKOKPAGI[[#This Row],[PRODUK]],DATA_ROKOK[],3,FALSE),"")</f>
        <v/>
      </c>
      <c r="E89" s="374"/>
      <c r="F89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89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89" s="12"/>
      <c r="I89" s="384" t="str">
        <f>IFERROR(IF(TRANSHARI1_ROKOKPAGI[[#This Row],[NAMA REKENING]]="","",TRANSHARI1_ROKOKPAGI[[#This Row],[DEBIT]]),"")</f>
        <v/>
      </c>
      <c r="J89" s="387"/>
      <c r="O89" s="324"/>
      <c r="P89" s="367">
        <v>5</v>
      </c>
      <c r="Q89" s="368" t="s">
        <v>75</v>
      </c>
      <c r="R89" s="372">
        <v>1</v>
      </c>
      <c r="S89" s="369">
        <f>IFERROR(VLOOKUP(TRANSHARI1_ROKOKMALAM[[#This Row],[PRODUK]],DATA_ROKOK[],3,FALSE),"")</f>
        <v>16000</v>
      </c>
      <c r="T89" s="374"/>
      <c r="U89" s="369">
        <f>IFERROR(IF(TRANSHARI1_ROKOKMALAM[[#This Row],[NAMA PENGHUTANG]]="",((TRANSHARI1_ROKOKMALAM[[#This Row],[HARGA]]*TRANSHARI1_ROKOKMALAM[[#This Row],[QUANTITY]])+TRANSHARI1_ROKOKMALAM[[#This Row],[PRICE TOLERANCE]]),""),"")</f>
        <v>16000</v>
      </c>
      <c r="V89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89" s="12"/>
      <c r="X89" s="384" t="str">
        <f>IFERROR(IF(TRANSHARI1_ROKOKMALAM[[#This Row],[NAMA REKENING]]="","",TRANSHARI1_ROKOKMALAM[[#This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IFERROR(VLOOKUP(TRANSHARI1_ROKOKPAGI[[#This Row],[PRODUK]],DATA_ROKOK[],3,FALSE),"")</f>
        <v/>
      </c>
      <c r="E90" s="374"/>
      <c r="F90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0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0" s="12"/>
      <c r="I90" s="386" t="str">
        <f>IFERROR(IF(TRANSHARI1_ROKOKPAGI[[#This Row],[NAMA REKENING]]="","",TRANSHARI1_ROKOKPAGI[[#This Row],[DEBIT]]),"")</f>
        <v/>
      </c>
      <c r="J90" s="387"/>
      <c r="O90" s="324"/>
      <c r="P90" s="367">
        <v>6</v>
      </c>
      <c r="Q90" s="368" t="s">
        <v>73</v>
      </c>
      <c r="R90" s="372">
        <v>2</v>
      </c>
      <c r="S90" s="373">
        <f>IFERROR(VLOOKUP(TRANSHARI1_ROKOKMALAM[[#This Row],[PRODUK]],DATA_ROKOK[],3,FALSE),"")</f>
        <v>2500</v>
      </c>
      <c r="T90" s="374"/>
      <c r="U90" s="373">
        <f>IFERROR(IF(TRANSHARI1_ROKOKMALAM[[#This Row],[NAMA PENGHUTANG]]="",((TRANSHARI1_ROKOKMALAM[[#This Row],[HARGA]]*TRANSHARI1_ROKOKMALAM[[#This Row],[QUANTITY]])+TRANSHARI1_ROKOKMALAM[[#This Row],[PRICE TOLERANCE]]),""),"")</f>
        <v>5000</v>
      </c>
      <c r="V90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0" s="12"/>
      <c r="X90" s="386" t="str">
        <f>IFERROR(IF(TRANSHARI1_ROKOKMALAM[[#This Row],[NAMA REKENING]]="","",TRANSHARI1_ROKOKMALAM[[#This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IFERROR(VLOOKUP(TRANSHARI1_ROKOKPAGI[[#This Row],[PRODUK]],DATA_ROKOK[],3,FALSE),"")</f>
        <v/>
      </c>
      <c r="E91" s="374"/>
      <c r="F91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1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1" s="12"/>
      <c r="I91" s="384" t="str">
        <f>IFERROR(IF(TRANSHARI1_ROKOKPAGI[[#This Row],[NAMA REKENING]]="","",TRANSHARI1_ROKOKPAGI[[#This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IFERROR(VLOOKUP(TRANSHARI1_ROKOKMALAM[[#This Row],[PRODUK]],DATA_ROKOK[],3,FALSE),"")</f>
        <v/>
      </c>
      <c r="T91" s="374"/>
      <c r="U91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1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1" s="12"/>
      <c r="X91" s="384" t="str">
        <f>IFERROR(IF(TRANSHARI1_ROKOKMALAM[[#This Row],[NAMA REKENING]]="","",TRANSHARI1_ROKOKMALAM[[#This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IFERROR(VLOOKUP(TRANSHARI1_ROKOKPAGI[[#This Row],[PRODUK]],DATA_ROKOK[],3,FALSE),"")</f>
        <v/>
      </c>
      <c r="E92" s="374"/>
      <c r="F92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2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2" s="12"/>
      <c r="I92" s="386" t="str">
        <f>IFERROR(IF(TRANSHARI1_ROKOKPAGI[[#This Row],[NAMA REKENING]]="","",TRANSHARI1_ROKOKPAGI[[#This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IFERROR(VLOOKUP(TRANSHARI1_ROKOKMALAM[[#This Row],[PRODUK]],DATA_ROKOK[],3,FALSE),"")</f>
        <v/>
      </c>
      <c r="T92" s="374"/>
      <c r="U92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2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2" s="12"/>
      <c r="X92" s="386" t="str">
        <f>IFERROR(IF(TRANSHARI1_ROKOKMALAM[[#This Row],[NAMA REKENING]]="","",TRANSHARI1_ROKOKMALAM[[#This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IFERROR(VLOOKUP(TRANSHARI1_ROKOKPAGI[[#This Row],[PRODUK]],DATA_ROKOK[],3,FALSE),"")</f>
        <v/>
      </c>
      <c r="E93" s="374"/>
      <c r="F93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3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3" s="12"/>
      <c r="I93" s="384" t="str">
        <f>IFERROR(IF(TRANSHARI1_ROKOKPAGI[[#This Row],[NAMA REKENING]]="","",TRANSHARI1_ROKOKPAGI[[#This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IFERROR(VLOOKUP(TRANSHARI1_ROKOKMALAM[[#This Row],[PRODUK]],DATA_ROKOK[],3,FALSE),"")</f>
        <v/>
      </c>
      <c r="T93" s="374"/>
      <c r="U93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3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3" s="12"/>
      <c r="X93" s="384" t="str">
        <f>IFERROR(IF(TRANSHARI1_ROKOKMALAM[[#This Row],[NAMA REKENING]]="","",TRANSHARI1_ROKOKMALAM[[#This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IFERROR(VLOOKUP(TRANSHARI1_ROKOKPAGI[[#This Row],[PRODUK]],DATA_ROKOK[],3,FALSE),"")</f>
        <v/>
      </c>
      <c r="E94" s="374"/>
      <c r="F94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4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4" s="12"/>
      <c r="I94" s="386" t="str">
        <f>IFERROR(IF(TRANSHARI1_ROKOKPAGI[[#This Row],[NAMA REKENING]]="","",TRANSHARI1_ROKOKPAGI[[#This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IFERROR(VLOOKUP(TRANSHARI1_ROKOKMALAM[[#This Row],[PRODUK]],DATA_ROKOK[],3,FALSE),"")</f>
        <v/>
      </c>
      <c r="T94" s="374"/>
      <c r="U94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4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4" s="12"/>
      <c r="X94" s="386" t="str">
        <f>IFERROR(IF(TRANSHARI1_ROKOKMALAM[[#This Row],[NAMA REKENING]]="","",TRANSHARI1_ROKOKMALAM[[#This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IFERROR(VLOOKUP(TRANSHARI1_ROKOKPAGI[[#This Row],[PRODUK]],DATA_ROKOK[],3,FALSE),"")</f>
        <v/>
      </c>
      <c r="E95" s="374"/>
      <c r="F95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5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5" s="12"/>
      <c r="I95" s="384" t="str">
        <f>IFERROR(IF(TRANSHARI1_ROKOKPAGI[[#This Row],[NAMA REKENING]]="","",TRANSHARI1_ROKOKPAGI[[#This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IFERROR(VLOOKUP(TRANSHARI1_ROKOKMALAM[[#This Row],[PRODUK]],DATA_ROKOK[],3,FALSE),"")</f>
        <v/>
      </c>
      <c r="T95" s="374"/>
      <c r="U95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5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5" s="12"/>
      <c r="X95" s="384" t="str">
        <f>IFERROR(IF(TRANSHARI1_ROKOKMALAM[[#This Row],[NAMA REKENING]]="","",TRANSHARI1_ROKOKMALAM[[#This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IFERROR(VLOOKUP(TRANSHARI1_ROKOKPAGI[[#This Row],[PRODUK]],DATA_ROKOK[],3,FALSE),"")</f>
        <v/>
      </c>
      <c r="E96" s="374"/>
      <c r="F96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6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6" s="12"/>
      <c r="I96" s="386" t="str">
        <f>IFERROR(IF(TRANSHARI1_ROKOKPAGI[[#This Row],[NAMA REKENING]]="","",TRANSHARI1_ROKOKPAGI[[#This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IFERROR(VLOOKUP(TRANSHARI1_ROKOKMALAM[[#This Row],[PRODUK]],DATA_ROKOK[],3,FALSE),"")</f>
        <v/>
      </c>
      <c r="T96" s="374"/>
      <c r="U96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6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6" s="12"/>
      <c r="X96" s="386" t="str">
        <f>IFERROR(IF(TRANSHARI1_ROKOKMALAM[[#This Row],[NAMA REKENING]]="","",TRANSHARI1_ROKOKMALAM[[#This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IFERROR(VLOOKUP(TRANSHARI1_ROKOKPAGI[[#This Row],[PRODUK]],DATA_ROKOK[],3,FALSE),"")</f>
        <v/>
      </c>
      <c r="E97" s="374"/>
      <c r="F97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7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7" s="12"/>
      <c r="I97" s="384" t="str">
        <f>IFERROR(IF(TRANSHARI1_ROKOKPAGI[[#This Row],[NAMA REKENING]]="","",TRANSHARI1_ROKOKPAGI[[#This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IFERROR(VLOOKUP(TRANSHARI1_ROKOKMALAM[[#This Row],[PRODUK]],DATA_ROKOK[],3,FALSE),"")</f>
        <v/>
      </c>
      <c r="T97" s="374"/>
      <c r="U97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7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7" s="12"/>
      <c r="X97" s="384" t="str">
        <f>IFERROR(IF(TRANSHARI1_ROKOKMALAM[[#This Row],[NAMA REKENING]]="","",TRANSHARI1_ROKOKMALAM[[#This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IFERROR(VLOOKUP(TRANSHARI1_ROKOKPAGI[[#This Row],[PRODUK]],DATA_ROKOK[],3,FALSE),"")</f>
        <v/>
      </c>
      <c r="E98" s="374"/>
      <c r="F98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8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8" s="12"/>
      <c r="I98" s="386" t="str">
        <f>IFERROR(IF(TRANSHARI1_ROKOKPAGI[[#This Row],[NAMA REKENING]]="","",TRANSHARI1_ROKOKPAGI[[#This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IFERROR(VLOOKUP(TRANSHARI1_ROKOKMALAM[[#This Row],[PRODUK]],DATA_ROKOK[],3,FALSE),"")</f>
        <v/>
      </c>
      <c r="T98" s="374"/>
      <c r="U98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8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8" s="12"/>
      <c r="X98" s="386" t="str">
        <f>IFERROR(IF(TRANSHARI1_ROKOKMALAM[[#This Row],[NAMA REKENING]]="","",TRANSHARI1_ROKOKMALAM[[#This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IFERROR(VLOOKUP(TRANSHARI1_ROKOKPAGI[[#This Row],[PRODUK]],DATA_ROKOK[],3,FALSE),"")</f>
        <v/>
      </c>
      <c r="E99" s="374"/>
      <c r="F99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99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99" s="12"/>
      <c r="I99" s="384" t="str">
        <f>IFERROR(IF(TRANSHARI1_ROKOKPAGI[[#This Row],[NAMA REKENING]]="","",TRANSHARI1_ROKOKPAGI[[#This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IFERROR(VLOOKUP(TRANSHARI1_ROKOKMALAM[[#This Row],[PRODUK]],DATA_ROKOK[],3,FALSE),"")</f>
        <v/>
      </c>
      <c r="T99" s="374"/>
      <c r="U99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99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99" s="12"/>
      <c r="X99" s="384" t="str">
        <f>IFERROR(IF(TRANSHARI1_ROKOKMALAM[[#This Row],[NAMA REKENING]]="","",TRANSHARI1_ROKOKMALAM[[#This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IFERROR(VLOOKUP(TRANSHARI1_ROKOKPAGI[[#This Row],[PRODUK]],DATA_ROKOK[],3,FALSE),"")</f>
        <v/>
      </c>
      <c r="E100" s="374"/>
      <c r="F100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0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0" s="12"/>
      <c r="I100" s="386" t="str">
        <f>IFERROR(IF(TRANSHARI1_ROKOKPAGI[[#This Row],[NAMA REKENING]]="","",TRANSHARI1_ROKOKPAGI[[#This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IFERROR(VLOOKUP(TRANSHARI1_ROKOKMALAM[[#This Row],[PRODUK]],DATA_ROKOK[],3,FALSE),"")</f>
        <v/>
      </c>
      <c r="T100" s="374"/>
      <c r="U100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0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0" s="12"/>
      <c r="X100" s="386" t="str">
        <f>IFERROR(IF(TRANSHARI1_ROKOKMALAM[[#This Row],[NAMA REKENING]]="","",TRANSHARI1_ROKOKMALAM[[#This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IFERROR(VLOOKUP(TRANSHARI1_ROKOKPAGI[[#This Row],[PRODUK]],DATA_ROKOK[],3,FALSE),"")</f>
        <v/>
      </c>
      <c r="E101" s="374"/>
      <c r="F101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1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1" s="12"/>
      <c r="I101" s="384" t="str">
        <f>IFERROR(IF(TRANSHARI1_ROKOKPAGI[[#This Row],[NAMA REKENING]]="","",TRANSHARI1_ROKOKPAGI[[#This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IFERROR(VLOOKUP(TRANSHARI1_ROKOKMALAM[[#This Row],[PRODUK]],DATA_ROKOK[],3,FALSE),"")</f>
        <v/>
      </c>
      <c r="T101" s="374"/>
      <c r="U101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1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1" s="12"/>
      <c r="X101" s="384" t="str">
        <f>IFERROR(IF(TRANSHARI1_ROKOKMALAM[[#This Row],[NAMA REKENING]]="","",TRANSHARI1_ROKOKMALAM[[#This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IFERROR(VLOOKUP(TRANSHARI1_ROKOKPAGI[[#This Row],[PRODUK]],DATA_ROKOK[],3,FALSE),"")</f>
        <v/>
      </c>
      <c r="E102" s="374"/>
      <c r="F102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2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2" s="12"/>
      <c r="I102" s="386" t="str">
        <f>IFERROR(IF(TRANSHARI1_ROKOKPAGI[[#This Row],[NAMA REKENING]]="","",TRANSHARI1_ROKOKPAGI[[#This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IFERROR(VLOOKUP(TRANSHARI1_ROKOKMALAM[[#This Row],[PRODUK]],DATA_ROKOK[],3,FALSE),"")</f>
        <v/>
      </c>
      <c r="T102" s="374"/>
      <c r="U102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2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2" s="12"/>
      <c r="X102" s="386" t="str">
        <f>IFERROR(IF(TRANSHARI1_ROKOKMALAM[[#This Row],[NAMA REKENING]]="","",TRANSHARI1_ROKOKMALAM[[#This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IFERROR(VLOOKUP(TRANSHARI1_ROKOKPAGI[[#This Row],[PRODUK]],DATA_ROKOK[],3,FALSE),"")</f>
        <v/>
      </c>
      <c r="E103" s="374"/>
      <c r="F103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3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3" s="12"/>
      <c r="I103" s="384" t="str">
        <f>IFERROR(IF(TRANSHARI1_ROKOKPAGI[[#This Row],[NAMA REKENING]]="","",TRANSHARI1_ROKOKPAGI[[#This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IFERROR(VLOOKUP(TRANSHARI1_ROKOKMALAM[[#This Row],[PRODUK]],DATA_ROKOK[],3,FALSE),"")</f>
        <v/>
      </c>
      <c r="T103" s="374"/>
      <c r="U103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3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3" s="12"/>
      <c r="X103" s="384" t="str">
        <f>IFERROR(IF(TRANSHARI1_ROKOKMALAM[[#This Row],[NAMA REKENING]]="","",TRANSHARI1_ROKOKMALAM[[#This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IFERROR(VLOOKUP(TRANSHARI1_ROKOKPAGI[[#This Row],[PRODUK]],DATA_ROKOK[],3,FALSE),"")</f>
        <v/>
      </c>
      <c r="E104" s="374"/>
      <c r="F104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4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4" s="12"/>
      <c r="I104" s="386" t="str">
        <f>IFERROR(IF(TRANSHARI1_ROKOKPAGI[[#This Row],[NAMA REKENING]]="","",TRANSHARI1_ROKOKPAGI[[#This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IFERROR(VLOOKUP(TRANSHARI1_ROKOKMALAM[[#This Row],[PRODUK]],DATA_ROKOK[],3,FALSE),"")</f>
        <v/>
      </c>
      <c r="T104" s="374"/>
      <c r="U104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4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4" s="12"/>
      <c r="X104" s="386" t="str">
        <f>IFERROR(IF(TRANSHARI1_ROKOKMALAM[[#This Row],[NAMA REKENING]]="","",TRANSHARI1_ROKOKMALAM[[#This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IFERROR(VLOOKUP(TRANSHARI1_ROKOKPAGI[[#This Row],[PRODUK]],DATA_ROKOK[],3,FALSE),"")</f>
        <v/>
      </c>
      <c r="E105" s="374"/>
      <c r="F105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5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5" s="12"/>
      <c r="I105" s="384" t="str">
        <f>IFERROR(IF(TRANSHARI1_ROKOKPAGI[[#This Row],[NAMA REKENING]]="","",TRANSHARI1_ROKOKPAGI[[#This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IFERROR(VLOOKUP(TRANSHARI1_ROKOKMALAM[[#This Row],[PRODUK]],DATA_ROKOK[],3,FALSE),"")</f>
        <v/>
      </c>
      <c r="T105" s="374"/>
      <c r="U105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5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5" s="12"/>
      <c r="X105" s="384" t="str">
        <f>IFERROR(IF(TRANSHARI1_ROKOKMALAM[[#This Row],[NAMA REKENING]]="","",TRANSHARI1_ROKOKMALAM[[#This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IFERROR(VLOOKUP(TRANSHARI1_ROKOKPAGI[[#This Row],[PRODUK]],DATA_ROKOK[],3,FALSE),"")</f>
        <v/>
      </c>
      <c r="E106" s="374"/>
      <c r="F106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6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6" s="12"/>
      <c r="I106" s="386" t="str">
        <f>IFERROR(IF(TRANSHARI1_ROKOKPAGI[[#This Row],[NAMA REKENING]]="","",TRANSHARI1_ROKOKPAGI[[#This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IFERROR(VLOOKUP(TRANSHARI1_ROKOKMALAM[[#This Row],[PRODUK]],DATA_ROKOK[],3,FALSE),"")</f>
        <v/>
      </c>
      <c r="T106" s="374"/>
      <c r="U106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6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6" s="12"/>
      <c r="X106" s="386" t="str">
        <f>IFERROR(IF(TRANSHARI1_ROKOKMALAM[[#This Row],[NAMA REKENING]]="","",TRANSHARI1_ROKOKMALAM[[#This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IFERROR(VLOOKUP(TRANSHARI1_ROKOKPAGI[[#This Row],[PRODUK]],DATA_ROKOK[],3,FALSE),"")</f>
        <v/>
      </c>
      <c r="E107" s="374"/>
      <c r="F107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7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7" s="12"/>
      <c r="I107" s="384" t="str">
        <f>IFERROR(IF(TRANSHARI1_ROKOKPAGI[[#This Row],[NAMA REKENING]]="","",TRANSHARI1_ROKOKPAGI[[#This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IFERROR(VLOOKUP(TRANSHARI1_ROKOKMALAM[[#This Row],[PRODUK]],DATA_ROKOK[],3,FALSE),"")</f>
        <v/>
      </c>
      <c r="T107" s="374"/>
      <c r="U107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7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7" s="12"/>
      <c r="X107" s="384" t="str">
        <f>IFERROR(IF(TRANSHARI1_ROKOKMALAM[[#This Row],[NAMA REKENING]]="","",TRANSHARI1_ROKOKMALAM[[#This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IFERROR(VLOOKUP(TRANSHARI1_ROKOKPAGI[[#This Row],[PRODUK]],DATA_ROKOK[],3,FALSE),"")</f>
        <v/>
      </c>
      <c r="E108" s="374"/>
      <c r="F108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8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8" s="12"/>
      <c r="I108" s="386" t="str">
        <f>IFERROR(IF(TRANSHARI1_ROKOKPAGI[[#This Row],[NAMA REKENING]]="","",TRANSHARI1_ROKOKPAGI[[#This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IFERROR(VLOOKUP(TRANSHARI1_ROKOKMALAM[[#This Row],[PRODUK]],DATA_ROKOK[],3,FALSE),"")</f>
        <v/>
      </c>
      <c r="T108" s="374"/>
      <c r="U108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8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8" s="12"/>
      <c r="X108" s="386" t="str">
        <f>IFERROR(IF(TRANSHARI1_ROKOKMALAM[[#This Row],[NAMA REKENING]]="","",TRANSHARI1_ROKOKMALAM[[#This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IFERROR(VLOOKUP(TRANSHARI1_ROKOKPAGI[[#This Row],[PRODUK]],DATA_ROKOK[],3,FALSE),"")</f>
        <v/>
      </c>
      <c r="E109" s="374"/>
      <c r="F109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09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09" s="12"/>
      <c r="I109" s="384" t="str">
        <f>IFERROR(IF(TRANSHARI1_ROKOKPAGI[[#This Row],[NAMA REKENING]]="","",TRANSHARI1_ROKOKPAGI[[#This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IFERROR(VLOOKUP(TRANSHARI1_ROKOKMALAM[[#This Row],[PRODUK]],DATA_ROKOK[],3,FALSE),"")</f>
        <v/>
      </c>
      <c r="T109" s="374"/>
      <c r="U109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09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09" s="12"/>
      <c r="X109" s="384" t="str">
        <f>IFERROR(IF(TRANSHARI1_ROKOKMALAM[[#This Row],[NAMA REKENING]]="","",TRANSHARI1_ROKOKMALAM[[#This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IFERROR(VLOOKUP(TRANSHARI1_ROKOKPAGI[[#This Row],[PRODUK]],DATA_ROKOK[],3,FALSE),"")</f>
        <v/>
      </c>
      <c r="E110" s="376"/>
      <c r="F110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0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0" s="377"/>
      <c r="I110" s="386" t="str">
        <f>IFERROR(IF(TRANSHARI1_ROKOKPAGI[[#This Row],[NAMA REKENING]]="","",TRANSHARI1_ROKOKPAGI[[#This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IFERROR(VLOOKUP(TRANSHARI1_ROKOKMALAM[[#This Row],[PRODUK]],DATA_ROKOK[],3,FALSE),"")</f>
        <v/>
      </c>
      <c r="T110" s="376"/>
      <c r="U110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0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0" s="377"/>
      <c r="X110" s="386" t="str">
        <f>IFERROR(IF(TRANSHARI1_ROKOKMALAM[[#This Row],[NAMA REKENING]]="","",TRANSHARI1_ROKOKMALAM[[#This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IFERROR(VLOOKUP(TRANSHARI1_ROKOKPAGI[[#This Row],[PRODUK]],DATA_ROKOK[],3,FALSE),"")</f>
        <v/>
      </c>
      <c r="E111" s="374"/>
      <c r="F111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1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1" s="12"/>
      <c r="I111" s="384" t="str">
        <f>IFERROR(IF(TRANSHARI1_ROKOKPAGI[[#This Row],[NAMA REKENING]]="","",TRANSHARI1_ROKOKPAGI[[#This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IFERROR(VLOOKUP(TRANSHARI1_ROKOKMALAM[[#This Row],[PRODUK]],DATA_ROKOK[],3,FALSE),"")</f>
        <v/>
      </c>
      <c r="T111" s="374"/>
      <c r="U111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1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1" s="12"/>
      <c r="X111" s="384" t="str">
        <f>IFERROR(IF(TRANSHARI1_ROKOKMALAM[[#This Row],[NAMA REKENING]]="","",TRANSHARI1_ROKOKMALAM[[#This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IFERROR(VLOOKUP(TRANSHARI1_ROKOKPAGI[[#This Row],[PRODUK]],DATA_ROKOK[],3,FALSE),"")</f>
        <v/>
      </c>
      <c r="E112" s="374"/>
      <c r="F112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2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2" s="12"/>
      <c r="I112" s="386" t="str">
        <f>IFERROR(IF(TRANSHARI1_ROKOKPAGI[[#This Row],[NAMA REKENING]]="","",TRANSHARI1_ROKOKPAGI[[#This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IFERROR(VLOOKUP(TRANSHARI1_ROKOKMALAM[[#This Row],[PRODUK]],DATA_ROKOK[],3,FALSE),"")</f>
        <v/>
      </c>
      <c r="T112" s="374"/>
      <c r="U112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2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2" s="12"/>
      <c r="X112" s="386" t="str">
        <f>IFERROR(IF(TRANSHARI1_ROKOKMALAM[[#This Row],[NAMA REKENING]]="","",TRANSHARI1_ROKOKMALAM[[#This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IFERROR(VLOOKUP(TRANSHARI1_ROKOKPAGI[[#This Row],[PRODUK]],DATA_ROKOK[],3,FALSE),"")</f>
        <v/>
      </c>
      <c r="E113" s="374"/>
      <c r="F113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3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3" s="12"/>
      <c r="I113" s="384" t="str">
        <f>IFERROR(IF(TRANSHARI1_ROKOKPAGI[[#This Row],[NAMA REKENING]]="","",TRANSHARI1_ROKOKPAGI[[#This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IFERROR(VLOOKUP(TRANSHARI1_ROKOKMALAM[[#This Row],[PRODUK]],DATA_ROKOK[],3,FALSE),"")</f>
        <v/>
      </c>
      <c r="T113" s="374"/>
      <c r="U113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3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3" s="12"/>
      <c r="X113" s="384" t="str">
        <f>IFERROR(IF(TRANSHARI1_ROKOKMALAM[[#This Row],[NAMA REKENING]]="","",TRANSHARI1_ROKOKMALAM[[#This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IFERROR(VLOOKUP(TRANSHARI1_ROKOKPAGI[[#This Row],[PRODUK]],DATA_ROKOK[],3,FALSE),"")</f>
        <v/>
      </c>
      <c r="E114" s="374"/>
      <c r="F114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4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4" s="12"/>
      <c r="I114" s="386" t="str">
        <f>IFERROR(IF(TRANSHARI1_ROKOKPAGI[[#This Row],[NAMA REKENING]]="","",TRANSHARI1_ROKOKPAGI[[#This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IFERROR(VLOOKUP(TRANSHARI1_ROKOKMALAM[[#This Row],[PRODUK]],DATA_ROKOK[],3,FALSE),"")</f>
        <v/>
      </c>
      <c r="T114" s="374"/>
      <c r="U114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4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4" s="12"/>
      <c r="X114" s="386" t="str">
        <f>IFERROR(IF(TRANSHARI1_ROKOKMALAM[[#This Row],[NAMA REKENING]]="","",TRANSHARI1_ROKOKMALAM[[#This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IFERROR(VLOOKUP(TRANSHARI1_ROKOKPAGI[[#This Row],[PRODUK]],DATA_ROKOK[],3,FALSE),"")</f>
        <v/>
      </c>
      <c r="E115" s="374"/>
      <c r="F115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5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5" s="12"/>
      <c r="I115" s="384" t="str">
        <f>IFERROR(IF(TRANSHARI1_ROKOKPAGI[[#This Row],[NAMA REKENING]]="","",TRANSHARI1_ROKOKPAGI[[#This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IFERROR(VLOOKUP(TRANSHARI1_ROKOKMALAM[[#This Row],[PRODUK]],DATA_ROKOK[],3,FALSE),"")</f>
        <v/>
      </c>
      <c r="T115" s="374"/>
      <c r="U115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5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5" s="12"/>
      <c r="X115" s="384" t="str">
        <f>IFERROR(IF(TRANSHARI1_ROKOKMALAM[[#This Row],[NAMA REKENING]]="","",TRANSHARI1_ROKOKMALAM[[#This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IFERROR(VLOOKUP(TRANSHARI1_ROKOKPAGI[[#This Row],[PRODUK]],DATA_ROKOK[],3,FALSE),"")</f>
        <v/>
      </c>
      <c r="E116" s="374"/>
      <c r="F116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6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6" s="12"/>
      <c r="I116" s="386" t="str">
        <f>IFERROR(IF(TRANSHARI1_ROKOKPAGI[[#This Row],[NAMA REKENING]]="","",TRANSHARI1_ROKOKPAGI[[#This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IFERROR(VLOOKUP(TRANSHARI1_ROKOKMALAM[[#This Row],[PRODUK]],DATA_ROKOK[],3,FALSE),"")</f>
        <v/>
      </c>
      <c r="T116" s="374"/>
      <c r="U116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6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6" s="12"/>
      <c r="X116" s="386" t="str">
        <f>IFERROR(IF(TRANSHARI1_ROKOKMALAM[[#This Row],[NAMA REKENING]]="","",TRANSHARI1_ROKOKMALAM[[#This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IFERROR(VLOOKUP(TRANSHARI1_ROKOKPAGI[[#This Row],[PRODUK]],DATA_ROKOK[],3,FALSE),"")</f>
        <v/>
      </c>
      <c r="E117" s="374"/>
      <c r="F117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7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7" s="12"/>
      <c r="I117" s="384" t="str">
        <f>IFERROR(IF(TRANSHARI1_ROKOKPAGI[[#This Row],[NAMA REKENING]]="","",TRANSHARI1_ROKOKPAGI[[#This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IFERROR(VLOOKUP(TRANSHARI1_ROKOKMALAM[[#This Row],[PRODUK]],DATA_ROKOK[],3,FALSE),"")</f>
        <v/>
      </c>
      <c r="T117" s="374"/>
      <c r="U117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7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7" s="12"/>
      <c r="X117" s="384" t="str">
        <f>IFERROR(IF(TRANSHARI1_ROKOKMALAM[[#This Row],[NAMA REKENING]]="","",TRANSHARI1_ROKOKMALAM[[#This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IFERROR(VLOOKUP(TRANSHARI1_ROKOKPAGI[[#This Row],[PRODUK]],DATA_ROKOK[],3,FALSE),"")</f>
        <v/>
      </c>
      <c r="E118" s="374"/>
      <c r="F118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8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8" s="12"/>
      <c r="I118" s="386" t="str">
        <f>IFERROR(IF(TRANSHARI1_ROKOKPAGI[[#This Row],[NAMA REKENING]]="","",TRANSHARI1_ROKOKPAGI[[#This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IFERROR(VLOOKUP(TRANSHARI1_ROKOKMALAM[[#This Row],[PRODUK]],DATA_ROKOK[],3,FALSE),"")</f>
        <v/>
      </c>
      <c r="T118" s="374"/>
      <c r="U118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8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8" s="12"/>
      <c r="X118" s="386" t="str">
        <f>IFERROR(IF(TRANSHARI1_ROKOKMALAM[[#This Row],[NAMA REKENING]]="","",TRANSHARI1_ROKOKMALAM[[#This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IFERROR(VLOOKUP(TRANSHARI1_ROKOKPAGI[[#This Row],[PRODUK]],DATA_ROKOK[],3,FALSE),"")</f>
        <v/>
      </c>
      <c r="E119" s="374"/>
      <c r="F119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19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19" s="12"/>
      <c r="I119" s="384" t="str">
        <f>IFERROR(IF(TRANSHARI1_ROKOKPAGI[[#This Row],[NAMA REKENING]]="","",TRANSHARI1_ROKOKPAGI[[#This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IFERROR(VLOOKUP(TRANSHARI1_ROKOKMALAM[[#This Row],[PRODUK]],DATA_ROKOK[],3,FALSE),"")</f>
        <v/>
      </c>
      <c r="T119" s="374"/>
      <c r="U119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19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19" s="12"/>
      <c r="X119" s="384" t="str">
        <f>IFERROR(IF(TRANSHARI1_ROKOKMALAM[[#This Row],[NAMA REKENING]]="","",TRANSHARI1_ROKOKMALAM[[#This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IFERROR(VLOOKUP(TRANSHARI1_ROKOKPAGI[[#This Row],[PRODUK]],DATA_ROKOK[],3,FALSE),"")</f>
        <v/>
      </c>
      <c r="E120" s="374"/>
      <c r="F120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0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0" s="12"/>
      <c r="I120" s="386" t="str">
        <f>IFERROR(IF(TRANSHARI1_ROKOKPAGI[[#This Row],[NAMA REKENING]]="","",TRANSHARI1_ROKOKPAGI[[#This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IFERROR(VLOOKUP(TRANSHARI1_ROKOKMALAM[[#This Row],[PRODUK]],DATA_ROKOK[],3,FALSE),"")</f>
        <v/>
      </c>
      <c r="T120" s="374"/>
      <c r="U120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0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0" s="12"/>
      <c r="X120" s="386" t="str">
        <f>IFERROR(IF(TRANSHARI1_ROKOKMALAM[[#This Row],[NAMA REKENING]]="","",TRANSHARI1_ROKOKMALAM[[#This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IFERROR(VLOOKUP(TRANSHARI1_ROKOKPAGI[[#This Row],[PRODUK]],DATA_ROKOK[],3,FALSE),"")</f>
        <v/>
      </c>
      <c r="E121" s="374"/>
      <c r="F121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1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1" s="12"/>
      <c r="I121" s="384" t="str">
        <f>IFERROR(IF(TRANSHARI1_ROKOKPAGI[[#This Row],[NAMA REKENING]]="","",TRANSHARI1_ROKOKPAGI[[#This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IFERROR(VLOOKUP(TRANSHARI1_ROKOKMALAM[[#This Row],[PRODUK]],DATA_ROKOK[],3,FALSE),"")</f>
        <v/>
      </c>
      <c r="T121" s="374"/>
      <c r="U121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1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1" s="12"/>
      <c r="X121" s="384" t="str">
        <f>IFERROR(IF(TRANSHARI1_ROKOKMALAM[[#This Row],[NAMA REKENING]]="","",TRANSHARI1_ROKOKMALAM[[#This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IFERROR(VLOOKUP(TRANSHARI1_ROKOKPAGI[[#This Row],[PRODUK]],DATA_ROKOK[],3,FALSE),"")</f>
        <v/>
      </c>
      <c r="E122" s="374"/>
      <c r="F122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2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2" s="12"/>
      <c r="I122" s="386" t="str">
        <f>IFERROR(IF(TRANSHARI1_ROKOKPAGI[[#This Row],[NAMA REKENING]]="","",TRANSHARI1_ROKOKPAGI[[#This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IFERROR(VLOOKUP(TRANSHARI1_ROKOKMALAM[[#This Row],[PRODUK]],DATA_ROKOK[],3,FALSE),"")</f>
        <v/>
      </c>
      <c r="T122" s="374"/>
      <c r="U122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2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2" s="12"/>
      <c r="X122" s="386" t="str">
        <f>IFERROR(IF(TRANSHARI1_ROKOKMALAM[[#This Row],[NAMA REKENING]]="","",TRANSHARI1_ROKOKMALAM[[#This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IFERROR(VLOOKUP(TRANSHARI1_ROKOKPAGI[[#This Row],[PRODUK]],DATA_ROKOK[],3,FALSE),"")</f>
        <v/>
      </c>
      <c r="E123" s="374"/>
      <c r="F123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3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3" s="12"/>
      <c r="I123" s="384" t="str">
        <f>IFERROR(IF(TRANSHARI1_ROKOKPAGI[[#This Row],[NAMA REKENING]]="","",TRANSHARI1_ROKOKPAGI[[#This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IFERROR(VLOOKUP(TRANSHARI1_ROKOKMALAM[[#This Row],[PRODUK]],DATA_ROKOK[],3,FALSE),"")</f>
        <v/>
      </c>
      <c r="T123" s="374"/>
      <c r="U123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3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3" s="12"/>
      <c r="X123" s="384" t="str">
        <f>IFERROR(IF(TRANSHARI1_ROKOKMALAM[[#This Row],[NAMA REKENING]]="","",TRANSHARI1_ROKOKMALAM[[#This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IFERROR(VLOOKUP(TRANSHARI1_ROKOKPAGI[[#This Row],[PRODUK]],DATA_ROKOK[],3,FALSE),"")</f>
        <v/>
      </c>
      <c r="E124" s="374"/>
      <c r="F124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4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4" s="12"/>
      <c r="I124" s="386" t="str">
        <f>IFERROR(IF(TRANSHARI1_ROKOKPAGI[[#This Row],[NAMA REKENING]]="","",TRANSHARI1_ROKOKPAGI[[#This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IFERROR(VLOOKUP(TRANSHARI1_ROKOKMALAM[[#This Row],[PRODUK]],DATA_ROKOK[],3,FALSE),"")</f>
        <v/>
      </c>
      <c r="T124" s="374"/>
      <c r="U124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4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4" s="12"/>
      <c r="X124" s="386" t="str">
        <f>IFERROR(IF(TRANSHARI1_ROKOKMALAM[[#This Row],[NAMA REKENING]]="","",TRANSHARI1_ROKOKMALAM[[#This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IFERROR(VLOOKUP(TRANSHARI1_ROKOKPAGI[[#This Row],[PRODUK]],DATA_ROKOK[],3,FALSE),"")</f>
        <v/>
      </c>
      <c r="E125" s="374"/>
      <c r="F125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5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5" s="12"/>
      <c r="I125" s="384" t="str">
        <f>IFERROR(IF(TRANSHARI1_ROKOKPAGI[[#This Row],[NAMA REKENING]]="","",TRANSHARI1_ROKOKPAGI[[#This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IFERROR(VLOOKUP(TRANSHARI1_ROKOKMALAM[[#This Row],[PRODUK]],DATA_ROKOK[],3,FALSE),"")</f>
        <v/>
      </c>
      <c r="T125" s="374"/>
      <c r="U125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5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5" s="12"/>
      <c r="X125" s="384" t="str">
        <f>IFERROR(IF(TRANSHARI1_ROKOKMALAM[[#This Row],[NAMA REKENING]]="","",TRANSHARI1_ROKOKMALAM[[#This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IFERROR(VLOOKUP(TRANSHARI1_ROKOKPAGI[[#This Row],[PRODUK]],DATA_ROKOK[],3,FALSE),"")</f>
        <v/>
      </c>
      <c r="E126" s="374"/>
      <c r="F126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6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6" s="12"/>
      <c r="I126" s="386" t="str">
        <f>IFERROR(IF(TRANSHARI1_ROKOKPAGI[[#This Row],[NAMA REKENING]]="","",TRANSHARI1_ROKOKPAGI[[#This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IFERROR(VLOOKUP(TRANSHARI1_ROKOKMALAM[[#This Row],[PRODUK]],DATA_ROKOK[],3,FALSE),"")</f>
        <v/>
      </c>
      <c r="T126" s="374"/>
      <c r="U126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6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6" s="12"/>
      <c r="X126" s="386" t="str">
        <f>IFERROR(IF(TRANSHARI1_ROKOKMALAM[[#This Row],[NAMA REKENING]]="","",TRANSHARI1_ROKOKMALAM[[#This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IFERROR(VLOOKUP(TRANSHARI1_ROKOKPAGI[[#This Row],[PRODUK]],DATA_ROKOK[],3,FALSE),"")</f>
        <v/>
      </c>
      <c r="E127" s="374"/>
      <c r="F127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7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7" s="12"/>
      <c r="I127" s="384" t="str">
        <f>IFERROR(IF(TRANSHARI1_ROKOKPAGI[[#This Row],[NAMA REKENING]]="","",TRANSHARI1_ROKOKPAGI[[#This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IFERROR(VLOOKUP(TRANSHARI1_ROKOKMALAM[[#This Row],[PRODUK]],DATA_ROKOK[],3,FALSE),"")</f>
        <v/>
      </c>
      <c r="T127" s="374"/>
      <c r="U127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7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7" s="12"/>
      <c r="X127" s="384" t="str">
        <f>IFERROR(IF(TRANSHARI1_ROKOKMALAM[[#This Row],[NAMA REKENING]]="","",TRANSHARI1_ROKOKMALAM[[#This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IFERROR(VLOOKUP(TRANSHARI1_ROKOKPAGI[[#This Row],[PRODUK]],DATA_ROKOK[],3,FALSE),"")</f>
        <v/>
      </c>
      <c r="E128" s="374"/>
      <c r="F128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8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8" s="12"/>
      <c r="I128" s="386" t="str">
        <f>IFERROR(IF(TRANSHARI1_ROKOKPAGI[[#This Row],[NAMA REKENING]]="","",TRANSHARI1_ROKOKPAGI[[#This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IFERROR(VLOOKUP(TRANSHARI1_ROKOKMALAM[[#This Row],[PRODUK]],DATA_ROKOK[],3,FALSE),"")</f>
        <v/>
      </c>
      <c r="T128" s="374"/>
      <c r="U128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8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8" s="12"/>
      <c r="X128" s="386" t="str">
        <f>IFERROR(IF(TRANSHARI1_ROKOKMALAM[[#This Row],[NAMA REKENING]]="","",TRANSHARI1_ROKOKMALAM[[#This Row],[DEBIT]]),"")</f>
        <v/>
      </c>
      <c r="Y128" s="387"/>
      <c r="Z128" s="389">
        <f>U135+V135</f>
        <v>88000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IFERROR(VLOOKUP(TRANSHARI1_ROKOKPAGI[[#This Row],[PRODUK]],DATA_ROKOK[],3,FALSE),"")</f>
        <v/>
      </c>
      <c r="E129" s="374"/>
      <c r="F129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29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29" s="12"/>
      <c r="I129" s="384" t="str">
        <f>IFERROR(IF(TRANSHARI1_ROKOKPAGI[[#This Row],[NAMA REKENING]]="","",TRANSHARI1_ROKOKPAGI[[#This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IFERROR(VLOOKUP(TRANSHARI1_ROKOKMALAM[[#This Row],[PRODUK]],DATA_ROKOK[],3,FALSE),"")</f>
        <v/>
      </c>
      <c r="T129" s="374"/>
      <c r="U129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29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29" s="12"/>
      <c r="X129" s="384" t="str">
        <f>IFERROR(IF(TRANSHARI1_ROKOKMALAM[[#This Row],[NAMA REKENING]]="","",TRANSHARI1_ROKOKMALAM[[#This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IFERROR(VLOOKUP(TRANSHARI1_ROKOKPAGI[[#This Row],[PRODUK]],DATA_ROKOK[],3,FALSE),"")</f>
        <v/>
      </c>
      <c r="E130" s="374"/>
      <c r="F130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30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30" s="12"/>
      <c r="I130" s="386" t="str">
        <f>IFERROR(IF(TRANSHARI1_ROKOKPAGI[[#This Row],[NAMA REKENING]]="","",TRANSHARI1_ROKOKPAGI[[#This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IFERROR(VLOOKUP(TRANSHARI1_ROKOKMALAM[[#This Row],[PRODUK]],DATA_ROKOK[],3,FALSE),"")</f>
        <v/>
      </c>
      <c r="T130" s="374"/>
      <c r="U130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30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30" s="12"/>
      <c r="X130" s="386" t="str">
        <f>IFERROR(IF(TRANSHARI1_ROKOKMALAM[[#This Row],[NAMA REKENING]]="","",TRANSHARI1_ROKOKMALAM[[#This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IFERROR(VLOOKUP(TRANSHARI1_ROKOKPAGI[[#This Row],[PRODUK]],DATA_ROKOK[],3,FALSE),"")</f>
        <v/>
      </c>
      <c r="E131" s="374"/>
      <c r="F131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31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31" s="12"/>
      <c r="I131" s="384" t="str">
        <f>IFERROR(IF(TRANSHARI1_ROKOKPAGI[[#This Row],[NAMA REKENING]]="","",TRANSHARI1_ROKOKPAGI[[#This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IFERROR(VLOOKUP(TRANSHARI1_ROKOKMALAM[[#This Row],[PRODUK]],DATA_ROKOK[],3,FALSE),"")</f>
        <v/>
      </c>
      <c r="T131" s="374"/>
      <c r="U131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31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31" s="12"/>
      <c r="X131" s="384" t="str">
        <f>IFERROR(IF(TRANSHARI1_ROKOKMALAM[[#This Row],[NAMA REKENING]]="","",TRANSHARI1_ROKOKMALAM[[#This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IFERROR(VLOOKUP(TRANSHARI1_ROKOKPAGI[[#This Row],[PRODUK]],DATA_ROKOK[],3,FALSE),"")</f>
        <v/>
      </c>
      <c r="E132" s="374"/>
      <c r="F132" s="373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32" s="373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32" s="12"/>
      <c r="I132" s="386" t="str">
        <f>IFERROR(IF(TRANSHARI1_ROKOKPAGI[[#This Row],[NAMA REKENING]]="","",TRANSHARI1_ROKOKPAGI[[#This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IFERROR(VLOOKUP(TRANSHARI1_ROKOKMALAM[[#This Row],[PRODUK]],DATA_ROKOK[],3,FALSE),"")</f>
        <v/>
      </c>
      <c r="T132" s="374"/>
      <c r="U132" s="373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32" s="373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32" s="12"/>
      <c r="X132" s="386" t="str">
        <f>IFERROR(IF(TRANSHARI1_ROKOKMALAM[[#This Row],[NAMA REKENING]]="","",TRANSHARI1_ROKOKMALAM[[#This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IFERROR(VLOOKUP(TRANSHARI1_ROKOKPAGI[[#This Row],[PRODUK]],DATA_ROKOK[],3,FALSE),"")</f>
        <v/>
      </c>
      <c r="E133" s="374"/>
      <c r="F133" s="369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33" s="369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33" s="12"/>
      <c r="I133" s="384" t="str">
        <f>IFERROR(IF(TRANSHARI1_ROKOKPAGI[[#This Row],[NAMA REKENING]]="","",TRANSHARI1_ROKOKPAGI[[#This Row],[DEBIT]]),"")</f>
        <v/>
      </c>
      <c r="J133" s="387"/>
      <c r="K133" s="389">
        <f>F135+G135</f>
        <v>29500</v>
      </c>
      <c r="L133" s="390"/>
      <c r="O133" s="324"/>
      <c r="P133" s="367">
        <v>49</v>
      </c>
      <c r="Q133" s="368"/>
      <c r="R133" s="372"/>
      <c r="S133" s="369" t="str">
        <f>IFERROR(VLOOKUP(TRANSHARI1_ROKOKMALAM[[#This Row],[PRODUK]],DATA_ROKOK[],3,FALSE),"")</f>
        <v/>
      </c>
      <c r="T133" s="374"/>
      <c r="U133" s="369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33" s="369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33" s="12"/>
      <c r="X133" s="384" t="str">
        <f>IFERROR(IF(TRANSHARI1_ROKOKMALAM[[#This Row],[NAMA REKENING]]="","",TRANSHARI1_ROKOKMALAM[[#This Row],[DEBIT]]),"")</f>
        <v/>
      </c>
      <c r="Y133" s="387"/>
      <c r="Z133" s="400">
        <f>K133+Z128</f>
        <v>117500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IFERROR(VLOOKUP(TRANSHARI1_ROKOKPAGI[[#This Row],[PRODUK]],DATA_ROKOK[],3,FALSE),"")</f>
        <v/>
      </c>
      <c r="E134" s="376"/>
      <c r="F134" s="394" t="str">
        <f>IFERROR(IF(TRANSHARI1_ROKOKPAGI[[#This Row],[NAMA PENGHUTANG]]="",((TRANSHARI1_ROKOKPAGI[[#This Row],[HARGA]]*TRANSHARI1_ROKOKPAGI[[#This Row],[QUANTITY]])+TRANSHARI1_ROKOKPAGI[[#This Row],[PRICE TOLERANCE]]),""),"")</f>
        <v/>
      </c>
      <c r="G134" s="394" t="str">
        <f>IFERROR(IF(TRANSHARI1_ROKOKPAGI[[#This Row],[NAMA PENGHUTANG]]="","",((TRANSHARI1_ROKOKPAGI[[#This Row],[HARGA]]*TRANSHARI1_ROKOKPAGI[[#This Row],[QUANTITY]])+TRANSHARI1_ROKOKPAGI[[#This Row],[PRICE TOLERANCE]])),"")</f>
        <v/>
      </c>
      <c r="H134" s="377"/>
      <c r="I134" s="399" t="str">
        <f>IFERROR(IF(TRANSHARI1_ROKOKPAGI[[#This Row],[NAMA REKENING]]="","",TRANSHARI1_ROKOKPAGI[[#This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IFERROR(VLOOKUP(TRANSHARI1_ROKOKMALAM[[#This Row],[PRODUK]],DATA_ROKOK[],3,FALSE),"")</f>
        <v/>
      </c>
      <c r="T134" s="376"/>
      <c r="U134" s="394" t="str">
        <f>IFERROR(IF(TRANSHARI1_ROKOKMALAM[[#This Row],[NAMA PENGHUTANG]]="",((TRANSHARI1_ROKOKMALAM[[#This Row],[HARGA]]*TRANSHARI1_ROKOKMALAM[[#This Row],[QUANTITY]])+TRANSHARI1_ROKOKMALAM[[#This Row],[PRICE TOLERANCE]]),""),"")</f>
        <v/>
      </c>
      <c r="V134" s="394" t="str">
        <f>IFERROR(IF(TRANSHARI1_ROKOKMALAM[[#This Row],[NAMA PENGHUTANG]]="","",((TRANSHARI1_ROKOKMALAM[[#This Row],[HARGA]]*TRANSHARI1_ROKOKMALAM[[#This Row],[QUANTITY]])+TRANSHARI1_ROKOKMALAM[[#This Row],[PRICE TOLERANCE]])),"")</f>
        <v/>
      </c>
      <c r="W134" s="377"/>
      <c r="X134" s="399" t="str">
        <f>IFERROR(IF(TRANSHARI1_ROKOKMALAM[[#This Row],[NAMA REKENING]]="","",TRANSHARI1_ROKOKMALAM[[#This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SUM(TRANSHARI1_ROKOKPAGI[QUANTITY])</f>
        <v>3</v>
      </c>
      <c r="E135" s="396">
        <f>SUM(TRANSHARI1_ROKOKPAGI[PRICE TOLERANCE])</f>
        <v>0</v>
      </c>
      <c r="F135" s="396">
        <f>SUM(TRANSHARI1_ROKOKPAGI[DEBIT])</f>
        <v>29500</v>
      </c>
      <c r="G135" s="396">
        <f>SUM(TRANSHARI1_ROKOKPAGI[KREDIT])</f>
        <v>0</v>
      </c>
      <c r="I135" s="396">
        <f>SUM(TRANSHARI1_ROKOKPAGI[NOMINAL TRANSFER])</f>
        <v>0</v>
      </c>
      <c r="O135" s="324"/>
      <c r="P135" s="303" t="s">
        <v>78</v>
      </c>
      <c r="Q135" s="316"/>
      <c r="R135" s="395">
        <f>SUM(TRANSHARI1_ROKOKMALAM[QUANTITY])</f>
        <v>7</v>
      </c>
      <c r="T135" s="396">
        <f>SUM(TRANSHARI1_ROKOKMALAM[PRICE TOLERANCE])</f>
        <v>0</v>
      </c>
      <c r="U135" s="396">
        <f>SUM(TRANSHARI1_ROKOKMALAM[DEBIT])</f>
        <v>88000</v>
      </c>
      <c r="V135" s="396">
        <f>SUM(TRANSHARI1_ROKOKMALAM[KREDIT])</f>
        <v>0</v>
      </c>
      <c r="X135" s="396">
        <f>SUM(TRANSHARI1_ROKOKMALAM[NOMINAL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">
        <v>10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">
        <v>13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 t="s">
        <v>80</v>
      </c>
      <c r="C142" s="368">
        <v>1</v>
      </c>
      <c r="D142" s="369">
        <f>IFERROR(VLOOKUP(TRANSHARI1_SPVOUPAGI[[#This Row],[PRODUK]],DATA_SPVOU[],3,FALSE),"")</f>
        <v>38000</v>
      </c>
      <c r="E142" s="370"/>
      <c r="F142" s="369">
        <f>IFERROR(IF(TRANSHARI1_SPVOUPAGI[[#This Row],[NAMA PENGHUTANG]]="",((TRANSHARI1_SPVOUPAGI[[#This Row],[HARGA]]*TRANSHARI1_SPVOUPAGI[[#This Row],[QUANTITY]])+TRANSHARI1_SPVOUPAGI[[#This Row],[PRICE TOLERANCE]]),""),"")</f>
        <v>38000</v>
      </c>
      <c r="G142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2" s="371"/>
      <c r="I142" s="384" t="str">
        <f>IFERROR(IF(TRANSHARI1_SPVOUPAGI[[#This Row],[NAMA REKENING]]="","",TRANSHARI1_SPVOUPAGI[[#This Row],[DEBIT]]),"")</f>
        <v/>
      </c>
      <c r="J142" s="385"/>
      <c r="O142" s="324"/>
      <c r="P142" s="367">
        <v>1</v>
      </c>
      <c r="Q142" s="368" t="s">
        <v>81</v>
      </c>
      <c r="R142" s="368">
        <v>1</v>
      </c>
      <c r="S142" s="369">
        <f>IFERROR(VLOOKUP(TRANSHARI1_SPVOUMALAM[[#This Row],[PRODUK]],DATA_SPVOU[],3,FALSE),"")</f>
        <v>13000</v>
      </c>
      <c r="T142" s="370"/>
      <c r="U142" s="369">
        <f>IFERROR(IF(TRANSHARI1_SPVOUMALAM[[#This Row],[NAMA PENGHUTANG]]="",((TRANSHARI1_SPVOUMALAM[[#This Row],[HARGA]]*TRANSHARI1_SPVOUMALAM[[#This Row],[QUANTITY]])+TRANSHARI1_SPVOUMALAM[[#This Row],[PRICE TOLERANCE]]),""),"")</f>
        <v>13000</v>
      </c>
      <c r="V142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2" s="371"/>
      <c r="X142" s="384" t="str">
        <f>IFERROR(IF(TRANSHARI1_SPVOUMALAM[[#This Row],[NAMA REKENING]]="","",TRANSHARI1_SPVOUMALAM[[#This Row],[DEBIT]]),"")</f>
        <v/>
      </c>
      <c r="Y142" s="385"/>
    </row>
    <row r="143" spans="1:25">
      <c r="A143" s="367">
        <v>2</v>
      </c>
      <c r="B143" s="368" t="s">
        <v>82</v>
      </c>
      <c r="C143" s="372">
        <v>1</v>
      </c>
      <c r="D143" s="373">
        <f>IFERROR(VLOOKUP(TRANSHARI1_SPVOUPAGI[[#This Row],[PRODUK]],DATA_SPVOU[],3,FALSE),"")</f>
        <v>15000</v>
      </c>
      <c r="E143" s="374"/>
      <c r="F143" s="373">
        <f>IFERROR(IF(TRANSHARI1_SPVOUPAGI[[#This Row],[NAMA PENGHUTANG]]="",((TRANSHARI1_SPVOUPAGI[[#This Row],[HARGA]]*TRANSHARI1_SPVOUPAGI[[#This Row],[QUANTITY]])+TRANSHARI1_SPVOUPAGI[[#This Row],[PRICE TOLERANCE]]),""),"")</f>
        <v>15000</v>
      </c>
      <c r="G143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3" s="12"/>
      <c r="I143" s="386" t="str">
        <f>IFERROR(IF(TRANSHARI1_SPVOUPAGI[[#This Row],[NAMA REKENING]]="","",TRANSHARI1_SPVOUPAGI[[#This Row],[DEBIT]]),"")</f>
        <v/>
      </c>
      <c r="J143" s="387"/>
      <c r="O143" s="324"/>
      <c r="P143" s="367">
        <v>2</v>
      </c>
      <c r="Q143" s="368" t="s">
        <v>83</v>
      </c>
      <c r="R143" s="372">
        <v>1</v>
      </c>
      <c r="S143" s="373">
        <f>IFERROR(VLOOKUP(TRANSHARI1_SPVOUMALAM[[#This Row],[PRODUK]],DATA_SPVOU[],3,FALSE),"")</f>
        <v>12000</v>
      </c>
      <c r="T143" s="374"/>
      <c r="U143" s="373">
        <f>IFERROR(IF(TRANSHARI1_SPVOUMALAM[[#This Row],[NAMA PENGHUTANG]]="",((TRANSHARI1_SPVOUMALAM[[#This Row],[HARGA]]*TRANSHARI1_SPVOUMALAM[[#This Row],[QUANTITY]])+TRANSHARI1_SPVOUMALAM[[#This Row],[PRICE TOLERANCE]]),""),"")</f>
        <v>12000</v>
      </c>
      <c r="V143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3" s="12"/>
      <c r="X143" s="386" t="str">
        <f>IFERROR(IF(TRANSHARI1_SPVOUMALAM[[#This Row],[NAMA REKENING]]="","",TRANSHARI1_SPVOUMALAM[[#This Row],[DEBIT]]),"")</f>
        <v/>
      </c>
      <c r="Y143" s="387"/>
    </row>
    <row r="144" spans="1:25">
      <c r="A144" s="367">
        <v>3</v>
      </c>
      <c r="B144" s="368" t="s">
        <v>84</v>
      </c>
      <c r="C144" s="372">
        <v>1</v>
      </c>
      <c r="D144" s="369">
        <f>IFERROR(VLOOKUP(TRANSHARI1_SPVOUPAGI[[#This Row],[PRODUK]],DATA_SPVOU[],3,FALSE),"")</f>
        <v>23000</v>
      </c>
      <c r="E144" s="374"/>
      <c r="F144" s="369">
        <f>IFERROR(IF(TRANSHARI1_SPVOUPAGI[[#This Row],[NAMA PENGHUTANG]]="",((TRANSHARI1_SPVOUPAGI[[#This Row],[HARGA]]*TRANSHARI1_SPVOUPAGI[[#This Row],[QUANTITY]])+TRANSHARI1_SPVOUPAGI[[#This Row],[PRICE TOLERANCE]]),""),"")</f>
        <v>23000</v>
      </c>
      <c r="G144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4" s="12"/>
      <c r="I144" s="384" t="str">
        <f>IFERROR(IF(TRANSHARI1_SPVOUPAGI[[#This Row],[NAMA REKENING]]="","",TRANSHARI1_SPVOUPAGI[[#This Row],[DEBIT]]),"")</f>
        <v/>
      </c>
      <c r="J144" s="387"/>
      <c r="O144" s="324"/>
      <c r="P144" s="367">
        <v>3</v>
      </c>
      <c r="Q144" s="368" t="s">
        <v>82</v>
      </c>
      <c r="R144" s="372">
        <v>1</v>
      </c>
      <c r="S144" s="369">
        <f>IFERROR(VLOOKUP(TRANSHARI1_SPVOUMALAM[[#This Row],[PRODUK]],DATA_SPVOU[],3,FALSE),"")</f>
        <v>15000</v>
      </c>
      <c r="T144" s="374"/>
      <c r="U144" s="369">
        <f>IFERROR(IF(TRANSHARI1_SPVOUMALAM[[#This Row],[NAMA PENGHUTANG]]="",((TRANSHARI1_SPVOUMALAM[[#This Row],[HARGA]]*TRANSHARI1_SPVOUMALAM[[#This Row],[QUANTITY]])+TRANSHARI1_SPVOUMALAM[[#This Row],[PRICE TOLERANCE]]),""),"")</f>
        <v>15000</v>
      </c>
      <c r="V144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4" s="12"/>
      <c r="X144" s="384" t="str">
        <f>IFERROR(IF(TRANSHARI1_SPVOUMALAM[[#This Row],[NAMA REKENING]]="","",TRANSHARI1_SPVOUMALAM[[#This Row],[DEBIT]]),"")</f>
        <v/>
      </c>
      <c r="Y144" s="387"/>
    </row>
    <row r="145" spans="1:25">
      <c r="A145" s="367">
        <v>4</v>
      </c>
      <c r="B145" s="368" t="s">
        <v>85</v>
      </c>
      <c r="C145" s="372">
        <v>1</v>
      </c>
      <c r="D145" s="373">
        <f>IFERROR(VLOOKUP(TRANSHARI1_SPVOUPAGI[[#This Row],[PRODUK]],DATA_SPVOU[],3,FALSE),"")</f>
        <v>7000</v>
      </c>
      <c r="E145" s="374"/>
      <c r="F145" s="373">
        <f>IFERROR(IF(TRANSHARI1_SPVOUPAGI[[#This Row],[NAMA PENGHUTANG]]="",((TRANSHARI1_SPVOUPAGI[[#This Row],[HARGA]]*TRANSHARI1_SPVOUPAGI[[#This Row],[QUANTITY]])+TRANSHARI1_SPVOUPAGI[[#This Row],[PRICE TOLERANCE]]),""),"")</f>
        <v>7000</v>
      </c>
      <c r="G145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5" s="12"/>
      <c r="I145" s="386" t="str">
        <f>IFERROR(IF(TRANSHARI1_SPVOUPAGI[[#This Row],[NAMA REKENING]]="","",TRANSHARI1_SPVOUPAGI[[#This Row],[DEBIT]]),"")</f>
        <v/>
      </c>
      <c r="J145" s="387"/>
      <c r="O145" s="324"/>
      <c r="P145" s="367">
        <v>4</v>
      </c>
      <c r="Q145" s="368" t="s">
        <v>86</v>
      </c>
      <c r="R145" s="372">
        <v>1</v>
      </c>
      <c r="S145" s="373">
        <f>IFERROR(VLOOKUP(TRANSHARI1_SPVOUMALAM[[#This Row],[PRODUK]],DATA_SPVOU[],3,FALSE),"")</f>
        <v>15000</v>
      </c>
      <c r="T145" s="374"/>
      <c r="U145" s="373">
        <f>IFERROR(IF(TRANSHARI1_SPVOUMALAM[[#This Row],[NAMA PENGHUTANG]]="",((TRANSHARI1_SPVOUMALAM[[#This Row],[HARGA]]*TRANSHARI1_SPVOUMALAM[[#This Row],[QUANTITY]])+TRANSHARI1_SPVOUMALAM[[#This Row],[PRICE TOLERANCE]]),""),"")</f>
        <v>15000</v>
      </c>
      <c r="V145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5" s="12"/>
      <c r="X145" s="386" t="str">
        <f>IFERROR(IF(TRANSHARI1_SPVOUMALAM[[#This Row],[NAMA REKENING]]="","",TRANSHARI1_SPVOUMALAM[[#This Row],[DEBIT]]),"")</f>
        <v/>
      </c>
      <c r="Y145" s="387"/>
    </row>
    <row r="146" spans="1:25">
      <c r="A146" s="367">
        <v>5</v>
      </c>
      <c r="B146" s="368" t="s">
        <v>87</v>
      </c>
      <c r="C146" s="372">
        <v>1</v>
      </c>
      <c r="D146" s="369">
        <f>IFERROR(VLOOKUP(TRANSHARI1_SPVOUPAGI[[#This Row],[PRODUK]],DATA_SPVOU[],3,FALSE),"")</f>
        <v>21000</v>
      </c>
      <c r="E146" s="374"/>
      <c r="F146" s="369">
        <f>IFERROR(IF(TRANSHARI1_SPVOUPAGI[[#This Row],[NAMA PENGHUTANG]]="",((TRANSHARI1_SPVOUPAGI[[#This Row],[HARGA]]*TRANSHARI1_SPVOUPAGI[[#This Row],[QUANTITY]])+TRANSHARI1_SPVOUPAGI[[#This Row],[PRICE TOLERANCE]]),""),"")</f>
        <v>21000</v>
      </c>
      <c r="G146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6" s="12"/>
      <c r="I146" s="384" t="str">
        <f>IFERROR(IF(TRANSHARI1_SPVOUPAGI[[#This Row],[NAMA REKENING]]="","",TRANSHARI1_SPVOUPAGI[[#This Row],[DEBIT]]),"")</f>
        <v/>
      </c>
      <c r="J146" s="387"/>
      <c r="O146" s="324"/>
      <c r="P146" s="367">
        <v>5</v>
      </c>
      <c r="Q146" s="368" t="s">
        <v>88</v>
      </c>
      <c r="R146" s="372">
        <v>1</v>
      </c>
      <c r="S146" s="369">
        <f>IFERROR(VLOOKUP(TRANSHARI1_SPVOUMALAM[[#This Row],[PRODUK]],DATA_SPVOU[],3,FALSE),"")</f>
        <v>23000</v>
      </c>
      <c r="T146" s="374"/>
      <c r="U146" s="369">
        <f>IFERROR(IF(TRANSHARI1_SPVOUMALAM[[#This Row],[NAMA PENGHUTANG]]="",((TRANSHARI1_SPVOUMALAM[[#This Row],[HARGA]]*TRANSHARI1_SPVOUMALAM[[#This Row],[QUANTITY]])+TRANSHARI1_SPVOUMALAM[[#This Row],[PRICE TOLERANCE]]),""),"")</f>
        <v>23000</v>
      </c>
      <c r="V146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6" s="12"/>
      <c r="X146" s="384" t="str">
        <f>IFERROR(IF(TRANSHARI1_SPVOUMALAM[[#This Row],[NAMA REKENING]]="","",TRANSHARI1_SPVOUMALAM[[#This Row],[DEBIT]]),"")</f>
        <v/>
      </c>
      <c r="Y146" s="387"/>
    </row>
    <row r="147" spans="1:25">
      <c r="A147" s="367">
        <v>6</v>
      </c>
      <c r="B147" s="368" t="s">
        <v>84</v>
      </c>
      <c r="C147" s="372">
        <v>1</v>
      </c>
      <c r="D147" s="373">
        <f>IFERROR(VLOOKUP(TRANSHARI1_SPVOUPAGI[[#This Row],[PRODUK]],DATA_SPVOU[],3,FALSE),"")</f>
        <v>23000</v>
      </c>
      <c r="E147" s="374"/>
      <c r="F147" s="373">
        <f>IFERROR(IF(TRANSHARI1_SPVOUPAGI[[#This Row],[NAMA PENGHUTANG]]="",((TRANSHARI1_SPVOUPAGI[[#This Row],[HARGA]]*TRANSHARI1_SPVOUPAGI[[#This Row],[QUANTITY]])+TRANSHARI1_SPVOUPAGI[[#This Row],[PRICE TOLERANCE]]),""),"")</f>
        <v>23000</v>
      </c>
      <c r="G147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7" s="12"/>
      <c r="I147" s="386" t="str">
        <f>IFERROR(IF(TRANSHARI1_SPVOUPAGI[[#This Row],[NAMA REKENING]]="","",TRANSHARI1_SPVOUPAGI[[#This Row],[DEBIT]]),"")</f>
        <v/>
      </c>
      <c r="J147" s="387"/>
      <c r="O147" s="324"/>
      <c r="P147" s="367">
        <v>6</v>
      </c>
      <c r="Q147" s="368" t="s">
        <v>86</v>
      </c>
      <c r="R147" s="372">
        <v>1</v>
      </c>
      <c r="S147" s="373">
        <f>IFERROR(VLOOKUP(TRANSHARI1_SPVOUMALAM[[#This Row],[PRODUK]],DATA_SPVOU[],3,FALSE),"")</f>
        <v>15000</v>
      </c>
      <c r="T147" s="374"/>
      <c r="U147" s="373">
        <f>IFERROR(IF(TRANSHARI1_SPVOUMALAM[[#This Row],[NAMA PENGHUTANG]]="",((TRANSHARI1_SPVOUMALAM[[#This Row],[HARGA]]*TRANSHARI1_SPVOUMALAM[[#This Row],[QUANTITY]])+TRANSHARI1_SPVOUMALAM[[#This Row],[PRICE TOLERANCE]]),""),"")</f>
        <v>15000</v>
      </c>
      <c r="V147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7" s="12"/>
      <c r="X147" s="386" t="str">
        <f>IFERROR(IF(TRANSHARI1_SPVOUMALAM[[#This Row],[NAMA REKENING]]="","",TRANSHARI1_SPVOUMALAM[[#This Row],[DEBIT]]),"")</f>
        <v/>
      </c>
      <c r="Y147" s="387"/>
    </row>
    <row r="148" spans="1:25">
      <c r="A148" s="367">
        <v>7</v>
      </c>
      <c r="B148" s="368" t="s">
        <v>81</v>
      </c>
      <c r="C148" s="372">
        <v>1</v>
      </c>
      <c r="D148" s="369">
        <f>IFERROR(VLOOKUP(TRANSHARI1_SPVOUPAGI[[#This Row],[PRODUK]],DATA_SPVOU[],3,FALSE),"")</f>
        <v>13000</v>
      </c>
      <c r="E148" s="374"/>
      <c r="F148" s="369">
        <f>IFERROR(IF(TRANSHARI1_SPVOUPAGI[[#This Row],[NAMA PENGHUTANG]]="",((TRANSHARI1_SPVOUPAGI[[#This Row],[HARGA]]*TRANSHARI1_SPVOUPAGI[[#This Row],[QUANTITY]])+TRANSHARI1_SPVOUPAGI[[#This Row],[PRICE TOLERANCE]]),""),"")</f>
        <v>13000</v>
      </c>
      <c r="G148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8" s="12"/>
      <c r="I148" s="384" t="str">
        <f>IFERROR(IF(TRANSHARI1_SPVOUPAGI[[#This Row],[NAMA REKENING]]="","",TRANSHARI1_SPVOUPAGI[[#This Row],[DEBIT]]),"")</f>
        <v/>
      </c>
      <c r="J148" s="387"/>
      <c r="O148" s="324"/>
      <c r="P148" s="367">
        <v>7</v>
      </c>
      <c r="Q148" s="368" t="s">
        <v>89</v>
      </c>
      <c r="R148" s="372">
        <v>1</v>
      </c>
      <c r="S148" s="369">
        <f>IFERROR(VLOOKUP(TRANSHARI1_SPVOUMALAM[[#This Row],[PRODUK]],DATA_SPVOU[],3,FALSE),"")</f>
        <v>35000</v>
      </c>
      <c r="T148" s="374"/>
      <c r="U148" s="369">
        <f>IFERROR(IF(TRANSHARI1_SPVOUMALAM[[#This Row],[NAMA PENGHUTANG]]="",((TRANSHARI1_SPVOUMALAM[[#This Row],[HARGA]]*TRANSHARI1_SPVOUMALAM[[#This Row],[QUANTITY]])+TRANSHARI1_SPVOUMALAM[[#This Row],[PRICE TOLERANCE]]),""),"")</f>
        <v>35000</v>
      </c>
      <c r="V148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8" s="12"/>
      <c r="X148" s="384" t="str">
        <f>IFERROR(IF(TRANSHARI1_SPVOUMALAM[[#This Row],[NAMA REKENING]]="","",TRANSHARI1_SPVOUMALAM[[#This Row],[DEBIT]]),"")</f>
        <v/>
      </c>
      <c r="Y148" s="387"/>
    </row>
    <row r="149" spans="1:25">
      <c r="A149" s="367">
        <v>8</v>
      </c>
      <c r="B149" s="368" t="s">
        <v>81</v>
      </c>
      <c r="C149" s="372">
        <v>1</v>
      </c>
      <c r="D149" s="373">
        <f>IFERROR(VLOOKUP(TRANSHARI1_SPVOUPAGI[[#This Row],[PRODUK]],DATA_SPVOU[],3,FALSE),"")</f>
        <v>13000</v>
      </c>
      <c r="E149" s="374"/>
      <c r="F149" s="373">
        <f>IFERROR(IF(TRANSHARI1_SPVOUPAGI[[#This Row],[NAMA PENGHUTANG]]="",((TRANSHARI1_SPVOUPAGI[[#This Row],[HARGA]]*TRANSHARI1_SPVOUPAGI[[#This Row],[QUANTITY]])+TRANSHARI1_SPVOUPAGI[[#This Row],[PRICE TOLERANCE]]),""),"")</f>
        <v>13000</v>
      </c>
      <c r="G149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49" s="12"/>
      <c r="I149" s="386" t="str">
        <f>IFERROR(IF(TRANSHARI1_SPVOUPAGI[[#This Row],[NAMA REKENING]]="","",TRANSHARI1_SPVOUPAGI[[#This Row],[DEBIT]]),"")</f>
        <v/>
      </c>
      <c r="J149" s="387"/>
      <c r="O149" s="324"/>
      <c r="P149" s="367">
        <v>8</v>
      </c>
      <c r="Q149" s="368" t="s">
        <v>90</v>
      </c>
      <c r="R149" s="372">
        <v>1</v>
      </c>
      <c r="S149" s="373">
        <f>IFERROR(VLOOKUP(TRANSHARI1_SPVOUMALAM[[#This Row],[PRODUK]],DATA_SPVOU[],3,FALSE),"")</f>
        <v>25000</v>
      </c>
      <c r="T149" s="374"/>
      <c r="U149" s="373">
        <f>IFERROR(IF(TRANSHARI1_SPVOUMALAM[[#This Row],[NAMA PENGHUTANG]]="",((TRANSHARI1_SPVOUMALAM[[#This Row],[HARGA]]*TRANSHARI1_SPVOUMALAM[[#This Row],[QUANTITY]])+TRANSHARI1_SPVOUMALAM[[#This Row],[PRICE TOLERANCE]]),""),"")</f>
        <v>25000</v>
      </c>
      <c r="V149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49" s="12"/>
      <c r="X149" s="386" t="str">
        <f>IFERROR(IF(TRANSHARI1_SPVOUMALAM[[#This Row],[NAMA REKENING]]="","",TRANSHARI1_SPVOUMALAM[[#This Row],[DEBIT]]),"")</f>
        <v/>
      </c>
      <c r="Y149" s="387"/>
    </row>
    <row r="150" spans="1:25">
      <c r="A150" s="367">
        <v>9</v>
      </c>
      <c r="B150" s="368" t="s">
        <v>82</v>
      </c>
      <c r="C150" s="372">
        <v>1</v>
      </c>
      <c r="D150" s="369">
        <f>IFERROR(VLOOKUP(TRANSHARI1_SPVOUPAGI[[#This Row],[PRODUK]],DATA_SPVOU[],3,FALSE),"")</f>
        <v>15000</v>
      </c>
      <c r="E150" s="374"/>
      <c r="F150" s="369">
        <f>IFERROR(IF(TRANSHARI1_SPVOUPAGI[[#This Row],[NAMA PENGHUTANG]]="",((TRANSHARI1_SPVOUPAGI[[#This Row],[HARGA]]*TRANSHARI1_SPVOUPAGI[[#This Row],[QUANTITY]])+TRANSHARI1_SPVOUPAGI[[#This Row],[PRICE TOLERANCE]]),""),"")</f>
        <v>15000</v>
      </c>
      <c r="G150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0" s="12"/>
      <c r="I150" s="384" t="str">
        <f>IFERROR(IF(TRANSHARI1_SPVOUPAGI[[#This Row],[NAMA REKENING]]="","",TRANSHARI1_SPVOUPAGI[[#This Row],[DEBIT]]),"")</f>
        <v/>
      </c>
      <c r="J150" s="387"/>
      <c r="O150" s="324"/>
      <c r="P150" s="367">
        <v>9</v>
      </c>
      <c r="Q150" s="368" t="s">
        <v>84</v>
      </c>
      <c r="R150" s="372">
        <v>1</v>
      </c>
      <c r="S150" s="369">
        <f>IFERROR(VLOOKUP(TRANSHARI1_SPVOUMALAM[[#This Row],[PRODUK]],DATA_SPVOU[],3,FALSE),"")</f>
        <v>23000</v>
      </c>
      <c r="T150" s="374"/>
      <c r="U150" s="369">
        <f>IFERROR(IF(TRANSHARI1_SPVOUMALAM[[#This Row],[NAMA PENGHUTANG]]="",((TRANSHARI1_SPVOUMALAM[[#This Row],[HARGA]]*TRANSHARI1_SPVOUMALAM[[#This Row],[QUANTITY]])+TRANSHARI1_SPVOUMALAM[[#This Row],[PRICE TOLERANCE]]),""),"")</f>
        <v>23000</v>
      </c>
      <c r="V150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0" s="12"/>
      <c r="X150" s="384" t="str">
        <f>IFERROR(IF(TRANSHARI1_SPVOUMALAM[[#This Row],[NAMA REKENING]]="","",TRANSHARI1_SPVOUMALAM[[#This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IFERROR(VLOOKUP(TRANSHARI1_SPVOUPAGI[[#This Row],[PRODUK]],DATA_SPVOU[],3,FALSE),"")</f>
        <v/>
      </c>
      <c r="E151" s="374"/>
      <c r="F151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1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1" s="12"/>
      <c r="I151" s="386" t="str">
        <f>IFERROR(IF(TRANSHARI1_SPVOUPAGI[[#This Row],[NAMA REKENING]]="","",TRANSHARI1_SPVOUPAGI[[#This Row],[DEBIT]]),"")</f>
        <v/>
      </c>
      <c r="J151" s="387"/>
      <c r="O151" s="324"/>
      <c r="P151" s="367">
        <v>10</v>
      </c>
      <c r="Q151" s="368" t="s">
        <v>83</v>
      </c>
      <c r="R151" s="372">
        <v>1</v>
      </c>
      <c r="S151" s="373">
        <f>IFERROR(VLOOKUP(TRANSHARI1_SPVOUMALAM[[#This Row],[PRODUK]],DATA_SPVOU[],3,FALSE),"")</f>
        <v>12000</v>
      </c>
      <c r="T151" s="374"/>
      <c r="U151" s="373">
        <f>IFERROR(IF(TRANSHARI1_SPVOUMALAM[[#This Row],[NAMA PENGHUTANG]]="",((TRANSHARI1_SPVOUMALAM[[#This Row],[HARGA]]*TRANSHARI1_SPVOUMALAM[[#This Row],[QUANTITY]])+TRANSHARI1_SPVOUMALAM[[#This Row],[PRICE TOLERANCE]]),""),"")</f>
        <v>12000</v>
      </c>
      <c r="V151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1" s="12"/>
      <c r="X151" s="386" t="str">
        <f>IFERROR(IF(TRANSHARI1_SPVOUMALAM[[#This Row],[NAMA REKENING]]="","",TRANSHARI1_SPVOUMALAM[[#This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IFERROR(VLOOKUP(TRANSHARI1_SPVOUPAGI[[#This Row],[PRODUK]],DATA_SPVOU[],3,FALSE),"")</f>
        <v/>
      </c>
      <c r="E152" s="374"/>
      <c r="F152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2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2" s="12"/>
      <c r="I152" s="384" t="str">
        <f>IFERROR(IF(TRANSHARI1_SPVOUPAGI[[#This Row],[NAMA REKENING]]="","",TRANSHARI1_SPVOUPAGI[[#This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IFERROR(VLOOKUP(TRANSHARI1_SPVOUMALAM[[#This Row],[PRODUK]],DATA_SPVOU[],3,FALSE),"")</f>
        <v/>
      </c>
      <c r="T152" s="374"/>
      <c r="U152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2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2" s="12"/>
      <c r="X152" s="384" t="str">
        <f>IFERROR(IF(TRANSHARI1_SPVOUMALAM[[#This Row],[NAMA REKENING]]="","",TRANSHARI1_SPVOUMALAM[[#This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IFERROR(VLOOKUP(TRANSHARI1_SPVOUPAGI[[#This Row],[PRODUK]],DATA_SPVOU[],3,FALSE),"")</f>
        <v/>
      </c>
      <c r="E153" s="374"/>
      <c r="F153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3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3" s="12"/>
      <c r="I153" s="386" t="str">
        <f>IFERROR(IF(TRANSHARI1_SPVOUPAGI[[#This Row],[NAMA REKENING]]="","",TRANSHARI1_SPVOUPAGI[[#This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IFERROR(VLOOKUP(TRANSHARI1_SPVOUMALAM[[#This Row],[PRODUK]],DATA_SPVOU[],3,FALSE),"")</f>
        <v/>
      </c>
      <c r="T153" s="374"/>
      <c r="U153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3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3" s="12"/>
      <c r="X153" s="386" t="str">
        <f>IFERROR(IF(TRANSHARI1_SPVOUMALAM[[#This Row],[NAMA REKENING]]="","",TRANSHARI1_SPVOUMALAM[[#This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IFERROR(VLOOKUP(TRANSHARI1_SPVOUPAGI[[#This Row],[PRODUK]],DATA_SPVOU[],3,FALSE),"")</f>
        <v/>
      </c>
      <c r="E154" s="374"/>
      <c r="F154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4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4" s="12"/>
      <c r="I154" s="384" t="str">
        <f>IFERROR(IF(TRANSHARI1_SPVOUPAGI[[#This Row],[NAMA REKENING]]="","",TRANSHARI1_SPVOUPAGI[[#This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IFERROR(VLOOKUP(TRANSHARI1_SPVOUMALAM[[#This Row],[PRODUK]],DATA_SPVOU[],3,FALSE),"")</f>
        <v/>
      </c>
      <c r="T154" s="374"/>
      <c r="U154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4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4" s="12"/>
      <c r="X154" s="384" t="str">
        <f>IFERROR(IF(TRANSHARI1_SPVOUMALAM[[#This Row],[NAMA REKENING]]="","",TRANSHARI1_SPVOUMALAM[[#This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IFERROR(VLOOKUP(TRANSHARI1_SPVOUPAGI[[#This Row],[PRODUK]],DATA_SPVOU[],3,FALSE),"")</f>
        <v/>
      </c>
      <c r="E155" s="374"/>
      <c r="F155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5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5" s="12"/>
      <c r="I155" s="386" t="str">
        <f>IFERROR(IF(TRANSHARI1_SPVOUPAGI[[#This Row],[NAMA REKENING]]="","",TRANSHARI1_SPVOUPAGI[[#This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IFERROR(VLOOKUP(TRANSHARI1_SPVOUMALAM[[#This Row],[PRODUK]],DATA_SPVOU[],3,FALSE),"")</f>
        <v/>
      </c>
      <c r="T155" s="374"/>
      <c r="U155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5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5" s="12"/>
      <c r="X155" s="386" t="str">
        <f>IFERROR(IF(TRANSHARI1_SPVOUMALAM[[#This Row],[NAMA REKENING]]="","",TRANSHARI1_SPVOUMALAM[[#This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IFERROR(VLOOKUP(TRANSHARI1_SPVOUPAGI[[#This Row],[PRODUK]],DATA_SPVOU[],3,FALSE),"")</f>
        <v/>
      </c>
      <c r="E156" s="374"/>
      <c r="F156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6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6" s="12"/>
      <c r="I156" s="384" t="str">
        <f>IFERROR(IF(TRANSHARI1_SPVOUPAGI[[#This Row],[NAMA REKENING]]="","",TRANSHARI1_SPVOUPAGI[[#This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IFERROR(VLOOKUP(TRANSHARI1_SPVOUMALAM[[#This Row],[PRODUK]],DATA_SPVOU[],3,FALSE),"")</f>
        <v/>
      </c>
      <c r="T156" s="374"/>
      <c r="U156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6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6" s="12"/>
      <c r="X156" s="384" t="str">
        <f>IFERROR(IF(TRANSHARI1_SPVOUMALAM[[#This Row],[NAMA REKENING]]="","",TRANSHARI1_SPVOUMALAM[[#This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IFERROR(VLOOKUP(TRANSHARI1_SPVOUPAGI[[#This Row],[PRODUK]],DATA_SPVOU[],3,FALSE),"")</f>
        <v/>
      </c>
      <c r="E157" s="374"/>
      <c r="F157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7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7" s="12"/>
      <c r="I157" s="386" t="str">
        <f>IFERROR(IF(TRANSHARI1_SPVOUPAGI[[#This Row],[NAMA REKENING]]="","",TRANSHARI1_SPVOUPAGI[[#This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IFERROR(VLOOKUP(TRANSHARI1_SPVOUMALAM[[#This Row],[PRODUK]],DATA_SPVOU[],3,FALSE),"")</f>
        <v/>
      </c>
      <c r="T157" s="374"/>
      <c r="U157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7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7" s="12"/>
      <c r="X157" s="386" t="str">
        <f>IFERROR(IF(TRANSHARI1_SPVOUMALAM[[#This Row],[NAMA REKENING]]="","",TRANSHARI1_SPVOUMALAM[[#This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IFERROR(VLOOKUP(TRANSHARI1_SPVOUPAGI[[#This Row],[PRODUK]],DATA_SPVOU[],3,FALSE),"")</f>
        <v/>
      </c>
      <c r="E158" s="374"/>
      <c r="F158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8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8" s="12"/>
      <c r="I158" s="384" t="str">
        <f>IFERROR(IF(TRANSHARI1_SPVOUPAGI[[#This Row],[NAMA REKENING]]="","",TRANSHARI1_SPVOUPAGI[[#This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IFERROR(VLOOKUP(TRANSHARI1_SPVOUMALAM[[#This Row],[PRODUK]],DATA_SPVOU[],3,FALSE),"")</f>
        <v/>
      </c>
      <c r="T158" s="374"/>
      <c r="U158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8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8" s="12"/>
      <c r="X158" s="384" t="str">
        <f>IFERROR(IF(TRANSHARI1_SPVOUMALAM[[#This Row],[NAMA REKENING]]="","",TRANSHARI1_SPVOUMALAM[[#This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IFERROR(VLOOKUP(TRANSHARI1_SPVOUPAGI[[#This Row],[PRODUK]],DATA_SPVOU[],3,FALSE),"")</f>
        <v/>
      </c>
      <c r="E159" s="374"/>
      <c r="F159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59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59" s="12"/>
      <c r="I159" s="386" t="str">
        <f>IFERROR(IF(TRANSHARI1_SPVOUPAGI[[#This Row],[NAMA REKENING]]="","",TRANSHARI1_SPVOUPAGI[[#This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IFERROR(VLOOKUP(TRANSHARI1_SPVOUMALAM[[#This Row],[PRODUK]],DATA_SPVOU[],3,FALSE),"")</f>
        <v/>
      </c>
      <c r="T159" s="374"/>
      <c r="U159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59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59" s="12"/>
      <c r="X159" s="386" t="str">
        <f>IFERROR(IF(TRANSHARI1_SPVOUMALAM[[#This Row],[NAMA REKENING]]="","",TRANSHARI1_SPVOUMALAM[[#This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IFERROR(VLOOKUP(TRANSHARI1_SPVOUPAGI[[#This Row],[PRODUK]],DATA_SPVOU[],3,FALSE),"")</f>
        <v/>
      </c>
      <c r="E160" s="374"/>
      <c r="F160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0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0" s="12"/>
      <c r="I160" s="384" t="str">
        <f>IFERROR(IF(TRANSHARI1_SPVOUPAGI[[#This Row],[NAMA REKENING]]="","",TRANSHARI1_SPVOUPAGI[[#This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IFERROR(VLOOKUP(TRANSHARI1_SPVOUMALAM[[#This Row],[PRODUK]],DATA_SPVOU[],3,FALSE),"")</f>
        <v/>
      </c>
      <c r="T160" s="374"/>
      <c r="U160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0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0" s="12"/>
      <c r="X160" s="384" t="str">
        <f>IFERROR(IF(TRANSHARI1_SPVOUMALAM[[#This Row],[NAMA REKENING]]="","",TRANSHARI1_SPVOUMALAM[[#This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IFERROR(VLOOKUP(TRANSHARI1_SPVOUPAGI[[#This Row],[PRODUK]],DATA_SPVOU[],3,FALSE),"")</f>
        <v/>
      </c>
      <c r="E161" s="374"/>
      <c r="F161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1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1" s="12"/>
      <c r="I161" s="386" t="str">
        <f>IFERROR(IF(TRANSHARI1_SPVOUPAGI[[#This Row],[NAMA REKENING]]="","",TRANSHARI1_SPVOUPAGI[[#This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IFERROR(VLOOKUP(TRANSHARI1_SPVOUMALAM[[#This Row],[PRODUK]],DATA_SPVOU[],3,FALSE),"")</f>
        <v/>
      </c>
      <c r="T161" s="374"/>
      <c r="U161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1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1" s="12"/>
      <c r="X161" s="386" t="str">
        <f>IFERROR(IF(TRANSHARI1_SPVOUMALAM[[#This Row],[NAMA REKENING]]="","",TRANSHARI1_SPVOUMALAM[[#This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IFERROR(VLOOKUP(TRANSHARI1_SPVOUPAGI[[#This Row],[PRODUK]],DATA_SPVOU[],3,FALSE),"")</f>
        <v/>
      </c>
      <c r="E162" s="374"/>
      <c r="F162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2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2" s="12"/>
      <c r="I162" s="384" t="str">
        <f>IFERROR(IF(TRANSHARI1_SPVOUPAGI[[#This Row],[NAMA REKENING]]="","",TRANSHARI1_SPVOUPAGI[[#This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IFERROR(VLOOKUP(TRANSHARI1_SPVOUMALAM[[#This Row],[PRODUK]],DATA_SPVOU[],3,FALSE),"")</f>
        <v/>
      </c>
      <c r="T162" s="374"/>
      <c r="U162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2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2" s="12"/>
      <c r="X162" s="384" t="str">
        <f>IFERROR(IF(TRANSHARI1_SPVOUMALAM[[#This Row],[NAMA REKENING]]="","",TRANSHARI1_SPVOUMALAM[[#This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IFERROR(VLOOKUP(TRANSHARI1_SPVOUPAGI[[#This Row],[PRODUK]],DATA_SPVOU[],3,FALSE),"")</f>
        <v/>
      </c>
      <c r="E163" s="374"/>
      <c r="F163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3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3" s="12"/>
      <c r="I163" s="386" t="str">
        <f>IFERROR(IF(TRANSHARI1_SPVOUPAGI[[#This Row],[NAMA REKENING]]="","",TRANSHARI1_SPVOUPAGI[[#This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IFERROR(VLOOKUP(TRANSHARI1_SPVOUMALAM[[#This Row],[PRODUK]],DATA_SPVOU[],3,FALSE),"")</f>
        <v/>
      </c>
      <c r="T163" s="374"/>
      <c r="U163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3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3" s="12"/>
      <c r="X163" s="386" t="str">
        <f>IFERROR(IF(TRANSHARI1_SPVOUMALAM[[#This Row],[NAMA REKENING]]="","",TRANSHARI1_SPVOUMALAM[[#This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IFERROR(VLOOKUP(TRANSHARI1_SPVOUPAGI[[#This Row],[PRODUK]],DATA_SPVOU[],3,FALSE),"")</f>
        <v/>
      </c>
      <c r="E164" s="374"/>
      <c r="F164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4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4" s="12"/>
      <c r="I164" s="384" t="str">
        <f>IFERROR(IF(TRANSHARI1_SPVOUPAGI[[#This Row],[NAMA REKENING]]="","",TRANSHARI1_SPVOUPAGI[[#This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IFERROR(VLOOKUP(TRANSHARI1_SPVOUMALAM[[#This Row],[PRODUK]],DATA_SPVOU[],3,FALSE),"")</f>
        <v/>
      </c>
      <c r="T164" s="374"/>
      <c r="U164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4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4" s="12"/>
      <c r="X164" s="384" t="str">
        <f>IFERROR(IF(TRANSHARI1_SPVOUMALAM[[#This Row],[NAMA REKENING]]="","",TRANSHARI1_SPVOUMALAM[[#This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IFERROR(VLOOKUP(TRANSHARI1_SPVOUPAGI[[#This Row],[PRODUK]],DATA_SPVOU[],3,FALSE),"")</f>
        <v/>
      </c>
      <c r="E165" s="374"/>
      <c r="F165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5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5" s="12"/>
      <c r="I165" s="386" t="str">
        <f>IFERROR(IF(TRANSHARI1_SPVOUPAGI[[#This Row],[NAMA REKENING]]="","",TRANSHARI1_SPVOUPAGI[[#This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IFERROR(VLOOKUP(TRANSHARI1_SPVOUMALAM[[#This Row],[PRODUK]],DATA_SPVOU[],3,FALSE),"")</f>
        <v/>
      </c>
      <c r="T165" s="374"/>
      <c r="U165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5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5" s="12"/>
      <c r="X165" s="386" t="str">
        <f>IFERROR(IF(TRANSHARI1_SPVOUMALAM[[#This Row],[NAMA REKENING]]="","",TRANSHARI1_SPVOUMALAM[[#This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IFERROR(VLOOKUP(TRANSHARI1_SPVOUPAGI[[#This Row],[PRODUK]],DATA_SPVOU[],3,FALSE),"")</f>
        <v/>
      </c>
      <c r="E166" s="374"/>
      <c r="F166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6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6" s="12"/>
      <c r="I166" s="384" t="str">
        <f>IFERROR(IF(TRANSHARI1_SPVOUPAGI[[#This Row],[NAMA REKENING]]="","",TRANSHARI1_SPVOUPAGI[[#This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IFERROR(VLOOKUP(TRANSHARI1_SPVOUMALAM[[#This Row],[PRODUK]],DATA_SPVOU[],3,FALSE),"")</f>
        <v/>
      </c>
      <c r="T166" s="374"/>
      <c r="U166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6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6" s="12"/>
      <c r="X166" s="384" t="str">
        <f>IFERROR(IF(TRANSHARI1_SPVOUMALAM[[#This Row],[NAMA REKENING]]="","",TRANSHARI1_SPVOUMALAM[[#This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IFERROR(VLOOKUP(TRANSHARI1_SPVOUPAGI[[#This Row],[PRODUK]],DATA_SPVOU[],3,FALSE),"")</f>
        <v/>
      </c>
      <c r="E167" s="376"/>
      <c r="F167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7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7" s="377"/>
      <c r="I167" s="386" t="str">
        <f>IFERROR(IF(TRANSHARI1_SPVOUPAGI[[#This Row],[NAMA REKENING]]="","",TRANSHARI1_SPVOUPAGI[[#This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IFERROR(VLOOKUP(TRANSHARI1_SPVOUMALAM[[#This Row],[PRODUK]],DATA_SPVOU[],3,FALSE),"")</f>
        <v/>
      </c>
      <c r="T167" s="376"/>
      <c r="U167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7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7" s="377"/>
      <c r="X167" s="386" t="str">
        <f>IFERROR(IF(TRANSHARI1_SPVOUMALAM[[#This Row],[NAMA REKENING]]="","",TRANSHARI1_SPVOUMALAM[[#This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IFERROR(VLOOKUP(TRANSHARI1_SPVOUPAGI[[#This Row],[PRODUK]],DATA_SPVOU[],3,FALSE),"")</f>
        <v/>
      </c>
      <c r="E168" s="374"/>
      <c r="F168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8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8" s="12"/>
      <c r="I168" s="384" t="str">
        <f>IFERROR(IF(TRANSHARI1_SPVOUPAGI[[#This Row],[NAMA REKENING]]="","",TRANSHARI1_SPVOUPAGI[[#This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IFERROR(VLOOKUP(TRANSHARI1_SPVOUMALAM[[#This Row],[PRODUK]],DATA_SPVOU[],3,FALSE),"")</f>
        <v/>
      </c>
      <c r="T168" s="374"/>
      <c r="U168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8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8" s="12"/>
      <c r="X168" s="384" t="str">
        <f>IFERROR(IF(TRANSHARI1_SPVOUMALAM[[#This Row],[NAMA REKENING]]="","",TRANSHARI1_SPVOUMALAM[[#This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IFERROR(VLOOKUP(TRANSHARI1_SPVOUPAGI[[#This Row],[PRODUK]],DATA_SPVOU[],3,FALSE),"")</f>
        <v/>
      </c>
      <c r="E169" s="374"/>
      <c r="F169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69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69" s="12"/>
      <c r="I169" s="386" t="str">
        <f>IFERROR(IF(TRANSHARI1_SPVOUPAGI[[#This Row],[NAMA REKENING]]="","",TRANSHARI1_SPVOUPAGI[[#This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IFERROR(VLOOKUP(TRANSHARI1_SPVOUMALAM[[#This Row],[PRODUK]],DATA_SPVOU[],3,FALSE),"")</f>
        <v/>
      </c>
      <c r="T169" s="374"/>
      <c r="U169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69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69" s="12"/>
      <c r="X169" s="386" t="str">
        <f>IFERROR(IF(TRANSHARI1_SPVOUMALAM[[#This Row],[NAMA REKENING]]="","",TRANSHARI1_SPVOUMALAM[[#This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IFERROR(VLOOKUP(TRANSHARI1_SPVOUPAGI[[#This Row],[PRODUK]],DATA_SPVOU[],3,FALSE),"")</f>
        <v/>
      </c>
      <c r="E170" s="374"/>
      <c r="F170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0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0" s="12"/>
      <c r="I170" s="384" t="str">
        <f>IFERROR(IF(TRANSHARI1_SPVOUPAGI[[#This Row],[NAMA REKENING]]="","",TRANSHARI1_SPVOUPAGI[[#This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IFERROR(VLOOKUP(TRANSHARI1_SPVOUMALAM[[#This Row],[PRODUK]],DATA_SPVOU[],3,FALSE),"")</f>
        <v/>
      </c>
      <c r="T170" s="374"/>
      <c r="U170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0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0" s="12"/>
      <c r="X170" s="384" t="str">
        <f>IFERROR(IF(TRANSHARI1_SPVOUMALAM[[#This Row],[NAMA REKENING]]="","",TRANSHARI1_SPVOUMALAM[[#This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IFERROR(VLOOKUP(TRANSHARI1_SPVOUPAGI[[#This Row],[PRODUK]],DATA_SPVOU[],3,FALSE),"")</f>
        <v/>
      </c>
      <c r="E171" s="374"/>
      <c r="F171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1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1" s="12"/>
      <c r="I171" s="386" t="str">
        <f>IFERROR(IF(TRANSHARI1_SPVOUPAGI[[#This Row],[NAMA REKENING]]="","",TRANSHARI1_SPVOUPAGI[[#This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IFERROR(VLOOKUP(TRANSHARI1_SPVOUMALAM[[#This Row],[PRODUK]],DATA_SPVOU[],3,FALSE),"")</f>
        <v/>
      </c>
      <c r="T171" s="374"/>
      <c r="U171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1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1" s="12"/>
      <c r="X171" s="386" t="str">
        <f>IFERROR(IF(TRANSHARI1_SPVOUMALAM[[#This Row],[NAMA REKENING]]="","",TRANSHARI1_SPVOUMALAM[[#This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IFERROR(VLOOKUP(TRANSHARI1_SPVOUPAGI[[#This Row],[PRODUK]],DATA_SPVOU[],3,FALSE),"")</f>
        <v/>
      </c>
      <c r="E172" s="374"/>
      <c r="F172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2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2" s="12"/>
      <c r="I172" s="384" t="str">
        <f>IFERROR(IF(TRANSHARI1_SPVOUPAGI[[#This Row],[NAMA REKENING]]="","",TRANSHARI1_SPVOUPAGI[[#This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IFERROR(VLOOKUP(TRANSHARI1_SPVOUMALAM[[#This Row],[PRODUK]],DATA_SPVOU[],3,FALSE),"")</f>
        <v/>
      </c>
      <c r="T172" s="374"/>
      <c r="U172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2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2" s="12"/>
      <c r="X172" s="384" t="str">
        <f>IFERROR(IF(TRANSHARI1_SPVOUMALAM[[#This Row],[NAMA REKENING]]="","",TRANSHARI1_SPVOUMALAM[[#This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IFERROR(VLOOKUP(TRANSHARI1_SPVOUPAGI[[#This Row],[PRODUK]],DATA_SPVOU[],3,FALSE),"")</f>
        <v/>
      </c>
      <c r="E173" s="374"/>
      <c r="F173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3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3" s="12"/>
      <c r="I173" s="386" t="str">
        <f>IFERROR(IF(TRANSHARI1_SPVOUPAGI[[#This Row],[NAMA REKENING]]="","",TRANSHARI1_SPVOUPAGI[[#This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IFERROR(VLOOKUP(TRANSHARI1_SPVOUMALAM[[#This Row],[PRODUK]],DATA_SPVOU[],3,FALSE),"")</f>
        <v/>
      </c>
      <c r="T173" s="374"/>
      <c r="U173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3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3" s="12"/>
      <c r="X173" s="386" t="str">
        <f>IFERROR(IF(TRANSHARI1_SPVOUMALAM[[#This Row],[NAMA REKENING]]="","",TRANSHARI1_SPVOUMALAM[[#This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IFERROR(VLOOKUP(TRANSHARI1_SPVOUPAGI[[#This Row],[PRODUK]],DATA_SPVOU[],3,FALSE),"")</f>
        <v/>
      </c>
      <c r="E174" s="374"/>
      <c r="F174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4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4" s="12"/>
      <c r="I174" s="384" t="str">
        <f>IFERROR(IF(TRANSHARI1_SPVOUPAGI[[#This Row],[NAMA REKENING]]="","",TRANSHARI1_SPVOUPAGI[[#This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IFERROR(VLOOKUP(TRANSHARI1_SPVOUMALAM[[#This Row],[PRODUK]],DATA_SPVOU[],3,FALSE),"")</f>
        <v/>
      </c>
      <c r="T174" s="374"/>
      <c r="U174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4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4" s="12"/>
      <c r="X174" s="384" t="str">
        <f>IFERROR(IF(TRANSHARI1_SPVOUMALAM[[#This Row],[NAMA REKENING]]="","",TRANSHARI1_SPVOUMALAM[[#This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IFERROR(VLOOKUP(TRANSHARI1_SPVOUPAGI[[#This Row],[PRODUK]],DATA_SPVOU[],3,FALSE),"")</f>
        <v/>
      </c>
      <c r="E175" s="374"/>
      <c r="F175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5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5" s="12"/>
      <c r="I175" s="386" t="str">
        <f>IFERROR(IF(TRANSHARI1_SPVOUPAGI[[#This Row],[NAMA REKENING]]="","",TRANSHARI1_SPVOUPAGI[[#This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IFERROR(VLOOKUP(TRANSHARI1_SPVOUMALAM[[#This Row],[PRODUK]],DATA_SPVOU[],3,FALSE),"")</f>
        <v/>
      </c>
      <c r="T175" s="374"/>
      <c r="U175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5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5" s="12"/>
      <c r="X175" s="386" t="str">
        <f>IFERROR(IF(TRANSHARI1_SPVOUMALAM[[#This Row],[NAMA REKENING]]="","",TRANSHARI1_SPVOUMALAM[[#This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IFERROR(VLOOKUP(TRANSHARI1_SPVOUPAGI[[#This Row],[PRODUK]],DATA_SPVOU[],3,FALSE),"")</f>
        <v/>
      </c>
      <c r="E176" s="374"/>
      <c r="F176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6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6" s="12"/>
      <c r="I176" s="384" t="str">
        <f>IFERROR(IF(TRANSHARI1_SPVOUPAGI[[#This Row],[NAMA REKENING]]="","",TRANSHARI1_SPVOUPAGI[[#This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IFERROR(VLOOKUP(TRANSHARI1_SPVOUMALAM[[#This Row],[PRODUK]],DATA_SPVOU[],3,FALSE),"")</f>
        <v/>
      </c>
      <c r="T176" s="374"/>
      <c r="U176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6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6" s="12"/>
      <c r="X176" s="384" t="str">
        <f>IFERROR(IF(TRANSHARI1_SPVOUMALAM[[#This Row],[NAMA REKENING]]="","",TRANSHARI1_SPVOUMALAM[[#This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IFERROR(VLOOKUP(TRANSHARI1_SPVOUPAGI[[#This Row],[PRODUK]],DATA_SPVOU[],3,FALSE),"")</f>
        <v/>
      </c>
      <c r="E177" s="374"/>
      <c r="F177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7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7" s="12"/>
      <c r="I177" s="386" t="str">
        <f>IFERROR(IF(TRANSHARI1_SPVOUPAGI[[#This Row],[NAMA REKENING]]="","",TRANSHARI1_SPVOUPAGI[[#This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IFERROR(VLOOKUP(TRANSHARI1_SPVOUMALAM[[#This Row],[PRODUK]],DATA_SPVOU[],3,FALSE),"")</f>
        <v/>
      </c>
      <c r="T177" s="374"/>
      <c r="U177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7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7" s="12"/>
      <c r="X177" s="386" t="str">
        <f>IFERROR(IF(TRANSHARI1_SPVOUMALAM[[#This Row],[NAMA REKENING]]="","",TRANSHARI1_SPVOUMALAM[[#This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IFERROR(VLOOKUP(TRANSHARI1_SPVOUPAGI[[#This Row],[PRODUK]],DATA_SPVOU[],3,FALSE),"")</f>
        <v/>
      </c>
      <c r="E178" s="374"/>
      <c r="F178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8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8" s="12"/>
      <c r="I178" s="384" t="str">
        <f>IFERROR(IF(TRANSHARI1_SPVOUPAGI[[#This Row],[NAMA REKENING]]="","",TRANSHARI1_SPVOUPAGI[[#This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IFERROR(VLOOKUP(TRANSHARI1_SPVOUMALAM[[#This Row],[PRODUK]],DATA_SPVOU[],3,FALSE),"")</f>
        <v/>
      </c>
      <c r="T178" s="374"/>
      <c r="U178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8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8" s="12"/>
      <c r="X178" s="384" t="str">
        <f>IFERROR(IF(TRANSHARI1_SPVOUMALAM[[#This Row],[NAMA REKENING]]="","",TRANSHARI1_SPVOUMALAM[[#This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IFERROR(VLOOKUP(TRANSHARI1_SPVOUPAGI[[#This Row],[PRODUK]],DATA_SPVOU[],3,FALSE),"")</f>
        <v/>
      </c>
      <c r="E179" s="374"/>
      <c r="F179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79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79" s="12"/>
      <c r="I179" s="386" t="str">
        <f>IFERROR(IF(TRANSHARI1_SPVOUPAGI[[#This Row],[NAMA REKENING]]="","",TRANSHARI1_SPVOUPAGI[[#This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IFERROR(VLOOKUP(TRANSHARI1_SPVOUMALAM[[#This Row],[PRODUK]],DATA_SPVOU[],3,FALSE),"")</f>
        <v/>
      </c>
      <c r="T179" s="374"/>
      <c r="U179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79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79" s="12"/>
      <c r="X179" s="386" t="str">
        <f>IFERROR(IF(TRANSHARI1_SPVOUMALAM[[#This Row],[NAMA REKENING]]="","",TRANSHARI1_SPVOUMALAM[[#This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IFERROR(VLOOKUP(TRANSHARI1_SPVOUPAGI[[#This Row],[PRODUK]],DATA_SPVOU[],3,FALSE),"")</f>
        <v/>
      </c>
      <c r="E180" s="374"/>
      <c r="F180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0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0" s="12"/>
      <c r="I180" s="384" t="str">
        <f>IFERROR(IF(TRANSHARI1_SPVOUPAGI[[#This Row],[NAMA REKENING]]="","",TRANSHARI1_SPVOUPAGI[[#This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IFERROR(VLOOKUP(TRANSHARI1_SPVOUMALAM[[#This Row],[PRODUK]],DATA_SPVOU[],3,FALSE),"")</f>
        <v/>
      </c>
      <c r="T180" s="374"/>
      <c r="U180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0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0" s="12"/>
      <c r="X180" s="384" t="str">
        <f>IFERROR(IF(TRANSHARI1_SPVOUMALAM[[#This Row],[NAMA REKENING]]="","",TRANSHARI1_SPVOUMALAM[[#This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IFERROR(VLOOKUP(TRANSHARI1_SPVOUPAGI[[#This Row],[PRODUK]],DATA_SPVOU[],3,FALSE),"")</f>
        <v/>
      </c>
      <c r="E181" s="374"/>
      <c r="F181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1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1" s="12"/>
      <c r="I181" s="386" t="str">
        <f>IFERROR(IF(TRANSHARI1_SPVOUPAGI[[#This Row],[NAMA REKENING]]="","",TRANSHARI1_SPVOUPAGI[[#This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IFERROR(VLOOKUP(TRANSHARI1_SPVOUMALAM[[#This Row],[PRODUK]],DATA_SPVOU[],3,FALSE),"")</f>
        <v/>
      </c>
      <c r="T181" s="374"/>
      <c r="U181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1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1" s="12"/>
      <c r="X181" s="386" t="str">
        <f>IFERROR(IF(TRANSHARI1_SPVOUMALAM[[#This Row],[NAMA REKENING]]="","",TRANSHARI1_SPVOUMALAM[[#This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IFERROR(VLOOKUP(TRANSHARI1_SPVOUPAGI[[#This Row],[PRODUK]],DATA_SPVOU[],3,FALSE),"")</f>
        <v/>
      </c>
      <c r="E182" s="374"/>
      <c r="F182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2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2" s="12"/>
      <c r="I182" s="384" t="str">
        <f>IFERROR(IF(TRANSHARI1_SPVOUPAGI[[#This Row],[NAMA REKENING]]="","",TRANSHARI1_SPVOUPAGI[[#This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IFERROR(VLOOKUP(TRANSHARI1_SPVOUMALAM[[#This Row],[PRODUK]],DATA_SPVOU[],3,FALSE),"")</f>
        <v/>
      </c>
      <c r="T182" s="374"/>
      <c r="U182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2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2" s="12"/>
      <c r="X182" s="384" t="str">
        <f>IFERROR(IF(TRANSHARI1_SPVOUMALAM[[#This Row],[NAMA REKENING]]="","",TRANSHARI1_SPVOUMALAM[[#This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IFERROR(VLOOKUP(TRANSHARI1_SPVOUPAGI[[#This Row],[PRODUK]],DATA_SPVOU[],3,FALSE),"")</f>
        <v/>
      </c>
      <c r="E183" s="374"/>
      <c r="F183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3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3" s="12"/>
      <c r="I183" s="386" t="str">
        <f>IFERROR(IF(TRANSHARI1_SPVOUPAGI[[#This Row],[NAMA REKENING]]="","",TRANSHARI1_SPVOUPAGI[[#This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IFERROR(VLOOKUP(TRANSHARI1_SPVOUMALAM[[#This Row],[PRODUK]],DATA_SPVOU[],3,FALSE),"")</f>
        <v/>
      </c>
      <c r="T183" s="374"/>
      <c r="U183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3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3" s="12"/>
      <c r="X183" s="386" t="str">
        <f>IFERROR(IF(TRANSHARI1_SPVOUMALAM[[#This Row],[NAMA REKENING]]="","",TRANSHARI1_SPVOUMALAM[[#This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IFERROR(VLOOKUP(TRANSHARI1_SPVOUPAGI[[#This Row],[PRODUK]],DATA_SPVOU[],3,FALSE),"")</f>
        <v/>
      </c>
      <c r="E184" s="374"/>
      <c r="F184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4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4" s="12"/>
      <c r="I184" s="384" t="str">
        <f>IFERROR(IF(TRANSHARI1_SPVOUPAGI[[#This Row],[NAMA REKENING]]="","",TRANSHARI1_SPVOUPAGI[[#This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IFERROR(VLOOKUP(TRANSHARI1_SPVOUMALAM[[#This Row],[PRODUK]],DATA_SPVOU[],3,FALSE),"")</f>
        <v/>
      </c>
      <c r="T184" s="374"/>
      <c r="U184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4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4" s="12"/>
      <c r="X184" s="384" t="str">
        <f>IFERROR(IF(TRANSHARI1_SPVOUMALAM[[#This Row],[NAMA REKENING]]="","",TRANSHARI1_SPVOUMALAM[[#This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IFERROR(VLOOKUP(TRANSHARI1_SPVOUPAGI[[#This Row],[PRODUK]],DATA_SPVOU[],3,FALSE),"")</f>
        <v/>
      </c>
      <c r="E185" s="374"/>
      <c r="F185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5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5" s="12"/>
      <c r="I185" s="386" t="str">
        <f>IFERROR(IF(TRANSHARI1_SPVOUPAGI[[#This Row],[NAMA REKENING]]="","",TRANSHARI1_SPVOUPAGI[[#This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IFERROR(VLOOKUP(TRANSHARI1_SPVOUMALAM[[#This Row],[PRODUK]],DATA_SPVOU[],3,FALSE),"")</f>
        <v/>
      </c>
      <c r="T185" s="374"/>
      <c r="U185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5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5" s="12"/>
      <c r="X185" s="386" t="str">
        <f>IFERROR(IF(TRANSHARI1_SPVOUMALAM[[#This Row],[NAMA REKENING]]="","",TRANSHARI1_SPVOUMALAM[[#This Row],[DEBIT]]),"")</f>
        <v/>
      </c>
      <c r="Y185" s="387"/>
      <c r="Z185" s="389">
        <f>U192+V192</f>
        <v>188000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IFERROR(VLOOKUP(TRANSHARI1_SPVOUPAGI[[#This Row],[PRODUK]],DATA_SPVOU[],3,FALSE),"")</f>
        <v/>
      </c>
      <c r="E186" s="374"/>
      <c r="F186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6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6" s="12"/>
      <c r="I186" s="384" t="str">
        <f>IFERROR(IF(TRANSHARI1_SPVOUPAGI[[#This Row],[NAMA REKENING]]="","",TRANSHARI1_SPVOUPAGI[[#This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IFERROR(VLOOKUP(TRANSHARI1_SPVOUMALAM[[#This Row],[PRODUK]],DATA_SPVOU[],3,FALSE),"")</f>
        <v/>
      </c>
      <c r="T186" s="374"/>
      <c r="U186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6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6" s="12"/>
      <c r="X186" s="384" t="str">
        <f>IFERROR(IF(TRANSHARI1_SPVOUMALAM[[#This Row],[NAMA REKENING]]="","",TRANSHARI1_SPVOUMALAM[[#This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IFERROR(VLOOKUP(TRANSHARI1_SPVOUPAGI[[#This Row],[PRODUK]],DATA_SPVOU[],3,FALSE),"")</f>
        <v/>
      </c>
      <c r="E187" s="374"/>
      <c r="F187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7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7" s="12"/>
      <c r="I187" s="386" t="str">
        <f>IFERROR(IF(TRANSHARI1_SPVOUPAGI[[#This Row],[NAMA REKENING]]="","",TRANSHARI1_SPVOUPAGI[[#This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IFERROR(VLOOKUP(TRANSHARI1_SPVOUMALAM[[#This Row],[PRODUK]],DATA_SPVOU[],3,FALSE),"")</f>
        <v/>
      </c>
      <c r="T187" s="374"/>
      <c r="U187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7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7" s="12"/>
      <c r="X187" s="386" t="str">
        <f>IFERROR(IF(TRANSHARI1_SPVOUMALAM[[#This Row],[NAMA REKENING]]="","",TRANSHARI1_SPVOUMALAM[[#This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IFERROR(VLOOKUP(TRANSHARI1_SPVOUPAGI[[#This Row],[PRODUK]],DATA_SPVOU[],3,FALSE),"")</f>
        <v/>
      </c>
      <c r="E188" s="374"/>
      <c r="F188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8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8" s="12"/>
      <c r="I188" s="384" t="str">
        <f>IFERROR(IF(TRANSHARI1_SPVOUPAGI[[#This Row],[NAMA REKENING]]="","",TRANSHARI1_SPVOUPAGI[[#This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IFERROR(VLOOKUP(TRANSHARI1_SPVOUMALAM[[#This Row],[PRODUK]],DATA_SPVOU[],3,FALSE),"")</f>
        <v/>
      </c>
      <c r="T188" s="374"/>
      <c r="U188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8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8" s="12"/>
      <c r="X188" s="384" t="str">
        <f>IFERROR(IF(TRANSHARI1_SPVOUMALAM[[#This Row],[NAMA REKENING]]="","",TRANSHARI1_SPVOUMALAM[[#This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IFERROR(VLOOKUP(TRANSHARI1_SPVOUPAGI[[#This Row],[PRODUK]],DATA_SPVOU[],3,FALSE),"")</f>
        <v/>
      </c>
      <c r="E189" s="374"/>
      <c r="F189" s="373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89" s="373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89" s="12"/>
      <c r="I189" s="386" t="str">
        <f>IFERROR(IF(TRANSHARI1_SPVOUPAGI[[#This Row],[NAMA REKENING]]="","",TRANSHARI1_SPVOUPAGI[[#This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IFERROR(VLOOKUP(TRANSHARI1_SPVOUMALAM[[#This Row],[PRODUK]],DATA_SPVOU[],3,FALSE),"")</f>
        <v/>
      </c>
      <c r="T189" s="374"/>
      <c r="U189" s="373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89" s="373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89" s="12"/>
      <c r="X189" s="386" t="str">
        <f>IFERROR(IF(TRANSHARI1_SPVOUMALAM[[#This Row],[NAMA REKENING]]="","",TRANSHARI1_SPVOUMALAM[[#This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IFERROR(VLOOKUP(TRANSHARI1_SPVOUPAGI[[#This Row],[PRODUK]],DATA_SPVOU[],3,FALSE),"")</f>
        <v/>
      </c>
      <c r="E190" s="374"/>
      <c r="F190" s="369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90" s="369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90" s="12"/>
      <c r="I190" s="384" t="str">
        <f>IFERROR(IF(TRANSHARI1_SPVOUPAGI[[#This Row],[NAMA REKENING]]="","",TRANSHARI1_SPVOUPAGI[[#This Row],[DEBIT]]),"")</f>
        <v/>
      </c>
      <c r="J190" s="387"/>
      <c r="K190" s="389">
        <f>F192+G192</f>
        <v>168000</v>
      </c>
      <c r="L190" s="390"/>
      <c r="O190" s="324"/>
      <c r="P190" s="367">
        <v>49</v>
      </c>
      <c r="Q190" s="368"/>
      <c r="R190" s="372"/>
      <c r="S190" s="369" t="str">
        <f>IFERROR(VLOOKUP(TRANSHARI1_SPVOUMALAM[[#This Row],[PRODUK]],DATA_SPVOU[],3,FALSE),"")</f>
        <v/>
      </c>
      <c r="T190" s="374"/>
      <c r="U190" s="369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90" s="369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90" s="12"/>
      <c r="X190" s="384" t="str">
        <f>IFERROR(IF(TRANSHARI1_SPVOUMALAM[[#This Row],[NAMA REKENING]]="","",TRANSHARI1_SPVOUMALAM[[#This Row],[DEBIT]]),"")</f>
        <v/>
      </c>
      <c r="Y190" s="387"/>
      <c r="Z190" s="400">
        <f>K190+Z185</f>
        <v>356000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IFERROR(VLOOKUP(TRANSHARI1_SPVOUPAGI[[#This Row],[PRODUK]],DATA_SPVOU[],3,FALSE),"")</f>
        <v/>
      </c>
      <c r="E191" s="376"/>
      <c r="F191" s="394" t="str">
        <f>IFERROR(IF(TRANSHARI1_SPVOUPAGI[[#This Row],[NAMA PENGHUTANG]]="",((TRANSHARI1_SPVOUPAGI[[#This Row],[HARGA]]*TRANSHARI1_SPVOUPAGI[[#This Row],[QUANTITY]])+TRANSHARI1_SPVOUPAGI[[#This Row],[PRICE TOLERANCE]]),""),"")</f>
        <v/>
      </c>
      <c r="G191" s="394" t="str">
        <f>IFERROR(IF(TRANSHARI1_SPVOUPAGI[[#This Row],[NAMA PENGHUTANG]]="","",((TRANSHARI1_SPVOUPAGI[[#This Row],[HARGA]]*TRANSHARI1_SPVOUPAGI[[#This Row],[QUANTITY]])+TRANSHARI1_SPVOUPAGI[[#This Row],[PRICE TOLERANCE]])),"")</f>
        <v/>
      </c>
      <c r="H191" s="377"/>
      <c r="I191" s="399" t="str">
        <f>IFERROR(IF(TRANSHARI1_SPVOUPAGI[[#This Row],[NAMA REKENING]]="","",TRANSHARI1_SPVOUPAGI[[#This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IFERROR(VLOOKUP(TRANSHARI1_SPVOUMALAM[[#This Row],[PRODUK]],DATA_SPVOU[],3,FALSE),"")</f>
        <v/>
      </c>
      <c r="T191" s="376"/>
      <c r="U191" s="394" t="str">
        <f>IFERROR(IF(TRANSHARI1_SPVOUMALAM[[#This Row],[NAMA PENGHUTANG]]="",((TRANSHARI1_SPVOUMALAM[[#This Row],[HARGA]]*TRANSHARI1_SPVOUMALAM[[#This Row],[QUANTITY]])+TRANSHARI1_SPVOUMALAM[[#This Row],[PRICE TOLERANCE]]),""),"")</f>
        <v/>
      </c>
      <c r="V191" s="394" t="str">
        <f>IFERROR(IF(TRANSHARI1_SPVOUMALAM[[#This Row],[NAMA PENGHUTANG]]="","",((TRANSHARI1_SPVOUMALAM[[#This Row],[HARGA]]*TRANSHARI1_SPVOUMALAM[[#This Row],[QUANTITY]])+TRANSHARI1_SPVOUMALAM[[#This Row],[PRICE TOLERANCE]])),"")</f>
        <v/>
      </c>
      <c r="W191" s="377"/>
      <c r="X191" s="399" t="str">
        <f>IFERROR(IF(TRANSHARI1_SPVOUMALAM[[#This Row],[NAMA REKENING]]="","",TRANSHARI1_SPVOUMALAM[[#This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SUM(TRANSHARI1_SPVOUPAGI[QUANTITY])</f>
        <v>9</v>
      </c>
      <c r="E192" s="398">
        <f>SUM(TRANSHARI1_SPVOUPAGI[PRICE TOLERANCE])</f>
        <v>0</v>
      </c>
      <c r="F192" s="396">
        <f>SUM(TRANSHARI1_SPVOUPAGI[DEBIT])</f>
        <v>168000</v>
      </c>
      <c r="G192" s="396">
        <f>SUM(TRANSHARI1_SPVOUPAGI[KREDIT])</f>
        <v>0</v>
      </c>
      <c r="I192" s="396">
        <f>SUM(TRANSHARI1_SPVOUPAGI[NOMINAL TRANSFER])</f>
        <v>0</v>
      </c>
      <c r="O192" s="324"/>
      <c r="P192" s="303" t="s">
        <v>78</v>
      </c>
      <c r="Q192" s="316"/>
      <c r="R192" s="395">
        <f>SUM(TRANSHARI1_SPVOUMALAM[QUANTITY])</f>
        <v>10</v>
      </c>
      <c r="T192" s="398">
        <f>SUM(TRANSHARI1_SPVOUMALAM[PRICE TOLERANCE])</f>
        <v>0</v>
      </c>
      <c r="U192" s="396">
        <f>SUM(TRANSHARI1_SPVOUMALAM[DEBIT])</f>
        <v>188000</v>
      </c>
      <c r="V192" s="396">
        <f>SUM(TRANSHARI1_SPVOUMALAM[KREDIT])</f>
        <v>0</v>
      </c>
      <c r="X192" s="396">
        <f>SUM(TRANSHARI1_SPVOUMALAM[NOMINAL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">
        <v>10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">
        <v>13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 t="s">
        <v>94</v>
      </c>
      <c r="C199" s="368">
        <v>1</v>
      </c>
      <c r="D199" s="369">
        <f>IFERROR(VLOOKUP(TRANSHARI1_SOFTDRINKPAGI[[#This Row],[PRODUK]],DATA_SOFTDRINK[],3,FALSE),"")</f>
        <v>3000</v>
      </c>
      <c r="E199" s="370"/>
      <c r="F199" s="369">
        <f>IFERROR(IF(TRANSHARI1_SOFTDRINKPAGI[[#This Row],[NAMA PENGHUTANG]]="",((TRANSHARI1_SOFTDRINKPAGI[[#This Row],[HARGA]]*TRANSHARI1_SOFTDRINKPAGI[[#This Row],[QUANTITY]])+TRANSHARI1_SOFTDRINKPAGI[[#This Row],[PRICE TOLERANCE]]),""),"")</f>
        <v>3000</v>
      </c>
      <c r="G199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199" s="371"/>
      <c r="I199" s="384" t="str">
        <f>IFERROR(IF(TRANSHARI1_SOFTDRINKPAGI[[#This Row],[NAMA REKENING]]="","",TRANSHARI1_SOFTDRINKPAGI[[#This Row],[DEBIT]]),"")</f>
        <v/>
      </c>
      <c r="J199" s="385"/>
      <c r="O199" s="324"/>
      <c r="P199" s="367">
        <v>1</v>
      </c>
      <c r="Q199" s="368" t="s">
        <v>95</v>
      </c>
      <c r="R199" s="368">
        <v>2</v>
      </c>
      <c r="S199" s="369">
        <f>IFERROR(VLOOKUP(TRANSHARI1_SOFTDRINKMALAM[[#This Row],[PRODUK]],DATA_SOFTDRINK[],3,FALSE),"")</f>
        <v>1000</v>
      </c>
      <c r="T199" s="370"/>
      <c r="U199" s="369">
        <f>IFERROR(IF(TRANSHARI1_SOFTDRINKMALAM[[#This Row],[NAMA PENGHUTANG]]="",((TRANSHARI1_SOFTDRINKMALAM[[#This Row],[HARGA]]*TRANSHARI1_SOFTDRINKMALAM[[#This Row],[QUANTITY]])+TRANSHARI1_SOFTDRINKMALAM[[#This Row],[PRICE TOLERANCE]]),""),"")</f>
        <v>2000</v>
      </c>
      <c r="V199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199" s="371"/>
      <c r="X199" s="384" t="str">
        <f>IFERROR(IF(TRANSHARI1_SOFTDRINKMALAM[[#This Row],[NAMA REKENING]]="","",TRANSHARI1_SOFTDRINKMALAM[[#This Row],[DEBIT]]),"")</f>
        <v/>
      </c>
      <c r="Y199" s="385"/>
    </row>
    <row r="200" spans="1:25">
      <c r="A200" s="367">
        <v>2</v>
      </c>
      <c r="B200" s="368" t="s">
        <v>95</v>
      </c>
      <c r="C200" s="372">
        <v>2</v>
      </c>
      <c r="D200" s="373">
        <f>IFERROR(VLOOKUP(TRANSHARI1_SOFTDRINKPAGI[[#This Row],[PRODUK]],DATA_SOFTDRINK[],3,FALSE),"")</f>
        <v>1000</v>
      </c>
      <c r="E200" s="374"/>
      <c r="F200" s="373">
        <f>IFERROR(IF(TRANSHARI1_SOFTDRINKPAGI[[#This Row],[NAMA PENGHUTANG]]="",((TRANSHARI1_SOFTDRINKPAGI[[#This Row],[HARGA]]*TRANSHARI1_SOFTDRINKPAGI[[#This Row],[QUANTITY]])+TRANSHARI1_SOFTDRINKPAGI[[#This Row],[PRICE TOLERANCE]]),""),"")</f>
        <v>2000</v>
      </c>
      <c r="G200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0" s="12"/>
      <c r="I200" s="386" t="str">
        <f>IFERROR(IF(TRANSHARI1_SOFTDRINKPAGI[[#This Row],[NAMA REKENING]]="","",TRANSHARI1_SOFTDRINKPAGI[[#This Row],[DEBIT]]),"")</f>
        <v/>
      </c>
      <c r="J200" s="387"/>
      <c r="O200" s="324"/>
      <c r="P200" s="367">
        <v>2</v>
      </c>
      <c r="Q200" s="368" t="s">
        <v>96</v>
      </c>
      <c r="R200" s="372">
        <v>1</v>
      </c>
      <c r="S200" s="373">
        <f>IFERROR(VLOOKUP(TRANSHARI1_SOFTDRINKMALAM[[#This Row],[PRODUK]],DATA_SOFTDRINK[],3,FALSE),"")</f>
        <v>2500</v>
      </c>
      <c r="T200" s="374"/>
      <c r="U200" s="373">
        <f>IFERROR(IF(TRANSHARI1_SOFTDRINKMALAM[[#This Row],[NAMA PENGHUTANG]]="",((TRANSHARI1_SOFTDRINKMALAM[[#This Row],[HARGA]]*TRANSHARI1_SOFTDRINKMALAM[[#This Row],[QUANTITY]])+TRANSHARI1_SOFTDRINKMALAM[[#This Row],[PRICE TOLERANCE]]),""),"")</f>
        <v>2500</v>
      </c>
      <c r="V200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0" s="12"/>
      <c r="X200" s="386" t="str">
        <f>IFERROR(IF(TRANSHARI1_SOFTDRINKMALAM[[#This Row],[NAMA REKENING]]="","",TRANSHARI1_SOFTDRINKMALAM[[#This Row],[DEBIT]]),"")</f>
        <v/>
      </c>
      <c r="Y200" s="387"/>
    </row>
    <row r="201" spans="1:25">
      <c r="A201" s="367">
        <v>3</v>
      </c>
      <c r="B201" s="368" t="s">
        <v>95</v>
      </c>
      <c r="C201" s="372">
        <v>1</v>
      </c>
      <c r="D201" s="369">
        <f>IFERROR(VLOOKUP(TRANSHARI1_SOFTDRINKPAGI[[#This Row],[PRODUK]],DATA_SOFTDRINK[],3,FALSE),"")</f>
        <v>1000</v>
      </c>
      <c r="E201" s="374"/>
      <c r="F201" s="369">
        <f>IFERROR(IF(TRANSHARI1_SOFTDRINKPAGI[[#This Row],[NAMA PENGHUTANG]]="",((TRANSHARI1_SOFTDRINKPAGI[[#This Row],[HARGA]]*TRANSHARI1_SOFTDRINKPAGI[[#This Row],[QUANTITY]])+TRANSHARI1_SOFTDRINKPAGI[[#This Row],[PRICE TOLERANCE]]),""),"")</f>
        <v>1000</v>
      </c>
      <c r="G201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1" s="12"/>
      <c r="I201" s="384" t="str">
        <f>IFERROR(IF(TRANSHARI1_SOFTDRINKPAGI[[#This Row],[NAMA REKENING]]="","",TRANSHARI1_SOFTDRINKPAGI[[#This Row],[DEBIT]]),"")</f>
        <v/>
      </c>
      <c r="J201" s="387"/>
      <c r="O201" s="324"/>
      <c r="P201" s="367">
        <v>3</v>
      </c>
      <c r="Q201" s="368" t="s">
        <v>97</v>
      </c>
      <c r="R201" s="372">
        <v>1</v>
      </c>
      <c r="S201" s="369">
        <f>IFERROR(VLOOKUP(TRANSHARI1_SOFTDRINKMALAM[[#This Row],[PRODUK]],DATA_SOFTDRINK[],3,FALSE),"")</f>
        <v>7000</v>
      </c>
      <c r="T201" s="374"/>
      <c r="U201" s="369">
        <f>IFERROR(IF(TRANSHARI1_SOFTDRINKMALAM[[#This Row],[NAMA PENGHUTANG]]="",((TRANSHARI1_SOFTDRINKMALAM[[#This Row],[HARGA]]*TRANSHARI1_SOFTDRINKMALAM[[#This Row],[QUANTITY]])+TRANSHARI1_SOFTDRINKMALAM[[#This Row],[PRICE TOLERANCE]]),""),"")</f>
        <v>7000</v>
      </c>
      <c r="V201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1" s="12"/>
      <c r="X201" s="384" t="str">
        <f>IFERROR(IF(TRANSHARI1_SOFTDRINKMALAM[[#This Row],[NAMA REKENING]]="","",TRANSHARI1_SOFTDRINKMALAM[[#This Row],[DEBIT]]),"")</f>
        <v/>
      </c>
      <c r="Y201" s="387"/>
    </row>
    <row r="202" spans="1:25">
      <c r="A202" s="367">
        <v>4</v>
      </c>
      <c r="B202" s="368" t="s">
        <v>95</v>
      </c>
      <c r="C202" s="372">
        <v>1</v>
      </c>
      <c r="D202" s="373">
        <f>IFERROR(VLOOKUP(TRANSHARI1_SOFTDRINKPAGI[[#This Row],[PRODUK]],DATA_SOFTDRINK[],3,FALSE),"")</f>
        <v>1000</v>
      </c>
      <c r="E202" s="374"/>
      <c r="F202" s="373">
        <f>IFERROR(IF(TRANSHARI1_SOFTDRINKPAGI[[#This Row],[NAMA PENGHUTANG]]="",((TRANSHARI1_SOFTDRINKPAGI[[#This Row],[HARGA]]*TRANSHARI1_SOFTDRINKPAGI[[#This Row],[QUANTITY]])+TRANSHARI1_SOFTDRINKPAGI[[#This Row],[PRICE TOLERANCE]]),""),"")</f>
        <v>1000</v>
      </c>
      <c r="G202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2" s="12"/>
      <c r="I202" s="386" t="str">
        <f>IFERROR(IF(TRANSHARI1_SOFTDRINKPAGI[[#This Row],[NAMA REKENING]]="","",TRANSHARI1_SOFTDRINKPAGI[[#This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IFERROR(VLOOKUP(TRANSHARI1_SOFTDRINKMALAM[[#This Row],[PRODUK]],DATA_SOFTDRINK[],3,FALSE),"")</f>
        <v/>
      </c>
      <c r="T202" s="374"/>
      <c r="U202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2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2" s="12"/>
      <c r="X202" s="386" t="str">
        <f>IFERROR(IF(TRANSHARI1_SOFTDRINKMALAM[[#This Row],[NAMA REKENING]]="","",TRANSHARI1_SOFTDRINKMALAM[[#This Row],[DEBIT]]),"")</f>
        <v/>
      </c>
      <c r="Y202" s="387"/>
    </row>
    <row r="203" spans="1:25">
      <c r="A203" s="367">
        <v>5</v>
      </c>
      <c r="B203" s="368" t="s">
        <v>95</v>
      </c>
      <c r="C203" s="372">
        <v>1</v>
      </c>
      <c r="D203" s="369">
        <f>IFERROR(VLOOKUP(TRANSHARI1_SOFTDRINKPAGI[[#This Row],[PRODUK]],DATA_SOFTDRINK[],3,FALSE),"")</f>
        <v>1000</v>
      </c>
      <c r="E203" s="374"/>
      <c r="F203" s="369">
        <f>IFERROR(IF(TRANSHARI1_SOFTDRINKPAGI[[#This Row],[NAMA PENGHUTANG]]="",((TRANSHARI1_SOFTDRINKPAGI[[#This Row],[HARGA]]*TRANSHARI1_SOFTDRINKPAGI[[#This Row],[QUANTITY]])+TRANSHARI1_SOFTDRINKPAGI[[#This Row],[PRICE TOLERANCE]]),""),"")</f>
        <v>1000</v>
      </c>
      <c r="G203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3" s="12"/>
      <c r="I203" s="384" t="str">
        <f>IFERROR(IF(TRANSHARI1_SOFTDRINKPAGI[[#This Row],[NAMA REKENING]]="","",TRANSHARI1_SOFTDRINKPAGI[[#This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IFERROR(VLOOKUP(TRANSHARI1_SOFTDRINKMALAM[[#This Row],[PRODUK]],DATA_SOFTDRINK[],3,FALSE),"")</f>
        <v/>
      </c>
      <c r="T203" s="374"/>
      <c r="U203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3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3" s="12"/>
      <c r="X203" s="384" t="str">
        <f>IFERROR(IF(TRANSHARI1_SOFTDRINKMALAM[[#This Row],[NAMA REKENING]]="","",TRANSHARI1_SOFTDRINKMALAM[[#This Row],[DEBIT]]),"")</f>
        <v/>
      </c>
      <c r="Y203" s="387"/>
    </row>
    <row r="204" spans="1:25">
      <c r="A204" s="367">
        <v>6</v>
      </c>
      <c r="B204" s="368" t="s">
        <v>98</v>
      </c>
      <c r="C204" s="372">
        <v>1</v>
      </c>
      <c r="D204" s="373">
        <f>IFERROR(VLOOKUP(TRANSHARI1_SOFTDRINKPAGI[[#This Row],[PRODUK]],DATA_SOFTDRINK[],3,FALSE),"")</f>
        <v>4000</v>
      </c>
      <c r="E204" s="374"/>
      <c r="F204" s="373">
        <f>IFERROR(IF(TRANSHARI1_SOFTDRINKPAGI[[#This Row],[NAMA PENGHUTANG]]="",((TRANSHARI1_SOFTDRINKPAGI[[#This Row],[HARGA]]*TRANSHARI1_SOFTDRINKPAGI[[#This Row],[QUANTITY]])+TRANSHARI1_SOFTDRINKPAGI[[#This Row],[PRICE TOLERANCE]]),""),"")</f>
        <v>4000</v>
      </c>
      <c r="G204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4" s="12"/>
      <c r="I204" s="386" t="str">
        <f>IFERROR(IF(TRANSHARI1_SOFTDRINKPAGI[[#This Row],[NAMA REKENING]]="","",TRANSHARI1_SOFTDRINKPAGI[[#This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IFERROR(VLOOKUP(TRANSHARI1_SOFTDRINKMALAM[[#This Row],[PRODUK]],DATA_SOFTDRINK[],3,FALSE),"")</f>
        <v/>
      </c>
      <c r="T204" s="374"/>
      <c r="U204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4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4" s="12"/>
      <c r="X204" s="386" t="str">
        <f>IFERROR(IF(TRANSHARI1_SOFTDRINKMALAM[[#This Row],[NAMA REKENING]]="","",TRANSHARI1_SOFTDRINKMALAM[[#This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IFERROR(VLOOKUP(TRANSHARI1_SOFTDRINKPAGI[[#This Row],[PRODUK]],DATA_SOFTDRINK[],3,FALSE),"")</f>
        <v/>
      </c>
      <c r="E205" s="374"/>
      <c r="F205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05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5" s="12"/>
      <c r="I205" s="384" t="str">
        <f>IFERROR(IF(TRANSHARI1_SOFTDRINKPAGI[[#This Row],[NAMA REKENING]]="","",TRANSHARI1_SOFTDRINKPAGI[[#This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IFERROR(VLOOKUP(TRANSHARI1_SOFTDRINKMALAM[[#This Row],[PRODUK]],DATA_SOFTDRINK[],3,FALSE),"")</f>
        <v/>
      </c>
      <c r="T205" s="374"/>
      <c r="U205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5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5" s="12"/>
      <c r="X205" s="384" t="str">
        <f>IFERROR(IF(TRANSHARI1_SOFTDRINKMALAM[[#This Row],[NAMA REKENING]]="","",TRANSHARI1_SOFTDRINKMALAM[[#This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IFERROR(VLOOKUP(TRANSHARI1_SOFTDRINKPAGI[[#This Row],[PRODUK]],DATA_SOFTDRINK[],3,FALSE),"")</f>
        <v/>
      </c>
      <c r="E206" s="374"/>
      <c r="F206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06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6" s="12"/>
      <c r="I206" s="386" t="str">
        <f>IFERROR(IF(TRANSHARI1_SOFTDRINKPAGI[[#This Row],[NAMA REKENING]]="","",TRANSHARI1_SOFTDRINKPAGI[[#This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IFERROR(VLOOKUP(TRANSHARI1_SOFTDRINKMALAM[[#This Row],[PRODUK]],DATA_SOFTDRINK[],3,FALSE),"")</f>
        <v/>
      </c>
      <c r="T206" s="374"/>
      <c r="U206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6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6" s="12"/>
      <c r="X206" s="386" t="str">
        <f>IFERROR(IF(TRANSHARI1_SOFTDRINKMALAM[[#This Row],[NAMA REKENING]]="","",TRANSHARI1_SOFTDRINKMALAM[[#This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IFERROR(VLOOKUP(TRANSHARI1_SOFTDRINKPAGI[[#This Row],[PRODUK]],DATA_SOFTDRINK[],3,FALSE),"")</f>
        <v/>
      </c>
      <c r="E207" s="374"/>
      <c r="F207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07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7" s="12"/>
      <c r="I207" s="384" t="str">
        <f>IFERROR(IF(TRANSHARI1_SOFTDRINKPAGI[[#This Row],[NAMA REKENING]]="","",TRANSHARI1_SOFTDRINKPAGI[[#This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IFERROR(VLOOKUP(TRANSHARI1_SOFTDRINKMALAM[[#This Row],[PRODUK]],DATA_SOFTDRINK[],3,FALSE),"")</f>
        <v/>
      </c>
      <c r="T207" s="374"/>
      <c r="U207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7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7" s="12"/>
      <c r="X207" s="384" t="str">
        <f>IFERROR(IF(TRANSHARI1_SOFTDRINKMALAM[[#This Row],[NAMA REKENING]]="","",TRANSHARI1_SOFTDRINKMALAM[[#This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IFERROR(VLOOKUP(TRANSHARI1_SOFTDRINKPAGI[[#This Row],[PRODUK]],DATA_SOFTDRINK[],3,FALSE),"")</f>
        <v/>
      </c>
      <c r="E208" s="374"/>
      <c r="F208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08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8" s="12"/>
      <c r="I208" s="386" t="str">
        <f>IFERROR(IF(TRANSHARI1_SOFTDRINKPAGI[[#This Row],[NAMA REKENING]]="","",TRANSHARI1_SOFTDRINKPAGI[[#This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IFERROR(VLOOKUP(TRANSHARI1_SOFTDRINKMALAM[[#This Row],[PRODUK]],DATA_SOFTDRINK[],3,FALSE),"")</f>
        <v/>
      </c>
      <c r="T208" s="374"/>
      <c r="U208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8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8" s="12"/>
      <c r="X208" s="386" t="str">
        <f>IFERROR(IF(TRANSHARI1_SOFTDRINKMALAM[[#This Row],[NAMA REKENING]]="","",TRANSHARI1_SOFTDRINKMALAM[[#This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IFERROR(VLOOKUP(TRANSHARI1_SOFTDRINKPAGI[[#This Row],[PRODUK]],DATA_SOFTDRINK[],3,FALSE),"")</f>
        <v/>
      </c>
      <c r="E209" s="374"/>
      <c r="F209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09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09" s="12"/>
      <c r="I209" s="384" t="str">
        <f>IFERROR(IF(TRANSHARI1_SOFTDRINKPAGI[[#This Row],[NAMA REKENING]]="","",TRANSHARI1_SOFTDRINKPAGI[[#This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IFERROR(VLOOKUP(TRANSHARI1_SOFTDRINKMALAM[[#This Row],[PRODUK]],DATA_SOFTDRINK[],3,FALSE),"")</f>
        <v/>
      </c>
      <c r="T209" s="374"/>
      <c r="U209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09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09" s="12"/>
      <c r="X209" s="384" t="str">
        <f>IFERROR(IF(TRANSHARI1_SOFTDRINKMALAM[[#This Row],[NAMA REKENING]]="","",TRANSHARI1_SOFTDRINKMALAM[[#This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IFERROR(VLOOKUP(TRANSHARI1_SOFTDRINKPAGI[[#This Row],[PRODUK]],DATA_SOFTDRINK[],3,FALSE),"")</f>
        <v/>
      </c>
      <c r="E210" s="374"/>
      <c r="F210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0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0" s="12"/>
      <c r="I210" s="386" t="str">
        <f>IFERROR(IF(TRANSHARI1_SOFTDRINKPAGI[[#This Row],[NAMA REKENING]]="","",TRANSHARI1_SOFTDRINKPAGI[[#This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IFERROR(VLOOKUP(TRANSHARI1_SOFTDRINKMALAM[[#This Row],[PRODUK]],DATA_SOFTDRINK[],3,FALSE),"")</f>
        <v/>
      </c>
      <c r="T210" s="374"/>
      <c r="U210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0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0" s="12"/>
      <c r="X210" s="386" t="str">
        <f>IFERROR(IF(TRANSHARI1_SOFTDRINKMALAM[[#This Row],[NAMA REKENING]]="","",TRANSHARI1_SOFTDRINKMALAM[[#This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IFERROR(VLOOKUP(TRANSHARI1_SOFTDRINKPAGI[[#This Row],[PRODUK]],DATA_SOFTDRINK[],3,FALSE),"")</f>
        <v/>
      </c>
      <c r="E211" s="374"/>
      <c r="F211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1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1" s="12"/>
      <c r="I211" s="384" t="str">
        <f>IFERROR(IF(TRANSHARI1_SOFTDRINKPAGI[[#This Row],[NAMA REKENING]]="","",TRANSHARI1_SOFTDRINKPAGI[[#This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IFERROR(VLOOKUP(TRANSHARI1_SOFTDRINKMALAM[[#This Row],[PRODUK]],DATA_SOFTDRINK[],3,FALSE),"")</f>
        <v/>
      </c>
      <c r="T211" s="374"/>
      <c r="U211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1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1" s="12"/>
      <c r="X211" s="384" t="str">
        <f>IFERROR(IF(TRANSHARI1_SOFTDRINKMALAM[[#This Row],[NAMA REKENING]]="","",TRANSHARI1_SOFTDRINKMALAM[[#This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IFERROR(VLOOKUP(TRANSHARI1_SOFTDRINKPAGI[[#This Row],[PRODUK]],DATA_SOFTDRINK[],3,FALSE),"")</f>
        <v/>
      </c>
      <c r="E212" s="374"/>
      <c r="F212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2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2" s="12"/>
      <c r="I212" s="386" t="str">
        <f>IFERROR(IF(TRANSHARI1_SOFTDRINKPAGI[[#This Row],[NAMA REKENING]]="","",TRANSHARI1_SOFTDRINKPAGI[[#This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IFERROR(VLOOKUP(TRANSHARI1_SOFTDRINKMALAM[[#This Row],[PRODUK]],DATA_SOFTDRINK[],3,FALSE),"")</f>
        <v/>
      </c>
      <c r="T212" s="374"/>
      <c r="U212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2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2" s="12"/>
      <c r="X212" s="386" t="str">
        <f>IFERROR(IF(TRANSHARI1_SOFTDRINKMALAM[[#This Row],[NAMA REKENING]]="","",TRANSHARI1_SOFTDRINKMALAM[[#This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IFERROR(VLOOKUP(TRANSHARI1_SOFTDRINKPAGI[[#This Row],[PRODUK]],DATA_SOFTDRINK[],3,FALSE),"")</f>
        <v/>
      </c>
      <c r="E213" s="374"/>
      <c r="F213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3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3" s="12"/>
      <c r="I213" s="384" t="str">
        <f>IFERROR(IF(TRANSHARI1_SOFTDRINKPAGI[[#This Row],[NAMA REKENING]]="","",TRANSHARI1_SOFTDRINKPAGI[[#This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IFERROR(VLOOKUP(TRANSHARI1_SOFTDRINKMALAM[[#This Row],[PRODUK]],DATA_SOFTDRINK[],3,FALSE),"")</f>
        <v/>
      </c>
      <c r="T213" s="374"/>
      <c r="U213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3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3" s="12"/>
      <c r="X213" s="384" t="str">
        <f>IFERROR(IF(TRANSHARI1_SOFTDRINKMALAM[[#This Row],[NAMA REKENING]]="","",TRANSHARI1_SOFTDRINKMALAM[[#This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IFERROR(VLOOKUP(TRANSHARI1_SOFTDRINKPAGI[[#This Row],[PRODUK]],DATA_SOFTDRINK[],3,FALSE),"")</f>
        <v/>
      </c>
      <c r="E214" s="374"/>
      <c r="F214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4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4" s="12"/>
      <c r="I214" s="386" t="str">
        <f>IFERROR(IF(TRANSHARI1_SOFTDRINKPAGI[[#This Row],[NAMA REKENING]]="","",TRANSHARI1_SOFTDRINKPAGI[[#This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IFERROR(VLOOKUP(TRANSHARI1_SOFTDRINKMALAM[[#This Row],[PRODUK]],DATA_SOFTDRINK[],3,FALSE),"")</f>
        <v/>
      </c>
      <c r="T214" s="374"/>
      <c r="U214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4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4" s="12"/>
      <c r="X214" s="386" t="str">
        <f>IFERROR(IF(TRANSHARI1_SOFTDRINKMALAM[[#This Row],[NAMA REKENING]]="","",TRANSHARI1_SOFTDRINKMALAM[[#This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IFERROR(VLOOKUP(TRANSHARI1_SOFTDRINKPAGI[[#This Row],[PRODUK]],DATA_SOFTDRINK[],3,FALSE),"")</f>
        <v/>
      </c>
      <c r="E215" s="374"/>
      <c r="F215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5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5" s="12"/>
      <c r="I215" s="384" t="str">
        <f>IFERROR(IF(TRANSHARI1_SOFTDRINKPAGI[[#This Row],[NAMA REKENING]]="","",TRANSHARI1_SOFTDRINKPAGI[[#This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IFERROR(VLOOKUP(TRANSHARI1_SOFTDRINKMALAM[[#This Row],[PRODUK]],DATA_SOFTDRINK[],3,FALSE),"")</f>
        <v/>
      </c>
      <c r="T215" s="374"/>
      <c r="U215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5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5" s="12"/>
      <c r="X215" s="384" t="str">
        <f>IFERROR(IF(TRANSHARI1_SOFTDRINKMALAM[[#This Row],[NAMA REKENING]]="","",TRANSHARI1_SOFTDRINKMALAM[[#This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IFERROR(VLOOKUP(TRANSHARI1_SOFTDRINKPAGI[[#This Row],[PRODUK]],DATA_SOFTDRINK[],3,FALSE),"")</f>
        <v/>
      </c>
      <c r="E216" s="374"/>
      <c r="F216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6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6" s="12"/>
      <c r="I216" s="386" t="str">
        <f>IFERROR(IF(TRANSHARI1_SOFTDRINKPAGI[[#This Row],[NAMA REKENING]]="","",TRANSHARI1_SOFTDRINKPAGI[[#This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IFERROR(VLOOKUP(TRANSHARI1_SOFTDRINKMALAM[[#This Row],[PRODUK]],DATA_SOFTDRINK[],3,FALSE),"")</f>
        <v/>
      </c>
      <c r="T216" s="374"/>
      <c r="U216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6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6" s="12"/>
      <c r="X216" s="386" t="str">
        <f>IFERROR(IF(TRANSHARI1_SOFTDRINKMALAM[[#This Row],[NAMA REKENING]]="","",TRANSHARI1_SOFTDRINKMALAM[[#This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IFERROR(VLOOKUP(TRANSHARI1_SOFTDRINKPAGI[[#This Row],[PRODUK]],DATA_SOFTDRINK[],3,FALSE),"")</f>
        <v/>
      </c>
      <c r="E217" s="374"/>
      <c r="F217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7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7" s="12"/>
      <c r="I217" s="384" t="str">
        <f>IFERROR(IF(TRANSHARI1_SOFTDRINKPAGI[[#This Row],[NAMA REKENING]]="","",TRANSHARI1_SOFTDRINKPAGI[[#This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IFERROR(VLOOKUP(TRANSHARI1_SOFTDRINKMALAM[[#This Row],[PRODUK]],DATA_SOFTDRINK[],3,FALSE),"")</f>
        <v/>
      </c>
      <c r="T217" s="374"/>
      <c r="U217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7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7" s="12"/>
      <c r="X217" s="384" t="str">
        <f>IFERROR(IF(TRANSHARI1_SOFTDRINKMALAM[[#This Row],[NAMA REKENING]]="","",TRANSHARI1_SOFTDRINKMALAM[[#This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IFERROR(VLOOKUP(TRANSHARI1_SOFTDRINKPAGI[[#This Row],[PRODUK]],DATA_SOFTDRINK[],3,FALSE),"")</f>
        <v/>
      </c>
      <c r="E218" s="374"/>
      <c r="F218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8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8" s="12"/>
      <c r="I218" s="386" t="str">
        <f>IFERROR(IF(TRANSHARI1_SOFTDRINKPAGI[[#This Row],[NAMA REKENING]]="","",TRANSHARI1_SOFTDRINKPAGI[[#This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IFERROR(VLOOKUP(TRANSHARI1_SOFTDRINKMALAM[[#This Row],[PRODUK]],DATA_SOFTDRINK[],3,FALSE),"")</f>
        <v/>
      </c>
      <c r="T218" s="374"/>
      <c r="U218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8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8" s="12"/>
      <c r="X218" s="386" t="str">
        <f>IFERROR(IF(TRANSHARI1_SOFTDRINKMALAM[[#This Row],[NAMA REKENING]]="","",TRANSHARI1_SOFTDRINKMALAM[[#This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IFERROR(VLOOKUP(TRANSHARI1_SOFTDRINKPAGI[[#This Row],[PRODUK]],DATA_SOFTDRINK[],3,FALSE),"")</f>
        <v/>
      </c>
      <c r="E219" s="374"/>
      <c r="F219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19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19" s="12"/>
      <c r="I219" s="384" t="str">
        <f>IFERROR(IF(TRANSHARI1_SOFTDRINKPAGI[[#This Row],[NAMA REKENING]]="","",TRANSHARI1_SOFTDRINKPAGI[[#This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IFERROR(VLOOKUP(TRANSHARI1_SOFTDRINKMALAM[[#This Row],[PRODUK]],DATA_SOFTDRINK[],3,FALSE),"")</f>
        <v/>
      </c>
      <c r="T219" s="374"/>
      <c r="U219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19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19" s="12"/>
      <c r="X219" s="384" t="str">
        <f>IFERROR(IF(TRANSHARI1_SOFTDRINKMALAM[[#This Row],[NAMA REKENING]]="","",TRANSHARI1_SOFTDRINKMALAM[[#This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IFERROR(VLOOKUP(TRANSHARI1_SOFTDRINKPAGI[[#This Row],[PRODUK]],DATA_SOFTDRINK[],3,FALSE),"")</f>
        <v/>
      </c>
      <c r="E220" s="374"/>
      <c r="F220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0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0" s="12"/>
      <c r="I220" s="386" t="str">
        <f>IFERROR(IF(TRANSHARI1_SOFTDRINKPAGI[[#This Row],[NAMA REKENING]]="","",TRANSHARI1_SOFTDRINKPAGI[[#This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IFERROR(VLOOKUP(TRANSHARI1_SOFTDRINKMALAM[[#This Row],[PRODUK]],DATA_SOFTDRINK[],3,FALSE),"")</f>
        <v/>
      </c>
      <c r="T220" s="374"/>
      <c r="U220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0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0" s="12"/>
      <c r="X220" s="386" t="str">
        <f>IFERROR(IF(TRANSHARI1_SOFTDRINKMALAM[[#This Row],[NAMA REKENING]]="","",TRANSHARI1_SOFTDRINKMALAM[[#This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IFERROR(VLOOKUP(TRANSHARI1_SOFTDRINKPAGI[[#This Row],[PRODUK]],DATA_SOFTDRINK[],3,FALSE),"")</f>
        <v/>
      </c>
      <c r="E221" s="374"/>
      <c r="F221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1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1" s="12"/>
      <c r="I221" s="384" t="str">
        <f>IFERROR(IF(TRANSHARI1_SOFTDRINKPAGI[[#This Row],[NAMA REKENING]]="","",TRANSHARI1_SOFTDRINKPAGI[[#This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IFERROR(VLOOKUP(TRANSHARI1_SOFTDRINKMALAM[[#This Row],[PRODUK]],DATA_SOFTDRINK[],3,FALSE),"")</f>
        <v/>
      </c>
      <c r="T221" s="374"/>
      <c r="U221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1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1" s="12"/>
      <c r="X221" s="384" t="str">
        <f>IFERROR(IF(TRANSHARI1_SOFTDRINKMALAM[[#This Row],[NAMA REKENING]]="","",TRANSHARI1_SOFTDRINKMALAM[[#This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IFERROR(VLOOKUP(TRANSHARI1_SOFTDRINKPAGI[[#This Row],[PRODUK]],DATA_SOFTDRINK[],3,FALSE),"")</f>
        <v/>
      </c>
      <c r="E222" s="374"/>
      <c r="F222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2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2" s="12"/>
      <c r="I222" s="386" t="str">
        <f>IFERROR(IF(TRANSHARI1_SOFTDRINKPAGI[[#This Row],[NAMA REKENING]]="","",TRANSHARI1_SOFTDRINKPAGI[[#This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IFERROR(VLOOKUP(TRANSHARI1_SOFTDRINKMALAM[[#This Row],[PRODUK]],DATA_SOFTDRINK[],3,FALSE),"")</f>
        <v/>
      </c>
      <c r="T222" s="374"/>
      <c r="U222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2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2" s="12"/>
      <c r="X222" s="386" t="str">
        <f>IFERROR(IF(TRANSHARI1_SOFTDRINKMALAM[[#This Row],[NAMA REKENING]]="","",TRANSHARI1_SOFTDRINKMALAM[[#This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IFERROR(VLOOKUP(TRANSHARI1_SOFTDRINKPAGI[[#This Row],[PRODUK]],DATA_SOFTDRINK[],3,FALSE),"")</f>
        <v/>
      </c>
      <c r="E223" s="374"/>
      <c r="F223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3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3" s="12"/>
      <c r="I223" s="384" t="str">
        <f>IFERROR(IF(TRANSHARI1_SOFTDRINKPAGI[[#This Row],[NAMA REKENING]]="","",TRANSHARI1_SOFTDRINKPAGI[[#This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IFERROR(VLOOKUP(TRANSHARI1_SOFTDRINKMALAM[[#This Row],[PRODUK]],DATA_SOFTDRINK[],3,FALSE),"")</f>
        <v/>
      </c>
      <c r="T223" s="374"/>
      <c r="U223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3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3" s="12"/>
      <c r="X223" s="384" t="str">
        <f>IFERROR(IF(TRANSHARI1_SOFTDRINKMALAM[[#This Row],[NAMA REKENING]]="","",TRANSHARI1_SOFTDRINKMALAM[[#This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IFERROR(VLOOKUP(TRANSHARI1_SOFTDRINKPAGI[[#This Row],[PRODUK]],DATA_SOFTDRINK[],3,FALSE),"")</f>
        <v/>
      </c>
      <c r="E224" s="376"/>
      <c r="F224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4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4" s="377"/>
      <c r="I224" s="386" t="str">
        <f>IFERROR(IF(TRANSHARI1_SOFTDRINKPAGI[[#This Row],[NAMA REKENING]]="","",TRANSHARI1_SOFTDRINKPAGI[[#This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IFERROR(VLOOKUP(TRANSHARI1_SOFTDRINKMALAM[[#This Row],[PRODUK]],DATA_SOFTDRINK[],3,FALSE),"")</f>
        <v/>
      </c>
      <c r="T224" s="376"/>
      <c r="U224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4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4" s="377"/>
      <c r="X224" s="386" t="str">
        <f>IFERROR(IF(TRANSHARI1_SOFTDRINKMALAM[[#This Row],[NAMA REKENING]]="","",TRANSHARI1_SOFTDRINKMALAM[[#This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IFERROR(VLOOKUP(TRANSHARI1_SOFTDRINKPAGI[[#This Row],[PRODUK]],DATA_SOFTDRINK[],3,FALSE),"")</f>
        <v/>
      </c>
      <c r="E225" s="374"/>
      <c r="F225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5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5" s="12"/>
      <c r="I225" s="384" t="str">
        <f>IFERROR(IF(TRANSHARI1_SOFTDRINKPAGI[[#This Row],[NAMA REKENING]]="","",TRANSHARI1_SOFTDRINKPAGI[[#This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IFERROR(VLOOKUP(TRANSHARI1_SOFTDRINKMALAM[[#This Row],[PRODUK]],DATA_SOFTDRINK[],3,FALSE),"")</f>
        <v/>
      </c>
      <c r="T225" s="374"/>
      <c r="U225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5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5" s="12"/>
      <c r="X225" s="384" t="str">
        <f>IFERROR(IF(TRANSHARI1_SOFTDRINKMALAM[[#This Row],[NAMA REKENING]]="","",TRANSHARI1_SOFTDRINKMALAM[[#This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IFERROR(VLOOKUP(TRANSHARI1_SOFTDRINKPAGI[[#This Row],[PRODUK]],DATA_SOFTDRINK[],3,FALSE),"")</f>
        <v/>
      </c>
      <c r="E226" s="374"/>
      <c r="F226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6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6" s="12"/>
      <c r="I226" s="386" t="str">
        <f>IFERROR(IF(TRANSHARI1_SOFTDRINKPAGI[[#This Row],[NAMA REKENING]]="","",TRANSHARI1_SOFTDRINKPAGI[[#This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IFERROR(VLOOKUP(TRANSHARI1_SOFTDRINKMALAM[[#This Row],[PRODUK]],DATA_SOFTDRINK[],3,FALSE),"")</f>
        <v/>
      </c>
      <c r="T226" s="374"/>
      <c r="U226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6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6" s="12"/>
      <c r="X226" s="386" t="str">
        <f>IFERROR(IF(TRANSHARI1_SOFTDRINKMALAM[[#This Row],[NAMA REKENING]]="","",TRANSHARI1_SOFTDRINKMALAM[[#This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IFERROR(VLOOKUP(TRANSHARI1_SOFTDRINKPAGI[[#This Row],[PRODUK]],DATA_SOFTDRINK[],3,FALSE),"")</f>
        <v/>
      </c>
      <c r="E227" s="374"/>
      <c r="F227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7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7" s="12"/>
      <c r="I227" s="384" t="str">
        <f>IFERROR(IF(TRANSHARI1_SOFTDRINKPAGI[[#This Row],[NAMA REKENING]]="","",TRANSHARI1_SOFTDRINKPAGI[[#This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IFERROR(VLOOKUP(TRANSHARI1_SOFTDRINKMALAM[[#This Row],[PRODUK]],DATA_SOFTDRINK[],3,FALSE),"")</f>
        <v/>
      </c>
      <c r="T227" s="374"/>
      <c r="U227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7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7" s="12"/>
      <c r="X227" s="384" t="str">
        <f>IFERROR(IF(TRANSHARI1_SOFTDRINKMALAM[[#This Row],[NAMA REKENING]]="","",TRANSHARI1_SOFTDRINKMALAM[[#This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IFERROR(VLOOKUP(TRANSHARI1_SOFTDRINKPAGI[[#This Row],[PRODUK]],DATA_SOFTDRINK[],3,FALSE),"")</f>
        <v/>
      </c>
      <c r="E228" s="374"/>
      <c r="F228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8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8" s="12"/>
      <c r="I228" s="386" t="str">
        <f>IFERROR(IF(TRANSHARI1_SOFTDRINKPAGI[[#This Row],[NAMA REKENING]]="","",TRANSHARI1_SOFTDRINKPAGI[[#This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IFERROR(VLOOKUP(TRANSHARI1_SOFTDRINKMALAM[[#This Row],[PRODUK]],DATA_SOFTDRINK[],3,FALSE),"")</f>
        <v/>
      </c>
      <c r="T228" s="374"/>
      <c r="U228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8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8" s="12"/>
      <c r="X228" s="386" t="str">
        <f>IFERROR(IF(TRANSHARI1_SOFTDRINKMALAM[[#This Row],[NAMA REKENING]]="","",TRANSHARI1_SOFTDRINKMALAM[[#This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IFERROR(VLOOKUP(TRANSHARI1_SOFTDRINKPAGI[[#This Row],[PRODUK]],DATA_SOFTDRINK[],3,FALSE),"")</f>
        <v/>
      </c>
      <c r="E229" s="374"/>
      <c r="F229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29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29" s="12"/>
      <c r="I229" s="384" t="str">
        <f>IFERROR(IF(TRANSHARI1_SOFTDRINKPAGI[[#This Row],[NAMA REKENING]]="","",TRANSHARI1_SOFTDRINKPAGI[[#This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IFERROR(VLOOKUP(TRANSHARI1_SOFTDRINKMALAM[[#This Row],[PRODUK]],DATA_SOFTDRINK[],3,FALSE),"")</f>
        <v/>
      </c>
      <c r="T229" s="374"/>
      <c r="U229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29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29" s="12"/>
      <c r="X229" s="384" t="str">
        <f>IFERROR(IF(TRANSHARI1_SOFTDRINKMALAM[[#This Row],[NAMA REKENING]]="","",TRANSHARI1_SOFTDRINKMALAM[[#This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IFERROR(VLOOKUP(TRANSHARI1_SOFTDRINKPAGI[[#This Row],[PRODUK]],DATA_SOFTDRINK[],3,FALSE),"")</f>
        <v/>
      </c>
      <c r="E230" s="374"/>
      <c r="F230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0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0" s="12"/>
      <c r="I230" s="386" t="str">
        <f>IFERROR(IF(TRANSHARI1_SOFTDRINKPAGI[[#This Row],[NAMA REKENING]]="","",TRANSHARI1_SOFTDRINKPAGI[[#This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IFERROR(VLOOKUP(TRANSHARI1_SOFTDRINKMALAM[[#This Row],[PRODUK]],DATA_SOFTDRINK[],3,FALSE),"")</f>
        <v/>
      </c>
      <c r="T230" s="374"/>
      <c r="U230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0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0" s="12"/>
      <c r="X230" s="386" t="str">
        <f>IFERROR(IF(TRANSHARI1_SOFTDRINKMALAM[[#This Row],[NAMA REKENING]]="","",TRANSHARI1_SOFTDRINKMALAM[[#This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IFERROR(VLOOKUP(TRANSHARI1_SOFTDRINKPAGI[[#This Row],[PRODUK]],DATA_SOFTDRINK[],3,FALSE),"")</f>
        <v/>
      </c>
      <c r="E231" s="374"/>
      <c r="F231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1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1" s="12"/>
      <c r="I231" s="384" t="str">
        <f>IFERROR(IF(TRANSHARI1_SOFTDRINKPAGI[[#This Row],[NAMA REKENING]]="","",TRANSHARI1_SOFTDRINKPAGI[[#This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IFERROR(VLOOKUP(TRANSHARI1_SOFTDRINKMALAM[[#This Row],[PRODUK]],DATA_SOFTDRINK[],3,FALSE),"")</f>
        <v/>
      </c>
      <c r="T231" s="374"/>
      <c r="U231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1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1" s="12"/>
      <c r="X231" s="384" t="str">
        <f>IFERROR(IF(TRANSHARI1_SOFTDRINKMALAM[[#This Row],[NAMA REKENING]]="","",TRANSHARI1_SOFTDRINKMALAM[[#This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IFERROR(VLOOKUP(TRANSHARI1_SOFTDRINKPAGI[[#This Row],[PRODUK]],DATA_SOFTDRINK[],3,FALSE),"")</f>
        <v/>
      </c>
      <c r="E232" s="374"/>
      <c r="F232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2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2" s="12"/>
      <c r="I232" s="386" t="str">
        <f>IFERROR(IF(TRANSHARI1_SOFTDRINKPAGI[[#This Row],[NAMA REKENING]]="","",TRANSHARI1_SOFTDRINKPAGI[[#This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IFERROR(VLOOKUP(TRANSHARI1_SOFTDRINKMALAM[[#This Row],[PRODUK]],DATA_SOFTDRINK[],3,FALSE),"")</f>
        <v/>
      </c>
      <c r="T232" s="374"/>
      <c r="U232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2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2" s="12"/>
      <c r="X232" s="386" t="str">
        <f>IFERROR(IF(TRANSHARI1_SOFTDRINKMALAM[[#This Row],[NAMA REKENING]]="","",TRANSHARI1_SOFTDRINKMALAM[[#This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IFERROR(VLOOKUP(TRANSHARI1_SOFTDRINKPAGI[[#This Row],[PRODUK]],DATA_SOFTDRINK[],3,FALSE),"")</f>
        <v/>
      </c>
      <c r="E233" s="374"/>
      <c r="F233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3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3" s="12"/>
      <c r="I233" s="384" t="str">
        <f>IFERROR(IF(TRANSHARI1_SOFTDRINKPAGI[[#This Row],[NAMA REKENING]]="","",TRANSHARI1_SOFTDRINKPAGI[[#This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IFERROR(VLOOKUP(TRANSHARI1_SOFTDRINKMALAM[[#This Row],[PRODUK]],DATA_SOFTDRINK[],3,FALSE),"")</f>
        <v/>
      </c>
      <c r="T233" s="374"/>
      <c r="U233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3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3" s="12"/>
      <c r="X233" s="384" t="str">
        <f>IFERROR(IF(TRANSHARI1_SOFTDRINKMALAM[[#This Row],[NAMA REKENING]]="","",TRANSHARI1_SOFTDRINKMALAM[[#This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IFERROR(VLOOKUP(TRANSHARI1_SOFTDRINKPAGI[[#This Row],[PRODUK]],DATA_SOFTDRINK[],3,FALSE),"")</f>
        <v/>
      </c>
      <c r="E234" s="374"/>
      <c r="F234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4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4" s="12"/>
      <c r="I234" s="386" t="str">
        <f>IFERROR(IF(TRANSHARI1_SOFTDRINKPAGI[[#This Row],[NAMA REKENING]]="","",TRANSHARI1_SOFTDRINKPAGI[[#This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IFERROR(VLOOKUP(TRANSHARI1_SOFTDRINKMALAM[[#This Row],[PRODUK]],DATA_SOFTDRINK[],3,FALSE),"")</f>
        <v/>
      </c>
      <c r="T234" s="374"/>
      <c r="U234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4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4" s="12"/>
      <c r="X234" s="386" t="str">
        <f>IFERROR(IF(TRANSHARI1_SOFTDRINKMALAM[[#This Row],[NAMA REKENING]]="","",TRANSHARI1_SOFTDRINKMALAM[[#This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IFERROR(VLOOKUP(TRANSHARI1_SOFTDRINKPAGI[[#This Row],[PRODUK]],DATA_SOFTDRINK[],3,FALSE),"")</f>
        <v/>
      </c>
      <c r="E235" s="374"/>
      <c r="F235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5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5" s="12"/>
      <c r="I235" s="384" t="str">
        <f>IFERROR(IF(TRANSHARI1_SOFTDRINKPAGI[[#This Row],[NAMA REKENING]]="","",TRANSHARI1_SOFTDRINKPAGI[[#This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IFERROR(VLOOKUP(TRANSHARI1_SOFTDRINKMALAM[[#This Row],[PRODUK]],DATA_SOFTDRINK[],3,FALSE),"")</f>
        <v/>
      </c>
      <c r="T235" s="374"/>
      <c r="U235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5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5" s="12"/>
      <c r="X235" s="384" t="str">
        <f>IFERROR(IF(TRANSHARI1_SOFTDRINKMALAM[[#This Row],[NAMA REKENING]]="","",TRANSHARI1_SOFTDRINKMALAM[[#This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IFERROR(VLOOKUP(TRANSHARI1_SOFTDRINKPAGI[[#This Row],[PRODUK]],DATA_SOFTDRINK[],3,FALSE),"")</f>
        <v/>
      </c>
      <c r="E236" s="374"/>
      <c r="F236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6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6" s="12"/>
      <c r="I236" s="386" t="str">
        <f>IFERROR(IF(TRANSHARI1_SOFTDRINKPAGI[[#This Row],[NAMA REKENING]]="","",TRANSHARI1_SOFTDRINKPAGI[[#This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IFERROR(VLOOKUP(TRANSHARI1_SOFTDRINKMALAM[[#This Row],[PRODUK]],DATA_SOFTDRINK[],3,FALSE),"")</f>
        <v/>
      </c>
      <c r="T236" s="374"/>
      <c r="U236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6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6" s="12"/>
      <c r="X236" s="386" t="str">
        <f>IFERROR(IF(TRANSHARI1_SOFTDRINKMALAM[[#This Row],[NAMA REKENING]]="","",TRANSHARI1_SOFTDRINKMALAM[[#This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IFERROR(VLOOKUP(TRANSHARI1_SOFTDRINKPAGI[[#This Row],[PRODUK]],DATA_SOFTDRINK[],3,FALSE),"")</f>
        <v/>
      </c>
      <c r="E237" s="374"/>
      <c r="F237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7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7" s="12"/>
      <c r="I237" s="384" t="str">
        <f>IFERROR(IF(TRANSHARI1_SOFTDRINKPAGI[[#This Row],[NAMA REKENING]]="","",TRANSHARI1_SOFTDRINKPAGI[[#This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IFERROR(VLOOKUP(TRANSHARI1_SOFTDRINKMALAM[[#This Row],[PRODUK]],DATA_SOFTDRINK[],3,FALSE),"")</f>
        <v/>
      </c>
      <c r="T237" s="374"/>
      <c r="U237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7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7" s="12"/>
      <c r="X237" s="384" t="str">
        <f>IFERROR(IF(TRANSHARI1_SOFTDRINKMALAM[[#This Row],[NAMA REKENING]]="","",TRANSHARI1_SOFTDRINKMALAM[[#This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IFERROR(VLOOKUP(TRANSHARI1_SOFTDRINKPAGI[[#This Row],[PRODUK]],DATA_SOFTDRINK[],3,FALSE),"")</f>
        <v/>
      </c>
      <c r="E238" s="374"/>
      <c r="F238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8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8" s="12"/>
      <c r="I238" s="386" t="str">
        <f>IFERROR(IF(TRANSHARI1_SOFTDRINKPAGI[[#This Row],[NAMA REKENING]]="","",TRANSHARI1_SOFTDRINKPAGI[[#This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IFERROR(VLOOKUP(TRANSHARI1_SOFTDRINKMALAM[[#This Row],[PRODUK]],DATA_SOFTDRINK[],3,FALSE),"")</f>
        <v/>
      </c>
      <c r="T238" s="374"/>
      <c r="U238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8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8" s="12"/>
      <c r="X238" s="386" t="str">
        <f>IFERROR(IF(TRANSHARI1_SOFTDRINKMALAM[[#This Row],[NAMA REKENING]]="","",TRANSHARI1_SOFTDRINKMALAM[[#This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IFERROR(VLOOKUP(TRANSHARI1_SOFTDRINKPAGI[[#This Row],[PRODUK]],DATA_SOFTDRINK[],3,FALSE),"")</f>
        <v/>
      </c>
      <c r="E239" s="374"/>
      <c r="F239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39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39" s="12"/>
      <c r="I239" s="384" t="str">
        <f>IFERROR(IF(TRANSHARI1_SOFTDRINKPAGI[[#This Row],[NAMA REKENING]]="","",TRANSHARI1_SOFTDRINKPAGI[[#This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IFERROR(VLOOKUP(TRANSHARI1_SOFTDRINKMALAM[[#This Row],[PRODUK]],DATA_SOFTDRINK[],3,FALSE),"")</f>
        <v/>
      </c>
      <c r="T239" s="374"/>
      <c r="U239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39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39" s="12"/>
      <c r="X239" s="384" t="str">
        <f>IFERROR(IF(TRANSHARI1_SOFTDRINKMALAM[[#This Row],[NAMA REKENING]]="","",TRANSHARI1_SOFTDRINKMALAM[[#This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IFERROR(VLOOKUP(TRANSHARI1_SOFTDRINKPAGI[[#This Row],[PRODUK]],DATA_SOFTDRINK[],3,FALSE),"")</f>
        <v/>
      </c>
      <c r="E240" s="374"/>
      <c r="F240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0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0" s="12"/>
      <c r="I240" s="386" t="str">
        <f>IFERROR(IF(TRANSHARI1_SOFTDRINKPAGI[[#This Row],[NAMA REKENING]]="","",TRANSHARI1_SOFTDRINKPAGI[[#This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IFERROR(VLOOKUP(TRANSHARI1_SOFTDRINKMALAM[[#This Row],[PRODUK]],DATA_SOFTDRINK[],3,FALSE),"")</f>
        <v/>
      </c>
      <c r="T240" s="374"/>
      <c r="U240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0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0" s="12"/>
      <c r="X240" s="386" t="str">
        <f>IFERROR(IF(TRANSHARI1_SOFTDRINKMALAM[[#This Row],[NAMA REKENING]]="","",TRANSHARI1_SOFTDRINKMALAM[[#This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IFERROR(VLOOKUP(TRANSHARI1_SOFTDRINKPAGI[[#This Row],[PRODUK]],DATA_SOFTDRINK[],3,FALSE),"")</f>
        <v/>
      </c>
      <c r="E241" s="374"/>
      <c r="F241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1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1" s="12"/>
      <c r="I241" s="384" t="str">
        <f>IFERROR(IF(TRANSHARI1_SOFTDRINKPAGI[[#This Row],[NAMA REKENING]]="","",TRANSHARI1_SOFTDRINKPAGI[[#This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IFERROR(VLOOKUP(TRANSHARI1_SOFTDRINKMALAM[[#This Row],[PRODUK]],DATA_SOFTDRINK[],3,FALSE),"")</f>
        <v/>
      </c>
      <c r="T241" s="374"/>
      <c r="U241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1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1" s="12"/>
      <c r="X241" s="384" t="str">
        <f>IFERROR(IF(TRANSHARI1_SOFTDRINKMALAM[[#This Row],[NAMA REKENING]]="","",TRANSHARI1_SOFTDRINKMALAM[[#This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IFERROR(VLOOKUP(TRANSHARI1_SOFTDRINKPAGI[[#This Row],[PRODUK]],DATA_SOFTDRINK[],3,FALSE),"")</f>
        <v/>
      </c>
      <c r="E242" s="374"/>
      <c r="F242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2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2" s="12"/>
      <c r="I242" s="386" t="str">
        <f>IFERROR(IF(TRANSHARI1_SOFTDRINKPAGI[[#This Row],[NAMA REKENING]]="","",TRANSHARI1_SOFTDRINKPAGI[[#This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IFERROR(VLOOKUP(TRANSHARI1_SOFTDRINKMALAM[[#This Row],[PRODUK]],DATA_SOFTDRINK[],3,FALSE),"")</f>
        <v/>
      </c>
      <c r="T242" s="374"/>
      <c r="U242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2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2" s="12"/>
      <c r="X242" s="386" t="str">
        <f>IFERROR(IF(TRANSHARI1_SOFTDRINKMALAM[[#This Row],[NAMA REKENING]]="","",TRANSHARI1_SOFTDRINKMALAM[[#This Row],[DEBIT]]),"")</f>
        <v/>
      </c>
      <c r="Y242" s="387"/>
      <c r="Z242" s="389">
        <f>U249+V249</f>
        <v>11500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IFERROR(VLOOKUP(TRANSHARI1_SOFTDRINKPAGI[[#This Row],[PRODUK]],DATA_SOFTDRINK[],3,FALSE),"")</f>
        <v/>
      </c>
      <c r="E243" s="374"/>
      <c r="F243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3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3" s="12"/>
      <c r="I243" s="384" t="str">
        <f>IFERROR(IF(TRANSHARI1_SOFTDRINKPAGI[[#This Row],[NAMA REKENING]]="","",TRANSHARI1_SOFTDRINKPAGI[[#This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IFERROR(VLOOKUP(TRANSHARI1_SOFTDRINKMALAM[[#This Row],[PRODUK]],DATA_SOFTDRINK[],3,FALSE),"")</f>
        <v/>
      </c>
      <c r="T243" s="374"/>
      <c r="U243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3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3" s="12"/>
      <c r="X243" s="384" t="str">
        <f>IFERROR(IF(TRANSHARI1_SOFTDRINKMALAM[[#This Row],[NAMA REKENING]]="","",TRANSHARI1_SOFTDRINKMALAM[[#This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IFERROR(VLOOKUP(TRANSHARI1_SOFTDRINKPAGI[[#This Row],[PRODUK]],DATA_SOFTDRINK[],3,FALSE),"")</f>
        <v/>
      </c>
      <c r="E244" s="374"/>
      <c r="F244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4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4" s="12"/>
      <c r="I244" s="386" t="str">
        <f>IFERROR(IF(TRANSHARI1_SOFTDRINKPAGI[[#This Row],[NAMA REKENING]]="","",TRANSHARI1_SOFTDRINKPAGI[[#This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IFERROR(VLOOKUP(TRANSHARI1_SOFTDRINKMALAM[[#This Row],[PRODUK]],DATA_SOFTDRINK[],3,FALSE),"")</f>
        <v/>
      </c>
      <c r="T244" s="374"/>
      <c r="U244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4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4" s="12"/>
      <c r="X244" s="386" t="str">
        <f>IFERROR(IF(TRANSHARI1_SOFTDRINKMALAM[[#This Row],[NAMA REKENING]]="","",TRANSHARI1_SOFTDRINKMALAM[[#This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IFERROR(VLOOKUP(TRANSHARI1_SOFTDRINKPAGI[[#This Row],[PRODUK]],DATA_SOFTDRINK[],3,FALSE),"")</f>
        <v/>
      </c>
      <c r="E245" s="374"/>
      <c r="F245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5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5" s="12"/>
      <c r="I245" s="384" t="str">
        <f>IFERROR(IF(TRANSHARI1_SOFTDRINKPAGI[[#This Row],[NAMA REKENING]]="","",TRANSHARI1_SOFTDRINKPAGI[[#This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IFERROR(VLOOKUP(TRANSHARI1_SOFTDRINKMALAM[[#This Row],[PRODUK]],DATA_SOFTDRINK[],3,FALSE),"")</f>
        <v/>
      </c>
      <c r="T245" s="374"/>
      <c r="U245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5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5" s="12"/>
      <c r="X245" s="384" t="str">
        <f>IFERROR(IF(TRANSHARI1_SOFTDRINKMALAM[[#This Row],[NAMA REKENING]]="","",TRANSHARI1_SOFTDRINKMALAM[[#This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IFERROR(VLOOKUP(TRANSHARI1_SOFTDRINKPAGI[[#This Row],[PRODUK]],DATA_SOFTDRINK[],3,FALSE),"")</f>
        <v/>
      </c>
      <c r="E246" s="374"/>
      <c r="F246" s="373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6" s="373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6" s="12"/>
      <c r="I246" s="386" t="str">
        <f>IFERROR(IF(TRANSHARI1_SOFTDRINKPAGI[[#This Row],[NAMA REKENING]]="","",TRANSHARI1_SOFTDRINKPAGI[[#This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IFERROR(VLOOKUP(TRANSHARI1_SOFTDRINKMALAM[[#This Row],[PRODUK]],DATA_SOFTDRINK[],3,FALSE),"")</f>
        <v/>
      </c>
      <c r="T246" s="374"/>
      <c r="U246" s="373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6" s="373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6" s="12"/>
      <c r="X246" s="386" t="str">
        <f>IFERROR(IF(TRANSHARI1_SOFTDRINKMALAM[[#This Row],[NAMA REKENING]]="","",TRANSHARI1_SOFTDRINKMALAM[[#This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IFERROR(VLOOKUP(TRANSHARI1_SOFTDRINKPAGI[[#This Row],[PRODUK]],DATA_SOFTDRINK[],3,FALSE),"")</f>
        <v/>
      </c>
      <c r="E247" s="374"/>
      <c r="F247" s="369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7" s="369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7" s="12"/>
      <c r="I247" s="384" t="str">
        <f>IFERROR(IF(TRANSHARI1_SOFTDRINKPAGI[[#This Row],[NAMA REKENING]]="","",TRANSHARI1_SOFTDRINKPAGI[[#This Row],[DEBIT]]),"")</f>
        <v/>
      </c>
      <c r="J247" s="387"/>
      <c r="K247" s="389">
        <f>F249+G249</f>
        <v>12000</v>
      </c>
      <c r="L247" s="390"/>
      <c r="O247" s="324"/>
      <c r="P247" s="367">
        <v>49</v>
      </c>
      <c r="Q247" s="368"/>
      <c r="R247" s="372"/>
      <c r="S247" s="369" t="str">
        <f>IFERROR(VLOOKUP(TRANSHARI1_SOFTDRINKMALAM[[#This Row],[PRODUK]],DATA_SOFTDRINK[],3,FALSE),"")</f>
        <v/>
      </c>
      <c r="T247" s="374"/>
      <c r="U247" s="369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7" s="369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7" s="12"/>
      <c r="X247" s="384" t="str">
        <f>IFERROR(IF(TRANSHARI1_SOFTDRINKMALAM[[#This Row],[NAMA REKENING]]="","",TRANSHARI1_SOFTDRINKMALAM[[#This Row],[DEBIT]]),"")</f>
        <v/>
      </c>
      <c r="Y247" s="387"/>
      <c r="Z247" s="400">
        <f>K247+Z242</f>
        <v>23500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IFERROR(VLOOKUP(TRANSHARI1_SOFTDRINKPAGI[[#This Row],[PRODUK]],DATA_SOFTDRINK[],3,FALSE),"")</f>
        <v/>
      </c>
      <c r="E248" s="376"/>
      <c r="F248" s="394" t="str">
        <f>IFERROR(IF(TRANSHARI1_SOFTDRINKPAGI[[#This Row],[NAMA PENGHUTANG]]="",((TRANSHARI1_SOFTDRINKPAGI[[#This Row],[HARGA]]*TRANSHARI1_SOFTDRINKPAGI[[#This Row],[QUANTITY]])+TRANSHARI1_SOFTDRINKPAGI[[#This Row],[PRICE TOLERANCE]]),""),"")</f>
        <v/>
      </c>
      <c r="G248" s="394" t="str">
        <f>IFERROR(IF(TRANSHARI1_SOFTDRINKPAGI[[#This Row],[NAMA PENGHUTANG]]="","",((TRANSHARI1_SOFTDRINKPAGI[[#This Row],[HARGA]]*TRANSHARI1_SOFTDRINKPAGI[[#This Row],[QUANTITY]])+TRANSHARI1_SOFTDRINKPAGI[[#This Row],[PRICE TOLERANCE]])),"")</f>
        <v/>
      </c>
      <c r="H248" s="377"/>
      <c r="I248" s="399" t="str">
        <f>IFERROR(IF(TRANSHARI1_SOFTDRINKPAGI[[#This Row],[NAMA REKENING]]="","",TRANSHARI1_SOFTDRINKPAGI[[#This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IFERROR(VLOOKUP(TRANSHARI1_SOFTDRINKMALAM[[#This Row],[PRODUK]],DATA_SOFTDRINK[],3,FALSE),"")</f>
        <v/>
      </c>
      <c r="T248" s="376"/>
      <c r="U248" s="394" t="str">
        <f>IFERROR(IF(TRANSHARI1_SOFTDRINKMALAM[[#This Row],[NAMA PENGHUTANG]]="",((TRANSHARI1_SOFTDRINKMALAM[[#This Row],[HARGA]]*TRANSHARI1_SOFTDRINKMALAM[[#This Row],[QUANTITY]])+TRANSHARI1_SOFTDRINKMALAM[[#This Row],[PRICE TOLERANCE]]),""),"")</f>
        <v/>
      </c>
      <c r="V248" s="394" t="str">
        <f>IFERROR(IF(TRANSHARI1_SOFTDRINKMALAM[[#This Row],[NAMA PENGHUTANG]]="","",((TRANSHARI1_SOFTDRINKMALAM[[#This Row],[HARGA]]*TRANSHARI1_SOFTDRINKMALAM[[#This Row],[QUANTITY]])+TRANSHARI1_SOFTDRINKMALAM[[#This Row],[PRICE TOLERANCE]])),"")</f>
        <v/>
      </c>
      <c r="W248" s="377"/>
      <c r="X248" s="399" t="str">
        <f>IFERROR(IF(TRANSHARI1_SOFTDRINKMALAM[[#This Row],[NAMA REKENING]]="","",TRANSHARI1_SOFTDRINKMALAM[[#This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SUM(TRANSHARI1_SOFTDRINKPAGI[QUANTITY])</f>
        <v>7</v>
      </c>
      <c r="E249" s="398">
        <f>SUM(TRANSHARI1_SOFTDRINKPAGI[PRICE TOLERANCE])</f>
        <v>0</v>
      </c>
      <c r="F249" s="396">
        <f>SUM(TRANSHARI1_SOFTDRINKPAGI[DEBIT])</f>
        <v>12000</v>
      </c>
      <c r="G249" s="396">
        <f>SUM(TRANSHARI1_SOFTDRINKPAGI[KREDIT])</f>
        <v>0</v>
      </c>
      <c r="I249" s="396">
        <f>SUM(TRANSHARI1_SOFTDRINKPAGI[NOMINAL TRANSFER])</f>
        <v>0</v>
      </c>
      <c r="O249" s="324"/>
      <c r="P249" s="303" t="s">
        <v>78</v>
      </c>
      <c r="Q249" s="316"/>
      <c r="R249" s="395">
        <f>SUM(TRANSHARI1_SOFTDRINKMALAM[QUANTITY])</f>
        <v>4</v>
      </c>
      <c r="T249" s="398">
        <f>SUM(TRANSHARI1_SOFTDRINKMALAM[PRICE TOLERANCE])</f>
        <v>0</v>
      </c>
      <c r="U249" s="396">
        <f>SUM(TRANSHARI1_SOFTDRINKMALAM[DEBIT])</f>
        <v>11500</v>
      </c>
      <c r="V249" s="396">
        <f>SUM(TRANSHARI1_SOFTDRINKMALAM[KREDIT])</f>
        <v>0</v>
      </c>
      <c r="X249" s="396">
        <f>SUM(TRANSHARI1_SOFTDRINKMALAM[NOMINAL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">
        <v>10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">
        <v>13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 t="s">
        <v>102</v>
      </c>
      <c r="C256" s="368">
        <v>1</v>
      </c>
      <c r="D256" s="369">
        <f>IFERROR(VLOOKUP(TRANSHARI1_ICECREAMPAGI[[#This Row],[PRODUK]],DATA_ICECREAM[],3,FALSE),"")</f>
        <v>2000</v>
      </c>
      <c r="E256" s="370"/>
      <c r="F256" s="369">
        <f>IFERROR(IF(TRANSHARI1_ICECREAMPAGI[[#This Row],[NAMA PENGHUTANG]]="",((TRANSHARI1_ICECREAMPAGI[[#This Row],[HARGA]]*TRANSHARI1_ICECREAMPAGI[[#This Row],[QUANTITY]])+TRANSHARI1_ICECREAMPAGI[[#This Row],[PRICE TOLERANCE]]),""),"")</f>
        <v>2000</v>
      </c>
      <c r="G256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56" s="371"/>
      <c r="I256" s="384" t="str">
        <f>IFERROR(IF(TRANSHARI1_ICECREAMPAGI[[#This Row],[NAMA REKENING]]="","",TRANSHARI1_ICECREAMPAGI[[#This Row],[DEBIT]]),"")</f>
        <v/>
      </c>
      <c r="J256" s="385"/>
      <c r="O256" s="324"/>
      <c r="P256" s="367">
        <v>1</v>
      </c>
      <c r="Q256" s="368" t="s">
        <v>102</v>
      </c>
      <c r="R256" s="368">
        <v>1</v>
      </c>
      <c r="S256" s="369">
        <f>IFERROR(VLOOKUP(TRANSHARI1_ICECREAMMALAM[[#This Row],[PRODUK]],DATA_ICECREAM[],3,FALSE),"")</f>
        <v>2000</v>
      </c>
      <c r="T256" s="370"/>
      <c r="U256" s="369">
        <f>IFERROR(IF(TRANSHARI1_ICECREAMMALAM[[#This Row],[NAMA PENGHUTANG]]="",((TRANSHARI1_ICECREAMMALAM[[#This Row],[HARGA]]*TRANSHARI1_ICECREAMMALAM[[#This Row],[QUANTITY]])+TRANSHARI1_ICECREAMMALAM[[#This Row],[PRICE TOLERANCE]]),""),"")</f>
        <v>2000</v>
      </c>
      <c r="V256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56" s="371"/>
      <c r="X256" s="384" t="str">
        <f>IFERROR(IF(TRANSHARI1_ICECREAMMALAM[[#This Row],[NAMA REKENING]]="","",TRANSHARI1_ICECREAMMALAM[[#This Row],[DEBIT]]),"")</f>
        <v/>
      </c>
      <c r="Y256" s="385"/>
    </row>
    <row r="257" spans="1:25">
      <c r="A257" s="367">
        <v>2</v>
      </c>
      <c r="B257" s="368" t="s">
        <v>103</v>
      </c>
      <c r="C257" s="372">
        <v>1</v>
      </c>
      <c r="D257" s="373">
        <f>IFERROR(VLOOKUP(TRANSHARI1_ICECREAMPAGI[[#This Row],[PRODUK]],DATA_ICECREAM[],3,FALSE),"")</f>
        <v>4000</v>
      </c>
      <c r="E257" s="374"/>
      <c r="F257" s="373">
        <f>IFERROR(IF(TRANSHARI1_ICECREAMPAGI[[#This Row],[NAMA PENGHUTANG]]="",((TRANSHARI1_ICECREAMPAGI[[#This Row],[HARGA]]*TRANSHARI1_ICECREAMPAGI[[#This Row],[QUANTITY]])+TRANSHARI1_ICECREAMPAGI[[#This Row],[PRICE TOLERANCE]]),""),"")</f>
        <v>4000</v>
      </c>
      <c r="G257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57" s="12"/>
      <c r="I257" s="386" t="str">
        <f>IFERROR(IF(TRANSHARI1_ICECREAMPAGI[[#This Row],[NAMA REKENING]]="","",TRANSHARI1_ICECREAMPAGI[[#This Row],[DEBIT]]),"")</f>
        <v/>
      </c>
      <c r="J257" s="387"/>
      <c r="O257" s="324"/>
      <c r="P257" s="367">
        <v>2</v>
      </c>
      <c r="Q257" s="368" t="s">
        <v>104</v>
      </c>
      <c r="R257" s="372">
        <v>1</v>
      </c>
      <c r="S257" s="373">
        <f>IFERROR(VLOOKUP(TRANSHARI1_ICECREAMMALAM[[#This Row],[PRODUK]],DATA_ICECREAM[],3,FALSE),"")</f>
        <v>2000</v>
      </c>
      <c r="T257" s="374"/>
      <c r="U257" s="373">
        <f>IFERROR(IF(TRANSHARI1_ICECREAMMALAM[[#This Row],[NAMA PENGHUTANG]]="",((TRANSHARI1_ICECREAMMALAM[[#This Row],[HARGA]]*TRANSHARI1_ICECREAMMALAM[[#This Row],[QUANTITY]])+TRANSHARI1_ICECREAMMALAM[[#This Row],[PRICE TOLERANCE]]),""),"")</f>
        <v>2000</v>
      </c>
      <c r="V257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57" s="12"/>
      <c r="X257" s="386" t="str">
        <f>IFERROR(IF(TRANSHARI1_ICECREAMMALAM[[#This Row],[NAMA REKENING]]="","",TRANSHARI1_ICECREAMMALAM[[#This Row],[DEBIT]]),"")</f>
        <v/>
      </c>
      <c r="Y257" s="387"/>
    </row>
    <row r="258" spans="1:25">
      <c r="A258" s="367">
        <v>3</v>
      </c>
      <c r="B258" s="368" t="s">
        <v>105</v>
      </c>
      <c r="C258" s="372">
        <v>1</v>
      </c>
      <c r="D258" s="369">
        <f>IFERROR(VLOOKUP(TRANSHARI1_ICECREAMPAGI[[#This Row],[PRODUK]],DATA_ICECREAM[],3,FALSE),"")</f>
        <v>3000</v>
      </c>
      <c r="E258" s="374"/>
      <c r="F258" s="369">
        <f>IFERROR(IF(TRANSHARI1_ICECREAMPAGI[[#This Row],[NAMA PENGHUTANG]]="",((TRANSHARI1_ICECREAMPAGI[[#This Row],[HARGA]]*TRANSHARI1_ICECREAMPAGI[[#This Row],[QUANTITY]])+TRANSHARI1_ICECREAMPAGI[[#This Row],[PRICE TOLERANCE]]),""),"")</f>
        <v>3000</v>
      </c>
      <c r="G258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58" s="12"/>
      <c r="I258" s="384" t="str">
        <f>IFERROR(IF(TRANSHARI1_ICECREAMPAGI[[#This Row],[NAMA REKENING]]="","",TRANSHARI1_ICECREAMPAGI[[#This Row],[DEBIT]]),"")</f>
        <v/>
      </c>
      <c r="J258" s="387"/>
      <c r="O258" s="324"/>
      <c r="P258" s="367">
        <v>3</v>
      </c>
      <c r="Q258" s="368" t="s">
        <v>104</v>
      </c>
      <c r="R258" s="372">
        <v>1</v>
      </c>
      <c r="S258" s="369">
        <f>IFERROR(VLOOKUP(TRANSHARI1_ICECREAMMALAM[[#This Row],[PRODUK]],DATA_ICECREAM[],3,FALSE),"")</f>
        <v>2000</v>
      </c>
      <c r="T258" s="374"/>
      <c r="U258" s="369">
        <f>IFERROR(IF(TRANSHARI1_ICECREAMMALAM[[#This Row],[NAMA PENGHUTANG]]="",((TRANSHARI1_ICECREAMMALAM[[#This Row],[HARGA]]*TRANSHARI1_ICECREAMMALAM[[#This Row],[QUANTITY]])+TRANSHARI1_ICECREAMMALAM[[#This Row],[PRICE TOLERANCE]]),""),"")</f>
        <v>2000</v>
      </c>
      <c r="V258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58" s="12"/>
      <c r="X258" s="384" t="str">
        <f>IFERROR(IF(TRANSHARI1_ICECREAMMALAM[[#This Row],[NAMA REKENING]]="","",TRANSHARI1_ICECREAMMALAM[[#This Row],[DEBIT]]),"")</f>
        <v/>
      </c>
      <c r="Y258" s="387"/>
    </row>
    <row r="259" spans="1:25">
      <c r="A259" s="367">
        <v>4</v>
      </c>
      <c r="B259" s="368" t="s">
        <v>106</v>
      </c>
      <c r="C259" s="372">
        <v>1</v>
      </c>
      <c r="D259" s="373">
        <f>IFERROR(VLOOKUP(TRANSHARI1_ICECREAMPAGI[[#This Row],[PRODUK]],DATA_ICECREAM[],3,FALSE),"")</f>
        <v>4500</v>
      </c>
      <c r="E259" s="374"/>
      <c r="F259" s="373">
        <f>IFERROR(IF(TRANSHARI1_ICECREAMPAGI[[#This Row],[NAMA PENGHUTANG]]="",((TRANSHARI1_ICECREAMPAGI[[#This Row],[HARGA]]*TRANSHARI1_ICECREAMPAGI[[#This Row],[QUANTITY]])+TRANSHARI1_ICECREAMPAGI[[#This Row],[PRICE TOLERANCE]]),""),"")</f>
        <v>4500</v>
      </c>
      <c r="G259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59" s="12"/>
      <c r="I259" s="386" t="str">
        <f>IFERROR(IF(TRANSHARI1_ICECREAMPAGI[[#This Row],[NAMA REKENING]]="","",TRANSHARI1_ICECREAMPAGI[[#This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IFERROR(VLOOKUP(TRANSHARI1_ICECREAMMALAM[[#This Row],[PRODUK]],DATA_ICECREAM[],3,FALSE),"")</f>
        <v/>
      </c>
      <c r="T259" s="374"/>
      <c r="U259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59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59" s="12"/>
      <c r="X259" s="386" t="str">
        <f>IFERROR(IF(TRANSHARI1_ICECREAMMALAM[[#This Row],[NAMA REKENING]]="","",TRANSHARI1_ICECREAMMALAM[[#This Row],[DEBIT]]),"")</f>
        <v/>
      </c>
      <c r="Y259" s="387"/>
    </row>
    <row r="260" spans="1:25">
      <c r="A260" s="367">
        <v>5</v>
      </c>
      <c r="B260" s="368" t="s">
        <v>107</v>
      </c>
      <c r="C260" s="372">
        <v>1</v>
      </c>
      <c r="D260" s="369">
        <f>IFERROR(VLOOKUP(TRANSHARI1_ICECREAMPAGI[[#This Row],[PRODUK]],DATA_ICECREAM[],3,FALSE),"")</f>
        <v>5000</v>
      </c>
      <c r="E260" s="374"/>
      <c r="F260" s="369">
        <f>IFERROR(IF(TRANSHARI1_ICECREAMPAGI[[#This Row],[NAMA PENGHUTANG]]="",((TRANSHARI1_ICECREAMPAGI[[#This Row],[HARGA]]*TRANSHARI1_ICECREAMPAGI[[#This Row],[QUANTITY]])+TRANSHARI1_ICECREAMPAGI[[#This Row],[PRICE TOLERANCE]]),""),"")</f>
        <v>5000</v>
      </c>
      <c r="G260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0" s="12"/>
      <c r="I260" s="384" t="str">
        <f>IFERROR(IF(TRANSHARI1_ICECREAMPAGI[[#This Row],[NAMA REKENING]]="","",TRANSHARI1_ICECREAMPAGI[[#This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IFERROR(VLOOKUP(TRANSHARI1_ICECREAMMALAM[[#This Row],[PRODUK]],DATA_ICECREAM[],3,FALSE),"")</f>
        <v/>
      </c>
      <c r="T260" s="374"/>
      <c r="U260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0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0" s="12"/>
      <c r="X260" s="384" t="str">
        <f>IFERROR(IF(TRANSHARI1_ICECREAMMALAM[[#This Row],[NAMA REKENING]]="","",TRANSHARI1_ICECREAMMALAM[[#This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IFERROR(VLOOKUP(TRANSHARI1_ICECREAMPAGI[[#This Row],[PRODUK]],DATA_ICECREAM[],3,FALSE),"")</f>
        <v/>
      </c>
      <c r="E261" s="374"/>
      <c r="F261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1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1" s="12"/>
      <c r="I261" s="386" t="str">
        <f>IFERROR(IF(TRANSHARI1_ICECREAMPAGI[[#This Row],[NAMA REKENING]]="","",TRANSHARI1_ICECREAMPAGI[[#This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IFERROR(VLOOKUP(TRANSHARI1_ICECREAMMALAM[[#This Row],[PRODUK]],DATA_ICECREAM[],3,FALSE),"")</f>
        <v/>
      </c>
      <c r="T261" s="374"/>
      <c r="U261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1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1" s="12"/>
      <c r="X261" s="386" t="str">
        <f>IFERROR(IF(TRANSHARI1_ICECREAMMALAM[[#This Row],[NAMA REKENING]]="","",TRANSHARI1_ICECREAMMALAM[[#This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IFERROR(VLOOKUP(TRANSHARI1_ICECREAMPAGI[[#This Row],[PRODUK]],DATA_ICECREAM[],3,FALSE),"")</f>
        <v/>
      </c>
      <c r="E262" s="374"/>
      <c r="F262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2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2" s="12"/>
      <c r="I262" s="384" t="str">
        <f>IFERROR(IF(TRANSHARI1_ICECREAMPAGI[[#This Row],[NAMA REKENING]]="","",TRANSHARI1_ICECREAMPAGI[[#This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IFERROR(VLOOKUP(TRANSHARI1_ICECREAMMALAM[[#This Row],[PRODUK]],DATA_ICECREAM[],3,FALSE),"")</f>
        <v/>
      </c>
      <c r="T262" s="374"/>
      <c r="U262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2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2" s="12"/>
      <c r="X262" s="384" t="str">
        <f>IFERROR(IF(TRANSHARI1_ICECREAMMALAM[[#This Row],[NAMA REKENING]]="","",TRANSHARI1_ICECREAMMALAM[[#This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IFERROR(VLOOKUP(TRANSHARI1_ICECREAMPAGI[[#This Row],[PRODUK]],DATA_ICECREAM[],3,FALSE),"")</f>
        <v/>
      </c>
      <c r="E263" s="374"/>
      <c r="F263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3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3" s="12"/>
      <c r="I263" s="386" t="str">
        <f>IFERROR(IF(TRANSHARI1_ICECREAMPAGI[[#This Row],[NAMA REKENING]]="","",TRANSHARI1_ICECREAMPAGI[[#This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IFERROR(VLOOKUP(TRANSHARI1_ICECREAMMALAM[[#This Row],[PRODUK]],DATA_ICECREAM[],3,FALSE),"")</f>
        <v/>
      </c>
      <c r="T263" s="374"/>
      <c r="U263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3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3" s="12"/>
      <c r="X263" s="386" t="str">
        <f>IFERROR(IF(TRANSHARI1_ICECREAMMALAM[[#This Row],[NAMA REKENING]]="","",TRANSHARI1_ICECREAMMALAM[[#This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IFERROR(VLOOKUP(TRANSHARI1_ICECREAMPAGI[[#This Row],[PRODUK]],DATA_ICECREAM[],3,FALSE),"")</f>
        <v/>
      </c>
      <c r="E264" s="374"/>
      <c r="F264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4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4" s="12"/>
      <c r="I264" s="384" t="str">
        <f>IFERROR(IF(TRANSHARI1_ICECREAMPAGI[[#This Row],[NAMA REKENING]]="","",TRANSHARI1_ICECREAMPAGI[[#This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IFERROR(VLOOKUP(TRANSHARI1_ICECREAMMALAM[[#This Row],[PRODUK]],DATA_ICECREAM[],3,FALSE),"")</f>
        <v/>
      </c>
      <c r="T264" s="374"/>
      <c r="U264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4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4" s="12"/>
      <c r="X264" s="384" t="str">
        <f>IFERROR(IF(TRANSHARI1_ICECREAMMALAM[[#This Row],[NAMA REKENING]]="","",TRANSHARI1_ICECREAMMALAM[[#This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IFERROR(VLOOKUP(TRANSHARI1_ICECREAMPAGI[[#This Row],[PRODUK]],DATA_ICECREAM[],3,FALSE),"")</f>
        <v/>
      </c>
      <c r="E265" s="374"/>
      <c r="F265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5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5" s="12"/>
      <c r="I265" s="386" t="str">
        <f>IFERROR(IF(TRANSHARI1_ICECREAMPAGI[[#This Row],[NAMA REKENING]]="","",TRANSHARI1_ICECREAMPAGI[[#This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IFERROR(VLOOKUP(TRANSHARI1_ICECREAMMALAM[[#This Row],[PRODUK]],DATA_ICECREAM[],3,FALSE),"")</f>
        <v/>
      </c>
      <c r="T265" s="374"/>
      <c r="U265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5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5" s="12"/>
      <c r="X265" s="386" t="str">
        <f>IFERROR(IF(TRANSHARI1_ICECREAMMALAM[[#This Row],[NAMA REKENING]]="","",TRANSHARI1_ICECREAMMALAM[[#This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IFERROR(VLOOKUP(TRANSHARI1_ICECREAMPAGI[[#This Row],[PRODUK]],DATA_ICECREAM[],3,FALSE),"")</f>
        <v/>
      </c>
      <c r="E266" s="374"/>
      <c r="F266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6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6" s="12"/>
      <c r="I266" s="384" t="str">
        <f>IFERROR(IF(TRANSHARI1_ICECREAMPAGI[[#This Row],[NAMA REKENING]]="","",TRANSHARI1_ICECREAMPAGI[[#This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IFERROR(VLOOKUP(TRANSHARI1_ICECREAMMALAM[[#This Row],[PRODUK]],DATA_ICECREAM[],3,FALSE),"")</f>
        <v/>
      </c>
      <c r="T266" s="374"/>
      <c r="U266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6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6" s="12"/>
      <c r="X266" s="384" t="str">
        <f>IFERROR(IF(TRANSHARI1_ICECREAMMALAM[[#This Row],[NAMA REKENING]]="","",TRANSHARI1_ICECREAMMALAM[[#This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IFERROR(VLOOKUP(TRANSHARI1_ICECREAMPAGI[[#This Row],[PRODUK]],DATA_ICECREAM[],3,FALSE),"")</f>
        <v/>
      </c>
      <c r="E267" s="374"/>
      <c r="F267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7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7" s="12"/>
      <c r="I267" s="386" t="str">
        <f>IFERROR(IF(TRANSHARI1_ICECREAMPAGI[[#This Row],[NAMA REKENING]]="","",TRANSHARI1_ICECREAMPAGI[[#This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IFERROR(VLOOKUP(TRANSHARI1_ICECREAMMALAM[[#This Row],[PRODUK]],DATA_ICECREAM[],3,FALSE),"")</f>
        <v/>
      </c>
      <c r="T267" s="374"/>
      <c r="U267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7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7" s="12"/>
      <c r="X267" s="386" t="str">
        <f>IFERROR(IF(TRANSHARI1_ICECREAMMALAM[[#This Row],[NAMA REKENING]]="","",TRANSHARI1_ICECREAMMALAM[[#This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IFERROR(VLOOKUP(TRANSHARI1_ICECREAMPAGI[[#This Row],[PRODUK]],DATA_ICECREAM[],3,FALSE),"")</f>
        <v/>
      </c>
      <c r="E268" s="374"/>
      <c r="F268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8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8" s="12"/>
      <c r="I268" s="384" t="str">
        <f>IFERROR(IF(TRANSHARI1_ICECREAMPAGI[[#This Row],[NAMA REKENING]]="","",TRANSHARI1_ICECREAMPAGI[[#This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IFERROR(VLOOKUP(TRANSHARI1_ICECREAMMALAM[[#This Row],[PRODUK]],DATA_ICECREAM[],3,FALSE),"")</f>
        <v/>
      </c>
      <c r="T268" s="374"/>
      <c r="U268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8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8" s="12"/>
      <c r="X268" s="384" t="str">
        <f>IFERROR(IF(TRANSHARI1_ICECREAMMALAM[[#This Row],[NAMA REKENING]]="","",TRANSHARI1_ICECREAMMALAM[[#This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IFERROR(VLOOKUP(TRANSHARI1_ICECREAMPAGI[[#This Row],[PRODUK]],DATA_ICECREAM[],3,FALSE),"")</f>
        <v/>
      </c>
      <c r="E269" s="374"/>
      <c r="F269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69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69" s="12"/>
      <c r="I269" s="386" t="str">
        <f>IFERROR(IF(TRANSHARI1_ICECREAMPAGI[[#This Row],[NAMA REKENING]]="","",TRANSHARI1_ICECREAMPAGI[[#This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IFERROR(VLOOKUP(TRANSHARI1_ICECREAMMALAM[[#This Row],[PRODUK]],DATA_ICECREAM[],3,FALSE),"")</f>
        <v/>
      </c>
      <c r="T269" s="374"/>
      <c r="U269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69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69" s="12"/>
      <c r="X269" s="386" t="str">
        <f>IFERROR(IF(TRANSHARI1_ICECREAMMALAM[[#This Row],[NAMA REKENING]]="","",TRANSHARI1_ICECREAMMALAM[[#This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IFERROR(VLOOKUP(TRANSHARI1_ICECREAMPAGI[[#This Row],[PRODUK]],DATA_ICECREAM[],3,FALSE),"")</f>
        <v/>
      </c>
      <c r="E270" s="374"/>
      <c r="F270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0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0" s="12"/>
      <c r="I270" s="384" t="str">
        <f>IFERROR(IF(TRANSHARI1_ICECREAMPAGI[[#This Row],[NAMA REKENING]]="","",TRANSHARI1_ICECREAMPAGI[[#This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IFERROR(VLOOKUP(TRANSHARI1_ICECREAMMALAM[[#This Row],[PRODUK]],DATA_ICECREAM[],3,FALSE),"")</f>
        <v/>
      </c>
      <c r="T270" s="374"/>
      <c r="U270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0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0" s="12"/>
      <c r="X270" s="384" t="str">
        <f>IFERROR(IF(TRANSHARI1_ICECREAMMALAM[[#This Row],[NAMA REKENING]]="","",TRANSHARI1_ICECREAMMALAM[[#This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IFERROR(VLOOKUP(TRANSHARI1_ICECREAMPAGI[[#This Row],[PRODUK]],DATA_ICECREAM[],3,FALSE),"")</f>
        <v/>
      </c>
      <c r="E271" s="374"/>
      <c r="F271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1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1" s="12"/>
      <c r="I271" s="386" t="str">
        <f>IFERROR(IF(TRANSHARI1_ICECREAMPAGI[[#This Row],[NAMA REKENING]]="","",TRANSHARI1_ICECREAMPAGI[[#This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IFERROR(VLOOKUP(TRANSHARI1_ICECREAMMALAM[[#This Row],[PRODUK]],DATA_ICECREAM[],3,FALSE),"")</f>
        <v/>
      </c>
      <c r="T271" s="374"/>
      <c r="U271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1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1" s="12"/>
      <c r="X271" s="386" t="str">
        <f>IFERROR(IF(TRANSHARI1_ICECREAMMALAM[[#This Row],[NAMA REKENING]]="","",TRANSHARI1_ICECREAMMALAM[[#This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IFERROR(VLOOKUP(TRANSHARI1_ICECREAMPAGI[[#This Row],[PRODUK]],DATA_ICECREAM[],3,FALSE),"")</f>
        <v/>
      </c>
      <c r="E272" s="374"/>
      <c r="F272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2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2" s="12"/>
      <c r="I272" s="384" t="str">
        <f>IFERROR(IF(TRANSHARI1_ICECREAMPAGI[[#This Row],[NAMA REKENING]]="","",TRANSHARI1_ICECREAMPAGI[[#This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IFERROR(VLOOKUP(TRANSHARI1_ICECREAMMALAM[[#This Row],[PRODUK]],DATA_ICECREAM[],3,FALSE),"")</f>
        <v/>
      </c>
      <c r="T272" s="374"/>
      <c r="U272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2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2" s="12"/>
      <c r="X272" s="384" t="str">
        <f>IFERROR(IF(TRANSHARI1_ICECREAMMALAM[[#This Row],[NAMA REKENING]]="","",TRANSHARI1_ICECREAMMALAM[[#This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IFERROR(VLOOKUP(TRANSHARI1_ICECREAMPAGI[[#This Row],[PRODUK]],DATA_ICECREAM[],3,FALSE),"")</f>
        <v/>
      </c>
      <c r="E273" s="374"/>
      <c r="F273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3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3" s="12"/>
      <c r="I273" s="386" t="str">
        <f>IFERROR(IF(TRANSHARI1_ICECREAMPAGI[[#This Row],[NAMA REKENING]]="","",TRANSHARI1_ICECREAMPAGI[[#This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IFERROR(VLOOKUP(TRANSHARI1_ICECREAMMALAM[[#This Row],[PRODUK]],DATA_ICECREAM[],3,FALSE),"")</f>
        <v/>
      </c>
      <c r="T273" s="374"/>
      <c r="U273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3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3" s="12"/>
      <c r="X273" s="386" t="str">
        <f>IFERROR(IF(TRANSHARI1_ICECREAMMALAM[[#This Row],[NAMA REKENING]]="","",TRANSHARI1_ICECREAMMALAM[[#This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IFERROR(VLOOKUP(TRANSHARI1_ICECREAMPAGI[[#This Row],[PRODUK]],DATA_ICECREAM[],3,FALSE),"")</f>
        <v/>
      </c>
      <c r="E274" s="374"/>
      <c r="F274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4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4" s="12"/>
      <c r="I274" s="384" t="str">
        <f>IFERROR(IF(TRANSHARI1_ICECREAMPAGI[[#This Row],[NAMA REKENING]]="","",TRANSHARI1_ICECREAMPAGI[[#This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IFERROR(VLOOKUP(TRANSHARI1_ICECREAMMALAM[[#This Row],[PRODUK]],DATA_ICECREAM[],3,FALSE),"")</f>
        <v/>
      </c>
      <c r="T274" s="374"/>
      <c r="U274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4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4" s="12"/>
      <c r="X274" s="384" t="str">
        <f>IFERROR(IF(TRANSHARI1_ICECREAMMALAM[[#This Row],[NAMA REKENING]]="","",TRANSHARI1_ICECREAMMALAM[[#This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IFERROR(VLOOKUP(TRANSHARI1_ICECREAMPAGI[[#This Row],[PRODUK]],DATA_ICECREAM[],3,FALSE),"")</f>
        <v/>
      </c>
      <c r="E275" s="374"/>
      <c r="F275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5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5" s="12"/>
      <c r="I275" s="386" t="str">
        <f>IFERROR(IF(TRANSHARI1_ICECREAMPAGI[[#This Row],[NAMA REKENING]]="","",TRANSHARI1_ICECREAMPAGI[[#This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IFERROR(VLOOKUP(TRANSHARI1_ICECREAMMALAM[[#This Row],[PRODUK]],DATA_ICECREAM[],3,FALSE),"")</f>
        <v/>
      </c>
      <c r="T275" s="374"/>
      <c r="U275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5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5" s="12"/>
      <c r="X275" s="386" t="str">
        <f>IFERROR(IF(TRANSHARI1_ICECREAMMALAM[[#This Row],[NAMA REKENING]]="","",TRANSHARI1_ICECREAMMALAM[[#This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IFERROR(VLOOKUP(TRANSHARI1_ICECREAMPAGI[[#This Row],[PRODUK]],DATA_ICECREAM[],3,FALSE),"")</f>
        <v/>
      </c>
      <c r="E276" s="374"/>
      <c r="F276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6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6" s="12"/>
      <c r="I276" s="384" t="str">
        <f>IFERROR(IF(TRANSHARI1_ICECREAMPAGI[[#This Row],[NAMA REKENING]]="","",TRANSHARI1_ICECREAMPAGI[[#This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IFERROR(VLOOKUP(TRANSHARI1_ICECREAMMALAM[[#This Row],[PRODUK]],DATA_ICECREAM[],3,FALSE),"")</f>
        <v/>
      </c>
      <c r="T276" s="374"/>
      <c r="U276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6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6" s="12"/>
      <c r="X276" s="384" t="str">
        <f>IFERROR(IF(TRANSHARI1_ICECREAMMALAM[[#This Row],[NAMA REKENING]]="","",TRANSHARI1_ICECREAMMALAM[[#This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IFERROR(VLOOKUP(TRANSHARI1_ICECREAMPAGI[[#This Row],[PRODUK]],DATA_ICECREAM[],3,FALSE),"")</f>
        <v/>
      </c>
      <c r="E277" s="374"/>
      <c r="F277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7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7" s="12"/>
      <c r="I277" s="386" t="str">
        <f>IFERROR(IF(TRANSHARI1_ICECREAMPAGI[[#This Row],[NAMA REKENING]]="","",TRANSHARI1_ICECREAMPAGI[[#This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IFERROR(VLOOKUP(TRANSHARI1_ICECREAMMALAM[[#This Row],[PRODUK]],DATA_ICECREAM[],3,FALSE),"")</f>
        <v/>
      </c>
      <c r="T277" s="374"/>
      <c r="U277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7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7" s="12"/>
      <c r="X277" s="386" t="str">
        <f>IFERROR(IF(TRANSHARI1_ICECREAMMALAM[[#This Row],[NAMA REKENING]]="","",TRANSHARI1_ICECREAMMALAM[[#This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IFERROR(VLOOKUP(TRANSHARI1_ICECREAMPAGI[[#This Row],[PRODUK]],DATA_ICECREAM[],3,FALSE),"")</f>
        <v/>
      </c>
      <c r="E278" s="374"/>
      <c r="F278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8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8" s="12"/>
      <c r="I278" s="384" t="str">
        <f>IFERROR(IF(TRANSHARI1_ICECREAMPAGI[[#This Row],[NAMA REKENING]]="","",TRANSHARI1_ICECREAMPAGI[[#This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IFERROR(VLOOKUP(TRANSHARI1_ICECREAMMALAM[[#This Row],[PRODUK]],DATA_ICECREAM[],3,FALSE),"")</f>
        <v/>
      </c>
      <c r="T278" s="374"/>
      <c r="U278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8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8" s="12"/>
      <c r="X278" s="384" t="str">
        <f>IFERROR(IF(TRANSHARI1_ICECREAMMALAM[[#This Row],[NAMA REKENING]]="","",TRANSHARI1_ICECREAMMALAM[[#This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IFERROR(VLOOKUP(TRANSHARI1_ICECREAMPAGI[[#This Row],[PRODUK]],DATA_ICECREAM[],3,FALSE),"")</f>
        <v/>
      </c>
      <c r="E279" s="374"/>
      <c r="F279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79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79" s="12"/>
      <c r="I279" s="386" t="str">
        <f>IFERROR(IF(TRANSHARI1_ICECREAMPAGI[[#This Row],[NAMA REKENING]]="","",TRANSHARI1_ICECREAMPAGI[[#This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IFERROR(VLOOKUP(TRANSHARI1_ICECREAMMALAM[[#This Row],[PRODUK]],DATA_ICECREAM[],3,FALSE),"")</f>
        <v/>
      </c>
      <c r="T279" s="374"/>
      <c r="U279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79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79" s="12"/>
      <c r="X279" s="386" t="str">
        <f>IFERROR(IF(TRANSHARI1_ICECREAMMALAM[[#This Row],[NAMA REKENING]]="","",TRANSHARI1_ICECREAMMALAM[[#This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IFERROR(VLOOKUP(TRANSHARI1_ICECREAMPAGI[[#This Row],[PRODUK]],DATA_ICECREAM[],3,FALSE),"")</f>
        <v/>
      </c>
      <c r="E280" s="374"/>
      <c r="F280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0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0" s="12"/>
      <c r="I280" s="384" t="str">
        <f>IFERROR(IF(TRANSHARI1_ICECREAMPAGI[[#This Row],[NAMA REKENING]]="","",TRANSHARI1_ICECREAMPAGI[[#This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IFERROR(VLOOKUP(TRANSHARI1_ICECREAMMALAM[[#This Row],[PRODUK]],DATA_ICECREAM[],3,FALSE),"")</f>
        <v/>
      </c>
      <c r="T280" s="374"/>
      <c r="U280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0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0" s="12"/>
      <c r="X280" s="384" t="str">
        <f>IFERROR(IF(TRANSHARI1_ICECREAMMALAM[[#This Row],[NAMA REKENING]]="","",TRANSHARI1_ICECREAMMALAM[[#This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IFERROR(VLOOKUP(TRANSHARI1_ICECREAMPAGI[[#This Row],[PRODUK]],DATA_ICECREAM[],3,FALSE),"")</f>
        <v/>
      </c>
      <c r="E281" s="376"/>
      <c r="F281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1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1" s="377"/>
      <c r="I281" s="386" t="str">
        <f>IFERROR(IF(TRANSHARI1_ICECREAMPAGI[[#This Row],[NAMA REKENING]]="","",TRANSHARI1_ICECREAMPAGI[[#This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IFERROR(VLOOKUP(TRANSHARI1_ICECREAMMALAM[[#This Row],[PRODUK]],DATA_ICECREAM[],3,FALSE),"")</f>
        <v/>
      </c>
      <c r="T281" s="376"/>
      <c r="U281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1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1" s="377"/>
      <c r="X281" s="386" t="str">
        <f>IFERROR(IF(TRANSHARI1_ICECREAMMALAM[[#This Row],[NAMA REKENING]]="","",TRANSHARI1_ICECREAMMALAM[[#This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IFERROR(VLOOKUP(TRANSHARI1_ICECREAMPAGI[[#This Row],[PRODUK]],DATA_ICECREAM[],3,FALSE),"")</f>
        <v/>
      </c>
      <c r="E282" s="374"/>
      <c r="F282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2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2" s="12"/>
      <c r="I282" s="384" t="str">
        <f>IFERROR(IF(TRANSHARI1_ICECREAMPAGI[[#This Row],[NAMA REKENING]]="","",TRANSHARI1_ICECREAMPAGI[[#This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IFERROR(VLOOKUP(TRANSHARI1_ICECREAMMALAM[[#This Row],[PRODUK]],DATA_ICECREAM[],3,FALSE),"")</f>
        <v/>
      </c>
      <c r="T282" s="374"/>
      <c r="U282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2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2" s="12"/>
      <c r="X282" s="384" t="str">
        <f>IFERROR(IF(TRANSHARI1_ICECREAMMALAM[[#This Row],[NAMA REKENING]]="","",TRANSHARI1_ICECREAMMALAM[[#This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IFERROR(VLOOKUP(TRANSHARI1_ICECREAMPAGI[[#This Row],[PRODUK]],DATA_ICECREAM[],3,FALSE),"")</f>
        <v/>
      </c>
      <c r="E283" s="374"/>
      <c r="F283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3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3" s="12"/>
      <c r="I283" s="386" t="str">
        <f>IFERROR(IF(TRANSHARI1_ICECREAMPAGI[[#This Row],[NAMA REKENING]]="","",TRANSHARI1_ICECREAMPAGI[[#This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IFERROR(VLOOKUP(TRANSHARI1_ICECREAMMALAM[[#This Row],[PRODUK]],DATA_ICECREAM[],3,FALSE),"")</f>
        <v/>
      </c>
      <c r="T283" s="374"/>
      <c r="U283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3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3" s="12"/>
      <c r="X283" s="386" t="str">
        <f>IFERROR(IF(TRANSHARI1_ICECREAMMALAM[[#This Row],[NAMA REKENING]]="","",TRANSHARI1_ICECREAMMALAM[[#This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IFERROR(VLOOKUP(TRANSHARI1_ICECREAMPAGI[[#This Row],[PRODUK]],DATA_ICECREAM[],3,FALSE),"")</f>
        <v/>
      </c>
      <c r="E284" s="374"/>
      <c r="F284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4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4" s="12"/>
      <c r="I284" s="384" t="str">
        <f>IFERROR(IF(TRANSHARI1_ICECREAMPAGI[[#This Row],[NAMA REKENING]]="","",TRANSHARI1_ICECREAMPAGI[[#This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IFERROR(VLOOKUP(TRANSHARI1_ICECREAMMALAM[[#This Row],[PRODUK]],DATA_ICECREAM[],3,FALSE),"")</f>
        <v/>
      </c>
      <c r="T284" s="374"/>
      <c r="U284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4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4" s="12"/>
      <c r="X284" s="384" t="str">
        <f>IFERROR(IF(TRANSHARI1_ICECREAMMALAM[[#This Row],[NAMA REKENING]]="","",TRANSHARI1_ICECREAMMALAM[[#This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IFERROR(VLOOKUP(TRANSHARI1_ICECREAMPAGI[[#This Row],[PRODUK]],DATA_ICECREAM[],3,FALSE),"")</f>
        <v/>
      </c>
      <c r="E285" s="374"/>
      <c r="F285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5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5" s="12"/>
      <c r="I285" s="386" t="str">
        <f>IFERROR(IF(TRANSHARI1_ICECREAMPAGI[[#This Row],[NAMA REKENING]]="","",TRANSHARI1_ICECREAMPAGI[[#This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IFERROR(VLOOKUP(TRANSHARI1_ICECREAMMALAM[[#This Row],[PRODUK]],DATA_ICECREAM[],3,FALSE),"")</f>
        <v/>
      </c>
      <c r="T285" s="374"/>
      <c r="U285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5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5" s="12"/>
      <c r="X285" s="386" t="str">
        <f>IFERROR(IF(TRANSHARI1_ICECREAMMALAM[[#This Row],[NAMA REKENING]]="","",TRANSHARI1_ICECREAMMALAM[[#This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IFERROR(VLOOKUP(TRANSHARI1_ICECREAMPAGI[[#This Row],[PRODUK]],DATA_ICECREAM[],3,FALSE),"")</f>
        <v/>
      </c>
      <c r="E286" s="374"/>
      <c r="F286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6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6" s="12"/>
      <c r="I286" s="384" t="str">
        <f>IFERROR(IF(TRANSHARI1_ICECREAMPAGI[[#This Row],[NAMA REKENING]]="","",TRANSHARI1_ICECREAMPAGI[[#This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IFERROR(VLOOKUP(TRANSHARI1_ICECREAMMALAM[[#This Row],[PRODUK]],DATA_ICECREAM[],3,FALSE),"")</f>
        <v/>
      </c>
      <c r="T286" s="374"/>
      <c r="U286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6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6" s="12"/>
      <c r="X286" s="384" t="str">
        <f>IFERROR(IF(TRANSHARI1_ICECREAMMALAM[[#This Row],[NAMA REKENING]]="","",TRANSHARI1_ICECREAMMALAM[[#This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IFERROR(VLOOKUP(TRANSHARI1_ICECREAMPAGI[[#This Row],[PRODUK]],DATA_ICECREAM[],3,FALSE),"")</f>
        <v/>
      </c>
      <c r="E287" s="374"/>
      <c r="F287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7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7" s="12"/>
      <c r="I287" s="386" t="str">
        <f>IFERROR(IF(TRANSHARI1_ICECREAMPAGI[[#This Row],[NAMA REKENING]]="","",TRANSHARI1_ICECREAMPAGI[[#This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IFERROR(VLOOKUP(TRANSHARI1_ICECREAMMALAM[[#This Row],[PRODUK]],DATA_ICECREAM[],3,FALSE),"")</f>
        <v/>
      </c>
      <c r="T287" s="374"/>
      <c r="U287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7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7" s="12"/>
      <c r="X287" s="386" t="str">
        <f>IFERROR(IF(TRANSHARI1_ICECREAMMALAM[[#This Row],[NAMA REKENING]]="","",TRANSHARI1_ICECREAMMALAM[[#This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IFERROR(VLOOKUP(TRANSHARI1_ICECREAMPAGI[[#This Row],[PRODUK]],DATA_ICECREAM[],3,FALSE),"")</f>
        <v/>
      </c>
      <c r="E288" s="374"/>
      <c r="F288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8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8" s="12"/>
      <c r="I288" s="384" t="str">
        <f>IFERROR(IF(TRANSHARI1_ICECREAMPAGI[[#This Row],[NAMA REKENING]]="","",TRANSHARI1_ICECREAMPAGI[[#This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IFERROR(VLOOKUP(TRANSHARI1_ICECREAMMALAM[[#This Row],[PRODUK]],DATA_ICECREAM[],3,FALSE),"")</f>
        <v/>
      </c>
      <c r="T288" s="374"/>
      <c r="U288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8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8" s="12"/>
      <c r="X288" s="384" t="str">
        <f>IFERROR(IF(TRANSHARI1_ICECREAMMALAM[[#This Row],[NAMA REKENING]]="","",TRANSHARI1_ICECREAMMALAM[[#This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IFERROR(VLOOKUP(TRANSHARI1_ICECREAMPAGI[[#This Row],[PRODUK]],DATA_ICECREAM[],3,FALSE),"")</f>
        <v/>
      </c>
      <c r="E289" s="374"/>
      <c r="F289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89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89" s="12"/>
      <c r="I289" s="386" t="str">
        <f>IFERROR(IF(TRANSHARI1_ICECREAMPAGI[[#This Row],[NAMA REKENING]]="","",TRANSHARI1_ICECREAMPAGI[[#This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IFERROR(VLOOKUP(TRANSHARI1_ICECREAMMALAM[[#This Row],[PRODUK]],DATA_ICECREAM[],3,FALSE),"")</f>
        <v/>
      </c>
      <c r="T289" s="374"/>
      <c r="U289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89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89" s="12"/>
      <c r="X289" s="386" t="str">
        <f>IFERROR(IF(TRANSHARI1_ICECREAMMALAM[[#This Row],[NAMA REKENING]]="","",TRANSHARI1_ICECREAMMALAM[[#This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IFERROR(VLOOKUP(TRANSHARI1_ICECREAMPAGI[[#This Row],[PRODUK]],DATA_ICECREAM[],3,FALSE),"")</f>
        <v/>
      </c>
      <c r="E290" s="374"/>
      <c r="F290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0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0" s="12"/>
      <c r="I290" s="384" t="str">
        <f>IFERROR(IF(TRANSHARI1_ICECREAMPAGI[[#This Row],[NAMA REKENING]]="","",TRANSHARI1_ICECREAMPAGI[[#This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IFERROR(VLOOKUP(TRANSHARI1_ICECREAMMALAM[[#This Row],[PRODUK]],DATA_ICECREAM[],3,FALSE),"")</f>
        <v/>
      </c>
      <c r="T290" s="374"/>
      <c r="U290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0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0" s="12"/>
      <c r="X290" s="384" t="str">
        <f>IFERROR(IF(TRANSHARI1_ICECREAMMALAM[[#This Row],[NAMA REKENING]]="","",TRANSHARI1_ICECREAMMALAM[[#This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IFERROR(VLOOKUP(TRANSHARI1_ICECREAMPAGI[[#This Row],[PRODUK]],DATA_ICECREAM[],3,FALSE),"")</f>
        <v/>
      </c>
      <c r="E291" s="374"/>
      <c r="F291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1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1" s="12"/>
      <c r="I291" s="386" t="str">
        <f>IFERROR(IF(TRANSHARI1_ICECREAMPAGI[[#This Row],[NAMA REKENING]]="","",TRANSHARI1_ICECREAMPAGI[[#This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IFERROR(VLOOKUP(TRANSHARI1_ICECREAMMALAM[[#This Row],[PRODUK]],DATA_ICECREAM[],3,FALSE),"")</f>
        <v/>
      </c>
      <c r="T291" s="374"/>
      <c r="U291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1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1" s="12"/>
      <c r="X291" s="386" t="str">
        <f>IFERROR(IF(TRANSHARI1_ICECREAMMALAM[[#This Row],[NAMA REKENING]]="","",TRANSHARI1_ICECREAMMALAM[[#This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IFERROR(VLOOKUP(TRANSHARI1_ICECREAMPAGI[[#This Row],[PRODUK]],DATA_ICECREAM[],3,FALSE),"")</f>
        <v/>
      </c>
      <c r="E292" s="374"/>
      <c r="F292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2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2" s="12"/>
      <c r="I292" s="384" t="str">
        <f>IFERROR(IF(TRANSHARI1_ICECREAMPAGI[[#This Row],[NAMA REKENING]]="","",TRANSHARI1_ICECREAMPAGI[[#This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IFERROR(VLOOKUP(TRANSHARI1_ICECREAMMALAM[[#This Row],[PRODUK]],DATA_ICECREAM[],3,FALSE),"")</f>
        <v/>
      </c>
      <c r="T292" s="374"/>
      <c r="U292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2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2" s="12"/>
      <c r="X292" s="384" t="str">
        <f>IFERROR(IF(TRANSHARI1_ICECREAMMALAM[[#This Row],[NAMA REKENING]]="","",TRANSHARI1_ICECREAMMALAM[[#This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IFERROR(VLOOKUP(TRANSHARI1_ICECREAMPAGI[[#This Row],[PRODUK]],DATA_ICECREAM[],3,FALSE),"")</f>
        <v/>
      </c>
      <c r="E293" s="374"/>
      <c r="F293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3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3" s="12"/>
      <c r="I293" s="386" t="str">
        <f>IFERROR(IF(TRANSHARI1_ICECREAMPAGI[[#This Row],[NAMA REKENING]]="","",TRANSHARI1_ICECREAMPAGI[[#This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IFERROR(VLOOKUP(TRANSHARI1_ICECREAMMALAM[[#This Row],[PRODUK]],DATA_ICECREAM[],3,FALSE),"")</f>
        <v/>
      </c>
      <c r="T293" s="374"/>
      <c r="U293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3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3" s="12"/>
      <c r="X293" s="386" t="str">
        <f>IFERROR(IF(TRANSHARI1_ICECREAMMALAM[[#This Row],[NAMA REKENING]]="","",TRANSHARI1_ICECREAMMALAM[[#This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IFERROR(VLOOKUP(TRANSHARI1_ICECREAMPAGI[[#This Row],[PRODUK]],DATA_ICECREAM[],3,FALSE),"")</f>
        <v/>
      </c>
      <c r="E294" s="374"/>
      <c r="F294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4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4" s="12"/>
      <c r="I294" s="384" t="str">
        <f>IFERROR(IF(TRANSHARI1_ICECREAMPAGI[[#This Row],[NAMA REKENING]]="","",TRANSHARI1_ICECREAMPAGI[[#This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IFERROR(VLOOKUP(TRANSHARI1_ICECREAMMALAM[[#This Row],[PRODUK]],DATA_ICECREAM[],3,FALSE),"")</f>
        <v/>
      </c>
      <c r="T294" s="374"/>
      <c r="U294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4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4" s="12"/>
      <c r="X294" s="384" t="str">
        <f>IFERROR(IF(TRANSHARI1_ICECREAMMALAM[[#This Row],[NAMA REKENING]]="","",TRANSHARI1_ICECREAMMALAM[[#This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IFERROR(VLOOKUP(TRANSHARI1_ICECREAMPAGI[[#This Row],[PRODUK]],DATA_ICECREAM[],3,FALSE),"")</f>
        <v/>
      </c>
      <c r="E295" s="374"/>
      <c r="F295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5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5" s="12"/>
      <c r="I295" s="386" t="str">
        <f>IFERROR(IF(TRANSHARI1_ICECREAMPAGI[[#This Row],[NAMA REKENING]]="","",TRANSHARI1_ICECREAMPAGI[[#This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IFERROR(VLOOKUP(TRANSHARI1_ICECREAMMALAM[[#This Row],[PRODUK]],DATA_ICECREAM[],3,FALSE),"")</f>
        <v/>
      </c>
      <c r="T295" s="374"/>
      <c r="U295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5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5" s="12"/>
      <c r="X295" s="386" t="str">
        <f>IFERROR(IF(TRANSHARI1_ICECREAMMALAM[[#This Row],[NAMA REKENING]]="","",TRANSHARI1_ICECREAMMALAM[[#This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IFERROR(VLOOKUP(TRANSHARI1_ICECREAMPAGI[[#This Row],[PRODUK]],DATA_ICECREAM[],3,FALSE),"")</f>
        <v/>
      </c>
      <c r="E296" s="374"/>
      <c r="F296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6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6" s="12"/>
      <c r="I296" s="384" t="str">
        <f>IFERROR(IF(TRANSHARI1_ICECREAMPAGI[[#This Row],[NAMA REKENING]]="","",TRANSHARI1_ICECREAMPAGI[[#This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IFERROR(VLOOKUP(TRANSHARI1_ICECREAMMALAM[[#This Row],[PRODUK]],DATA_ICECREAM[],3,FALSE),"")</f>
        <v/>
      </c>
      <c r="T296" s="374"/>
      <c r="U296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6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6" s="12"/>
      <c r="X296" s="384" t="str">
        <f>IFERROR(IF(TRANSHARI1_ICECREAMMALAM[[#This Row],[NAMA REKENING]]="","",TRANSHARI1_ICECREAMMALAM[[#This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IFERROR(VLOOKUP(TRANSHARI1_ICECREAMPAGI[[#This Row],[PRODUK]],DATA_ICECREAM[],3,FALSE),"")</f>
        <v/>
      </c>
      <c r="E297" s="374"/>
      <c r="F297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7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7" s="12"/>
      <c r="I297" s="386" t="str">
        <f>IFERROR(IF(TRANSHARI1_ICECREAMPAGI[[#This Row],[NAMA REKENING]]="","",TRANSHARI1_ICECREAMPAGI[[#This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IFERROR(VLOOKUP(TRANSHARI1_ICECREAMMALAM[[#This Row],[PRODUK]],DATA_ICECREAM[],3,FALSE),"")</f>
        <v/>
      </c>
      <c r="T297" s="374"/>
      <c r="U297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7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7" s="12"/>
      <c r="X297" s="386" t="str">
        <f>IFERROR(IF(TRANSHARI1_ICECREAMMALAM[[#This Row],[NAMA REKENING]]="","",TRANSHARI1_ICECREAMMALAM[[#This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IFERROR(VLOOKUP(TRANSHARI1_ICECREAMPAGI[[#This Row],[PRODUK]],DATA_ICECREAM[],3,FALSE),"")</f>
        <v/>
      </c>
      <c r="E298" s="374"/>
      <c r="F298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8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8" s="12"/>
      <c r="I298" s="384" t="str">
        <f>IFERROR(IF(TRANSHARI1_ICECREAMPAGI[[#This Row],[NAMA REKENING]]="","",TRANSHARI1_ICECREAMPAGI[[#This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IFERROR(VLOOKUP(TRANSHARI1_ICECREAMMALAM[[#This Row],[PRODUK]],DATA_ICECREAM[],3,FALSE),"")</f>
        <v/>
      </c>
      <c r="T298" s="374"/>
      <c r="U298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8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8" s="12"/>
      <c r="X298" s="384" t="str">
        <f>IFERROR(IF(TRANSHARI1_ICECREAMMALAM[[#This Row],[NAMA REKENING]]="","",TRANSHARI1_ICECREAMMALAM[[#This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IFERROR(VLOOKUP(TRANSHARI1_ICECREAMPAGI[[#This Row],[PRODUK]],DATA_ICECREAM[],3,FALSE),"")</f>
        <v/>
      </c>
      <c r="E299" s="374"/>
      <c r="F299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299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299" s="12"/>
      <c r="I299" s="386" t="str">
        <f>IFERROR(IF(TRANSHARI1_ICECREAMPAGI[[#This Row],[NAMA REKENING]]="","",TRANSHARI1_ICECREAMPAGI[[#This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IFERROR(VLOOKUP(TRANSHARI1_ICECREAMMALAM[[#This Row],[PRODUK]],DATA_ICECREAM[],3,FALSE),"")</f>
        <v/>
      </c>
      <c r="T299" s="374"/>
      <c r="U299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299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299" s="12"/>
      <c r="X299" s="386" t="str">
        <f>IFERROR(IF(TRANSHARI1_ICECREAMMALAM[[#This Row],[NAMA REKENING]]="","",TRANSHARI1_ICECREAMMALAM[[#This Row],[DEBIT]]),"")</f>
        <v/>
      </c>
      <c r="Y299" s="387"/>
      <c r="Z299" s="389">
        <f>U306+V306</f>
        <v>6000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IFERROR(VLOOKUP(TRANSHARI1_ICECREAMPAGI[[#This Row],[PRODUK]],DATA_ICECREAM[],3,FALSE),"")</f>
        <v/>
      </c>
      <c r="E300" s="374"/>
      <c r="F300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300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300" s="12"/>
      <c r="I300" s="384" t="str">
        <f>IFERROR(IF(TRANSHARI1_ICECREAMPAGI[[#This Row],[NAMA REKENING]]="","",TRANSHARI1_ICECREAMPAGI[[#This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IFERROR(VLOOKUP(TRANSHARI1_ICECREAMMALAM[[#This Row],[PRODUK]],DATA_ICECREAM[],3,FALSE),"")</f>
        <v/>
      </c>
      <c r="T300" s="374"/>
      <c r="U300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300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300" s="12"/>
      <c r="X300" s="384" t="str">
        <f>IFERROR(IF(TRANSHARI1_ICECREAMMALAM[[#This Row],[NAMA REKENING]]="","",TRANSHARI1_ICECREAMMALAM[[#This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IFERROR(VLOOKUP(TRANSHARI1_ICECREAMPAGI[[#This Row],[PRODUK]],DATA_ICECREAM[],3,FALSE),"")</f>
        <v/>
      </c>
      <c r="E301" s="374"/>
      <c r="F301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301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301" s="12"/>
      <c r="I301" s="386" t="str">
        <f>IFERROR(IF(TRANSHARI1_ICECREAMPAGI[[#This Row],[NAMA REKENING]]="","",TRANSHARI1_ICECREAMPAGI[[#This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IFERROR(VLOOKUP(TRANSHARI1_ICECREAMMALAM[[#This Row],[PRODUK]],DATA_ICECREAM[],3,FALSE),"")</f>
        <v/>
      </c>
      <c r="T301" s="374"/>
      <c r="U301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301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301" s="12"/>
      <c r="X301" s="386" t="str">
        <f>IFERROR(IF(TRANSHARI1_ICECREAMMALAM[[#This Row],[NAMA REKENING]]="","",TRANSHARI1_ICECREAMMALAM[[#This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IFERROR(VLOOKUP(TRANSHARI1_ICECREAMPAGI[[#This Row],[PRODUK]],DATA_ICECREAM[],3,FALSE),"")</f>
        <v/>
      </c>
      <c r="E302" s="374"/>
      <c r="F302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302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302" s="12"/>
      <c r="I302" s="384" t="str">
        <f>IFERROR(IF(TRANSHARI1_ICECREAMPAGI[[#This Row],[NAMA REKENING]]="","",TRANSHARI1_ICECREAMPAGI[[#This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IFERROR(VLOOKUP(TRANSHARI1_ICECREAMMALAM[[#This Row],[PRODUK]],DATA_ICECREAM[],3,FALSE),"")</f>
        <v/>
      </c>
      <c r="T302" s="374"/>
      <c r="U302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302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302" s="12"/>
      <c r="X302" s="384" t="str">
        <f>IFERROR(IF(TRANSHARI1_ICECREAMMALAM[[#This Row],[NAMA REKENING]]="","",TRANSHARI1_ICECREAMMALAM[[#This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IFERROR(VLOOKUP(TRANSHARI1_ICECREAMPAGI[[#This Row],[PRODUK]],DATA_ICECREAM[],3,FALSE),"")</f>
        <v/>
      </c>
      <c r="E303" s="374"/>
      <c r="F303" s="373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303" s="373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303" s="12"/>
      <c r="I303" s="386" t="str">
        <f>IFERROR(IF(TRANSHARI1_ICECREAMPAGI[[#This Row],[NAMA REKENING]]="","",TRANSHARI1_ICECREAMPAGI[[#This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IFERROR(VLOOKUP(TRANSHARI1_ICECREAMMALAM[[#This Row],[PRODUK]],DATA_ICECREAM[],3,FALSE),"")</f>
        <v/>
      </c>
      <c r="T303" s="374"/>
      <c r="U303" s="373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303" s="373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303" s="12"/>
      <c r="X303" s="386" t="str">
        <f>IFERROR(IF(TRANSHARI1_ICECREAMMALAM[[#This Row],[NAMA REKENING]]="","",TRANSHARI1_ICECREAMMALAM[[#This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IFERROR(VLOOKUP(TRANSHARI1_ICECREAMPAGI[[#This Row],[PRODUK]],DATA_ICECREAM[],3,FALSE),"")</f>
        <v/>
      </c>
      <c r="E304" s="374"/>
      <c r="F304" s="369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304" s="369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304" s="12"/>
      <c r="I304" s="384" t="str">
        <f>IFERROR(IF(TRANSHARI1_ICECREAMPAGI[[#This Row],[NAMA REKENING]]="","",TRANSHARI1_ICECREAMPAGI[[#This Row],[DEBIT]]),"")</f>
        <v/>
      </c>
      <c r="J304" s="387"/>
      <c r="K304" s="389">
        <f>F306+G306</f>
        <v>18500</v>
      </c>
      <c r="L304" s="390"/>
      <c r="O304" s="324"/>
      <c r="P304" s="367">
        <v>49</v>
      </c>
      <c r="Q304" s="368"/>
      <c r="R304" s="372"/>
      <c r="S304" s="369" t="str">
        <f>IFERROR(VLOOKUP(TRANSHARI1_ICECREAMMALAM[[#This Row],[PRODUK]],DATA_ICECREAM[],3,FALSE),"")</f>
        <v/>
      </c>
      <c r="T304" s="374"/>
      <c r="U304" s="369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304" s="369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304" s="12"/>
      <c r="X304" s="384" t="str">
        <f>IFERROR(IF(TRANSHARI1_ICECREAMMALAM[[#This Row],[NAMA REKENING]]="","",TRANSHARI1_ICECREAMMALAM[[#This Row],[DEBIT]]),"")</f>
        <v/>
      </c>
      <c r="Y304" s="387"/>
      <c r="Z304" s="400">
        <f>K304+Z299</f>
        <v>24500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IFERROR(VLOOKUP(TRANSHARI1_ICECREAMPAGI[[#This Row],[PRODUK]],DATA_ICECREAM[],3,FALSE),"")</f>
        <v/>
      </c>
      <c r="E305" s="376"/>
      <c r="F305" s="394" t="str">
        <f>IFERROR(IF(TRANSHARI1_ICECREAMPAGI[[#This Row],[NAMA PENGHUTANG]]="",((TRANSHARI1_ICECREAMPAGI[[#This Row],[HARGA]]*TRANSHARI1_ICECREAMPAGI[[#This Row],[QUANTITY]])+TRANSHARI1_ICECREAMPAGI[[#This Row],[PRICE TOLERANCE]]),""),"")</f>
        <v/>
      </c>
      <c r="G305" s="394" t="str">
        <f>IFERROR(IF(TRANSHARI1_ICECREAMPAGI[[#This Row],[NAMA PENGHUTANG]]="","",((TRANSHARI1_ICECREAMPAGI[[#This Row],[HARGA]]*TRANSHARI1_ICECREAMPAGI[[#This Row],[QUANTITY]])+TRANSHARI1_ICECREAMPAGI[[#This Row],[PRICE TOLERANCE]])),"")</f>
        <v/>
      </c>
      <c r="H305" s="377"/>
      <c r="I305" s="399" t="str">
        <f>IFERROR(IF(TRANSHARI1_ICECREAMPAGI[[#This Row],[NAMA REKENING]]="","",TRANSHARI1_ICECREAMPAGI[[#This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IFERROR(VLOOKUP(TRANSHARI1_ICECREAMMALAM[[#This Row],[PRODUK]],DATA_ICECREAM[],3,FALSE),"")</f>
        <v/>
      </c>
      <c r="T305" s="376"/>
      <c r="U305" s="394" t="str">
        <f>IFERROR(IF(TRANSHARI1_ICECREAMMALAM[[#This Row],[NAMA PENGHUTANG]]="",((TRANSHARI1_ICECREAMMALAM[[#This Row],[HARGA]]*TRANSHARI1_ICECREAMMALAM[[#This Row],[QUANTITY]])+TRANSHARI1_ICECREAMMALAM[[#This Row],[PRICE TOLERANCE]]),""),"")</f>
        <v/>
      </c>
      <c r="V305" s="394" t="str">
        <f>IFERROR(IF(TRANSHARI1_ICECREAMMALAM[[#This Row],[NAMA PENGHUTANG]]="","",((TRANSHARI1_ICECREAMMALAM[[#This Row],[HARGA]]*TRANSHARI1_ICECREAMMALAM[[#This Row],[QUANTITY]])+TRANSHARI1_ICECREAMMALAM[[#This Row],[PRICE TOLERANCE]])),"")</f>
        <v/>
      </c>
      <c r="W305" s="377"/>
      <c r="X305" s="399" t="str">
        <f>IFERROR(IF(TRANSHARI1_ICECREAMMALAM[[#This Row],[NAMA REKENING]]="","",TRANSHARI1_ICECREAMMALAM[[#This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SUM(TRANSHARI1_ICECREAMPAGI[QUANTITY])</f>
        <v>5</v>
      </c>
      <c r="E306" s="398">
        <f>SUM(TRANSHARI1_ICECREAMPAGI[PRICE TOLERANCE])</f>
        <v>0</v>
      </c>
      <c r="F306" s="396">
        <f>SUM(TRANSHARI1_ICECREAMPAGI[DEBIT])</f>
        <v>18500</v>
      </c>
      <c r="G306" s="396">
        <f>SUM(TRANSHARI1_ICECREAMPAGI[KREDIT])</f>
        <v>0</v>
      </c>
      <c r="I306" s="396">
        <f>SUM(TRANSHARI1_ICECREAMPAGI[NOMINAL TRANSFER])</f>
        <v>0</v>
      </c>
      <c r="O306" s="324"/>
      <c r="P306" s="303" t="s">
        <v>78</v>
      </c>
      <c r="Q306" s="316"/>
      <c r="R306" s="395">
        <f>SUM(TRANSHARI1_ICECREAMMALAM[QUANTITY])</f>
        <v>3</v>
      </c>
      <c r="T306" s="398">
        <f>SUM(TRANSHARI1_ICECREAMMALAM[PRICE TOLERANCE])</f>
        <v>0</v>
      </c>
      <c r="U306" s="396">
        <f>SUM(TRANSHARI1_ICECREAMMALAM[DEBIT])</f>
        <v>6000</v>
      </c>
      <c r="V306" s="396">
        <f>SUM(TRANSHARI1_ICECREAMMALAM[KREDIT])</f>
        <v>0</v>
      </c>
      <c r="X306" s="396">
        <f>SUM(TRANSHARI1_ICECREAMMALAM[NOMINAL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">
        <v>10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">
        <v>13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 t="s">
        <v>111</v>
      </c>
      <c r="C313" s="368">
        <v>1</v>
      </c>
      <c r="D313" s="369">
        <f>IFERROR(VLOOKUP(TRANSHARI1_ACCPAGI[[#This Row],[PRODUK]],DATA_ACC[],3,FALSE),"")</f>
        <v>25000</v>
      </c>
      <c r="E313" s="370"/>
      <c r="F313" s="369">
        <f>IFERROR(IF(TRANSHARI1_ACCPAGI[[#This Row],[NAMA PENGHUTANG]]="",((TRANSHARI1_ACCPAGI[[#This Row],[HARGA]]*TRANSHARI1_ACCPAGI[[#This Row],[QUANTITY]])+TRANSHARI1_ACCPAGI[[#This Row],[PRICE TOLERANCE]]),""),"")</f>
        <v>25000</v>
      </c>
      <c r="G313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13" s="371"/>
      <c r="I313" s="384" t="str">
        <f>IFERROR(IF(TRANSHARI1_ACCPAGI[[#This Row],[NAMA REKENING]]="","",TRANSHARI1_ACCPAGI[[#This Row],[DEBIT]]),"")</f>
        <v/>
      </c>
      <c r="J313" s="385"/>
      <c r="O313" s="324"/>
      <c r="P313" s="367">
        <v>1</v>
      </c>
      <c r="Q313" s="368" t="s">
        <v>112</v>
      </c>
      <c r="R313" s="368">
        <v>1</v>
      </c>
      <c r="S313" s="369">
        <f>IFERROR(VLOOKUP(TRANSHARI1_ACCMALAM[[#This Row],[PRODUK]],DATA_ACC[],3,FALSE),"")</f>
        <v>15000</v>
      </c>
      <c r="T313" s="370"/>
      <c r="U313" s="369">
        <f>IFERROR(IF(TRANSHARI1_ACCMALAM[[#This Row],[NAMA PENGHUTANG]]="",((TRANSHARI1_ACCMALAM[[#This Row],[HARGA]]*TRANSHARI1_ACCMALAM[[#This Row],[QUANTITY]])+TRANSHARI1_ACCMALAM[[#This Row],[PRICE TOLERANCE]]),""),"")</f>
        <v>15000</v>
      </c>
      <c r="V313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13" s="371"/>
      <c r="X313" s="384" t="str">
        <f>IFERROR(IF(TRANSHARI1_ACCMALAM[[#This Row],[NAMA REKENING]]="","",TRANSHARI1_ACCMALAM[[#This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IFERROR(VLOOKUP(TRANSHARI1_ACCPAGI[[#This Row],[PRODUK]],DATA_ACC[],3,FALSE),"")</f>
        <v/>
      </c>
      <c r="E314" s="374"/>
      <c r="F314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14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14" s="12"/>
      <c r="I314" s="386" t="str">
        <f>IFERROR(IF(TRANSHARI1_ACCPAGI[[#This Row],[NAMA REKENING]]="","",TRANSHARI1_ACCPAGI[[#This Row],[DEBIT]]),"")</f>
        <v/>
      </c>
      <c r="J314" s="387"/>
      <c r="O314" s="324"/>
      <c r="P314" s="367">
        <v>2</v>
      </c>
      <c r="Q314" s="368" t="s">
        <v>113</v>
      </c>
      <c r="R314" s="372">
        <v>1</v>
      </c>
      <c r="S314" s="373">
        <f>IFERROR(VLOOKUP(TRANSHARI1_ACCMALAM[[#This Row],[PRODUK]],DATA_ACC[],3,FALSE),"")</f>
        <v>25000</v>
      </c>
      <c r="T314" s="374"/>
      <c r="U314" s="373">
        <f>IFERROR(IF(TRANSHARI1_ACCMALAM[[#This Row],[NAMA PENGHUTANG]]="",((TRANSHARI1_ACCMALAM[[#This Row],[HARGA]]*TRANSHARI1_ACCMALAM[[#This Row],[QUANTITY]])+TRANSHARI1_ACCMALAM[[#This Row],[PRICE TOLERANCE]]),""),"")</f>
        <v>25000</v>
      </c>
      <c r="V314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14" s="12"/>
      <c r="X314" s="386" t="str">
        <f>IFERROR(IF(TRANSHARI1_ACCMALAM[[#This Row],[NAMA REKENING]]="","",TRANSHARI1_ACCMALAM[[#This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IFERROR(VLOOKUP(TRANSHARI1_ACCPAGI[[#This Row],[PRODUK]],DATA_ACC[],3,FALSE),"")</f>
        <v/>
      </c>
      <c r="E315" s="374"/>
      <c r="F315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15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15" s="12"/>
      <c r="I315" s="384" t="str">
        <f>IFERROR(IF(TRANSHARI1_ACCPAGI[[#This Row],[NAMA REKENING]]="","",TRANSHARI1_ACCPAGI[[#This Row],[DEBIT]]),"")</f>
        <v/>
      </c>
      <c r="J315" s="387"/>
      <c r="O315" s="324"/>
      <c r="P315" s="367">
        <v>3</v>
      </c>
      <c r="Q315" s="368" t="s">
        <v>112</v>
      </c>
      <c r="R315" s="372">
        <v>1</v>
      </c>
      <c r="S315" s="369">
        <f>IFERROR(VLOOKUP(TRANSHARI1_ACCMALAM[[#This Row],[PRODUK]],DATA_ACC[],3,FALSE),"")</f>
        <v>15000</v>
      </c>
      <c r="T315" s="374"/>
      <c r="U315" s="369">
        <f>IFERROR(IF(TRANSHARI1_ACCMALAM[[#This Row],[NAMA PENGHUTANG]]="",((TRANSHARI1_ACCMALAM[[#This Row],[HARGA]]*TRANSHARI1_ACCMALAM[[#This Row],[QUANTITY]])+TRANSHARI1_ACCMALAM[[#This Row],[PRICE TOLERANCE]]),""),"")</f>
        <v>15000</v>
      </c>
      <c r="V315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15" s="12"/>
      <c r="X315" s="384" t="str">
        <f>IFERROR(IF(TRANSHARI1_ACCMALAM[[#This Row],[NAMA REKENING]]="","",TRANSHARI1_ACCMALAM[[#This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IFERROR(VLOOKUP(TRANSHARI1_ACCPAGI[[#This Row],[PRODUK]],DATA_ACC[],3,FALSE),"")</f>
        <v/>
      </c>
      <c r="E316" s="374"/>
      <c r="F316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16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16" s="12"/>
      <c r="I316" s="386" t="str">
        <f>IFERROR(IF(TRANSHARI1_ACCPAGI[[#This Row],[NAMA REKENING]]="","",TRANSHARI1_ACCPAGI[[#This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IFERROR(VLOOKUP(TRANSHARI1_ACCMALAM[[#This Row],[PRODUK]],DATA_ACC[],3,FALSE),"")</f>
        <v/>
      </c>
      <c r="T316" s="374"/>
      <c r="U316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16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16" s="12"/>
      <c r="X316" s="386" t="str">
        <f>IFERROR(IF(TRANSHARI1_ACCMALAM[[#This Row],[NAMA REKENING]]="","",TRANSHARI1_ACCMALAM[[#This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IFERROR(VLOOKUP(TRANSHARI1_ACCPAGI[[#This Row],[PRODUK]],DATA_ACC[],3,FALSE),"")</f>
        <v/>
      </c>
      <c r="E317" s="374"/>
      <c r="F317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17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17" s="12"/>
      <c r="I317" s="384" t="str">
        <f>IFERROR(IF(TRANSHARI1_ACCPAGI[[#This Row],[NAMA REKENING]]="","",TRANSHARI1_ACCPAGI[[#This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IFERROR(VLOOKUP(TRANSHARI1_ACCMALAM[[#This Row],[PRODUK]],DATA_ACC[],3,FALSE),"")</f>
        <v/>
      </c>
      <c r="T317" s="374"/>
      <c r="U317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17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17" s="12"/>
      <c r="X317" s="384" t="str">
        <f>IFERROR(IF(TRANSHARI1_ACCMALAM[[#This Row],[NAMA REKENING]]="","",TRANSHARI1_ACCMALAM[[#This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IFERROR(VLOOKUP(TRANSHARI1_ACCPAGI[[#This Row],[PRODUK]],DATA_ACC[],3,FALSE),"")</f>
        <v/>
      </c>
      <c r="E318" s="374"/>
      <c r="F318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18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18" s="12"/>
      <c r="I318" s="386" t="str">
        <f>IFERROR(IF(TRANSHARI1_ACCPAGI[[#This Row],[NAMA REKENING]]="","",TRANSHARI1_ACCPAGI[[#This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IFERROR(VLOOKUP(TRANSHARI1_ACCMALAM[[#This Row],[PRODUK]],DATA_ACC[],3,FALSE),"")</f>
        <v/>
      </c>
      <c r="T318" s="374"/>
      <c r="U318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18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18" s="12"/>
      <c r="X318" s="386" t="str">
        <f>IFERROR(IF(TRANSHARI1_ACCMALAM[[#This Row],[NAMA REKENING]]="","",TRANSHARI1_ACCMALAM[[#This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IFERROR(VLOOKUP(TRANSHARI1_ACCPAGI[[#This Row],[PRODUK]],DATA_ACC[],3,FALSE),"")</f>
        <v/>
      </c>
      <c r="E319" s="374"/>
      <c r="F319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19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19" s="12"/>
      <c r="I319" s="384" t="str">
        <f>IFERROR(IF(TRANSHARI1_ACCPAGI[[#This Row],[NAMA REKENING]]="","",TRANSHARI1_ACCPAGI[[#This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IFERROR(VLOOKUP(TRANSHARI1_ACCMALAM[[#This Row],[PRODUK]],DATA_ACC[],3,FALSE),"")</f>
        <v/>
      </c>
      <c r="T319" s="374"/>
      <c r="U319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19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19" s="12"/>
      <c r="X319" s="384" t="str">
        <f>IFERROR(IF(TRANSHARI1_ACCMALAM[[#This Row],[NAMA REKENING]]="","",TRANSHARI1_ACCMALAM[[#This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IFERROR(VLOOKUP(TRANSHARI1_ACCPAGI[[#This Row],[PRODUK]],DATA_ACC[],3,FALSE),"")</f>
        <v/>
      </c>
      <c r="E320" s="374"/>
      <c r="F320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20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20" s="12"/>
      <c r="I320" s="386" t="str">
        <f>IFERROR(IF(TRANSHARI1_ACCPAGI[[#This Row],[NAMA REKENING]]="","",TRANSHARI1_ACCPAGI[[#This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IFERROR(VLOOKUP(TRANSHARI1_ACCMALAM[[#This Row],[PRODUK]],DATA_ACC[],3,FALSE),"")</f>
        <v/>
      </c>
      <c r="T320" s="374"/>
      <c r="U320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20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20" s="12"/>
      <c r="X320" s="386" t="str">
        <f>IFERROR(IF(TRANSHARI1_ACCMALAM[[#This Row],[NAMA REKENING]]="","",TRANSHARI1_ACCMALAM[[#This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IFERROR(VLOOKUP(TRANSHARI1_ACCPAGI[[#This Row],[PRODUK]],DATA_ACC[],3,FALSE),"")</f>
        <v/>
      </c>
      <c r="E321" s="374"/>
      <c r="F321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21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21" s="12"/>
      <c r="I321" s="384" t="str">
        <f>IFERROR(IF(TRANSHARI1_ACCPAGI[[#This Row],[NAMA REKENING]]="","",TRANSHARI1_ACCPAGI[[#This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IFERROR(VLOOKUP(TRANSHARI1_ACCMALAM[[#This Row],[PRODUK]],DATA_ACC[],3,FALSE),"")</f>
        <v/>
      </c>
      <c r="T321" s="374"/>
      <c r="U321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21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21" s="12"/>
      <c r="X321" s="384" t="str">
        <f>IFERROR(IF(TRANSHARI1_ACCMALAM[[#This Row],[NAMA REKENING]]="","",TRANSHARI1_ACCMALAM[[#This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IFERROR(VLOOKUP(TRANSHARI1_ACCPAGI[[#This Row],[PRODUK]],DATA_ACC[],3,FALSE),"")</f>
        <v/>
      </c>
      <c r="E322" s="374"/>
      <c r="F322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22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22" s="12"/>
      <c r="I322" s="386" t="str">
        <f>IFERROR(IF(TRANSHARI1_ACCPAGI[[#This Row],[NAMA REKENING]]="","",TRANSHARI1_ACCPAGI[[#This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IFERROR(VLOOKUP(TRANSHARI1_ACCMALAM[[#This Row],[PRODUK]],DATA_ACC[],3,FALSE),"")</f>
        <v/>
      </c>
      <c r="T322" s="374"/>
      <c r="U322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22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22" s="12"/>
      <c r="X322" s="386" t="str">
        <f>IFERROR(IF(TRANSHARI1_ACCMALAM[[#This Row],[NAMA REKENING]]="","",TRANSHARI1_ACCMALAM[[#This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IFERROR(VLOOKUP(TRANSHARI1_ACCPAGI[[#This Row],[PRODUK]],DATA_ACC[],3,FALSE),"")</f>
        <v/>
      </c>
      <c r="E323" s="374"/>
      <c r="F323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23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23" s="12"/>
      <c r="I323" s="384" t="str">
        <f>IFERROR(IF(TRANSHARI1_ACCPAGI[[#This Row],[NAMA REKENING]]="","",TRANSHARI1_ACCPAGI[[#This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IFERROR(VLOOKUP(TRANSHARI1_ACCMALAM[[#This Row],[PRODUK]],DATA_ACC[],3,FALSE),"")</f>
        <v/>
      </c>
      <c r="T323" s="374"/>
      <c r="U323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23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23" s="12"/>
      <c r="X323" s="384" t="str">
        <f>IFERROR(IF(TRANSHARI1_ACCMALAM[[#This Row],[NAMA REKENING]]="","",TRANSHARI1_ACCMALAM[[#This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IFERROR(VLOOKUP(TRANSHARI1_ACCPAGI[[#This Row],[PRODUK]],DATA_ACC[],3,FALSE),"")</f>
        <v/>
      </c>
      <c r="E324" s="374"/>
      <c r="F324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24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24" s="12"/>
      <c r="I324" s="386" t="str">
        <f>IFERROR(IF(TRANSHARI1_ACCPAGI[[#This Row],[NAMA REKENING]]="","",TRANSHARI1_ACCPAGI[[#This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IFERROR(VLOOKUP(TRANSHARI1_ACCMALAM[[#This Row],[PRODUK]],DATA_ACC[],3,FALSE),"")</f>
        <v/>
      </c>
      <c r="T324" s="374"/>
      <c r="U324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24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24" s="12"/>
      <c r="X324" s="386" t="str">
        <f>IFERROR(IF(TRANSHARI1_ACCMALAM[[#This Row],[NAMA REKENING]]="","",TRANSHARI1_ACCMALAM[[#This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IFERROR(VLOOKUP(TRANSHARI1_ACCPAGI[[#This Row],[PRODUK]],DATA_ACC[],3,FALSE),"")</f>
        <v/>
      </c>
      <c r="E325" s="374"/>
      <c r="F325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25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25" s="12"/>
      <c r="I325" s="384" t="str">
        <f>IFERROR(IF(TRANSHARI1_ACCPAGI[[#This Row],[NAMA REKENING]]="","",TRANSHARI1_ACCPAGI[[#This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IFERROR(VLOOKUP(TRANSHARI1_ACCMALAM[[#This Row],[PRODUK]],DATA_ACC[],3,FALSE),"")</f>
        <v/>
      </c>
      <c r="T325" s="374"/>
      <c r="U325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25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25" s="12"/>
      <c r="X325" s="384" t="str">
        <f>IFERROR(IF(TRANSHARI1_ACCMALAM[[#This Row],[NAMA REKENING]]="","",TRANSHARI1_ACCMALAM[[#This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IFERROR(VLOOKUP(TRANSHARI1_ACCPAGI[[#This Row],[PRODUK]],DATA_ACC[],3,FALSE),"")</f>
        <v/>
      </c>
      <c r="E326" s="374"/>
      <c r="F326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26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26" s="12"/>
      <c r="I326" s="386" t="str">
        <f>IFERROR(IF(TRANSHARI1_ACCPAGI[[#This Row],[NAMA REKENING]]="","",TRANSHARI1_ACCPAGI[[#This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IFERROR(VLOOKUP(TRANSHARI1_ACCMALAM[[#This Row],[PRODUK]],DATA_ACC[],3,FALSE),"")</f>
        <v/>
      </c>
      <c r="T326" s="374"/>
      <c r="U326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26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26" s="12"/>
      <c r="X326" s="386" t="str">
        <f>IFERROR(IF(TRANSHARI1_ACCMALAM[[#This Row],[NAMA REKENING]]="","",TRANSHARI1_ACCMALAM[[#This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IFERROR(VLOOKUP(TRANSHARI1_ACCPAGI[[#This Row],[PRODUK]],DATA_ACC[],3,FALSE),"")</f>
        <v/>
      </c>
      <c r="E327" s="374"/>
      <c r="F327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27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27" s="12"/>
      <c r="I327" s="384" t="str">
        <f>IFERROR(IF(TRANSHARI1_ACCPAGI[[#This Row],[NAMA REKENING]]="","",TRANSHARI1_ACCPAGI[[#This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IFERROR(VLOOKUP(TRANSHARI1_ACCMALAM[[#This Row],[PRODUK]],DATA_ACC[],3,FALSE),"")</f>
        <v/>
      </c>
      <c r="T327" s="374"/>
      <c r="U327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27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27" s="12"/>
      <c r="X327" s="384" t="str">
        <f>IFERROR(IF(TRANSHARI1_ACCMALAM[[#This Row],[NAMA REKENING]]="","",TRANSHARI1_ACCMALAM[[#This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IFERROR(VLOOKUP(TRANSHARI1_ACCPAGI[[#This Row],[PRODUK]],DATA_ACC[],3,FALSE),"")</f>
        <v/>
      </c>
      <c r="E328" s="374"/>
      <c r="F328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28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28" s="12"/>
      <c r="I328" s="386" t="str">
        <f>IFERROR(IF(TRANSHARI1_ACCPAGI[[#This Row],[NAMA REKENING]]="","",TRANSHARI1_ACCPAGI[[#This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IFERROR(VLOOKUP(TRANSHARI1_ACCMALAM[[#This Row],[PRODUK]],DATA_ACC[],3,FALSE),"")</f>
        <v/>
      </c>
      <c r="T328" s="374"/>
      <c r="U328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28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28" s="12"/>
      <c r="X328" s="386" t="str">
        <f>IFERROR(IF(TRANSHARI1_ACCMALAM[[#This Row],[NAMA REKENING]]="","",TRANSHARI1_ACCMALAM[[#This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IFERROR(VLOOKUP(TRANSHARI1_ACCPAGI[[#This Row],[PRODUK]],DATA_ACC[],3,FALSE),"")</f>
        <v/>
      </c>
      <c r="E329" s="374"/>
      <c r="F329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29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29" s="12"/>
      <c r="I329" s="384" t="str">
        <f>IFERROR(IF(TRANSHARI1_ACCPAGI[[#This Row],[NAMA REKENING]]="","",TRANSHARI1_ACCPAGI[[#This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IFERROR(VLOOKUP(TRANSHARI1_ACCMALAM[[#This Row],[PRODUK]],DATA_ACC[],3,FALSE),"")</f>
        <v/>
      </c>
      <c r="T329" s="374"/>
      <c r="U329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29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29" s="12"/>
      <c r="X329" s="384" t="str">
        <f>IFERROR(IF(TRANSHARI1_ACCMALAM[[#This Row],[NAMA REKENING]]="","",TRANSHARI1_ACCMALAM[[#This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IFERROR(VLOOKUP(TRANSHARI1_ACCPAGI[[#This Row],[PRODUK]],DATA_ACC[],3,FALSE),"")</f>
        <v/>
      </c>
      <c r="E330" s="374"/>
      <c r="F330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30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30" s="12"/>
      <c r="I330" s="386" t="str">
        <f>IFERROR(IF(TRANSHARI1_ACCPAGI[[#This Row],[NAMA REKENING]]="","",TRANSHARI1_ACCPAGI[[#This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IFERROR(VLOOKUP(TRANSHARI1_ACCMALAM[[#This Row],[PRODUK]],DATA_ACC[],3,FALSE),"")</f>
        <v/>
      </c>
      <c r="T330" s="374"/>
      <c r="U330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30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30" s="12"/>
      <c r="X330" s="386" t="str">
        <f>IFERROR(IF(TRANSHARI1_ACCMALAM[[#This Row],[NAMA REKENING]]="","",TRANSHARI1_ACCMALAM[[#This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IFERROR(VLOOKUP(TRANSHARI1_ACCPAGI[[#This Row],[PRODUK]],DATA_ACC[],3,FALSE),"")</f>
        <v/>
      </c>
      <c r="E331" s="374"/>
      <c r="F331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31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31" s="12"/>
      <c r="I331" s="384" t="str">
        <f>IFERROR(IF(TRANSHARI1_ACCPAGI[[#This Row],[NAMA REKENING]]="","",TRANSHARI1_ACCPAGI[[#This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IFERROR(VLOOKUP(TRANSHARI1_ACCMALAM[[#This Row],[PRODUK]],DATA_ACC[],3,FALSE),"")</f>
        <v/>
      </c>
      <c r="T331" s="374"/>
      <c r="U331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31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31" s="12"/>
      <c r="X331" s="384" t="str">
        <f>IFERROR(IF(TRANSHARI1_ACCMALAM[[#This Row],[NAMA REKENING]]="","",TRANSHARI1_ACCMALAM[[#This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IFERROR(VLOOKUP(TRANSHARI1_ACCPAGI[[#This Row],[PRODUK]],DATA_ACC[],3,FALSE),"")</f>
        <v/>
      </c>
      <c r="E332" s="374"/>
      <c r="F332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32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32" s="12"/>
      <c r="I332" s="386" t="str">
        <f>IFERROR(IF(TRANSHARI1_ACCPAGI[[#This Row],[NAMA REKENING]]="","",TRANSHARI1_ACCPAGI[[#This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IFERROR(VLOOKUP(TRANSHARI1_ACCMALAM[[#This Row],[PRODUK]],DATA_ACC[],3,FALSE),"")</f>
        <v/>
      </c>
      <c r="T332" s="374"/>
      <c r="U332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32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32" s="12"/>
      <c r="X332" s="386" t="str">
        <f>IFERROR(IF(TRANSHARI1_ACCMALAM[[#This Row],[NAMA REKENING]]="","",TRANSHARI1_ACCMALAM[[#This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IFERROR(VLOOKUP(TRANSHARI1_ACCPAGI[[#This Row],[PRODUK]],DATA_ACC[],3,FALSE),"")</f>
        <v/>
      </c>
      <c r="E333" s="374"/>
      <c r="F333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33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33" s="12"/>
      <c r="I333" s="384" t="str">
        <f>IFERROR(IF(TRANSHARI1_ACCPAGI[[#This Row],[NAMA REKENING]]="","",TRANSHARI1_ACCPAGI[[#This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IFERROR(VLOOKUP(TRANSHARI1_ACCMALAM[[#This Row],[PRODUK]],DATA_ACC[],3,FALSE),"")</f>
        <v/>
      </c>
      <c r="T333" s="374"/>
      <c r="U333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33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33" s="12"/>
      <c r="X333" s="384" t="str">
        <f>IFERROR(IF(TRANSHARI1_ACCMALAM[[#This Row],[NAMA REKENING]]="","",TRANSHARI1_ACCMALAM[[#This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IFERROR(VLOOKUP(TRANSHARI1_ACCPAGI[[#This Row],[PRODUK]],DATA_ACC[],3,FALSE),"")</f>
        <v/>
      </c>
      <c r="E334" s="374"/>
      <c r="F334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34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34" s="12"/>
      <c r="I334" s="386" t="str">
        <f>IFERROR(IF(TRANSHARI1_ACCPAGI[[#This Row],[NAMA REKENING]]="","",TRANSHARI1_ACCPAGI[[#This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IFERROR(VLOOKUP(TRANSHARI1_ACCMALAM[[#This Row],[PRODUK]],DATA_ACC[],3,FALSE),"")</f>
        <v/>
      </c>
      <c r="T334" s="374"/>
      <c r="U334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34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34" s="12"/>
      <c r="X334" s="386" t="str">
        <f>IFERROR(IF(TRANSHARI1_ACCMALAM[[#This Row],[NAMA REKENING]]="","",TRANSHARI1_ACCMALAM[[#This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IFERROR(VLOOKUP(TRANSHARI1_ACCPAGI[[#This Row],[PRODUK]],DATA_ACC[],3,FALSE),"")</f>
        <v/>
      </c>
      <c r="E335" s="374"/>
      <c r="F335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35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35" s="12"/>
      <c r="I335" s="384" t="str">
        <f>IFERROR(IF(TRANSHARI1_ACCPAGI[[#This Row],[NAMA REKENING]]="","",TRANSHARI1_ACCPAGI[[#This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IFERROR(VLOOKUP(TRANSHARI1_ACCMALAM[[#This Row],[PRODUK]],DATA_ACC[],3,FALSE),"")</f>
        <v/>
      </c>
      <c r="T335" s="374"/>
      <c r="U335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35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35" s="12"/>
      <c r="X335" s="384" t="str">
        <f>IFERROR(IF(TRANSHARI1_ACCMALAM[[#This Row],[NAMA REKENING]]="","",TRANSHARI1_ACCMALAM[[#This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IFERROR(VLOOKUP(TRANSHARI1_ACCPAGI[[#This Row],[PRODUK]],DATA_ACC[],3,FALSE),"")</f>
        <v/>
      </c>
      <c r="E336" s="374"/>
      <c r="F336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36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36" s="12"/>
      <c r="I336" s="386" t="str">
        <f>IFERROR(IF(TRANSHARI1_ACCPAGI[[#This Row],[NAMA REKENING]]="","",TRANSHARI1_ACCPAGI[[#This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IFERROR(VLOOKUP(TRANSHARI1_ACCMALAM[[#This Row],[PRODUK]],DATA_ACC[],3,FALSE),"")</f>
        <v/>
      </c>
      <c r="T336" s="374"/>
      <c r="U336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36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36" s="12"/>
      <c r="X336" s="386" t="str">
        <f>IFERROR(IF(TRANSHARI1_ACCMALAM[[#This Row],[NAMA REKENING]]="","",TRANSHARI1_ACCMALAM[[#This Row],[DEBIT]]),"")</f>
        <v/>
      </c>
      <c r="Y336" s="387"/>
      <c r="Z336" s="389">
        <f>U343+V343</f>
        <v>55000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IFERROR(VLOOKUP(TRANSHARI1_ACCPAGI[[#This Row],[PRODUK]],DATA_ACC[],3,FALSE),"")</f>
        <v/>
      </c>
      <c r="E337" s="374"/>
      <c r="F337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37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37" s="12"/>
      <c r="I337" s="384" t="str">
        <f>IFERROR(IF(TRANSHARI1_ACCPAGI[[#This Row],[NAMA REKENING]]="","",TRANSHARI1_ACCPAGI[[#This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IFERROR(VLOOKUP(TRANSHARI1_ACCMALAM[[#This Row],[PRODUK]],DATA_ACC[],3,FALSE),"")</f>
        <v/>
      </c>
      <c r="T337" s="374"/>
      <c r="U337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37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37" s="12"/>
      <c r="X337" s="384" t="str">
        <f>IFERROR(IF(TRANSHARI1_ACCMALAM[[#This Row],[NAMA REKENING]]="","",TRANSHARI1_ACCMALAM[[#This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IFERROR(VLOOKUP(TRANSHARI1_ACCPAGI[[#This Row],[PRODUK]],DATA_ACC[],3,FALSE),"")</f>
        <v/>
      </c>
      <c r="E338" s="376"/>
      <c r="F338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38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38" s="377"/>
      <c r="I338" s="386" t="str">
        <f>IFERROR(IF(TRANSHARI1_ACCPAGI[[#This Row],[NAMA REKENING]]="","",TRANSHARI1_ACCPAGI[[#This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IFERROR(VLOOKUP(TRANSHARI1_ACCMALAM[[#This Row],[PRODUK]],DATA_ACC[],3,FALSE),"")</f>
        <v/>
      </c>
      <c r="T338" s="376"/>
      <c r="U338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38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38" s="377"/>
      <c r="X338" s="386" t="str">
        <f>IFERROR(IF(TRANSHARI1_ACCMALAM[[#This Row],[NAMA REKENING]]="","",TRANSHARI1_ACCMALAM[[#This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IFERROR(VLOOKUP(TRANSHARI1_ACCPAGI[[#This Row],[PRODUK]],DATA_ACC[],3,FALSE),"")</f>
        <v/>
      </c>
      <c r="E339" s="374"/>
      <c r="F339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39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39" s="12"/>
      <c r="I339" s="384" t="str">
        <f>IFERROR(IF(TRANSHARI1_ACCPAGI[[#This Row],[NAMA REKENING]]="","",TRANSHARI1_ACCPAGI[[#This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IFERROR(VLOOKUP(TRANSHARI1_ACCMALAM[[#This Row],[PRODUK]],DATA_ACC[],3,FALSE),"")</f>
        <v/>
      </c>
      <c r="T339" s="374"/>
      <c r="U339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39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39" s="12"/>
      <c r="X339" s="384" t="str">
        <f>IFERROR(IF(TRANSHARI1_ACCMALAM[[#This Row],[NAMA REKENING]]="","",TRANSHARI1_ACCMALAM[[#This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IFERROR(VLOOKUP(TRANSHARI1_ACCPAGI[[#This Row],[PRODUK]],DATA_ACC[],3,FALSE),"")</f>
        <v/>
      </c>
      <c r="E340" s="374"/>
      <c r="F340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40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40" s="12"/>
      <c r="I340" s="386" t="str">
        <f>IFERROR(IF(TRANSHARI1_ACCPAGI[[#This Row],[NAMA REKENING]]="","",TRANSHARI1_ACCPAGI[[#This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IFERROR(VLOOKUP(TRANSHARI1_ACCMALAM[[#This Row],[PRODUK]],DATA_ACC[],3,FALSE),"")</f>
        <v/>
      </c>
      <c r="T340" s="374"/>
      <c r="U340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40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40" s="12"/>
      <c r="X340" s="386" t="str">
        <f>IFERROR(IF(TRANSHARI1_ACCMALAM[[#This Row],[NAMA REKENING]]="","",TRANSHARI1_ACCMALAM[[#This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IFERROR(VLOOKUP(TRANSHARI1_ACCPAGI[[#This Row],[PRODUK]],DATA_ACC[],3,FALSE),"")</f>
        <v/>
      </c>
      <c r="E341" s="374"/>
      <c r="F341" s="369" t="str">
        <f>IFERROR(IF(TRANSHARI1_ACCPAGI[[#This Row],[NAMA PENGHUTANG]]="",((TRANSHARI1_ACCPAGI[[#This Row],[HARGA]]*TRANSHARI1_ACCPAGI[[#This Row],[QUANTITY]])+TRANSHARI1_ACCPAGI[[#This Row],[PRICE TOLERANCE]]),""),"")</f>
        <v/>
      </c>
      <c r="G341" s="369" t="str">
        <f>IFERROR(IF(TRANSHARI1_ACCPAGI[[#This Row],[NAMA PENGHUTANG]]="","",((TRANSHARI1_ACCPAGI[[#This Row],[HARGA]]*TRANSHARI1_ACCPAGI[[#This Row],[QUANTITY]])+TRANSHARI1_ACCPAGI[[#This Row],[PRICE TOLERANCE]])),"")</f>
        <v/>
      </c>
      <c r="H341" s="12"/>
      <c r="I341" s="384" t="str">
        <f>IFERROR(IF(TRANSHARI1_ACCPAGI[[#This Row],[NAMA REKENING]]="","",TRANSHARI1_ACCPAGI[[#This Row],[DEBIT]]),"")</f>
        <v/>
      </c>
      <c r="J341" s="387"/>
      <c r="K341" s="389">
        <f>F343+G343</f>
        <v>25000</v>
      </c>
      <c r="L341" s="390"/>
      <c r="O341" s="324"/>
      <c r="P341" s="367">
        <v>29</v>
      </c>
      <c r="Q341" s="368"/>
      <c r="R341" s="372"/>
      <c r="S341" s="369" t="str">
        <f>IFERROR(VLOOKUP(TRANSHARI1_ACCMALAM[[#This Row],[PRODUK]],DATA_ACC[],3,FALSE),"")</f>
        <v/>
      </c>
      <c r="T341" s="374"/>
      <c r="U341" s="369" t="str">
        <f>IFERROR(IF(TRANSHARI1_ACCMALAM[[#This Row],[NAMA PENGHUTANG]]="",((TRANSHARI1_ACCMALAM[[#This Row],[HARGA]]*TRANSHARI1_ACCMALAM[[#This Row],[QUANTITY]])+TRANSHARI1_ACCMALAM[[#This Row],[PRICE TOLERANCE]]),""),"")</f>
        <v/>
      </c>
      <c r="V341" s="369" t="str">
        <f>IFERROR(IF(TRANSHARI1_ACCMALAM[[#This Row],[NAMA PENGHUTANG]]="","",((TRANSHARI1_ACCMALAM[[#This Row],[HARGA]]*TRANSHARI1_ACCMALAM[[#This Row],[QUANTITY]])+TRANSHARI1_ACCMALAM[[#This Row],[PRICE TOLERANCE]])),"")</f>
        <v/>
      </c>
      <c r="W341" s="12"/>
      <c r="X341" s="384" t="str">
        <f>IFERROR(IF(TRANSHARI1_ACCMALAM[[#This Row],[NAMA REKENING]]="","",TRANSHARI1_ACCMALAM[[#This Row],[DEBIT]]),"")</f>
        <v/>
      </c>
      <c r="Y341" s="387"/>
      <c r="Z341" s="400">
        <f>K341+Z336</f>
        <v>80000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IFERROR(VLOOKUP(TRANSHARI1_ACCPAGI[[#This Row],[PRODUK]],DATA_ACC[],3,FALSE),"")</f>
        <v/>
      </c>
      <c r="E342" s="374"/>
      <c r="F342" s="373" t="str">
        <f>IFERROR(IF(TRANSHARI1_ACCPAGI[[#This Row],[NAMA PENGHUTANG]]="",((TRANSHARI1_ACCPAGI[[#This Row],[HARGA]]*TRANSHARI1_ACCPAGI[[#This Row],[QUANTITY]])+TRANSHARI1_ACCPAGI[[#This Row],[PRICE TOLERANCE]]),""),"")</f>
        <v/>
      </c>
      <c r="G342" s="373" t="str">
        <f>IFERROR(IF(TRANSHARI1_ACCPAGI[[#This Row],[NAMA PENGHUTANG]]="","",((TRANSHARI1_ACCPAGI[[#This Row],[HARGA]]*TRANSHARI1_ACCPAGI[[#This Row],[QUANTITY]])+TRANSHARI1_ACCPAGI[[#This Row],[PRICE TOLERANCE]])),"")</f>
        <v/>
      </c>
      <c r="H342" s="12"/>
      <c r="I342" s="386" t="str">
        <f>IFERROR(IF(TRANSHARI1_ACCPAGI[[#This Row],[NAMA REKENING]]="","",TRANSHARI1_ACCPAGI[[#This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IFERROR(VLOOKUP(TRANSHARI1_ACCMALAM[[#This Row],[PRODUK]],DATA_ACC[],3,FALSE),"")</f>
        <v/>
      </c>
      <c r="T342" s="374"/>
      <c r="U342" s="373" t="str">
        <f>IFERROR(IF(TRANSHARI1_ACCMALAM[[#This Row],[NAMA PENGHUTANG]]="",((TRANSHARI1_ACCMALAM[[#This Row],[HARGA]]*TRANSHARI1_ACCMALAM[[#This Row],[QUANTITY]])+TRANSHARI1_ACCMALAM[[#This Row],[PRICE TOLERANCE]]),""),"")</f>
        <v/>
      </c>
      <c r="V342" s="373" t="str">
        <f>IFERROR(IF(TRANSHARI1_ACCMALAM[[#This Row],[NAMA PENGHUTANG]]="","",((TRANSHARI1_ACCMALAM[[#This Row],[HARGA]]*TRANSHARI1_ACCMALAM[[#This Row],[QUANTITY]])+TRANSHARI1_ACCMALAM[[#This Row],[PRICE TOLERANCE]])),"")</f>
        <v/>
      </c>
      <c r="W342" s="12"/>
      <c r="X342" s="386" t="str">
        <f>IFERROR(IF(TRANSHARI1_ACCMALAM[[#This Row],[NAMA REKENING]]="","",TRANSHARI1_ACCMALAM[[#This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SUM(TRANSHARI1_ACCPAGI[QUANTITY])</f>
        <v>1</v>
      </c>
      <c r="E343" s="398">
        <f>SUM(TRANSHARI1_ACCPAGI[PRICE TOLERANCE])</f>
        <v>0</v>
      </c>
      <c r="F343" s="396">
        <f>SUM(TRANSHARI1_ACCPAGI[DEBIT])</f>
        <v>25000</v>
      </c>
      <c r="G343" s="396">
        <f>SUM(TRANSHARI1_ACCPAGI[KREDIT])</f>
        <v>0</v>
      </c>
      <c r="I343" s="396">
        <f>SUM(TRANSHARI1_ACCPAGI[NOMINAL TRANSFER])</f>
        <v>0</v>
      </c>
      <c r="O343" s="324"/>
      <c r="P343" s="303" t="s">
        <v>78</v>
      </c>
      <c r="Q343" s="316"/>
      <c r="R343" s="395">
        <f>SUM(TRANSHARI1_ACCMALAM[QUANTITY])</f>
        <v>3</v>
      </c>
      <c r="T343" s="398">
        <f>SUM(TRANSHARI1_ACCMALAM[PRICE TOLERANCE])</f>
        <v>0</v>
      </c>
      <c r="U343" s="396">
        <f>SUM(TRANSHARI1_ACCMALAM[DEBIT])</f>
        <v>55000</v>
      </c>
      <c r="V343" s="396">
        <f>SUM(TRANSHARI1_ACCMALAM[KREDIT])</f>
        <v>0</v>
      </c>
      <c r="X343" s="396">
        <f>SUM(TRANSHARI1_ACCMALAM[NOMINAL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">
        <v>10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">
        <v>13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IFERROR(VLOOKUP(TRANSHARI1_HYDROPAGI[[#This Row],[PRODUK]],DATA_HYDRO[],3,FALSE),"")</f>
        <v/>
      </c>
      <c r="E350" s="370"/>
      <c r="F350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0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0" s="371"/>
      <c r="I350" s="384" t="str">
        <f>IFERROR(IF(TRANSHARI1_HYDROPAGI[[#This Row],[NAMA REKENING]]="","",TRANSHARI1_HYDROPAGI[[#This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IFERROR(VLOOKUP(TRANSHARI1_HYDROMALAM[[#This Row],[PRODUK]],DATA_HYDRO[],3,FALSE),"")</f>
        <v/>
      </c>
      <c r="T350" s="370"/>
      <c r="U350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0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0" s="371"/>
      <c r="X350" s="384" t="str">
        <f>IFERROR(IF(TRANSHARI1_HYDROMALAM[[#This Row],[NAMA REKENING]]="","",TRANSHARI1_HYDROMALAM[[#This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IFERROR(VLOOKUP(TRANSHARI1_HYDROPAGI[[#This Row],[PRODUK]],DATA_HYDRO[],3,FALSE),"")</f>
        <v/>
      </c>
      <c r="E351" s="374"/>
      <c r="F351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1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1" s="12"/>
      <c r="I351" s="386" t="str">
        <f>IFERROR(IF(TRANSHARI1_HYDROPAGI[[#This Row],[NAMA REKENING]]="","",TRANSHARI1_HYDROPAGI[[#This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IFERROR(VLOOKUP(TRANSHARI1_HYDROMALAM[[#This Row],[PRODUK]],DATA_HYDRO[],3,FALSE),"")</f>
        <v/>
      </c>
      <c r="T351" s="374"/>
      <c r="U351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1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1" s="12"/>
      <c r="X351" s="386" t="str">
        <f>IFERROR(IF(TRANSHARI1_HYDROMALAM[[#This Row],[NAMA REKENING]]="","",TRANSHARI1_HYDROMALAM[[#This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IFERROR(VLOOKUP(TRANSHARI1_HYDROPAGI[[#This Row],[PRODUK]],DATA_HYDRO[],3,FALSE),"")</f>
        <v/>
      </c>
      <c r="E352" s="374"/>
      <c r="F352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2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2" s="12"/>
      <c r="I352" s="384" t="str">
        <f>IFERROR(IF(TRANSHARI1_HYDROPAGI[[#This Row],[NAMA REKENING]]="","",TRANSHARI1_HYDROPAGI[[#This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IFERROR(VLOOKUP(TRANSHARI1_HYDROMALAM[[#This Row],[PRODUK]],DATA_HYDRO[],3,FALSE),"")</f>
        <v/>
      </c>
      <c r="T352" s="374"/>
      <c r="U352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2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2" s="12"/>
      <c r="X352" s="384" t="str">
        <f>IFERROR(IF(TRANSHARI1_HYDROMALAM[[#This Row],[NAMA REKENING]]="","",TRANSHARI1_HYDROMALAM[[#This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IFERROR(VLOOKUP(TRANSHARI1_HYDROPAGI[[#This Row],[PRODUK]],DATA_HYDRO[],3,FALSE),"")</f>
        <v/>
      </c>
      <c r="E353" s="374"/>
      <c r="F353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3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3" s="12"/>
      <c r="I353" s="386" t="str">
        <f>IFERROR(IF(TRANSHARI1_HYDROPAGI[[#This Row],[NAMA REKENING]]="","",TRANSHARI1_HYDROPAGI[[#This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IFERROR(VLOOKUP(TRANSHARI1_HYDROMALAM[[#This Row],[PRODUK]],DATA_HYDRO[],3,FALSE),"")</f>
        <v/>
      </c>
      <c r="T353" s="374"/>
      <c r="U353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3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3" s="12"/>
      <c r="X353" s="386" t="str">
        <f>IFERROR(IF(TRANSHARI1_HYDROMALAM[[#This Row],[NAMA REKENING]]="","",TRANSHARI1_HYDROMALAM[[#This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IFERROR(VLOOKUP(TRANSHARI1_HYDROPAGI[[#This Row],[PRODUK]],DATA_HYDRO[],3,FALSE),"")</f>
        <v/>
      </c>
      <c r="E354" s="374"/>
      <c r="F354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4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4" s="12"/>
      <c r="I354" s="384" t="str">
        <f>IFERROR(IF(TRANSHARI1_HYDROPAGI[[#This Row],[NAMA REKENING]]="","",TRANSHARI1_HYDROPAGI[[#This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IFERROR(VLOOKUP(TRANSHARI1_HYDROMALAM[[#This Row],[PRODUK]],DATA_HYDRO[],3,FALSE),"")</f>
        <v/>
      </c>
      <c r="T354" s="374"/>
      <c r="U354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4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4" s="12"/>
      <c r="X354" s="384" t="str">
        <f>IFERROR(IF(TRANSHARI1_HYDROMALAM[[#This Row],[NAMA REKENING]]="","",TRANSHARI1_HYDROMALAM[[#This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IFERROR(VLOOKUP(TRANSHARI1_HYDROPAGI[[#This Row],[PRODUK]],DATA_HYDRO[],3,FALSE),"")</f>
        <v/>
      </c>
      <c r="E355" s="374"/>
      <c r="F355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5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5" s="12"/>
      <c r="I355" s="386" t="str">
        <f>IFERROR(IF(TRANSHARI1_HYDROPAGI[[#This Row],[NAMA REKENING]]="","",TRANSHARI1_HYDROPAGI[[#This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IFERROR(VLOOKUP(TRANSHARI1_HYDROMALAM[[#This Row],[PRODUK]],DATA_HYDRO[],3,FALSE),"")</f>
        <v/>
      </c>
      <c r="T355" s="374"/>
      <c r="U355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5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5" s="12"/>
      <c r="X355" s="386" t="str">
        <f>IFERROR(IF(TRANSHARI1_HYDROMALAM[[#This Row],[NAMA REKENING]]="","",TRANSHARI1_HYDROMALAM[[#This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IFERROR(VLOOKUP(TRANSHARI1_HYDROPAGI[[#This Row],[PRODUK]],DATA_HYDRO[],3,FALSE),"")</f>
        <v/>
      </c>
      <c r="E356" s="374"/>
      <c r="F356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6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6" s="12"/>
      <c r="I356" s="384" t="str">
        <f>IFERROR(IF(TRANSHARI1_HYDROPAGI[[#This Row],[NAMA REKENING]]="","",TRANSHARI1_HYDROPAGI[[#This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IFERROR(VLOOKUP(TRANSHARI1_HYDROMALAM[[#This Row],[PRODUK]],DATA_HYDRO[],3,FALSE),"")</f>
        <v/>
      </c>
      <c r="T356" s="374"/>
      <c r="U356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6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6" s="12"/>
      <c r="X356" s="384" t="str">
        <f>IFERROR(IF(TRANSHARI1_HYDROMALAM[[#This Row],[NAMA REKENING]]="","",TRANSHARI1_HYDROMALAM[[#This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IFERROR(VLOOKUP(TRANSHARI1_HYDROPAGI[[#This Row],[PRODUK]],DATA_HYDRO[],3,FALSE),"")</f>
        <v/>
      </c>
      <c r="E357" s="374"/>
      <c r="F357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7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7" s="12"/>
      <c r="I357" s="386" t="str">
        <f>IFERROR(IF(TRANSHARI1_HYDROPAGI[[#This Row],[NAMA REKENING]]="","",TRANSHARI1_HYDROPAGI[[#This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IFERROR(VLOOKUP(TRANSHARI1_HYDROMALAM[[#This Row],[PRODUK]],DATA_HYDRO[],3,FALSE),"")</f>
        <v/>
      </c>
      <c r="T357" s="374"/>
      <c r="U357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7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7" s="12"/>
      <c r="X357" s="386" t="str">
        <f>IFERROR(IF(TRANSHARI1_HYDROMALAM[[#This Row],[NAMA REKENING]]="","",TRANSHARI1_HYDROMALAM[[#This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IFERROR(VLOOKUP(TRANSHARI1_HYDROPAGI[[#This Row],[PRODUK]],DATA_HYDRO[],3,FALSE),"")</f>
        <v/>
      </c>
      <c r="E358" s="374"/>
      <c r="F358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8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8" s="12"/>
      <c r="I358" s="384" t="str">
        <f>IFERROR(IF(TRANSHARI1_HYDROPAGI[[#This Row],[NAMA REKENING]]="","",TRANSHARI1_HYDROPAGI[[#This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IFERROR(VLOOKUP(TRANSHARI1_HYDROMALAM[[#This Row],[PRODUK]],DATA_HYDRO[],3,FALSE),"")</f>
        <v/>
      </c>
      <c r="T358" s="374"/>
      <c r="U358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8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8" s="12"/>
      <c r="X358" s="384" t="str">
        <f>IFERROR(IF(TRANSHARI1_HYDROMALAM[[#This Row],[NAMA REKENING]]="","",TRANSHARI1_HYDROMALAM[[#This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IFERROR(VLOOKUP(TRANSHARI1_HYDROPAGI[[#This Row],[PRODUK]],DATA_HYDRO[],3,FALSE),"")</f>
        <v/>
      </c>
      <c r="E359" s="374"/>
      <c r="F359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59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59" s="12"/>
      <c r="I359" s="386" t="str">
        <f>IFERROR(IF(TRANSHARI1_HYDROPAGI[[#This Row],[NAMA REKENING]]="","",TRANSHARI1_HYDROPAGI[[#This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IFERROR(VLOOKUP(TRANSHARI1_HYDROMALAM[[#This Row],[PRODUK]],DATA_HYDRO[],3,FALSE),"")</f>
        <v/>
      </c>
      <c r="T359" s="374"/>
      <c r="U359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59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59" s="12"/>
      <c r="X359" s="386" t="str">
        <f>IFERROR(IF(TRANSHARI1_HYDROMALAM[[#This Row],[NAMA REKENING]]="","",TRANSHARI1_HYDROMALAM[[#This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IFERROR(VLOOKUP(TRANSHARI1_HYDROPAGI[[#This Row],[PRODUK]],DATA_HYDRO[],3,FALSE),"")</f>
        <v/>
      </c>
      <c r="E360" s="374"/>
      <c r="F360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0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0" s="12"/>
      <c r="I360" s="384" t="str">
        <f>IFERROR(IF(TRANSHARI1_HYDROPAGI[[#This Row],[NAMA REKENING]]="","",TRANSHARI1_HYDROPAGI[[#This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IFERROR(VLOOKUP(TRANSHARI1_HYDROMALAM[[#This Row],[PRODUK]],DATA_HYDRO[],3,FALSE),"")</f>
        <v/>
      </c>
      <c r="T360" s="374"/>
      <c r="U360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0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0" s="12"/>
      <c r="X360" s="384" t="str">
        <f>IFERROR(IF(TRANSHARI1_HYDROMALAM[[#This Row],[NAMA REKENING]]="","",TRANSHARI1_HYDROMALAM[[#This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IFERROR(VLOOKUP(TRANSHARI1_HYDROPAGI[[#This Row],[PRODUK]],DATA_HYDRO[],3,FALSE),"")</f>
        <v/>
      </c>
      <c r="E361" s="374"/>
      <c r="F361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1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1" s="12"/>
      <c r="I361" s="386" t="str">
        <f>IFERROR(IF(TRANSHARI1_HYDROPAGI[[#This Row],[NAMA REKENING]]="","",TRANSHARI1_HYDROPAGI[[#This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IFERROR(VLOOKUP(TRANSHARI1_HYDROMALAM[[#This Row],[PRODUK]],DATA_HYDRO[],3,FALSE),"")</f>
        <v/>
      </c>
      <c r="T361" s="374"/>
      <c r="U361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1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1" s="12"/>
      <c r="X361" s="386" t="str">
        <f>IFERROR(IF(TRANSHARI1_HYDROMALAM[[#This Row],[NAMA REKENING]]="","",TRANSHARI1_HYDROMALAM[[#This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IFERROR(VLOOKUP(TRANSHARI1_HYDROPAGI[[#This Row],[PRODUK]],DATA_HYDRO[],3,FALSE),"")</f>
        <v/>
      </c>
      <c r="E362" s="374"/>
      <c r="F362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2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2" s="12"/>
      <c r="I362" s="384" t="str">
        <f>IFERROR(IF(TRANSHARI1_HYDROPAGI[[#This Row],[NAMA REKENING]]="","",TRANSHARI1_HYDROPAGI[[#This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IFERROR(VLOOKUP(TRANSHARI1_HYDROMALAM[[#This Row],[PRODUK]],DATA_HYDRO[],3,FALSE),"")</f>
        <v/>
      </c>
      <c r="T362" s="374"/>
      <c r="U362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2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2" s="12"/>
      <c r="X362" s="384" t="str">
        <f>IFERROR(IF(TRANSHARI1_HYDROMALAM[[#This Row],[NAMA REKENING]]="","",TRANSHARI1_HYDROMALAM[[#This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IFERROR(VLOOKUP(TRANSHARI1_HYDROPAGI[[#This Row],[PRODUK]],DATA_HYDRO[],3,FALSE),"")</f>
        <v/>
      </c>
      <c r="E363" s="374"/>
      <c r="F363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3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3" s="12"/>
      <c r="I363" s="386" t="str">
        <f>IFERROR(IF(TRANSHARI1_HYDROPAGI[[#This Row],[NAMA REKENING]]="","",TRANSHARI1_HYDROPAGI[[#This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IFERROR(VLOOKUP(TRANSHARI1_HYDROMALAM[[#This Row],[PRODUK]],DATA_HYDRO[],3,FALSE),"")</f>
        <v/>
      </c>
      <c r="T363" s="374"/>
      <c r="U363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3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3" s="12"/>
      <c r="X363" s="386" t="str">
        <f>IFERROR(IF(TRANSHARI1_HYDROMALAM[[#This Row],[NAMA REKENING]]="","",TRANSHARI1_HYDROMALAM[[#This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IFERROR(VLOOKUP(TRANSHARI1_HYDROPAGI[[#This Row],[PRODUK]],DATA_HYDRO[],3,FALSE),"")</f>
        <v/>
      </c>
      <c r="E364" s="374"/>
      <c r="F364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4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4" s="12"/>
      <c r="I364" s="384" t="str">
        <f>IFERROR(IF(TRANSHARI1_HYDROPAGI[[#This Row],[NAMA REKENING]]="","",TRANSHARI1_HYDROPAGI[[#This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IFERROR(VLOOKUP(TRANSHARI1_HYDROMALAM[[#This Row],[PRODUK]],DATA_HYDRO[],3,FALSE),"")</f>
        <v/>
      </c>
      <c r="T364" s="374"/>
      <c r="U364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4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4" s="12"/>
      <c r="X364" s="384" t="str">
        <f>IFERROR(IF(TRANSHARI1_HYDROMALAM[[#This Row],[NAMA REKENING]]="","",TRANSHARI1_HYDROMALAM[[#This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IFERROR(VLOOKUP(TRANSHARI1_HYDROPAGI[[#This Row],[PRODUK]],DATA_HYDRO[],3,FALSE),"")</f>
        <v/>
      </c>
      <c r="E365" s="374"/>
      <c r="F365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5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5" s="12"/>
      <c r="I365" s="386" t="str">
        <f>IFERROR(IF(TRANSHARI1_HYDROPAGI[[#This Row],[NAMA REKENING]]="","",TRANSHARI1_HYDROPAGI[[#This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IFERROR(VLOOKUP(TRANSHARI1_HYDROMALAM[[#This Row],[PRODUK]],DATA_HYDRO[],3,FALSE),"")</f>
        <v/>
      </c>
      <c r="T365" s="374"/>
      <c r="U365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5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5" s="12"/>
      <c r="X365" s="386" t="str">
        <f>IFERROR(IF(TRANSHARI1_HYDROMALAM[[#This Row],[NAMA REKENING]]="","",TRANSHARI1_HYDROMALAM[[#This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IFERROR(VLOOKUP(TRANSHARI1_HYDROPAGI[[#This Row],[PRODUK]],DATA_HYDRO[],3,FALSE),"")</f>
        <v/>
      </c>
      <c r="E366" s="374"/>
      <c r="F366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6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6" s="12"/>
      <c r="I366" s="384" t="str">
        <f>IFERROR(IF(TRANSHARI1_HYDROPAGI[[#This Row],[NAMA REKENING]]="","",TRANSHARI1_HYDROPAGI[[#This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IFERROR(VLOOKUP(TRANSHARI1_HYDROMALAM[[#This Row],[PRODUK]],DATA_HYDRO[],3,FALSE),"")</f>
        <v/>
      </c>
      <c r="T366" s="374"/>
      <c r="U366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6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6" s="12"/>
      <c r="X366" s="384" t="str">
        <f>IFERROR(IF(TRANSHARI1_HYDROMALAM[[#This Row],[NAMA REKENING]]="","",TRANSHARI1_HYDROMALAM[[#This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IFERROR(VLOOKUP(TRANSHARI1_HYDROPAGI[[#This Row],[PRODUK]],DATA_HYDRO[],3,FALSE),"")</f>
        <v/>
      </c>
      <c r="E367" s="374"/>
      <c r="F367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7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7" s="12"/>
      <c r="I367" s="386" t="str">
        <f>IFERROR(IF(TRANSHARI1_HYDROPAGI[[#This Row],[NAMA REKENING]]="","",TRANSHARI1_HYDROPAGI[[#This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IFERROR(VLOOKUP(TRANSHARI1_HYDROMALAM[[#This Row],[PRODUK]],DATA_HYDRO[],3,FALSE),"")</f>
        <v/>
      </c>
      <c r="T367" s="374"/>
      <c r="U367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7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7" s="12"/>
      <c r="X367" s="386" t="str">
        <f>IFERROR(IF(TRANSHARI1_HYDROMALAM[[#This Row],[NAMA REKENING]]="","",TRANSHARI1_HYDROMALAM[[#This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IFERROR(VLOOKUP(TRANSHARI1_HYDROPAGI[[#This Row],[PRODUK]],DATA_HYDRO[],3,FALSE),"")</f>
        <v/>
      </c>
      <c r="E368" s="374"/>
      <c r="F368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8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8" s="12"/>
      <c r="I368" s="384" t="str">
        <f>IFERROR(IF(TRANSHARI1_HYDROPAGI[[#This Row],[NAMA REKENING]]="","",TRANSHARI1_HYDROPAGI[[#This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IFERROR(VLOOKUP(TRANSHARI1_HYDROMALAM[[#This Row],[PRODUK]],DATA_HYDRO[],3,FALSE),"")</f>
        <v/>
      </c>
      <c r="T368" s="374"/>
      <c r="U368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8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8" s="12"/>
      <c r="X368" s="384" t="str">
        <f>IFERROR(IF(TRANSHARI1_HYDROMALAM[[#This Row],[NAMA REKENING]]="","",TRANSHARI1_HYDROMALAM[[#This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IFERROR(VLOOKUP(TRANSHARI1_HYDROPAGI[[#This Row],[PRODUK]],DATA_HYDRO[],3,FALSE),"")</f>
        <v/>
      </c>
      <c r="E369" s="374"/>
      <c r="F369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69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69" s="12"/>
      <c r="I369" s="386" t="str">
        <f>IFERROR(IF(TRANSHARI1_HYDROPAGI[[#This Row],[NAMA REKENING]]="","",TRANSHARI1_HYDROPAGI[[#This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IFERROR(VLOOKUP(TRANSHARI1_HYDROMALAM[[#This Row],[PRODUK]],DATA_HYDRO[],3,FALSE),"")</f>
        <v/>
      </c>
      <c r="T369" s="374"/>
      <c r="U369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69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69" s="12"/>
      <c r="X369" s="386" t="str">
        <f>IFERROR(IF(TRANSHARI1_HYDROMALAM[[#This Row],[NAMA REKENING]]="","",TRANSHARI1_HYDROMALAM[[#This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IFERROR(VLOOKUP(TRANSHARI1_HYDROPAGI[[#This Row],[PRODUK]],DATA_HYDRO[],3,FALSE),"")</f>
        <v/>
      </c>
      <c r="E370" s="374"/>
      <c r="F370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0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0" s="12"/>
      <c r="I370" s="384" t="str">
        <f>IFERROR(IF(TRANSHARI1_HYDROPAGI[[#This Row],[NAMA REKENING]]="","",TRANSHARI1_HYDROPAGI[[#This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IFERROR(VLOOKUP(TRANSHARI1_HYDROMALAM[[#This Row],[PRODUK]],DATA_HYDRO[],3,FALSE),"")</f>
        <v/>
      </c>
      <c r="T370" s="374"/>
      <c r="U370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0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0" s="12"/>
      <c r="X370" s="384" t="str">
        <f>IFERROR(IF(TRANSHARI1_HYDROMALAM[[#This Row],[NAMA REKENING]]="","",TRANSHARI1_HYDROMALAM[[#This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IFERROR(VLOOKUP(TRANSHARI1_HYDROPAGI[[#This Row],[PRODUK]],DATA_HYDRO[],3,FALSE),"")</f>
        <v/>
      </c>
      <c r="E371" s="374"/>
      <c r="F371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1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1" s="12"/>
      <c r="I371" s="386" t="str">
        <f>IFERROR(IF(TRANSHARI1_HYDROPAGI[[#This Row],[NAMA REKENING]]="","",TRANSHARI1_HYDROPAGI[[#This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IFERROR(VLOOKUP(TRANSHARI1_HYDROMALAM[[#This Row],[PRODUK]],DATA_HYDRO[],3,FALSE),"")</f>
        <v/>
      </c>
      <c r="T371" s="374"/>
      <c r="U371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1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1" s="12"/>
      <c r="X371" s="386" t="str">
        <f>IFERROR(IF(TRANSHARI1_HYDROMALAM[[#This Row],[NAMA REKENING]]="","",TRANSHARI1_HYDROMALAM[[#This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IFERROR(VLOOKUP(TRANSHARI1_HYDROPAGI[[#This Row],[PRODUK]],DATA_HYDRO[],3,FALSE),"")</f>
        <v/>
      </c>
      <c r="E372" s="374"/>
      <c r="F372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2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2" s="12"/>
      <c r="I372" s="384" t="str">
        <f>IFERROR(IF(TRANSHARI1_HYDROPAGI[[#This Row],[NAMA REKENING]]="","",TRANSHARI1_HYDROPAGI[[#This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IFERROR(VLOOKUP(TRANSHARI1_HYDROMALAM[[#This Row],[PRODUK]],DATA_HYDRO[],3,FALSE),"")</f>
        <v/>
      </c>
      <c r="T372" s="374"/>
      <c r="U372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2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2" s="12"/>
      <c r="X372" s="384" t="str">
        <f>IFERROR(IF(TRANSHARI1_HYDROMALAM[[#This Row],[NAMA REKENING]]="","",TRANSHARI1_HYDROMALAM[[#This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IFERROR(VLOOKUP(TRANSHARI1_HYDROPAGI[[#This Row],[PRODUK]],DATA_HYDRO[],3,FALSE),"")</f>
        <v/>
      </c>
      <c r="E373" s="374"/>
      <c r="F373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3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3" s="12"/>
      <c r="I373" s="386" t="str">
        <f>IFERROR(IF(TRANSHARI1_HYDROPAGI[[#This Row],[NAMA REKENING]]="","",TRANSHARI1_HYDROPAGI[[#This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IFERROR(VLOOKUP(TRANSHARI1_HYDROMALAM[[#This Row],[PRODUK]],DATA_HYDRO[],3,FALSE),"")</f>
        <v/>
      </c>
      <c r="T373" s="374"/>
      <c r="U373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3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3" s="12"/>
      <c r="X373" s="386" t="str">
        <f>IFERROR(IF(TRANSHARI1_HYDROMALAM[[#This Row],[NAMA REKENING]]="","",TRANSHARI1_HYDROMALAM[[#This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IFERROR(VLOOKUP(TRANSHARI1_HYDROPAGI[[#This Row],[PRODUK]],DATA_HYDRO[],3,FALSE),"")</f>
        <v/>
      </c>
      <c r="E374" s="374"/>
      <c r="F374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4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4" s="12"/>
      <c r="I374" s="384" t="str">
        <f>IFERROR(IF(TRANSHARI1_HYDROPAGI[[#This Row],[NAMA REKENING]]="","",TRANSHARI1_HYDROPAGI[[#This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IFERROR(VLOOKUP(TRANSHARI1_HYDROMALAM[[#This Row],[PRODUK]],DATA_HYDRO[],3,FALSE),"")</f>
        <v/>
      </c>
      <c r="T374" s="374"/>
      <c r="U374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4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4" s="12"/>
      <c r="X374" s="384" t="str">
        <f>IFERROR(IF(TRANSHARI1_HYDROMALAM[[#This Row],[NAMA REKENING]]="","",TRANSHARI1_HYDROMALAM[[#This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IFERROR(VLOOKUP(TRANSHARI1_HYDROPAGI[[#This Row],[PRODUK]],DATA_HYDRO[],3,FALSE),"")</f>
        <v/>
      </c>
      <c r="E375" s="376"/>
      <c r="F375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5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5" s="377"/>
      <c r="I375" s="386" t="str">
        <f>IFERROR(IF(TRANSHARI1_HYDROPAGI[[#This Row],[NAMA REKENING]]="","",TRANSHARI1_HYDROPAGI[[#This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IFERROR(VLOOKUP(TRANSHARI1_HYDROMALAM[[#This Row],[PRODUK]],DATA_HYDRO[],3,FALSE),"")</f>
        <v/>
      </c>
      <c r="T375" s="376"/>
      <c r="U375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5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5" s="377"/>
      <c r="X375" s="386" t="str">
        <f>IFERROR(IF(TRANSHARI1_HYDROMALAM[[#This Row],[NAMA REKENING]]="","",TRANSHARI1_HYDROMALAM[[#This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IFERROR(VLOOKUP(TRANSHARI1_HYDROPAGI[[#This Row],[PRODUK]],DATA_HYDRO[],3,FALSE),"")</f>
        <v/>
      </c>
      <c r="E376" s="374"/>
      <c r="F376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6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6" s="12"/>
      <c r="I376" s="384" t="str">
        <f>IFERROR(IF(TRANSHARI1_HYDROPAGI[[#This Row],[NAMA REKENING]]="","",TRANSHARI1_HYDROPAGI[[#This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IFERROR(VLOOKUP(TRANSHARI1_HYDROMALAM[[#This Row],[PRODUK]],DATA_HYDRO[],3,FALSE),"")</f>
        <v/>
      </c>
      <c r="T376" s="374"/>
      <c r="U376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6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6" s="12"/>
      <c r="X376" s="384" t="str">
        <f>IFERROR(IF(TRANSHARI1_HYDROMALAM[[#This Row],[NAMA REKENING]]="","",TRANSHARI1_HYDROMALAM[[#This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IFERROR(VLOOKUP(TRANSHARI1_HYDROPAGI[[#This Row],[PRODUK]],DATA_HYDRO[],3,FALSE),"")</f>
        <v/>
      </c>
      <c r="E377" s="374"/>
      <c r="F377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7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7" s="12"/>
      <c r="I377" s="386" t="str">
        <f>IFERROR(IF(TRANSHARI1_HYDROPAGI[[#This Row],[NAMA REKENING]]="","",TRANSHARI1_HYDROPAGI[[#This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IFERROR(VLOOKUP(TRANSHARI1_HYDROMALAM[[#This Row],[PRODUK]],DATA_HYDRO[],3,FALSE),"")</f>
        <v/>
      </c>
      <c r="T377" s="374"/>
      <c r="U377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7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7" s="12"/>
      <c r="X377" s="386" t="str">
        <f>IFERROR(IF(TRANSHARI1_HYDROMALAM[[#This Row],[NAMA REKENING]]="","",TRANSHARI1_HYDROMALAM[[#This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IFERROR(VLOOKUP(TRANSHARI1_HYDROPAGI[[#This Row],[PRODUK]],DATA_HYDRO[],3,FALSE),"")</f>
        <v/>
      </c>
      <c r="E378" s="374"/>
      <c r="F378" s="369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8" s="369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8" s="12"/>
      <c r="I378" s="384" t="str">
        <f>IFERROR(IF(TRANSHARI1_HYDROPAGI[[#This Row],[NAMA REKENING]]="","",TRANSHARI1_HYDROPAGI[[#This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IFERROR(VLOOKUP(TRANSHARI1_HYDROMALAM[[#This Row],[PRODUK]],DATA_HYDRO[],3,FALSE),"")</f>
        <v/>
      </c>
      <c r="T378" s="374"/>
      <c r="U378" s="369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8" s="369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8" s="12"/>
      <c r="X378" s="384" t="str">
        <f>IFERROR(IF(TRANSHARI1_HYDROMALAM[[#This Row],[NAMA REKENING]]="","",TRANSHARI1_HYDROMALAM[[#This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IFERROR(VLOOKUP(TRANSHARI1_HYDROPAGI[[#This Row],[PRODUK]],DATA_HYDRO[],3,FALSE),"")</f>
        <v/>
      </c>
      <c r="E379" s="374"/>
      <c r="F379" s="373" t="str">
        <f>IFERROR(IF(TRANSHARI1_HYDROPAGI[[#This Row],[NAMA PENGHUTANG]]="",((TRANSHARI1_HYDROPAGI[[#This Row],[HARGA]]*TRANSHARI1_HYDROPAGI[[#This Row],[QUANTITY]])+TRANSHARI1_HYDROPAGI[[#This Row],[PRICE TOLERANCE]]),""),"")</f>
        <v/>
      </c>
      <c r="G379" s="373" t="str">
        <f>IFERROR(IF(TRANSHARI1_HYDROPAGI[[#This Row],[NAMA PENGHUTANG]]="","",((TRANSHARI1_HYDROPAGI[[#This Row],[HARGA]]*TRANSHARI1_HYDROPAGI[[#This Row],[QUANTITY]])+TRANSHARI1_HYDROPAGI[[#This Row],[PRICE TOLERANCE]])),"")</f>
        <v/>
      </c>
      <c r="H379" s="12"/>
      <c r="I379" s="386" t="str">
        <f>IFERROR(IF(TRANSHARI1_HYDROPAGI[[#This Row],[NAMA REKENING]]="","",TRANSHARI1_HYDROPAGI[[#This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IFERROR(VLOOKUP(TRANSHARI1_HYDROMALAM[[#This Row],[PRODUK]],DATA_HYDRO[],3,FALSE),"")</f>
        <v/>
      </c>
      <c r="T379" s="374"/>
      <c r="U379" s="373" t="str">
        <f>IFERROR(IF(TRANSHARI1_HYDROMALAM[[#This Row],[NAMA PENGHUTANG]]="",((TRANSHARI1_HYDROMALAM[[#This Row],[HARGA]]*TRANSHARI1_HYDROMALAM[[#This Row],[QUANTITY]])+TRANSHARI1_HYDROMALAM[[#This Row],[PRICE TOLERANCE]]),""),"")</f>
        <v/>
      </c>
      <c r="V379" s="373" t="str">
        <f>IFERROR(IF(TRANSHARI1_HYDROMALAM[[#This Row],[NAMA PENGHUTANG]]="","",((TRANSHARI1_HYDROMALAM[[#This Row],[HARGA]]*TRANSHARI1_HYDROMALAM[[#This Row],[QUANTITY]])+TRANSHARI1_HYDROMALAM[[#This Row],[PRICE TOLERANCE]])),"")</f>
        <v/>
      </c>
      <c r="W379" s="12"/>
      <c r="X379" s="386" t="str">
        <f>IFERROR(IF(TRANSHARI1_HYDROMALAM[[#This Row],[NAMA REKENING]]="","",TRANSHARI1_HYDROMALAM[[#This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SUM(TRANSHARI1_HYDROPAGI[QUANTITY])</f>
        <v>0</v>
      </c>
      <c r="E380" s="398">
        <f>SUM(TRANSHARI1_HYDROPAGI[PRICE TOLERANCE])</f>
        <v>0</v>
      </c>
      <c r="F380" s="396">
        <f>SUM(TRANSHARI1_HYDROPAGI[DEBIT])</f>
        <v>0</v>
      </c>
      <c r="G380" s="396">
        <f>SUM(TRANSHARI1_HYDROPAGI[KREDIT])</f>
        <v>0</v>
      </c>
      <c r="I380" s="396">
        <f>SUM(TRANSHARI1_HYDROPAGI[NOMINAL TRANSFER])</f>
        <v>0</v>
      </c>
      <c r="O380" s="324"/>
      <c r="P380" s="303" t="s">
        <v>78</v>
      </c>
      <c r="Q380" s="316"/>
      <c r="R380" s="395">
        <f>SUM(TRANSHARI1_HYDROMALAM[QUANTITY])</f>
        <v>0</v>
      </c>
      <c r="T380" s="398">
        <f>SUM(TRANSHARI1_HYDROMALAM[PRICE TOLERANCE])</f>
        <v>0</v>
      </c>
      <c r="U380" s="396">
        <f>SUM(TRANSHARI1_HYDROMALAM[DEBIT])</f>
        <v>0</v>
      </c>
      <c r="V380" s="396">
        <f>SUM(TRANSHARI1_HYDROMALAM[KREDIT])</f>
        <v>0</v>
      </c>
      <c r="X380" s="396">
        <f>SUM(TRANSHARI1_HYDROMALAM[NOMINAL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119</v>
      </c>
      <c r="B384" s="406"/>
      <c r="C384" s="407" t="s">
        <v>120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123</v>
      </c>
      <c r="Q384" s="406"/>
      <c r="R384" s="407" t="s">
        <v>124</v>
      </c>
      <c r="S384" s="408"/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SUM(TRANSHARI1_PULSAPAGI[DEBIT])</f>
        <v>314500</v>
      </c>
      <c r="D390" s="431">
        <f>SUM(TRANSHARI1_PULSAPAGI[KREDIT])</f>
        <v>0</v>
      </c>
      <c r="E390" s="432">
        <f>SUM(TRANSHARI1_PULSAPAGI[NOMINAL TRANSFER])</f>
        <v>0</v>
      </c>
      <c r="F390" s="433">
        <f>0</f>
        <v>0</v>
      </c>
      <c r="G390" s="434">
        <f>COUNTA(TRANSHARI1_PULSAPAGI[[DEBIT]:[KREDIT]])</f>
        <v>10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SUM(TRANSHARI1_PULSAMALAM[DEBIT])</f>
        <v>411000</v>
      </c>
      <c r="S390" s="431">
        <f>SUM(TRANSHARI1_PULSAMALAM[KREDIT])</f>
        <v>0</v>
      </c>
      <c r="T390" s="432">
        <f>SUM(TRANSHARI1_PULSAMALAM[NOMINAL TRANSFER])</f>
        <v>0</v>
      </c>
      <c r="U390" s="433">
        <f>0</f>
        <v>0</v>
      </c>
      <c r="V390" s="434">
        <f>COUNTA(TRANSHARI1_PULSAMALAM[[DEBIT]:[KREDIT]])</f>
        <v>20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SUM(TRANSHARI1_ROKOKPAGI[DEBIT])</f>
        <v>29500</v>
      </c>
      <c r="D391" s="431">
        <f>SUM(TRANSHARI1_ROKOKPAGI[KREDIT])</f>
        <v>0</v>
      </c>
      <c r="E391" s="432">
        <f>SUM(TRANSHARI1_ROKOKPAGI[NOMINAL TRANSFER])</f>
        <v>0</v>
      </c>
      <c r="F391" s="433">
        <f>SUM(TRANSHARI1_ROKOKPAGI[PRICE TOLERANCE])</f>
        <v>0</v>
      </c>
      <c r="G391" s="434">
        <f>C135</f>
        <v>3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SUM(TRANSHARI1_ROKOKMALAM[DEBIT])</f>
        <v>88000</v>
      </c>
      <c r="S391" s="431">
        <f>SUM(TRANSHARI1_ROKOKMALAM[KREDIT])</f>
        <v>0</v>
      </c>
      <c r="T391" s="432">
        <f>SUM(TRANSHARI1_ROKOKMALAM[NOMINAL TRANSFER])</f>
        <v>0</v>
      </c>
      <c r="U391" s="433">
        <f>SUM(TRANSHARI1_ROKOKMALAM[PRICE TOLERANCE])</f>
        <v>0</v>
      </c>
      <c r="V391" s="434">
        <f>R135</f>
        <v>7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SUM(TRANSHARI1_SPVOUPAGI[DEBIT])</f>
        <v>168000</v>
      </c>
      <c r="D392" s="431">
        <f>SUM(TRANSHARI1_SPVOUPAGI[KREDIT])</f>
        <v>0</v>
      </c>
      <c r="E392" s="432">
        <f>SUM(TRANSHARI1_SPVOUPAGI[NOMINAL TRANSFER])</f>
        <v>0</v>
      </c>
      <c r="F392" s="433">
        <f>SUM(TRANSHARI1_SPVOUPAGI[PRICE TOLERANCE])</f>
        <v>0</v>
      </c>
      <c r="G392" s="434">
        <f>C192</f>
        <v>9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SUM(TRANSHARI1_SPVOUMALAM[DEBIT])</f>
        <v>188000</v>
      </c>
      <c r="S392" s="431">
        <f>SUM(TRANSHARI1_SPVOUMALAM[KREDIT])</f>
        <v>0</v>
      </c>
      <c r="T392" s="432">
        <f>SUM(TRANSHARI1_SPVOUMALAM[NOMINAL TRANSFER])</f>
        <v>0</v>
      </c>
      <c r="U392" s="433">
        <f>SUM(TRANSHARI1_SPVOUMALAM[PRICE TOLERANCE])</f>
        <v>0</v>
      </c>
      <c r="V392" s="434">
        <f>R192</f>
        <v>10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SUM(TRANSHARI1_SOFTDRINKPAGI[DEBIT])</f>
        <v>12000</v>
      </c>
      <c r="D393" s="431">
        <f>SUM(TRANSHARI1_SOFTDRINKPAGI[KREDIT])</f>
        <v>0</v>
      </c>
      <c r="E393" s="432">
        <f>SUM(TRANSHARI1_SOFTDRINKPAGI[NOMINAL TRANSFER])</f>
        <v>0</v>
      </c>
      <c r="F393" s="433">
        <f>SUM(TRANSHARI1_SOFTDRINKPAGI[PRICE TOLERANCE])</f>
        <v>0</v>
      </c>
      <c r="G393" s="434">
        <f>C249</f>
        <v>7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SUM(TRANSHARI1_SOFTDRINKMALAM[DEBIT])</f>
        <v>11500</v>
      </c>
      <c r="S393" s="431">
        <f>SUM(TRANSHARI1_SOFTDRINKMALAM[KREDIT])</f>
        <v>0</v>
      </c>
      <c r="T393" s="432">
        <f>SUM(TRANSHARI1_SOFTDRINKMALAM[NOMINAL TRANSFER])</f>
        <v>0</v>
      </c>
      <c r="U393" s="433">
        <f>SUM(TRANSHARI1_SOFTDRINKMALAM[PRICE TOLERANCE])</f>
        <v>0</v>
      </c>
      <c r="V393" s="434">
        <f>R249</f>
        <v>4</v>
      </c>
      <c r="X393" s="490"/>
      <c r="Y393" s="581"/>
      <c r="Z393" s="490"/>
      <c r="AA393" s="581" t="s">
        <v>136</v>
      </c>
      <c r="AC393" s="636"/>
    </row>
    <row r="394" ht="20.25" customHeight="1" spans="1:29">
      <c r="A394" s="422"/>
      <c r="B394" s="429" t="s">
        <v>137</v>
      </c>
      <c r="C394" s="430">
        <f>SUM(TRANSHARI1_ICECREAMPAGI[DEBIT])</f>
        <v>18500</v>
      </c>
      <c r="D394" s="431">
        <f>SUM(TRANSHARI1_ICECREAMPAGI[KREDIT])</f>
        <v>0</v>
      </c>
      <c r="E394" s="432">
        <f>SUM(TRANSHARI1_ICECREAMPAGI[NOMINAL TRANSFER])</f>
        <v>0</v>
      </c>
      <c r="F394" s="433">
        <f>SUM(TRANSHARI1_ICECREAMPAGI[PRICE TOLERANCE])</f>
        <v>0</v>
      </c>
      <c r="G394" s="434">
        <f>C306</f>
        <v>5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SUM(TRANSHARI1_ICECREAMMALAM[DEBIT])</f>
        <v>6000</v>
      </c>
      <c r="S394" s="431">
        <f>SUM(TRANSHARI1_ICECREAMMALAM[KREDIT])</f>
        <v>0</v>
      </c>
      <c r="T394" s="432">
        <f>SUM(TRANSHARI1_ICECREAMMALAM[NOMINAL TRANSFER])</f>
        <v>0</v>
      </c>
      <c r="U394" s="433">
        <f>SUM(TRANSHARI1_ICECREAMMALAM[PRICE TOLERANCE])</f>
        <v>0</v>
      </c>
      <c r="V394" s="434">
        <f>R306</f>
        <v>3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SUM(TRANSHARI1_ACCPAGI[DEBIT])</f>
        <v>25000</v>
      </c>
      <c r="D395" s="431">
        <f>SUM(TRANSHARI1_ACCPAGI[KREDIT])</f>
        <v>0</v>
      </c>
      <c r="E395" s="432">
        <f>SUM(TRANSHARI1_ACCPAGI[NOMINAL TRANSFER])</f>
        <v>0</v>
      </c>
      <c r="F395" s="433">
        <f>SUM(TRANSHARI1_ACCPAGI[PRICE TOLERANCE])</f>
        <v>0</v>
      </c>
      <c r="G395" s="434">
        <f>C343</f>
        <v>1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SUM(TRANSHARI1_ACCMALAM[DEBIT])</f>
        <v>55000</v>
      </c>
      <c r="S395" s="431">
        <f>SUM(TRANSHARI1_ACCMALAM[KREDIT])</f>
        <v>0</v>
      </c>
      <c r="T395" s="432">
        <f>SUM(TRANSHARI1_ACCMALAM[NOMINAL TRANSFER])</f>
        <v>0</v>
      </c>
      <c r="U395" s="433">
        <f>SUM(TRANSHARI1_ACCMALAM[PRICE TOLERANCE])</f>
        <v>0</v>
      </c>
      <c r="V395" s="434">
        <f>R343</f>
        <v>3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SUM(TRANSHARI1_HYDROPAGI[DEBIT])</f>
        <v>0</v>
      </c>
      <c r="D396" s="437">
        <f>SUM(TRANSHARI1_HYDROPAGI[KREDIT])</f>
        <v>0</v>
      </c>
      <c r="E396" s="438">
        <f>SUM(TRANSHARI1_HYDROPAGI[NOMINAL TRANSFER])</f>
        <v>0</v>
      </c>
      <c r="F396" s="439">
        <f>SUM(TRANSHARI1_HYDROPAGI[PRICE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SUM(TRANSHARI1_HYDROMALAM[DEBIT])</f>
        <v>0</v>
      </c>
      <c r="S396" s="437">
        <f>SUM(TRANSHARI1_HYDROMALAM[KREDIT])</f>
        <v>0</v>
      </c>
      <c r="T396" s="438">
        <f>SUM(TRANSHARI1_HYDROMALAM[NOMINAL TRANSFER])</f>
        <v>0</v>
      </c>
      <c r="U396" s="439">
        <f>SUM(TRANSHARI1_HYDROMALAM[PRICE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567500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35</v>
      </c>
      <c r="I397" s="642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759500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47</v>
      </c>
      <c r="X397" s="643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567500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759500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 t="shared" ref="V405:V411" si="1"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si="1"/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INITIAL!O12</f>
        <v>458000</v>
      </c>
      <c r="F428" s="516"/>
      <c r="I428" s="598" t="s">
        <v>164</v>
      </c>
      <c r="J428" s="599"/>
      <c r="K428" s="600">
        <v>130000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458000</v>
      </c>
      <c r="U428" s="516"/>
      <c r="X428" s="598" t="s">
        <v>164</v>
      </c>
      <c r="Y428" s="599"/>
      <c r="Z428" s="600">
        <v>130000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167</v>
      </c>
      <c r="Y429" s="603"/>
      <c r="Z429" s="604">
        <v>24000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458000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458000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453000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458000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5000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458000</v>
      </c>
      <c r="I436" s="598"/>
      <c r="J436" s="599"/>
      <c r="K436" s="599"/>
      <c r="L436" s="617"/>
      <c r="O436" s="324"/>
      <c r="U436" s="537">
        <f>SUM(T434:U435)</f>
        <v>458000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567500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759500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567500</v>
      </c>
      <c r="E442" s="551"/>
      <c r="F442" s="552"/>
      <c r="O442" s="324"/>
      <c r="Q442" s="548" t="s">
        <v>178</v>
      </c>
      <c r="R442" s="549"/>
      <c r="S442" s="629">
        <v>760500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1000</v>
      </c>
      <c r="T444" s="560" t="str">
        <f>IF(S444=0,"BALANCE","TIDAK BALANCE")</f>
        <v>TIDAK 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BnOqHq3zc3msJJ6nDb+4aDOmV35oEcU4PnZt6EpEBIMhtP0imIIQ8Fv6hbisotAt3a8Dd8m4ZzPNH9tUC9gg5w==" saltValue="7vZVmfCKabs/3zvc5sJPog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A82:B83"/>
    <mergeCell ref="C82:J83"/>
    <mergeCell ref="K131:L132"/>
    <mergeCell ref="K133:L134"/>
    <mergeCell ref="K188:L189"/>
    <mergeCell ref="K190:L191"/>
    <mergeCell ref="A196:B197"/>
    <mergeCell ref="C196:J197"/>
    <mergeCell ref="A139:B140"/>
    <mergeCell ref="C139:J140"/>
    <mergeCell ref="A192:B193"/>
    <mergeCell ref="A135:B136"/>
    <mergeCell ref="A25:B26"/>
    <mergeCell ref="K25:L26"/>
    <mergeCell ref="C25:I26"/>
    <mergeCell ref="C79:D80"/>
    <mergeCell ref="A78:B80"/>
    <mergeCell ref="A253:B254"/>
    <mergeCell ref="C253:J254"/>
    <mergeCell ref="K302:L303"/>
    <mergeCell ref="K245:L246"/>
    <mergeCell ref="K247:L248"/>
    <mergeCell ref="A249:B250"/>
    <mergeCell ref="E384:L385"/>
    <mergeCell ref="K304:L305"/>
    <mergeCell ref="A306:B307"/>
    <mergeCell ref="A310:B311"/>
    <mergeCell ref="C310:J311"/>
    <mergeCell ref="I387:L388"/>
    <mergeCell ref="I399:L400"/>
    <mergeCell ref="B387:G388"/>
    <mergeCell ref="K339:L340"/>
    <mergeCell ref="K341:L342"/>
    <mergeCell ref="A343:B344"/>
    <mergeCell ref="A384:B385"/>
    <mergeCell ref="A347:B348"/>
    <mergeCell ref="C347:J348"/>
    <mergeCell ref="K376:L377"/>
    <mergeCell ref="K378:L379"/>
    <mergeCell ref="A380:B381"/>
    <mergeCell ref="F418:G420"/>
    <mergeCell ref="B402:G403"/>
    <mergeCell ref="I411:L412"/>
    <mergeCell ref="I424:L425"/>
    <mergeCell ref="C399:D400"/>
    <mergeCell ref="B440:C441"/>
    <mergeCell ref="B426:F427"/>
    <mergeCell ref="Q426:U427"/>
    <mergeCell ref="E428:F429"/>
    <mergeCell ref="B415:G416"/>
    <mergeCell ref="I432:L433"/>
    <mergeCell ref="B442:C443"/>
    <mergeCell ref="B438:F439"/>
    <mergeCell ref="Q438:U439"/>
    <mergeCell ref="D440:F441"/>
    <mergeCell ref="S440:U441"/>
    <mergeCell ref="D442:F443"/>
    <mergeCell ref="S442:U443"/>
    <mergeCell ref="E444:F445"/>
    <mergeCell ref="E430:F431"/>
    <mergeCell ref="P25:Q26"/>
    <mergeCell ref="Z25:AA26"/>
    <mergeCell ref="R25:X26"/>
    <mergeCell ref="P78:Q80"/>
    <mergeCell ref="R79:S80"/>
    <mergeCell ref="P82:Q83"/>
    <mergeCell ref="R82:Y83"/>
    <mergeCell ref="Z126:AA127"/>
    <mergeCell ref="Z128:AA129"/>
    <mergeCell ref="P135:Q136"/>
    <mergeCell ref="Z131:AA132"/>
    <mergeCell ref="Z133:AA134"/>
    <mergeCell ref="P139:Q140"/>
    <mergeCell ref="R139:Y140"/>
    <mergeCell ref="Z183:AA184"/>
    <mergeCell ref="Z185:AA186"/>
    <mergeCell ref="P192:Q193"/>
    <mergeCell ref="P196:Q197"/>
    <mergeCell ref="R196:Y197"/>
    <mergeCell ref="Z240:AA241"/>
    <mergeCell ref="Z242:AA243"/>
    <mergeCell ref="P249:Q250"/>
    <mergeCell ref="Z245:AA246"/>
    <mergeCell ref="Z247:AA248"/>
    <mergeCell ref="P253:Q254"/>
    <mergeCell ref="R253:Y254"/>
    <mergeCell ref="Z297:AA298"/>
    <mergeCell ref="Z299:AA300"/>
    <mergeCell ref="P306:Q307"/>
    <mergeCell ref="Z302:AA303"/>
    <mergeCell ref="Z304:AA305"/>
    <mergeCell ref="P310:Q311"/>
    <mergeCell ref="R310:Y311"/>
    <mergeCell ref="Z334:AA335"/>
    <mergeCell ref="Z336:AA337"/>
    <mergeCell ref="P343:Q344"/>
    <mergeCell ref="P347:Q348"/>
    <mergeCell ref="R347:Y348"/>
    <mergeCell ref="Z371:AA372"/>
    <mergeCell ref="Z373:AA374"/>
    <mergeCell ref="P380:Q381"/>
    <mergeCell ref="P384:Q385"/>
    <mergeCell ref="T384:AC385"/>
    <mergeCell ref="X387:AA388"/>
    <mergeCell ref="Q387:V388"/>
    <mergeCell ref="R399:S400"/>
    <mergeCell ref="X399:AA400"/>
    <mergeCell ref="Q402:V403"/>
    <mergeCell ref="X411:AA412"/>
    <mergeCell ref="Q415:V416"/>
    <mergeCell ref="U418:V420"/>
    <mergeCell ref="X424:AA425"/>
    <mergeCell ref="T428:U429"/>
    <mergeCell ref="T430:U431"/>
    <mergeCell ref="X432:AA433"/>
    <mergeCell ref="Y74:Z75"/>
    <mergeCell ref="Y76:Z77"/>
    <mergeCell ref="Z339:AA340"/>
    <mergeCell ref="Z341:AA342"/>
    <mergeCell ref="Z188:AA189"/>
    <mergeCell ref="Z190:AA191"/>
    <mergeCell ref="Z376:AA377"/>
    <mergeCell ref="Z378:AA379"/>
    <mergeCell ref="Q440:R441"/>
    <mergeCell ref="Q442:R443"/>
    <mergeCell ref="T444:U445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24:AC447"/>
  <sheetViews>
    <sheetView showGridLines="0" zoomScale="55" zoomScaleNormal="55" topLeftCell="Q406" workbookViewId="0">
      <selection activeCell="D442" sqref="D442:F443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179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180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 t="s">
        <v>181</v>
      </c>
      <c r="C28" s="312">
        <v>23000</v>
      </c>
      <c r="D28" s="313"/>
      <c r="E28" s="26"/>
      <c r="F28" s="312">
        <v>20100</v>
      </c>
      <c r="G28" s="311" t="s">
        <v>55</v>
      </c>
      <c r="H28" s="314" t="str">
        <f>IFERROR(IF(TRANSHARI2_PULSAPAGI[[#This Row],[NAMA REKENING]]="","",TRANSHARI2_PULSAPAGI[[#This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IFERROR(IF(TRANSHARI2_PULSAMALAM[[#This Row],[NAMA REKENING]]="","",TRANSHARI2_PULSAMALAM[[#This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 t="s">
        <v>182</v>
      </c>
      <c r="C29" s="312">
        <v>38000</v>
      </c>
      <c r="D29" s="313"/>
      <c r="E29" s="26"/>
      <c r="F29" s="312">
        <v>35000</v>
      </c>
      <c r="G29" s="311" t="s">
        <v>35</v>
      </c>
      <c r="H29" s="315" t="str">
        <f>IFERROR(IF(TRANSHARI2_PULSAPAGI[[#This Row],[NAMA REKENING]]="","",TRANSHARI2_PULSAPAGI[[#This Row],[DEBIT]]),"")</f>
        <v/>
      </c>
      <c r="I29" s="311"/>
      <c r="J29" s="326"/>
      <c r="K29" s="330" t="s">
        <v>27</v>
      </c>
      <c r="L29" s="331">
        <f>'HARI 1'!AA33</f>
        <v>708572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IFERROR(IF(TRANSHARI2_PULSAMALAM[[#This Row],[NAMA REKENING]]="","",TRANSHARI2_PULSAMALAM[[#This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 t="s">
        <v>183</v>
      </c>
      <c r="C30" s="312">
        <v>72500</v>
      </c>
      <c r="D30" s="313"/>
      <c r="E30" s="26"/>
      <c r="F30" s="312">
        <v>70470</v>
      </c>
      <c r="G30" s="311" t="s">
        <v>24</v>
      </c>
      <c r="H30" s="314" t="str">
        <f>IFERROR(IF(TRANSHARI2_PULSAPAGI[[#This Row],[NAMA REKENING]]="","",TRANSHARI2_PULSAPAGI[[#This Row],[DEBIT]]),"")</f>
        <v/>
      </c>
      <c r="I30" s="311"/>
      <c r="J30" s="326"/>
      <c r="K30" s="332" t="s">
        <v>30</v>
      </c>
      <c r="L30" s="333">
        <f>SUMIF(TRANSHARI2_PULSAPAGI[APLIKASI],K28,TRANSHARI2_PULSAPAGI[SALDO MINUS])</f>
        <v>179880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IFERROR(IF(TRANSHARI2_PULSAMALAM[[#This Row],[NAMA REKENING]]="","",TRANSHARI2_PULSAMALAM[[#This Row],[DEBIT]]),"")</f>
        <v/>
      </c>
      <c r="X30" s="311"/>
      <c r="Y30" s="326"/>
      <c r="Z30" s="332" t="s">
        <v>30</v>
      </c>
      <c r="AA30" s="333">
        <f>SUMIF(TRANSHARI2_PULSAMALAM[APLIKASI],Z28,TRANSHARI2_PULSAMALAM[SALDO MINUS])</f>
        <v>0</v>
      </c>
    </row>
    <row r="31" ht="18" spans="1:27">
      <c r="A31" s="311">
        <v>4</v>
      </c>
      <c r="B31" s="311" t="s">
        <v>184</v>
      </c>
      <c r="C31" s="312">
        <v>102000</v>
      </c>
      <c r="D31" s="313"/>
      <c r="E31" s="26"/>
      <c r="F31" s="312">
        <v>98940</v>
      </c>
      <c r="G31" s="311" t="s">
        <v>24</v>
      </c>
      <c r="H31" s="315" t="str">
        <f>IFERROR(IF(TRANSHARI2_PULSAPAGI[[#This Row],[NAMA REKENING]]="","",TRANSHARI2_PULSAPAGI[[#This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IFERROR(IF(TRANSHARI2_PULSAMALAM[[#This Row],[NAMA REKENING]]="","",TRANSHARI2_PULSAMALAM[[#This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 t="s">
        <v>185</v>
      </c>
      <c r="C32" s="312">
        <v>12500</v>
      </c>
      <c r="D32" s="313"/>
      <c r="E32" s="26"/>
      <c r="F32" s="312">
        <v>10470</v>
      </c>
      <c r="G32" s="311" t="s">
        <v>24</v>
      </c>
      <c r="H32" s="314" t="str">
        <f>IFERROR(IF(TRANSHARI2_PULSAPAGI[[#This Row],[NAMA REKENING]]="","",TRANSHARI2_PULSAPAGI[[#This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IFERROR(IF(TRANSHARI2_PULSAMALAM[[#This Row],[NAMA REKENING]]="","",TRANSHARI2_PULSAMALAM[[#This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 t="s">
        <v>186</v>
      </c>
      <c r="C33" s="312">
        <v>13000</v>
      </c>
      <c r="D33" s="313"/>
      <c r="E33" s="26"/>
      <c r="F33" s="312">
        <v>10499</v>
      </c>
      <c r="G33" s="311" t="s">
        <v>35</v>
      </c>
      <c r="H33" s="315" t="str">
        <f>IFERROR(IF(TRANSHARI2_PULSAPAGI[[#This Row],[NAMA REKENING]]="","",TRANSHARI2_PULSAPAGI[[#This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IFERROR(IF(TRANSHARI2_PULSAMALAM[[#This Row],[NAMA REKENING]]="","",TRANSHARI2_PULSAMALAM[[#This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 t="s">
        <v>187</v>
      </c>
      <c r="C34" s="312">
        <v>24000</v>
      </c>
      <c r="D34" s="313"/>
      <c r="E34" s="26"/>
      <c r="F34" s="312">
        <v>21900</v>
      </c>
      <c r="G34" s="311" t="s">
        <v>35</v>
      </c>
      <c r="H34" s="314" t="str">
        <f>IFERROR(IF(TRANSHARI2_PULSAPAGI[[#This Row],[NAMA REKENING]]="","",TRANSHARI2_PULSAPAGI[[#This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IFERROR(IF(TRANSHARI2_PULSAMALAM[[#This Row],[NAMA REKENING]]="","",TRANSHARI2_PULSAMALAM[[#This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IFERROR(IF(TRANSHARI2_PULSAPAGI[[#This Row],[NAMA REKENING]]="","",TRANSHARI2_PULSAPAGI[[#This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IFERROR(IF(TRANSHARI2_PULSAMALAM[[#This Row],[NAMA REKENING]]="","",TRANSHARI2_PULSAMALAM[[#This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IFERROR(IF(TRANSHARI2_PULSAPAGI[[#This Row],[NAMA REKENING]]="","",TRANSHARI2_PULSAPAGI[[#This Row],[DEBIT]]),"")</f>
        <v/>
      </c>
      <c r="I36" s="311"/>
      <c r="J36" s="326"/>
      <c r="K36" s="330" t="s">
        <v>27</v>
      </c>
      <c r="L36" s="331">
        <f>'HARI 1'!AA40</f>
        <v>367462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IFERROR(IF(TRANSHARI2_PULSAMALAM[[#This Row],[NAMA REKENING]]="","",TRANSHARI2_PULSAMALAM[[#This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IFERROR(IF(TRANSHARI2_PULSAPAGI[[#This Row],[NAMA REKENING]]="","",TRANSHARI2_PULSAPAGI[[#This Row],[DEBIT]]),"")</f>
        <v/>
      </c>
      <c r="I37" s="311"/>
      <c r="J37" s="326"/>
      <c r="K37" s="332" t="s">
        <v>30</v>
      </c>
      <c r="L37" s="333">
        <f>SUMIF(TRANSHARI2_PULSAPAGI[APLIKASI],K35,TRANSHARI2_PULSAPAGI[SALDO MINUS])</f>
        <v>67399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IFERROR(IF(TRANSHARI2_PULSAMALAM[[#This Row],[NAMA REKENING]]="","",TRANSHARI2_PULSAMALAM[[#This Row],[DEBIT]]),"")</f>
        <v/>
      </c>
      <c r="X37" s="311"/>
      <c r="Y37" s="326"/>
      <c r="Z37" s="332" t="s">
        <v>30</v>
      </c>
      <c r="AA37" s="333">
        <f>SUMIF(TRANSHARI2_PULSAMALAM[APLIKASI],Z35,TRANSHARI2_PULSAMALAM[SALDO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IFERROR(IF(TRANSHARI2_PULSAPAGI[[#This Row],[NAMA REKENING]]="","",TRANSHARI2_PULSAPAGI[[#This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IFERROR(IF(TRANSHARI2_PULSAMALAM[[#This Row],[NAMA REKENING]]="","",TRANSHARI2_PULSAMALAM[[#This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IFERROR(IF(TRANSHARI2_PULSAPAGI[[#This Row],[NAMA REKENING]]="","",TRANSHARI2_PULSAPAGI[[#This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IFERROR(IF(TRANSHARI2_PULSAMALAM[[#This Row],[NAMA REKENING]]="","",TRANSHARI2_PULSAMALAM[[#This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IFERROR(IF(TRANSHARI2_PULSAPAGI[[#This Row],[NAMA REKENING]]="","",TRANSHARI2_PULSAPAGI[[#This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IFERROR(IF(TRANSHARI2_PULSAMALAM[[#This Row],[NAMA REKENING]]="","",TRANSHARI2_PULSAMALAM[[#This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IFERROR(IF(TRANSHARI2_PULSAPAGI[[#This Row],[NAMA REKENING]]="","",TRANSHARI2_PULSAPAGI[[#This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IFERROR(IF(TRANSHARI2_PULSAMALAM[[#This Row],[NAMA REKENING]]="","",TRANSHARI2_PULSAMALAM[[#This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IFERROR(IF(TRANSHARI2_PULSAPAGI[[#This Row],[NAMA REKENING]]="","",TRANSHARI2_PULSAPAGI[[#This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IFERROR(IF(TRANSHARI2_PULSAMALAM[[#This Row],[NAMA REKENING]]="","",TRANSHARI2_PULSAMALAM[[#This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IFERROR(IF(TRANSHARI2_PULSAPAGI[[#This Row],[NAMA REKENING]]="","",TRANSHARI2_PULSAPAGI[[#This Row],[DEBIT]]),"")</f>
        <v/>
      </c>
      <c r="I43" s="311"/>
      <c r="J43" s="326"/>
      <c r="K43" s="330" t="s">
        <v>27</v>
      </c>
      <c r="L43" s="331">
        <f>'HARI 1'!AA47</f>
        <v>126750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IFERROR(IF(TRANSHARI2_PULSAMALAM[[#This Row],[NAMA REKENING]]="","",TRANSHARI2_PULSAMALAM[[#This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IFERROR(IF(TRANSHARI2_PULSAPAGI[[#This Row],[NAMA REKENING]]="","",TRANSHARI2_PULSAPAGI[[#This Row],[DEBIT]]),"")</f>
        <v/>
      </c>
      <c r="I44" s="311"/>
      <c r="J44" s="326"/>
      <c r="K44" s="332" t="s">
        <v>30</v>
      </c>
      <c r="L44" s="333">
        <f>SUMIF(TRANSHARI2_PULSAPAGI[APLIKASI],K42,TRANSHARI2_PULSAPAGI[SALDO MINUS])</f>
        <v>20100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IFERROR(IF(TRANSHARI2_PULSAMALAM[[#This Row],[NAMA REKENING]]="","",TRANSHARI2_PULSAMALAM[[#This Row],[DEBIT]]),"")</f>
        <v/>
      </c>
      <c r="X44" s="311"/>
      <c r="Y44" s="326"/>
      <c r="Z44" s="332" t="s">
        <v>30</v>
      </c>
      <c r="AA44" s="333">
        <f>SUMIF(TRANSHARI2_PULSAMALAM[APLIKASI],Z42,TRANSHARI2_PULSAMALAM[SALDO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IFERROR(IF(TRANSHARI2_PULSAPAGI[[#This Row],[NAMA REKENING]]="","",TRANSHARI2_PULSAPAGI[[#This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IFERROR(IF(TRANSHARI2_PULSAMALAM[[#This Row],[NAMA REKENING]]="","",TRANSHARI2_PULSAMALAM[[#This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IFERROR(IF(TRANSHARI2_PULSAPAGI[[#This Row],[NAMA REKENING]]="","",TRANSHARI2_PULSAPAGI[[#This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IFERROR(IF(TRANSHARI2_PULSAMALAM[[#This Row],[NAMA REKENING]]="","",TRANSHARI2_PULSAMALAM[[#This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IFERROR(IF(TRANSHARI2_PULSAPAGI[[#This Row],[NAMA REKENING]]="","",TRANSHARI2_PULSAPAGI[[#This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IFERROR(IF(TRANSHARI2_PULSAMALAM[[#This Row],[NAMA REKENING]]="","",TRANSHARI2_PULSAMALAM[[#This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IFERROR(IF(TRANSHARI2_PULSAPAGI[[#This Row],[NAMA REKENING]]="","",TRANSHARI2_PULSAPAGI[[#This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IFERROR(IF(TRANSHARI2_PULSAMALAM[[#This Row],[NAMA REKENING]]="","",TRANSHARI2_PULSAMALAM[[#This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IFERROR(IF(TRANSHARI2_PULSAPAGI[[#This Row],[NAMA REKENING]]="","",TRANSHARI2_PULSAPAGI[[#This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IFERROR(IF(TRANSHARI2_PULSAMALAM[[#This Row],[NAMA REKENING]]="","",TRANSHARI2_PULSAMALAM[[#This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IFERROR(IF(TRANSHARI2_PULSAPAGI[[#This Row],[NAMA REKENING]]="","",TRANSHARI2_PULSAPAGI[[#This Row],[DEBIT]]),"")</f>
        <v/>
      </c>
      <c r="I50" s="311"/>
      <c r="J50" s="326"/>
      <c r="K50" s="330" t="s">
        <v>27</v>
      </c>
      <c r="L50" s="331">
        <f>'HARI 1'!AA54</f>
        <v>26606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IFERROR(IF(TRANSHARI2_PULSAMALAM[[#This Row],[NAMA REKENING]]="","",TRANSHARI2_PULSAMALAM[[#This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IFERROR(IF(TRANSHARI2_PULSAPAGI[[#This Row],[NAMA REKENING]]="","",TRANSHARI2_PULSAPAGI[[#This Row],[DEBIT]]),"")</f>
        <v/>
      </c>
      <c r="I51" s="311"/>
      <c r="J51" s="326"/>
      <c r="K51" s="332" t="s">
        <v>30</v>
      </c>
      <c r="L51" s="333">
        <f>SUMIF(TRANSHARI2_PULSAPAGI[APLIKASI],K49,TRANSHARI2_PULSAPAGI[SALDO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IFERROR(IF(TRANSHARI2_PULSAMALAM[[#This Row],[NAMA REKENING]]="","",TRANSHARI2_PULSAMALAM[[#This Row],[DEBIT]]),"")</f>
        <v/>
      </c>
      <c r="X51" s="311"/>
      <c r="Y51" s="326"/>
      <c r="Z51" s="332" t="s">
        <v>30</v>
      </c>
      <c r="AA51" s="333">
        <f>SUMIF(TRANSHARI2_PULSAMALAM[APLIKASI],Z49,TRANSHARI2_PULSAMALAM[SALDO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IFERROR(IF(TRANSHARI2_PULSAPAGI[[#This Row],[NAMA REKENING]]="","",TRANSHARI2_PULSAPAGI[[#This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IFERROR(IF(TRANSHARI2_PULSAMALAM[[#This Row],[NAMA REKENING]]="","",TRANSHARI2_PULSAMALAM[[#This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IFERROR(IF(TRANSHARI2_PULSAPAGI[[#This Row],[NAMA REKENING]]="","",TRANSHARI2_PULSAPAGI[[#This Row],[DEBIT]]),"")</f>
        <v/>
      </c>
      <c r="I53" s="311"/>
      <c r="J53" s="326"/>
      <c r="K53" s="334" t="s">
        <v>51</v>
      </c>
      <c r="L53" s="335">
        <v>5060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IFERROR(IF(TRANSHARI2_PULSAMALAM[[#This Row],[NAMA REKENING]]="","",TRANSHARI2_PULSAMALAM[[#This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IFERROR(IF(TRANSHARI2_PULSAPAGI[[#This Row],[NAMA REKENING]]="","",TRANSHARI2_PULSAPAGI[[#This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IFERROR(IF(TRANSHARI2_PULSAMALAM[[#This Row],[NAMA REKENING]]="","",TRANSHARI2_PULSAMALAM[[#This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IFERROR(IF(TRANSHARI2_PULSAPAGI[[#This Row],[NAMA REKENING]]="","",TRANSHARI2_PULSAPAGI[[#This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IFERROR(IF(TRANSHARI2_PULSAMALAM[[#This Row],[NAMA REKENING]]="","",TRANSHARI2_PULSAMALAM[[#This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IFERROR(IF(TRANSHARI2_PULSAPAGI[[#This Row],[NAMA REKENING]]="","",TRANSHARI2_PULSAPAGI[[#This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IFERROR(IF(TRANSHARI2_PULSAMALAM[[#This Row],[NAMA REKENING]]="","",TRANSHARI2_PULSAMALAM[[#This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IFERROR(IF(TRANSHARI2_PULSAPAGI[[#This Row],[NAMA REKENING]]="","",TRANSHARI2_PULSAPAGI[[#This Row],[DEBIT]]),"")</f>
        <v/>
      </c>
      <c r="I57" s="311"/>
      <c r="J57" s="326"/>
      <c r="K57" s="330" t="s">
        <v>27</v>
      </c>
      <c r="L57" s="331">
        <f>'HARI 1'!AA61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IFERROR(IF(TRANSHARI2_PULSAMALAM[[#This Row],[NAMA REKENING]]="","",TRANSHARI2_PULSAMALAM[[#This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IFERROR(IF(TRANSHARI2_PULSAPAGI[[#This Row],[NAMA REKENING]]="","",TRANSHARI2_PULSAPAGI[[#This Row],[DEBIT]]),"")</f>
        <v/>
      </c>
      <c r="I58" s="311"/>
      <c r="J58" s="326"/>
      <c r="K58" s="332" t="s">
        <v>30</v>
      </c>
      <c r="L58" s="333">
        <f>SUMIF(TRANSHARI2_PULSAPAGI[APLIKASI],K56,TRANSHARI2_PULSAPAGI[SALDO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IFERROR(IF(TRANSHARI2_PULSAMALAM[[#This Row],[NAMA REKENING]]="","",TRANSHARI2_PULSAMALAM[[#This Row],[DEBIT]]),"")</f>
        <v/>
      </c>
      <c r="X58" s="311"/>
      <c r="Y58" s="326"/>
      <c r="Z58" s="332" t="s">
        <v>30</v>
      </c>
      <c r="AA58" s="333">
        <f>SUMIF(TRANSHARI2_PULSAMALAM[APLIKASI],Z56,TRANSHARI2_PULSAMALAM[SALDO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IFERROR(IF(TRANSHARI2_PULSAPAGI[[#This Row],[NAMA REKENING]]="","",TRANSHARI2_PULSAPAGI[[#This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IFERROR(IF(TRANSHARI2_PULSAMALAM[[#This Row],[NAMA REKENING]]="","",TRANSHARI2_PULSAMALAM[[#This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IFERROR(IF(TRANSHARI2_PULSAPAGI[[#This Row],[NAMA REKENING]]="","",TRANSHARI2_PULSAPAGI[[#This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IFERROR(IF(TRANSHARI2_PULSAMALAM[[#This Row],[NAMA REKENING]]="","",TRANSHARI2_PULSAMALAM[[#This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IFERROR(IF(TRANSHARI2_PULSAPAGI[[#This Row],[NAMA REKENING]]="","",TRANSHARI2_PULSAPAGI[[#This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IFERROR(IF(TRANSHARI2_PULSAMALAM[[#This Row],[NAMA REKENING]]="","",TRANSHARI2_PULSAMALAM[[#This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IFERROR(IF(TRANSHARI2_PULSAPAGI[[#This Row],[NAMA REKENING]]="","",TRANSHARI2_PULSAPAGI[[#This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IFERROR(IF(TRANSHARI2_PULSAMALAM[[#This Row],[NAMA REKENING]]="","",TRANSHARI2_PULSAMALAM[[#This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IFERROR(IF(TRANSHARI2_PULSAPAGI[[#This Row],[NAMA REKENING]]="","",TRANSHARI2_PULSAPAGI[[#This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IFERROR(IF(TRANSHARI2_PULSAMALAM[[#This Row],[NAMA REKENING]]="","",TRANSHARI2_PULSAMALAM[[#This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IFERROR(IF(TRANSHARI2_PULSAPAGI[[#This Row],[NAMA REKENING]]="","",TRANSHARI2_PULSAPAGI[[#This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IFERROR(IF(TRANSHARI2_PULSAMALAM[[#This Row],[NAMA REKENING]]="","",TRANSHARI2_PULSAMALAM[[#This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IFERROR(IF(TRANSHARI2_PULSAPAGI[[#This Row],[NAMA REKENING]]="","",TRANSHARI2_PULSAPAGI[[#This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IFERROR(IF(TRANSHARI2_PULSAMALAM[[#This Row],[NAMA REKENING]]="","",TRANSHARI2_PULSAMALAM[[#This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IFERROR(IF(TRANSHARI2_PULSAPAGI[[#This Row],[NAMA REKENING]]="","",TRANSHARI2_PULSAPAGI[[#This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IFERROR(IF(TRANSHARI2_PULSAMALAM[[#This Row],[NAMA REKENING]]="","",TRANSHARI2_PULSAMALAM[[#This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IFERROR(IF(TRANSHARI2_PULSAPAGI[[#This Row],[NAMA REKENING]]="","",TRANSHARI2_PULSAPAGI[[#This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IFERROR(IF(TRANSHARI2_PULSAMALAM[[#This Row],[NAMA REKENING]]="","",TRANSHARI2_PULSAMALAM[[#This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IFERROR(IF(TRANSHARI2_PULSAPAGI[[#This Row],[NAMA REKENING]]="","",TRANSHARI2_PULSAPAGI[[#This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IFERROR(IF(TRANSHARI2_PULSAMALAM[[#This Row],[NAMA REKENING]]="","",TRANSHARI2_PULSAMALAM[[#This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IFERROR(IF(TRANSHARI2_PULSAPAGI[[#This Row],[NAMA REKENING]]="","",TRANSHARI2_PULSAPAGI[[#This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IFERROR(IF(TRANSHARI2_PULSAMALAM[[#This Row],[NAMA REKENING]]="","",TRANSHARI2_PULSAMALAM[[#This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IFERROR(IF(TRANSHARI2_PULSAPAGI[[#This Row],[NAMA REKENING]]="","",TRANSHARI2_PULSAPAGI[[#This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IFERROR(IF(TRANSHARI2_PULSAMALAM[[#This Row],[NAMA REKENING]]="","",TRANSHARI2_PULSAMALAM[[#This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IFERROR(IF(TRANSHARI2_PULSAPAGI[[#This Row],[NAMA REKENING]]="","",TRANSHARI2_PULSAPAGI[[#This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IFERROR(IF(TRANSHARI2_PULSAMALAM[[#This Row],[NAMA REKENING]]="","",TRANSHARI2_PULSAMALAM[[#This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IFERROR(IF(TRANSHARI2_PULSAPAGI[[#This Row],[NAMA REKENING]]="","",TRANSHARI2_PULSAPAGI[[#This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IFERROR(IF(TRANSHARI2_PULSAMALAM[[#This Row],[NAMA REKENING]]="","",TRANSHARI2_PULSAMALAM[[#This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IFERROR(IF(TRANSHARI2_PULSAPAGI[[#This Row],[NAMA REKENING]]="","",TRANSHARI2_PULSAPAGI[[#This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IFERROR(IF(TRANSHARI2_PULSAMALAM[[#This Row],[NAMA REKENING]]="","",TRANSHARI2_PULSAMALAM[[#This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IFERROR(IF(TRANSHARI2_PULSAPAGI[[#This Row],[NAMA REKENING]]="","",TRANSHARI2_PULSAPAGI[[#This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IFERROR(IF(TRANSHARI2_PULSAMALAM[[#This Row],[NAMA REKENING]]="","",TRANSHARI2_PULSAMALAM[[#This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IFERROR(IF(TRANSHARI2_PULSAPAGI[[#This Row],[NAMA REKENING]]="","",TRANSHARI2_PULSAPAGI[[#This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IFERROR(IF(TRANSHARI2_PULSAMALAM[[#This Row],[NAMA REKENING]]="","",TRANSHARI2_PULSAMALAM[[#This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IFERROR(IF(TRANSHARI2_PULSAPAGI[[#This Row],[NAMA REKENING]]="","",TRANSHARI2_PULSAPAGI[[#This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IFERROR(IF(TRANSHARI2_PULSAMALAM[[#This Row],[NAMA REKENING]]="","",TRANSHARI2_PULSAMALAM[[#This Row],[DEBIT]]),"")</f>
        <v/>
      </c>
      <c r="X76" s="311"/>
      <c r="Y76" s="389">
        <f>C79+R79</f>
        <v>285000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IFERROR(IF(TRANSHARI2_PULSAPAGI[[#This Row],[NAMA REKENING]]="","",TRANSHARI2_PULSAPAGI[[#This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IFERROR(IF(TRANSHARI2_PULSAMALAM[[#This Row],[NAMA REKENING]]="","",TRANSHARI2_PULSAMALAM[[#This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SUM(TRANSHARI2_PULSAPAGI[DEBIT])</f>
        <v>285000</v>
      </c>
      <c r="D78" s="353">
        <f>SUM(TRANSHARI2_PULSAPAGI[KREDIT])</f>
        <v>0</v>
      </c>
      <c r="E78" s="167"/>
      <c r="F78" s="354">
        <f>SUM(TRANSHARI2_PULSAPAGI[SALDO MINUS])</f>
        <v>267379</v>
      </c>
      <c r="G78" s="167"/>
      <c r="H78" s="355">
        <f>SUM(TRANSHARI2_PULSAPAGI[NOMINAL TRANSFER])</f>
        <v>0</v>
      </c>
      <c r="I78" s="167"/>
      <c r="O78" s="324"/>
      <c r="P78" s="379" t="s">
        <v>64</v>
      </c>
      <c r="Q78" s="352"/>
      <c r="R78" s="353">
        <f>SUM(TRANSHARI2_PULSAMALAM[DEBIT])</f>
        <v>0</v>
      </c>
      <c r="S78" s="353">
        <f>SUM(TRANSHARI2_PULSAMALAM[KREDIT])</f>
        <v>0</v>
      </c>
      <c r="T78" s="167"/>
      <c r="U78" s="354">
        <f>SUM(TRANSHARI2_PULSAMALAM[SALDO MINUS])</f>
        <v>0</v>
      </c>
      <c r="V78" s="167"/>
      <c r="W78" s="355">
        <f>SUM(TRANSHARI2_PULSAMALAM[NOMINAL TRANSFER])</f>
        <v>0</v>
      </c>
      <c r="X78" s="167"/>
    </row>
    <row r="79" ht="15" customHeight="1" spans="1:24">
      <c r="A79" s="356"/>
      <c r="B79" s="357"/>
      <c r="C79" s="358">
        <f>C78+D78</f>
        <v>285000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">
        <v>179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">
        <v>180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 t="s">
        <v>188</v>
      </c>
      <c r="C85" s="368">
        <v>2</v>
      </c>
      <c r="D85" s="369">
        <f>IFERROR(VLOOKUP(TRANSHARI2_ROKOKPAGI[[#This Row],[PRODUK]],DATA_ROKOK[],4,FALSE),"")</f>
        <v>38000</v>
      </c>
      <c r="E85" s="370"/>
      <c r="F85" s="369">
        <f>IFERROR(IF(TRANSHARI2_ROKOKPAGI[[#This Row],[NAMA PENGHUTANG]]="",((TRANSHARI2_ROKOKPAGI[[#This Row],[HARGA]]*TRANSHARI2_ROKOKPAGI[[#This Row],[QUANTITY]])+TRANSHARI2_ROKOKPAGI[[#This Row],[PRICE TOLERANCE]]),""),"")</f>
        <v>76000</v>
      </c>
      <c r="G85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85" s="371"/>
      <c r="I85" s="384" t="str">
        <f>IFERROR(IF(TRANSHARI2_ROKOKPAGI[[#This Row],[NAMA REKENING]]="","",TRANSHARI2_ROKOKPAGI[[#This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IFERROR(VLOOKUP(TRANSHARI2_ROKOKMALAM[[#This Row],[PRODUK]],DATA_ROKOK[],4,FALSE),"")</f>
        <v/>
      </c>
      <c r="T85" s="370"/>
      <c r="U85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85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85" s="371"/>
      <c r="X85" s="384" t="str">
        <f>IFERROR(IF(TRANSHARI2_ROKOKMALAM[[#This Row],[NAMA REKENING]]="","",TRANSHARI2_ROKOKMALAM[[#This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IFERROR(VLOOKUP(TRANSHARI2_ROKOKPAGI[[#This Row],[PRODUK]],DATA_ROKOK[],4,FALSE),"")</f>
        <v/>
      </c>
      <c r="E86" s="374"/>
      <c r="F86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86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86" s="12"/>
      <c r="I86" s="386" t="str">
        <f>IFERROR(IF(TRANSHARI2_ROKOKPAGI[[#This Row],[NAMA REKENING]]="","",TRANSHARI2_ROKOKPAGI[[#This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IFERROR(VLOOKUP(TRANSHARI2_ROKOKMALAM[[#This Row],[PRODUK]],DATA_ROKOK[],4,FALSE),"")</f>
        <v/>
      </c>
      <c r="T86" s="374"/>
      <c r="U86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86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86" s="12"/>
      <c r="X86" s="386" t="str">
        <f>IFERROR(IF(TRANSHARI2_ROKOKMALAM[[#This Row],[NAMA REKENING]]="","",TRANSHARI2_ROKOKMALAM[[#This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IFERROR(VLOOKUP(TRANSHARI2_ROKOKPAGI[[#This Row],[PRODUK]],DATA_ROKOK[],4,FALSE),"")</f>
        <v/>
      </c>
      <c r="E87" s="374"/>
      <c r="F87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87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87" s="12"/>
      <c r="I87" s="384" t="str">
        <f>IFERROR(IF(TRANSHARI2_ROKOKPAGI[[#This Row],[NAMA REKENING]]="","",TRANSHARI2_ROKOKPAGI[[#This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IFERROR(VLOOKUP(TRANSHARI2_ROKOKMALAM[[#This Row],[PRODUK]],DATA_ROKOK[],4,FALSE),"")</f>
        <v/>
      </c>
      <c r="T87" s="374"/>
      <c r="U87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87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87" s="12"/>
      <c r="X87" s="384" t="str">
        <f>IFERROR(IF(TRANSHARI2_ROKOKMALAM[[#This Row],[NAMA REKENING]]="","",TRANSHARI2_ROKOKMALAM[[#This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IFERROR(VLOOKUP(TRANSHARI2_ROKOKPAGI[[#This Row],[PRODUK]],DATA_ROKOK[],4,FALSE),"")</f>
        <v/>
      </c>
      <c r="E88" s="374"/>
      <c r="F88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88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88" s="12"/>
      <c r="I88" s="386" t="str">
        <f>IFERROR(IF(TRANSHARI2_ROKOKPAGI[[#This Row],[NAMA REKENING]]="","",TRANSHARI2_ROKOKPAGI[[#This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IFERROR(VLOOKUP(TRANSHARI2_ROKOKMALAM[[#This Row],[PRODUK]],DATA_ROKOK[],4,FALSE),"")</f>
        <v/>
      </c>
      <c r="T88" s="374"/>
      <c r="U88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88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88" s="12"/>
      <c r="X88" s="386" t="str">
        <f>IFERROR(IF(TRANSHARI2_ROKOKMALAM[[#This Row],[NAMA REKENING]]="","",TRANSHARI2_ROKOKMALAM[[#This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IFERROR(VLOOKUP(TRANSHARI2_ROKOKPAGI[[#This Row],[PRODUK]],DATA_ROKOK[],4,FALSE),"")</f>
        <v/>
      </c>
      <c r="E89" s="374"/>
      <c r="F89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89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89" s="12"/>
      <c r="I89" s="384" t="str">
        <f>IFERROR(IF(TRANSHARI2_ROKOKPAGI[[#This Row],[NAMA REKENING]]="","",TRANSHARI2_ROKOKPAGI[[#This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IFERROR(VLOOKUP(TRANSHARI2_ROKOKMALAM[[#This Row],[PRODUK]],DATA_ROKOK[],4,FALSE),"")</f>
        <v/>
      </c>
      <c r="T89" s="374"/>
      <c r="U89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89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89" s="12"/>
      <c r="X89" s="384" t="str">
        <f>IFERROR(IF(TRANSHARI2_ROKOKMALAM[[#This Row],[NAMA REKENING]]="","",TRANSHARI2_ROKOKMALAM[[#This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IFERROR(VLOOKUP(TRANSHARI2_ROKOKPAGI[[#This Row],[PRODUK]],DATA_ROKOK[],4,FALSE),"")</f>
        <v/>
      </c>
      <c r="E90" s="374"/>
      <c r="F90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0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0" s="12"/>
      <c r="I90" s="386" t="str">
        <f>IFERROR(IF(TRANSHARI2_ROKOKPAGI[[#This Row],[NAMA REKENING]]="","",TRANSHARI2_ROKOKPAGI[[#This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IFERROR(VLOOKUP(TRANSHARI2_ROKOKMALAM[[#This Row],[PRODUK]],DATA_ROKOK[],4,FALSE),"")</f>
        <v/>
      </c>
      <c r="T90" s="374"/>
      <c r="U90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0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0" s="12"/>
      <c r="X90" s="386" t="str">
        <f>IFERROR(IF(TRANSHARI2_ROKOKMALAM[[#This Row],[NAMA REKENING]]="","",TRANSHARI2_ROKOKMALAM[[#This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IFERROR(VLOOKUP(TRANSHARI2_ROKOKPAGI[[#This Row],[PRODUK]],DATA_ROKOK[],4,FALSE),"")</f>
        <v/>
      </c>
      <c r="E91" s="374"/>
      <c r="F91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1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1" s="12"/>
      <c r="I91" s="384" t="str">
        <f>IFERROR(IF(TRANSHARI2_ROKOKPAGI[[#This Row],[NAMA REKENING]]="","",TRANSHARI2_ROKOKPAGI[[#This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IFERROR(VLOOKUP(TRANSHARI2_ROKOKMALAM[[#This Row],[PRODUK]],DATA_ROKOK[],4,FALSE),"")</f>
        <v/>
      </c>
      <c r="T91" s="374"/>
      <c r="U91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1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1" s="12"/>
      <c r="X91" s="384" t="str">
        <f>IFERROR(IF(TRANSHARI2_ROKOKMALAM[[#This Row],[NAMA REKENING]]="","",TRANSHARI2_ROKOKMALAM[[#This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IFERROR(VLOOKUP(TRANSHARI2_ROKOKPAGI[[#This Row],[PRODUK]],DATA_ROKOK[],4,FALSE),"")</f>
        <v/>
      </c>
      <c r="E92" s="374"/>
      <c r="F92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2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2" s="12"/>
      <c r="I92" s="386" t="str">
        <f>IFERROR(IF(TRANSHARI2_ROKOKPAGI[[#This Row],[NAMA REKENING]]="","",TRANSHARI2_ROKOKPAGI[[#This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IFERROR(VLOOKUP(TRANSHARI2_ROKOKMALAM[[#This Row],[PRODUK]],DATA_ROKOK[],4,FALSE),"")</f>
        <v/>
      </c>
      <c r="T92" s="374"/>
      <c r="U92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2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2" s="12"/>
      <c r="X92" s="386" t="str">
        <f>IFERROR(IF(TRANSHARI2_ROKOKMALAM[[#This Row],[NAMA REKENING]]="","",TRANSHARI2_ROKOKMALAM[[#This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IFERROR(VLOOKUP(TRANSHARI2_ROKOKPAGI[[#This Row],[PRODUK]],DATA_ROKOK[],4,FALSE),"")</f>
        <v/>
      </c>
      <c r="E93" s="374"/>
      <c r="F93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3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3" s="12"/>
      <c r="I93" s="384" t="str">
        <f>IFERROR(IF(TRANSHARI2_ROKOKPAGI[[#This Row],[NAMA REKENING]]="","",TRANSHARI2_ROKOKPAGI[[#This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IFERROR(VLOOKUP(TRANSHARI2_ROKOKMALAM[[#This Row],[PRODUK]],DATA_ROKOK[],4,FALSE),"")</f>
        <v/>
      </c>
      <c r="T93" s="374"/>
      <c r="U93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3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3" s="12"/>
      <c r="X93" s="384" t="str">
        <f>IFERROR(IF(TRANSHARI2_ROKOKMALAM[[#This Row],[NAMA REKENING]]="","",TRANSHARI2_ROKOKMALAM[[#This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IFERROR(VLOOKUP(TRANSHARI2_ROKOKPAGI[[#This Row],[PRODUK]],DATA_ROKOK[],4,FALSE),"")</f>
        <v/>
      </c>
      <c r="E94" s="374"/>
      <c r="F94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4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4" s="12"/>
      <c r="I94" s="386" t="str">
        <f>IFERROR(IF(TRANSHARI2_ROKOKPAGI[[#This Row],[NAMA REKENING]]="","",TRANSHARI2_ROKOKPAGI[[#This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IFERROR(VLOOKUP(TRANSHARI2_ROKOKMALAM[[#This Row],[PRODUK]],DATA_ROKOK[],4,FALSE),"")</f>
        <v/>
      </c>
      <c r="T94" s="374"/>
      <c r="U94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4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4" s="12"/>
      <c r="X94" s="386" t="str">
        <f>IFERROR(IF(TRANSHARI2_ROKOKMALAM[[#This Row],[NAMA REKENING]]="","",TRANSHARI2_ROKOKMALAM[[#This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IFERROR(VLOOKUP(TRANSHARI2_ROKOKPAGI[[#This Row],[PRODUK]],DATA_ROKOK[],4,FALSE),"")</f>
        <v/>
      </c>
      <c r="E95" s="374"/>
      <c r="F95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5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5" s="12"/>
      <c r="I95" s="384" t="str">
        <f>IFERROR(IF(TRANSHARI2_ROKOKPAGI[[#This Row],[NAMA REKENING]]="","",TRANSHARI2_ROKOKPAGI[[#This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IFERROR(VLOOKUP(TRANSHARI2_ROKOKMALAM[[#This Row],[PRODUK]],DATA_ROKOK[],4,FALSE),"")</f>
        <v/>
      </c>
      <c r="T95" s="374"/>
      <c r="U95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5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5" s="12"/>
      <c r="X95" s="384" t="str">
        <f>IFERROR(IF(TRANSHARI2_ROKOKMALAM[[#This Row],[NAMA REKENING]]="","",TRANSHARI2_ROKOKMALAM[[#This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IFERROR(VLOOKUP(TRANSHARI2_ROKOKPAGI[[#This Row],[PRODUK]],DATA_ROKOK[],4,FALSE),"")</f>
        <v/>
      </c>
      <c r="E96" s="374"/>
      <c r="F96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6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6" s="12"/>
      <c r="I96" s="386" t="str">
        <f>IFERROR(IF(TRANSHARI2_ROKOKPAGI[[#This Row],[NAMA REKENING]]="","",TRANSHARI2_ROKOKPAGI[[#This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IFERROR(VLOOKUP(TRANSHARI2_ROKOKMALAM[[#This Row],[PRODUK]],DATA_ROKOK[],4,FALSE),"")</f>
        <v/>
      </c>
      <c r="T96" s="374"/>
      <c r="U96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6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6" s="12"/>
      <c r="X96" s="386" t="str">
        <f>IFERROR(IF(TRANSHARI2_ROKOKMALAM[[#This Row],[NAMA REKENING]]="","",TRANSHARI2_ROKOKMALAM[[#This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IFERROR(VLOOKUP(TRANSHARI2_ROKOKPAGI[[#This Row],[PRODUK]],DATA_ROKOK[],4,FALSE),"")</f>
        <v/>
      </c>
      <c r="E97" s="374"/>
      <c r="F97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7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7" s="12"/>
      <c r="I97" s="384" t="str">
        <f>IFERROR(IF(TRANSHARI2_ROKOKPAGI[[#This Row],[NAMA REKENING]]="","",TRANSHARI2_ROKOKPAGI[[#This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IFERROR(VLOOKUP(TRANSHARI2_ROKOKMALAM[[#This Row],[PRODUK]],DATA_ROKOK[],4,FALSE),"")</f>
        <v/>
      </c>
      <c r="T97" s="374"/>
      <c r="U97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7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7" s="12"/>
      <c r="X97" s="384" t="str">
        <f>IFERROR(IF(TRANSHARI2_ROKOKMALAM[[#This Row],[NAMA REKENING]]="","",TRANSHARI2_ROKOKMALAM[[#This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IFERROR(VLOOKUP(TRANSHARI2_ROKOKPAGI[[#This Row],[PRODUK]],DATA_ROKOK[],4,FALSE),"")</f>
        <v/>
      </c>
      <c r="E98" s="374"/>
      <c r="F98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8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8" s="12"/>
      <c r="I98" s="386" t="str">
        <f>IFERROR(IF(TRANSHARI2_ROKOKPAGI[[#This Row],[NAMA REKENING]]="","",TRANSHARI2_ROKOKPAGI[[#This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IFERROR(VLOOKUP(TRANSHARI2_ROKOKMALAM[[#This Row],[PRODUK]],DATA_ROKOK[],4,FALSE),"")</f>
        <v/>
      </c>
      <c r="T98" s="374"/>
      <c r="U98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8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8" s="12"/>
      <c r="X98" s="386" t="str">
        <f>IFERROR(IF(TRANSHARI2_ROKOKMALAM[[#This Row],[NAMA REKENING]]="","",TRANSHARI2_ROKOKMALAM[[#This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IFERROR(VLOOKUP(TRANSHARI2_ROKOKPAGI[[#This Row],[PRODUK]],DATA_ROKOK[],4,FALSE),"")</f>
        <v/>
      </c>
      <c r="E99" s="374"/>
      <c r="F99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99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99" s="12"/>
      <c r="I99" s="384" t="str">
        <f>IFERROR(IF(TRANSHARI2_ROKOKPAGI[[#This Row],[NAMA REKENING]]="","",TRANSHARI2_ROKOKPAGI[[#This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IFERROR(VLOOKUP(TRANSHARI2_ROKOKMALAM[[#This Row],[PRODUK]],DATA_ROKOK[],4,FALSE),"")</f>
        <v/>
      </c>
      <c r="T99" s="374"/>
      <c r="U99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99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99" s="12"/>
      <c r="X99" s="384" t="str">
        <f>IFERROR(IF(TRANSHARI2_ROKOKMALAM[[#This Row],[NAMA REKENING]]="","",TRANSHARI2_ROKOKMALAM[[#This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IFERROR(VLOOKUP(TRANSHARI2_ROKOKPAGI[[#This Row],[PRODUK]],DATA_ROKOK[],4,FALSE),"")</f>
        <v/>
      </c>
      <c r="E100" s="374"/>
      <c r="F100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0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0" s="12"/>
      <c r="I100" s="386" t="str">
        <f>IFERROR(IF(TRANSHARI2_ROKOKPAGI[[#This Row],[NAMA REKENING]]="","",TRANSHARI2_ROKOKPAGI[[#This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IFERROR(VLOOKUP(TRANSHARI2_ROKOKMALAM[[#This Row],[PRODUK]],DATA_ROKOK[],4,FALSE),"")</f>
        <v/>
      </c>
      <c r="T100" s="374"/>
      <c r="U100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0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0" s="12"/>
      <c r="X100" s="386" t="str">
        <f>IFERROR(IF(TRANSHARI2_ROKOKMALAM[[#This Row],[NAMA REKENING]]="","",TRANSHARI2_ROKOKMALAM[[#This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IFERROR(VLOOKUP(TRANSHARI2_ROKOKPAGI[[#This Row],[PRODUK]],DATA_ROKOK[],4,FALSE),"")</f>
        <v/>
      </c>
      <c r="E101" s="374"/>
      <c r="F101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1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1" s="12"/>
      <c r="I101" s="384" t="str">
        <f>IFERROR(IF(TRANSHARI2_ROKOKPAGI[[#This Row],[NAMA REKENING]]="","",TRANSHARI2_ROKOKPAGI[[#This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IFERROR(VLOOKUP(TRANSHARI2_ROKOKMALAM[[#This Row],[PRODUK]],DATA_ROKOK[],4,FALSE),"")</f>
        <v/>
      </c>
      <c r="T101" s="374"/>
      <c r="U101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1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1" s="12"/>
      <c r="X101" s="384" t="str">
        <f>IFERROR(IF(TRANSHARI2_ROKOKMALAM[[#This Row],[NAMA REKENING]]="","",TRANSHARI2_ROKOKMALAM[[#This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IFERROR(VLOOKUP(TRANSHARI2_ROKOKPAGI[[#This Row],[PRODUK]],DATA_ROKOK[],4,FALSE),"")</f>
        <v/>
      </c>
      <c r="E102" s="374"/>
      <c r="F102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2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2" s="12"/>
      <c r="I102" s="386" t="str">
        <f>IFERROR(IF(TRANSHARI2_ROKOKPAGI[[#This Row],[NAMA REKENING]]="","",TRANSHARI2_ROKOKPAGI[[#This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IFERROR(VLOOKUP(TRANSHARI2_ROKOKMALAM[[#This Row],[PRODUK]],DATA_ROKOK[],4,FALSE),"")</f>
        <v/>
      </c>
      <c r="T102" s="374"/>
      <c r="U102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2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2" s="12"/>
      <c r="X102" s="386" t="str">
        <f>IFERROR(IF(TRANSHARI2_ROKOKMALAM[[#This Row],[NAMA REKENING]]="","",TRANSHARI2_ROKOKMALAM[[#This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IFERROR(VLOOKUP(TRANSHARI2_ROKOKPAGI[[#This Row],[PRODUK]],DATA_ROKOK[],4,FALSE),"")</f>
        <v/>
      </c>
      <c r="E103" s="374"/>
      <c r="F103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3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3" s="12"/>
      <c r="I103" s="384" t="str">
        <f>IFERROR(IF(TRANSHARI2_ROKOKPAGI[[#This Row],[NAMA REKENING]]="","",TRANSHARI2_ROKOKPAGI[[#This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IFERROR(VLOOKUP(TRANSHARI2_ROKOKMALAM[[#This Row],[PRODUK]],DATA_ROKOK[],4,FALSE),"")</f>
        <v/>
      </c>
      <c r="T103" s="374"/>
      <c r="U103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3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3" s="12"/>
      <c r="X103" s="384" t="str">
        <f>IFERROR(IF(TRANSHARI2_ROKOKMALAM[[#This Row],[NAMA REKENING]]="","",TRANSHARI2_ROKOKMALAM[[#This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IFERROR(VLOOKUP(TRANSHARI2_ROKOKPAGI[[#This Row],[PRODUK]],DATA_ROKOK[],4,FALSE),"")</f>
        <v/>
      </c>
      <c r="E104" s="374"/>
      <c r="F104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4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4" s="12"/>
      <c r="I104" s="386" t="str">
        <f>IFERROR(IF(TRANSHARI2_ROKOKPAGI[[#This Row],[NAMA REKENING]]="","",TRANSHARI2_ROKOKPAGI[[#This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IFERROR(VLOOKUP(TRANSHARI2_ROKOKMALAM[[#This Row],[PRODUK]],DATA_ROKOK[],4,FALSE),"")</f>
        <v/>
      </c>
      <c r="T104" s="374"/>
      <c r="U104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4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4" s="12"/>
      <c r="X104" s="386" t="str">
        <f>IFERROR(IF(TRANSHARI2_ROKOKMALAM[[#This Row],[NAMA REKENING]]="","",TRANSHARI2_ROKOKMALAM[[#This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IFERROR(VLOOKUP(TRANSHARI2_ROKOKPAGI[[#This Row],[PRODUK]],DATA_ROKOK[],4,FALSE),"")</f>
        <v/>
      </c>
      <c r="E105" s="374"/>
      <c r="F105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5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5" s="12"/>
      <c r="I105" s="384" t="str">
        <f>IFERROR(IF(TRANSHARI2_ROKOKPAGI[[#This Row],[NAMA REKENING]]="","",TRANSHARI2_ROKOKPAGI[[#This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IFERROR(VLOOKUP(TRANSHARI2_ROKOKMALAM[[#This Row],[PRODUK]],DATA_ROKOK[],4,FALSE),"")</f>
        <v/>
      </c>
      <c r="T105" s="374"/>
      <c r="U105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5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5" s="12"/>
      <c r="X105" s="384" t="str">
        <f>IFERROR(IF(TRANSHARI2_ROKOKMALAM[[#This Row],[NAMA REKENING]]="","",TRANSHARI2_ROKOKMALAM[[#This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IFERROR(VLOOKUP(TRANSHARI2_ROKOKPAGI[[#This Row],[PRODUK]],DATA_ROKOK[],4,FALSE),"")</f>
        <v/>
      </c>
      <c r="E106" s="374"/>
      <c r="F106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6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6" s="12"/>
      <c r="I106" s="386" t="str">
        <f>IFERROR(IF(TRANSHARI2_ROKOKPAGI[[#This Row],[NAMA REKENING]]="","",TRANSHARI2_ROKOKPAGI[[#This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IFERROR(VLOOKUP(TRANSHARI2_ROKOKMALAM[[#This Row],[PRODUK]],DATA_ROKOK[],4,FALSE),"")</f>
        <v/>
      </c>
      <c r="T106" s="374"/>
      <c r="U106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6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6" s="12"/>
      <c r="X106" s="386" t="str">
        <f>IFERROR(IF(TRANSHARI2_ROKOKMALAM[[#This Row],[NAMA REKENING]]="","",TRANSHARI2_ROKOKMALAM[[#This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IFERROR(VLOOKUP(TRANSHARI2_ROKOKPAGI[[#This Row],[PRODUK]],DATA_ROKOK[],4,FALSE),"")</f>
        <v/>
      </c>
      <c r="E107" s="374"/>
      <c r="F107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7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7" s="12"/>
      <c r="I107" s="384" t="str">
        <f>IFERROR(IF(TRANSHARI2_ROKOKPAGI[[#This Row],[NAMA REKENING]]="","",TRANSHARI2_ROKOKPAGI[[#This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IFERROR(VLOOKUP(TRANSHARI2_ROKOKMALAM[[#This Row],[PRODUK]],DATA_ROKOK[],4,FALSE),"")</f>
        <v/>
      </c>
      <c r="T107" s="374"/>
      <c r="U107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7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7" s="12"/>
      <c r="X107" s="384" t="str">
        <f>IFERROR(IF(TRANSHARI2_ROKOKMALAM[[#This Row],[NAMA REKENING]]="","",TRANSHARI2_ROKOKMALAM[[#This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IFERROR(VLOOKUP(TRANSHARI2_ROKOKPAGI[[#This Row],[PRODUK]],DATA_ROKOK[],4,FALSE),"")</f>
        <v/>
      </c>
      <c r="E108" s="374"/>
      <c r="F108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8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8" s="12"/>
      <c r="I108" s="386" t="str">
        <f>IFERROR(IF(TRANSHARI2_ROKOKPAGI[[#This Row],[NAMA REKENING]]="","",TRANSHARI2_ROKOKPAGI[[#This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IFERROR(VLOOKUP(TRANSHARI2_ROKOKMALAM[[#This Row],[PRODUK]],DATA_ROKOK[],4,FALSE),"")</f>
        <v/>
      </c>
      <c r="T108" s="374"/>
      <c r="U108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8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8" s="12"/>
      <c r="X108" s="386" t="str">
        <f>IFERROR(IF(TRANSHARI2_ROKOKMALAM[[#This Row],[NAMA REKENING]]="","",TRANSHARI2_ROKOKMALAM[[#This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IFERROR(VLOOKUP(TRANSHARI2_ROKOKPAGI[[#This Row],[PRODUK]],DATA_ROKOK[],4,FALSE),"")</f>
        <v/>
      </c>
      <c r="E109" s="374"/>
      <c r="F109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09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09" s="12"/>
      <c r="I109" s="384" t="str">
        <f>IFERROR(IF(TRANSHARI2_ROKOKPAGI[[#This Row],[NAMA REKENING]]="","",TRANSHARI2_ROKOKPAGI[[#This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IFERROR(VLOOKUP(TRANSHARI2_ROKOKMALAM[[#This Row],[PRODUK]],DATA_ROKOK[],4,FALSE),"")</f>
        <v/>
      </c>
      <c r="T109" s="374"/>
      <c r="U109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09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09" s="12"/>
      <c r="X109" s="384" t="str">
        <f>IFERROR(IF(TRANSHARI2_ROKOKMALAM[[#This Row],[NAMA REKENING]]="","",TRANSHARI2_ROKOKMALAM[[#This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IFERROR(VLOOKUP(TRANSHARI2_ROKOKPAGI[[#This Row],[PRODUK]],DATA_ROKOK[],4,FALSE),"")</f>
        <v/>
      </c>
      <c r="E110" s="376"/>
      <c r="F110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0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0" s="377"/>
      <c r="I110" s="386" t="str">
        <f>IFERROR(IF(TRANSHARI2_ROKOKPAGI[[#This Row],[NAMA REKENING]]="","",TRANSHARI2_ROKOKPAGI[[#This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IFERROR(VLOOKUP(TRANSHARI2_ROKOKMALAM[[#This Row],[PRODUK]],DATA_ROKOK[],4,FALSE),"")</f>
        <v/>
      </c>
      <c r="T110" s="376"/>
      <c r="U110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0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0" s="377"/>
      <c r="X110" s="386" t="str">
        <f>IFERROR(IF(TRANSHARI2_ROKOKMALAM[[#This Row],[NAMA REKENING]]="","",TRANSHARI2_ROKOKMALAM[[#This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IFERROR(VLOOKUP(TRANSHARI2_ROKOKPAGI[[#This Row],[PRODUK]],DATA_ROKOK[],4,FALSE),"")</f>
        <v/>
      </c>
      <c r="E111" s="374"/>
      <c r="F111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1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1" s="12"/>
      <c r="I111" s="384" t="str">
        <f>IFERROR(IF(TRANSHARI2_ROKOKPAGI[[#This Row],[NAMA REKENING]]="","",TRANSHARI2_ROKOKPAGI[[#This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IFERROR(VLOOKUP(TRANSHARI2_ROKOKMALAM[[#This Row],[PRODUK]],DATA_ROKOK[],4,FALSE),"")</f>
        <v/>
      </c>
      <c r="T111" s="374"/>
      <c r="U111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1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1" s="12"/>
      <c r="X111" s="384" t="str">
        <f>IFERROR(IF(TRANSHARI2_ROKOKMALAM[[#This Row],[NAMA REKENING]]="","",TRANSHARI2_ROKOKMALAM[[#This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IFERROR(VLOOKUP(TRANSHARI2_ROKOKPAGI[[#This Row],[PRODUK]],DATA_ROKOK[],4,FALSE),"")</f>
        <v/>
      </c>
      <c r="E112" s="374"/>
      <c r="F112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2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2" s="12"/>
      <c r="I112" s="386" t="str">
        <f>IFERROR(IF(TRANSHARI2_ROKOKPAGI[[#This Row],[NAMA REKENING]]="","",TRANSHARI2_ROKOKPAGI[[#This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IFERROR(VLOOKUP(TRANSHARI2_ROKOKMALAM[[#This Row],[PRODUK]],DATA_ROKOK[],4,FALSE),"")</f>
        <v/>
      </c>
      <c r="T112" s="374"/>
      <c r="U112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2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2" s="12"/>
      <c r="X112" s="386" t="str">
        <f>IFERROR(IF(TRANSHARI2_ROKOKMALAM[[#This Row],[NAMA REKENING]]="","",TRANSHARI2_ROKOKMALAM[[#This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IFERROR(VLOOKUP(TRANSHARI2_ROKOKPAGI[[#This Row],[PRODUK]],DATA_ROKOK[],4,FALSE),"")</f>
        <v/>
      </c>
      <c r="E113" s="374"/>
      <c r="F113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3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3" s="12"/>
      <c r="I113" s="384" t="str">
        <f>IFERROR(IF(TRANSHARI2_ROKOKPAGI[[#This Row],[NAMA REKENING]]="","",TRANSHARI2_ROKOKPAGI[[#This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IFERROR(VLOOKUP(TRANSHARI2_ROKOKMALAM[[#This Row],[PRODUK]],DATA_ROKOK[],4,FALSE),"")</f>
        <v/>
      </c>
      <c r="T113" s="374"/>
      <c r="U113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3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3" s="12"/>
      <c r="X113" s="384" t="str">
        <f>IFERROR(IF(TRANSHARI2_ROKOKMALAM[[#This Row],[NAMA REKENING]]="","",TRANSHARI2_ROKOKMALAM[[#This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IFERROR(VLOOKUP(TRANSHARI2_ROKOKPAGI[[#This Row],[PRODUK]],DATA_ROKOK[],4,FALSE),"")</f>
        <v/>
      </c>
      <c r="E114" s="374"/>
      <c r="F114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4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4" s="12"/>
      <c r="I114" s="386" t="str">
        <f>IFERROR(IF(TRANSHARI2_ROKOKPAGI[[#This Row],[NAMA REKENING]]="","",TRANSHARI2_ROKOKPAGI[[#This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IFERROR(VLOOKUP(TRANSHARI2_ROKOKMALAM[[#This Row],[PRODUK]],DATA_ROKOK[],4,FALSE),"")</f>
        <v/>
      </c>
      <c r="T114" s="374"/>
      <c r="U114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4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4" s="12"/>
      <c r="X114" s="386" t="str">
        <f>IFERROR(IF(TRANSHARI2_ROKOKMALAM[[#This Row],[NAMA REKENING]]="","",TRANSHARI2_ROKOKMALAM[[#This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IFERROR(VLOOKUP(TRANSHARI2_ROKOKPAGI[[#This Row],[PRODUK]],DATA_ROKOK[],4,FALSE),"")</f>
        <v/>
      </c>
      <c r="E115" s="374"/>
      <c r="F115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5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5" s="12"/>
      <c r="I115" s="384" t="str">
        <f>IFERROR(IF(TRANSHARI2_ROKOKPAGI[[#This Row],[NAMA REKENING]]="","",TRANSHARI2_ROKOKPAGI[[#This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IFERROR(VLOOKUP(TRANSHARI2_ROKOKMALAM[[#This Row],[PRODUK]],DATA_ROKOK[],4,FALSE),"")</f>
        <v/>
      </c>
      <c r="T115" s="374"/>
      <c r="U115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5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5" s="12"/>
      <c r="X115" s="384" t="str">
        <f>IFERROR(IF(TRANSHARI2_ROKOKMALAM[[#This Row],[NAMA REKENING]]="","",TRANSHARI2_ROKOKMALAM[[#This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IFERROR(VLOOKUP(TRANSHARI2_ROKOKPAGI[[#This Row],[PRODUK]],DATA_ROKOK[],4,FALSE),"")</f>
        <v/>
      </c>
      <c r="E116" s="374"/>
      <c r="F116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6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6" s="12"/>
      <c r="I116" s="386" t="str">
        <f>IFERROR(IF(TRANSHARI2_ROKOKPAGI[[#This Row],[NAMA REKENING]]="","",TRANSHARI2_ROKOKPAGI[[#This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IFERROR(VLOOKUP(TRANSHARI2_ROKOKMALAM[[#This Row],[PRODUK]],DATA_ROKOK[],4,FALSE),"")</f>
        <v/>
      </c>
      <c r="T116" s="374"/>
      <c r="U116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6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6" s="12"/>
      <c r="X116" s="386" t="str">
        <f>IFERROR(IF(TRANSHARI2_ROKOKMALAM[[#This Row],[NAMA REKENING]]="","",TRANSHARI2_ROKOKMALAM[[#This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IFERROR(VLOOKUP(TRANSHARI2_ROKOKPAGI[[#This Row],[PRODUK]],DATA_ROKOK[],4,FALSE),"")</f>
        <v/>
      </c>
      <c r="E117" s="374"/>
      <c r="F117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7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7" s="12"/>
      <c r="I117" s="384" t="str">
        <f>IFERROR(IF(TRANSHARI2_ROKOKPAGI[[#This Row],[NAMA REKENING]]="","",TRANSHARI2_ROKOKPAGI[[#This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IFERROR(VLOOKUP(TRANSHARI2_ROKOKMALAM[[#This Row],[PRODUK]],DATA_ROKOK[],4,FALSE),"")</f>
        <v/>
      </c>
      <c r="T117" s="374"/>
      <c r="U117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7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7" s="12"/>
      <c r="X117" s="384" t="str">
        <f>IFERROR(IF(TRANSHARI2_ROKOKMALAM[[#This Row],[NAMA REKENING]]="","",TRANSHARI2_ROKOKMALAM[[#This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IFERROR(VLOOKUP(TRANSHARI2_ROKOKPAGI[[#This Row],[PRODUK]],DATA_ROKOK[],4,FALSE),"")</f>
        <v/>
      </c>
      <c r="E118" s="374"/>
      <c r="F118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8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8" s="12"/>
      <c r="I118" s="386" t="str">
        <f>IFERROR(IF(TRANSHARI2_ROKOKPAGI[[#This Row],[NAMA REKENING]]="","",TRANSHARI2_ROKOKPAGI[[#This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IFERROR(VLOOKUP(TRANSHARI2_ROKOKMALAM[[#This Row],[PRODUK]],DATA_ROKOK[],4,FALSE),"")</f>
        <v/>
      </c>
      <c r="T118" s="374"/>
      <c r="U118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8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8" s="12"/>
      <c r="X118" s="386" t="str">
        <f>IFERROR(IF(TRANSHARI2_ROKOKMALAM[[#This Row],[NAMA REKENING]]="","",TRANSHARI2_ROKOKMALAM[[#This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IFERROR(VLOOKUP(TRANSHARI2_ROKOKPAGI[[#This Row],[PRODUK]],DATA_ROKOK[],4,FALSE),"")</f>
        <v/>
      </c>
      <c r="E119" s="374"/>
      <c r="F119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19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19" s="12"/>
      <c r="I119" s="384" t="str">
        <f>IFERROR(IF(TRANSHARI2_ROKOKPAGI[[#This Row],[NAMA REKENING]]="","",TRANSHARI2_ROKOKPAGI[[#This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IFERROR(VLOOKUP(TRANSHARI2_ROKOKMALAM[[#This Row],[PRODUK]],DATA_ROKOK[],4,FALSE),"")</f>
        <v/>
      </c>
      <c r="T119" s="374"/>
      <c r="U119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19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19" s="12"/>
      <c r="X119" s="384" t="str">
        <f>IFERROR(IF(TRANSHARI2_ROKOKMALAM[[#This Row],[NAMA REKENING]]="","",TRANSHARI2_ROKOKMALAM[[#This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IFERROR(VLOOKUP(TRANSHARI2_ROKOKPAGI[[#This Row],[PRODUK]],DATA_ROKOK[],4,FALSE),"")</f>
        <v/>
      </c>
      <c r="E120" s="374"/>
      <c r="F120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0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0" s="12"/>
      <c r="I120" s="386" t="str">
        <f>IFERROR(IF(TRANSHARI2_ROKOKPAGI[[#This Row],[NAMA REKENING]]="","",TRANSHARI2_ROKOKPAGI[[#This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IFERROR(VLOOKUP(TRANSHARI2_ROKOKMALAM[[#This Row],[PRODUK]],DATA_ROKOK[],4,FALSE),"")</f>
        <v/>
      </c>
      <c r="T120" s="374"/>
      <c r="U120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0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0" s="12"/>
      <c r="X120" s="386" t="str">
        <f>IFERROR(IF(TRANSHARI2_ROKOKMALAM[[#This Row],[NAMA REKENING]]="","",TRANSHARI2_ROKOKMALAM[[#This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IFERROR(VLOOKUP(TRANSHARI2_ROKOKPAGI[[#This Row],[PRODUK]],DATA_ROKOK[],4,FALSE),"")</f>
        <v/>
      </c>
      <c r="E121" s="374"/>
      <c r="F121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1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1" s="12"/>
      <c r="I121" s="384" t="str">
        <f>IFERROR(IF(TRANSHARI2_ROKOKPAGI[[#This Row],[NAMA REKENING]]="","",TRANSHARI2_ROKOKPAGI[[#This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IFERROR(VLOOKUP(TRANSHARI2_ROKOKMALAM[[#This Row],[PRODUK]],DATA_ROKOK[],4,FALSE),"")</f>
        <v/>
      </c>
      <c r="T121" s="374"/>
      <c r="U121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1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1" s="12"/>
      <c r="X121" s="384" t="str">
        <f>IFERROR(IF(TRANSHARI2_ROKOKMALAM[[#This Row],[NAMA REKENING]]="","",TRANSHARI2_ROKOKMALAM[[#This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IFERROR(VLOOKUP(TRANSHARI2_ROKOKPAGI[[#This Row],[PRODUK]],DATA_ROKOK[],4,FALSE),"")</f>
        <v/>
      </c>
      <c r="E122" s="374"/>
      <c r="F122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2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2" s="12"/>
      <c r="I122" s="386" t="str">
        <f>IFERROR(IF(TRANSHARI2_ROKOKPAGI[[#This Row],[NAMA REKENING]]="","",TRANSHARI2_ROKOKPAGI[[#This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IFERROR(VLOOKUP(TRANSHARI2_ROKOKMALAM[[#This Row],[PRODUK]],DATA_ROKOK[],4,FALSE),"")</f>
        <v/>
      </c>
      <c r="T122" s="374"/>
      <c r="U122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2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2" s="12"/>
      <c r="X122" s="386" t="str">
        <f>IFERROR(IF(TRANSHARI2_ROKOKMALAM[[#This Row],[NAMA REKENING]]="","",TRANSHARI2_ROKOKMALAM[[#This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IFERROR(VLOOKUP(TRANSHARI2_ROKOKPAGI[[#This Row],[PRODUK]],DATA_ROKOK[],4,FALSE),"")</f>
        <v/>
      </c>
      <c r="E123" s="374"/>
      <c r="F123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3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3" s="12"/>
      <c r="I123" s="384" t="str">
        <f>IFERROR(IF(TRANSHARI2_ROKOKPAGI[[#This Row],[NAMA REKENING]]="","",TRANSHARI2_ROKOKPAGI[[#This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IFERROR(VLOOKUP(TRANSHARI2_ROKOKMALAM[[#This Row],[PRODUK]],DATA_ROKOK[],4,FALSE),"")</f>
        <v/>
      </c>
      <c r="T123" s="374"/>
      <c r="U123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3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3" s="12"/>
      <c r="X123" s="384" t="str">
        <f>IFERROR(IF(TRANSHARI2_ROKOKMALAM[[#This Row],[NAMA REKENING]]="","",TRANSHARI2_ROKOKMALAM[[#This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IFERROR(VLOOKUP(TRANSHARI2_ROKOKPAGI[[#This Row],[PRODUK]],DATA_ROKOK[],4,FALSE),"")</f>
        <v/>
      </c>
      <c r="E124" s="374"/>
      <c r="F124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4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4" s="12"/>
      <c r="I124" s="386" t="str">
        <f>IFERROR(IF(TRANSHARI2_ROKOKPAGI[[#This Row],[NAMA REKENING]]="","",TRANSHARI2_ROKOKPAGI[[#This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IFERROR(VLOOKUP(TRANSHARI2_ROKOKMALAM[[#This Row],[PRODUK]],DATA_ROKOK[],4,FALSE),"")</f>
        <v/>
      </c>
      <c r="T124" s="374"/>
      <c r="U124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4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4" s="12"/>
      <c r="X124" s="386" t="str">
        <f>IFERROR(IF(TRANSHARI2_ROKOKMALAM[[#This Row],[NAMA REKENING]]="","",TRANSHARI2_ROKOKMALAM[[#This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IFERROR(VLOOKUP(TRANSHARI2_ROKOKPAGI[[#This Row],[PRODUK]],DATA_ROKOK[],4,FALSE),"")</f>
        <v/>
      </c>
      <c r="E125" s="374"/>
      <c r="F125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5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5" s="12"/>
      <c r="I125" s="384" t="str">
        <f>IFERROR(IF(TRANSHARI2_ROKOKPAGI[[#This Row],[NAMA REKENING]]="","",TRANSHARI2_ROKOKPAGI[[#This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IFERROR(VLOOKUP(TRANSHARI2_ROKOKMALAM[[#This Row],[PRODUK]],DATA_ROKOK[],4,FALSE),"")</f>
        <v/>
      </c>
      <c r="T125" s="374"/>
      <c r="U125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5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5" s="12"/>
      <c r="X125" s="384" t="str">
        <f>IFERROR(IF(TRANSHARI2_ROKOKMALAM[[#This Row],[NAMA REKENING]]="","",TRANSHARI2_ROKOKMALAM[[#This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IFERROR(VLOOKUP(TRANSHARI2_ROKOKPAGI[[#This Row],[PRODUK]],DATA_ROKOK[],4,FALSE),"")</f>
        <v/>
      </c>
      <c r="E126" s="374"/>
      <c r="F126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6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6" s="12"/>
      <c r="I126" s="386" t="str">
        <f>IFERROR(IF(TRANSHARI2_ROKOKPAGI[[#This Row],[NAMA REKENING]]="","",TRANSHARI2_ROKOKPAGI[[#This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IFERROR(VLOOKUP(TRANSHARI2_ROKOKMALAM[[#This Row],[PRODUK]],DATA_ROKOK[],4,FALSE),"")</f>
        <v/>
      </c>
      <c r="T126" s="374"/>
      <c r="U126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6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6" s="12"/>
      <c r="X126" s="386" t="str">
        <f>IFERROR(IF(TRANSHARI2_ROKOKMALAM[[#This Row],[NAMA REKENING]]="","",TRANSHARI2_ROKOKMALAM[[#This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IFERROR(VLOOKUP(TRANSHARI2_ROKOKPAGI[[#This Row],[PRODUK]],DATA_ROKOK[],4,FALSE),"")</f>
        <v/>
      </c>
      <c r="E127" s="374"/>
      <c r="F127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7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7" s="12"/>
      <c r="I127" s="384" t="str">
        <f>IFERROR(IF(TRANSHARI2_ROKOKPAGI[[#This Row],[NAMA REKENING]]="","",TRANSHARI2_ROKOKPAGI[[#This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IFERROR(VLOOKUP(TRANSHARI2_ROKOKMALAM[[#This Row],[PRODUK]],DATA_ROKOK[],4,FALSE),"")</f>
        <v/>
      </c>
      <c r="T127" s="374"/>
      <c r="U127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7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7" s="12"/>
      <c r="X127" s="384" t="str">
        <f>IFERROR(IF(TRANSHARI2_ROKOKMALAM[[#This Row],[NAMA REKENING]]="","",TRANSHARI2_ROKOKMALAM[[#This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IFERROR(VLOOKUP(TRANSHARI2_ROKOKPAGI[[#This Row],[PRODUK]],DATA_ROKOK[],4,FALSE),"")</f>
        <v/>
      </c>
      <c r="E128" s="374"/>
      <c r="F128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8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8" s="12"/>
      <c r="I128" s="386" t="str">
        <f>IFERROR(IF(TRANSHARI2_ROKOKPAGI[[#This Row],[NAMA REKENING]]="","",TRANSHARI2_ROKOKPAGI[[#This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IFERROR(VLOOKUP(TRANSHARI2_ROKOKMALAM[[#This Row],[PRODUK]],DATA_ROKOK[],4,FALSE),"")</f>
        <v/>
      </c>
      <c r="T128" s="374"/>
      <c r="U128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8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8" s="12"/>
      <c r="X128" s="386" t="str">
        <f>IFERROR(IF(TRANSHARI2_ROKOKMALAM[[#This Row],[NAMA REKENING]]="","",TRANSHARI2_ROKOKMALAM[[#This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IFERROR(VLOOKUP(TRANSHARI2_ROKOKPAGI[[#This Row],[PRODUK]],DATA_ROKOK[],4,FALSE),"")</f>
        <v/>
      </c>
      <c r="E129" s="374"/>
      <c r="F129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29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29" s="12"/>
      <c r="I129" s="384" t="str">
        <f>IFERROR(IF(TRANSHARI2_ROKOKPAGI[[#This Row],[NAMA REKENING]]="","",TRANSHARI2_ROKOKPAGI[[#This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IFERROR(VLOOKUP(TRANSHARI2_ROKOKMALAM[[#This Row],[PRODUK]],DATA_ROKOK[],4,FALSE),"")</f>
        <v/>
      </c>
      <c r="T129" s="374"/>
      <c r="U129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29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29" s="12"/>
      <c r="X129" s="384" t="str">
        <f>IFERROR(IF(TRANSHARI2_ROKOKMALAM[[#This Row],[NAMA REKENING]]="","",TRANSHARI2_ROKOKMALAM[[#This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IFERROR(VLOOKUP(TRANSHARI2_ROKOKPAGI[[#This Row],[PRODUK]],DATA_ROKOK[],4,FALSE),"")</f>
        <v/>
      </c>
      <c r="E130" s="374"/>
      <c r="F130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30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30" s="12"/>
      <c r="I130" s="386" t="str">
        <f>IFERROR(IF(TRANSHARI2_ROKOKPAGI[[#This Row],[NAMA REKENING]]="","",TRANSHARI2_ROKOKPAGI[[#This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IFERROR(VLOOKUP(TRANSHARI2_ROKOKMALAM[[#This Row],[PRODUK]],DATA_ROKOK[],4,FALSE),"")</f>
        <v/>
      </c>
      <c r="T130" s="374"/>
      <c r="U130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30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30" s="12"/>
      <c r="X130" s="386" t="str">
        <f>IFERROR(IF(TRANSHARI2_ROKOKMALAM[[#This Row],[NAMA REKENING]]="","",TRANSHARI2_ROKOKMALAM[[#This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IFERROR(VLOOKUP(TRANSHARI2_ROKOKPAGI[[#This Row],[PRODUK]],DATA_ROKOK[],4,FALSE),"")</f>
        <v/>
      </c>
      <c r="E131" s="374"/>
      <c r="F131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31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31" s="12"/>
      <c r="I131" s="384" t="str">
        <f>IFERROR(IF(TRANSHARI2_ROKOKPAGI[[#This Row],[NAMA REKENING]]="","",TRANSHARI2_ROKOKPAGI[[#This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IFERROR(VLOOKUP(TRANSHARI2_ROKOKMALAM[[#This Row],[PRODUK]],DATA_ROKOK[],4,FALSE),"")</f>
        <v/>
      </c>
      <c r="T131" s="374"/>
      <c r="U131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31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31" s="12"/>
      <c r="X131" s="384" t="str">
        <f>IFERROR(IF(TRANSHARI2_ROKOKMALAM[[#This Row],[NAMA REKENING]]="","",TRANSHARI2_ROKOKMALAM[[#This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IFERROR(VLOOKUP(TRANSHARI2_ROKOKPAGI[[#This Row],[PRODUK]],DATA_ROKOK[],4,FALSE),"")</f>
        <v/>
      </c>
      <c r="E132" s="374"/>
      <c r="F132" s="373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32" s="373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32" s="12"/>
      <c r="I132" s="386" t="str">
        <f>IFERROR(IF(TRANSHARI2_ROKOKPAGI[[#This Row],[NAMA REKENING]]="","",TRANSHARI2_ROKOKPAGI[[#This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IFERROR(VLOOKUP(TRANSHARI2_ROKOKMALAM[[#This Row],[PRODUK]],DATA_ROKOK[],4,FALSE),"")</f>
        <v/>
      </c>
      <c r="T132" s="374"/>
      <c r="U132" s="373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32" s="373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32" s="12"/>
      <c r="X132" s="386" t="str">
        <f>IFERROR(IF(TRANSHARI2_ROKOKMALAM[[#This Row],[NAMA REKENING]]="","",TRANSHARI2_ROKOKMALAM[[#This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IFERROR(VLOOKUP(TRANSHARI2_ROKOKPAGI[[#This Row],[PRODUK]],DATA_ROKOK[],4,FALSE),"")</f>
        <v/>
      </c>
      <c r="E133" s="374"/>
      <c r="F133" s="369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33" s="369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33" s="12"/>
      <c r="I133" s="384" t="str">
        <f>IFERROR(IF(TRANSHARI2_ROKOKPAGI[[#This Row],[NAMA REKENING]]="","",TRANSHARI2_ROKOKPAGI[[#This Row],[DEBIT]]),"")</f>
        <v/>
      </c>
      <c r="J133" s="387"/>
      <c r="K133" s="389">
        <f>F135+G135</f>
        <v>76000</v>
      </c>
      <c r="L133" s="390"/>
      <c r="O133" s="324"/>
      <c r="P133" s="367">
        <v>49</v>
      </c>
      <c r="Q133" s="368"/>
      <c r="R133" s="372"/>
      <c r="S133" s="369" t="str">
        <f>IFERROR(VLOOKUP(TRANSHARI2_ROKOKMALAM[[#This Row],[PRODUK]],DATA_ROKOK[],4,FALSE),"")</f>
        <v/>
      </c>
      <c r="T133" s="374"/>
      <c r="U133" s="369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33" s="369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33" s="12"/>
      <c r="X133" s="384" t="str">
        <f>IFERROR(IF(TRANSHARI2_ROKOKMALAM[[#This Row],[NAMA REKENING]]="","",TRANSHARI2_ROKOKMALAM[[#This Row],[DEBIT]]),"")</f>
        <v/>
      </c>
      <c r="Y133" s="387"/>
      <c r="Z133" s="400">
        <f>K133+Z128</f>
        <v>76000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IFERROR(VLOOKUP(TRANSHARI2_ROKOKPAGI[[#This Row],[PRODUK]],DATA_ROKOK[],4,FALSE),"")</f>
        <v/>
      </c>
      <c r="E134" s="376"/>
      <c r="F134" s="394" t="str">
        <f>IFERROR(IF(TRANSHARI2_ROKOKPAGI[[#This Row],[NAMA PENGHUTANG]]="",((TRANSHARI2_ROKOKPAGI[[#This Row],[HARGA]]*TRANSHARI2_ROKOKPAGI[[#This Row],[QUANTITY]])+TRANSHARI2_ROKOKPAGI[[#This Row],[PRICE TOLERANCE]]),""),"")</f>
        <v/>
      </c>
      <c r="G134" s="394" t="str">
        <f>IFERROR(IF(TRANSHARI2_ROKOKPAGI[[#This Row],[NAMA PENGHUTANG]]="","",((TRANSHARI2_ROKOKPAGI[[#This Row],[HARGA]]*TRANSHARI2_ROKOKPAGI[[#This Row],[QUANTITY]])+TRANSHARI2_ROKOKPAGI[[#This Row],[PRICE TOLERANCE]])),"")</f>
        <v/>
      </c>
      <c r="H134" s="377"/>
      <c r="I134" s="399" t="str">
        <f>IFERROR(IF(TRANSHARI2_ROKOKPAGI[[#This Row],[NAMA REKENING]]="","",TRANSHARI2_ROKOKPAGI[[#This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IFERROR(VLOOKUP(TRANSHARI2_ROKOKMALAM[[#This Row],[PRODUK]],DATA_ROKOK[],4,FALSE),"")</f>
        <v/>
      </c>
      <c r="T134" s="376"/>
      <c r="U134" s="394" t="str">
        <f>IFERROR(IF(TRANSHARI2_ROKOKMALAM[[#This Row],[NAMA PENGHUTANG]]="",((TRANSHARI2_ROKOKMALAM[[#This Row],[HARGA]]*TRANSHARI2_ROKOKMALAM[[#This Row],[QUANTITY]])+TRANSHARI2_ROKOKMALAM[[#This Row],[PRICE TOLERANCE]]),""),"")</f>
        <v/>
      </c>
      <c r="V134" s="394" t="str">
        <f>IFERROR(IF(TRANSHARI2_ROKOKMALAM[[#This Row],[NAMA PENGHUTANG]]="","",((TRANSHARI2_ROKOKMALAM[[#This Row],[HARGA]]*TRANSHARI2_ROKOKMALAM[[#This Row],[QUANTITY]])+TRANSHARI2_ROKOKMALAM[[#This Row],[PRICE TOLERANCE]])),"")</f>
        <v/>
      </c>
      <c r="W134" s="377"/>
      <c r="X134" s="399" t="str">
        <f>IFERROR(IF(TRANSHARI2_ROKOKMALAM[[#This Row],[NAMA REKENING]]="","",TRANSHARI2_ROKOKMALAM[[#This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SUM(TRANSHARI2_ROKOKPAGI[QUANTITY])</f>
        <v>2</v>
      </c>
      <c r="E135" s="396">
        <f>SUM(TRANSHARI2_ROKOKPAGI[PRICE TOLERANCE])</f>
        <v>0</v>
      </c>
      <c r="F135" s="396">
        <f>SUM(TRANSHARI2_ROKOKPAGI[DEBIT])</f>
        <v>76000</v>
      </c>
      <c r="G135" s="396">
        <f>SUM(TRANSHARI2_ROKOKPAGI[KREDIT])</f>
        <v>0</v>
      </c>
      <c r="I135" s="396">
        <f>SUM(TRANSHARI2_ROKOKPAGI[NOMINAL TRANSFER])</f>
        <v>0</v>
      </c>
      <c r="O135" s="324"/>
      <c r="P135" s="303" t="s">
        <v>78</v>
      </c>
      <c r="Q135" s="316"/>
      <c r="R135" s="395">
        <f>SUM(TRANSHARI2_ROKOKMALAM[QUANTITY])</f>
        <v>0</v>
      </c>
      <c r="T135" s="396">
        <f>SUM(TRANSHARI2_ROKOKMALAM[PRICE TOLERANCE])</f>
        <v>0</v>
      </c>
      <c r="U135" s="396">
        <f>SUM(TRANSHARI2_ROKOKMALAM[DEBIT])</f>
        <v>0</v>
      </c>
      <c r="V135" s="396">
        <f>SUM(TRANSHARI2_ROKOKMALAM[KREDIT])</f>
        <v>0</v>
      </c>
      <c r="X135" s="396">
        <f>SUM(TRANSHARI2_ROKOKMALAM[NOMINAL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">
        <v>179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">
        <v>180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 t="s">
        <v>189</v>
      </c>
      <c r="C142" s="368">
        <v>1</v>
      </c>
      <c r="D142" s="369">
        <f>IFERROR(VLOOKUP(TRANSHARI2_SPVOUPAGI[[#This Row],[PRODUK]],DATA_SPVOU[],4,FALSE),"")</f>
        <v>23000</v>
      </c>
      <c r="E142" s="370"/>
      <c r="F142" s="369">
        <f>IFERROR(IF(TRANSHARI2_SPVOUPAGI[[#This Row],[NAMA PENGHUTANG]]="",((TRANSHARI2_SPVOUPAGI[[#This Row],[HARGA]]*TRANSHARI2_SPVOUPAGI[[#This Row],[QUANTITY]])+TRANSHARI2_SPVOUPAGI[[#This Row],[PRICE TOLERANCE]]),""),"")</f>
        <v>23000</v>
      </c>
      <c r="G142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2" s="371"/>
      <c r="I142" s="384" t="str">
        <f>IFERROR(IF(TRANSHARI2_SPVOUPAGI[[#This Row],[NAMA REKENING]]="","",TRANSHARI2_SPVOUPAGI[[#This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IFERROR(VLOOKUP(TRANSHARI2_SPVOUMALAM[[#This Row],[PRODUK]],DATA_SPVOU[],4,FALSE),"")</f>
        <v/>
      </c>
      <c r="T142" s="370"/>
      <c r="U142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2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2" s="371"/>
      <c r="X142" s="384" t="str">
        <f>IFERROR(IF(TRANSHARI2_SPVOUMALAM[[#This Row],[NAMA REKENING]]="","",TRANSHARI2_SPVOUMALAM[[#This Row],[DEBIT]]),"")</f>
        <v/>
      </c>
      <c r="Y142" s="385"/>
    </row>
    <row r="143" spans="1:25">
      <c r="A143" s="367">
        <v>2</v>
      </c>
      <c r="B143" s="368" t="s">
        <v>190</v>
      </c>
      <c r="C143" s="372">
        <v>1</v>
      </c>
      <c r="D143" s="373">
        <f>IFERROR(VLOOKUP(TRANSHARI2_SPVOUPAGI[[#This Row],[PRODUK]],DATA_SPVOU[],4,FALSE),"")</f>
        <v>17000</v>
      </c>
      <c r="E143" s="374"/>
      <c r="F143" s="373">
        <f>IFERROR(IF(TRANSHARI2_SPVOUPAGI[[#This Row],[NAMA PENGHUTANG]]="",((TRANSHARI2_SPVOUPAGI[[#This Row],[HARGA]]*TRANSHARI2_SPVOUPAGI[[#This Row],[QUANTITY]])+TRANSHARI2_SPVOUPAGI[[#This Row],[PRICE TOLERANCE]]),""),"")</f>
        <v>17000</v>
      </c>
      <c r="G143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3" s="12"/>
      <c r="I143" s="386" t="str">
        <f>IFERROR(IF(TRANSHARI2_SPVOUPAGI[[#This Row],[NAMA REKENING]]="","",TRANSHARI2_SPVOUPAGI[[#This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IFERROR(VLOOKUP(TRANSHARI2_SPVOUMALAM[[#This Row],[PRODUK]],DATA_SPVOU[],4,FALSE),"")</f>
        <v/>
      </c>
      <c r="T143" s="374"/>
      <c r="U143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3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3" s="12"/>
      <c r="X143" s="386" t="str">
        <f>IFERROR(IF(TRANSHARI2_SPVOUMALAM[[#This Row],[NAMA REKENING]]="","",TRANSHARI2_SPVOUMALAM[[#This Row],[DEBIT]]),"")</f>
        <v/>
      </c>
      <c r="Y143" s="387"/>
    </row>
    <row r="144" spans="1:25">
      <c r="A144" s="367">
        <v>3</v>
      </c>
      <c r="B144" s="368" t="s">
        <v>191</v>
      </c>
      <c r="C144" s="372">
        <v>1</v>
      </c>
      <c r="D144" s="369">
        <f>IFERROR(VLOOKUP(TRANSHARI2_SPVOUPAGI[[#This Row],[PRODUK]],DATA_SPVOU[],4,FALSE),"")</f>
        <v>30000</v>
      </c>
      <c r="E144" s="374"/>
      <c r="F144" s="369">
        <f>IFERROR(IF(TRANSHARI2_SPVOUPAGI[[#This Row],[NAMA PENGHUTANG]]="",((TRANSHARI2_SPVOUPAGI[[#This Row],[HARGA]]*TRANSHARI2_SPVOUPAGI[[#This Row],[QUANTITY]])+TRANSHARI2_SPVOUPAGI[[#This Row],[PRICE TOLERANCE]]),""),"")</f>
        <v>30000</v>
      </c>
      <c r="G144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4" s="12"/>
      <c r="I144" s="384" t="str">
        <f>IFERROR(IF(TRANSHARI2_SPVOUPAGI[[#This Row],[NAMA REKENING]]="","",TRANSHARI2_SPVOUPAGI[[#This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IFERROR(VLOOKUP(TRANSHARI2_SPVOUMALAM[[#This Row],[PRODUK]],DATA_SPVOU[],4,FALSE),"")</f>
        <v/>
      </c>
      <c r="T144" s="374"/>
      <c r="U144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4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4" s="12"/>
      <c r="X144" s="384" t="str">
        <f>IFERROR(IF(TRANSHARI2_SPVOUMALAM[[#This Row],[NAMA REKENING]]="","",TRANSHARI2_SPVOUMALAM[[#This Row],[DEBIT]]),"")</f>
        <v/>
      </c>
      <c r="Y144" s="387"/>
    </row>
    <row r="145" spans="1:25">
      <c r="A145" s="367">
        <v>4</v>
      </c>
      <c r="B145" s="368" t="s">
        <v>84</v>
      </c>
      <c r="C145" s="372">
        <v>1</v>
      </c>
      <c r="D145" s="373">
        <f>IFERROR(VLOOKUP(TRANSHARI2_SPVOUPAGI[[#This Row],[PRODUK]],DATA_SPVOU[],4,FALSE),"")</f>
        <v>23000</v>
      </c>
      <c r="E145" s="374"/>
      <c r="F145" s="373">
        <f>IFERROR(IF(TRANSHARI2_SPVOUPAGI[[#This Row],[NAMA PENGHUTANG]]="",((TRANSHARI2_SPVOUPAGI[[#This Row],[HARGA]]*TRANSHARI2_SPVOUPAGI[[#This Row],[QUANTITY]])+TRANSHARI2_SPVOUPAGI[[#This Row],[PRICE TOLERANCE]]),""),"")</f>
        <v>23000</v>
      </c>
      <c r="G145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5" s="12"/>
      <c r="I145" s="386" t="str">
        <f>IFERROR(IF(TRANSHARI2_SPVOUPAGI[[#This Row],[NAMA REKENING]]="","",TRANSHARI2_SPVOUPAGI[[#This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IFERROR(VLOOKUP(TRANSHARI2_SPVOUMALAM[[#This Row],[PRODUK]],DATA_SPVOU[],4,FALSE),"")</f>
        <v/>
      </c>
      <c r="T145" s="374"/>
      <c r="U145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5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5" s="12"/>
      <c r="X145" s="386" t="str">
        <f>IFERROR(IF(TRANSHARI2_SPVOUMALAM[[#This Row],[NAMA REKENING]]="","",TRANSHARI2_SPVOUMALAM[[#This Row],[DEBIT]]),"")</f>
        <v/>
      </c>
      <c r="Y145" s="387"/>
    </row>
    <row r="146" spans="1:25">
      <c r="A146" s="367">
        <v>5</v>
      </c>
      <c r="B146" s="368" t="s">
        <v>81</v>
      </c>
      <c r="C146" s="372">
        <v>1</v>
      </c>
      <c r="D146" s="369">
        <f>IFERROR(VLOOKUP(TRANSHARI2_SPVOUPAGI[[#This Row],[PRODUK]],DATA_SPVOU[],4,FALSE),"")</f>
        <v>13000</v>
      </c>
      <c r="E146" s="374"/>
      <c r="F146" s="369">
        <f>IFERROR(IF(TRANSHARI2_SPVOUPAGI[[#This Row],[NAMA PENGHUTANG]]="",((TRANSHARI2_SPVOUPAGI[[#This Row],[HARGA]]*TRANSHARI2_SPVOUPAGI[[#This Row],[QUANTITY]])+TRANSHARI2_SPVOUPAGI[[#This Row],[PRICE TOLERANCE]]),""),"")</f>
        <v>13000</v>
      </c>
      <c r="G146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6" s="12"/>
      <c r="I146" s="384" t="str">
        <f>IFERROR(IF(TRANSHARI2_SPVOUPAGI[[#This Row],[NAMA REKENING]]="","",TRANSHARI2_SPVOUPAGI[[#This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IFERROR(VLOOKUP(TRANSHARI2_SPVOUMALAM[[#This Row],[PRODUK]],DATA_SPVOU[],4,FALSE),"")</f>
        <v/>
      </c>
      <c r="T146" s="374"/>
      <c r="U146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6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6" s="12"/>
      <c r="X146" s="384" t="str">
        <f>IFERROR(IF(TRANSHARI2_SPVOUMALAM[[#This Row],[NAMA REKENING]]="","",TRANSHARI2_SPVOUMALAM[[#This Row],[DEBIT]]),"")</f>
        <v/>
      </c>
      <c r="Y146" s="387"/>
    </row>
    <row r="147" spans="1:25">
      <c r="A147" s="367">
        <v>6</v>
      </c>
      <c r="B147" s="368" t="s">
        <v>86</v>
      </c>
      <c r="C147" s="372">
        <v>1</v>
      </c>
      <c r="D147" s="373">
        <f>IFERROR(VLOOKUP(TRANSHARI2_SPVOUPAGI[[#This Row],[PRODUK]],DATA_SPVOU[],4,FALSE),"")</f>
        <v>15000</v>
      </c>
      <c r="E147" s="374"/>
      <c r="F147" s="373">
        <f>IFERROR(IF(TRANSHARI2_SPVOUPAGI[[#This Row],[NAMA PENGHUTANG]]="",((TRANSHARI2_SPVOUPAGI[[#This Row],[HARGA]]*TRANSHARI2_SPVOUPAGI[[#This Row],[QUANTITY]])+TRANSHARI2_SPVOUPAGI[[#This Row],[PRICE TOLERANCE]]),""),"")</f>
        <v>15000</v>
      </c>
      <c r="G147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7" s="12"/>
      <c r="I147" s="386" t="str">
        <f>IFERROR(IF(TRANSHARI2_SPVOUPAGI[[#This Row],[NAMA REKENING]]="","",TRANSHARI2_SPVOUPAGI[[#This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IFERROR(VLOOKUP(TRANSHARI2_SPVOUMALAM[[#This Row],[PRODUK]],DATA_SPVOU[],4,FALSE),"")</f>
        <v/>
      </c>
      <c r="T147" s="374"/>
      <c r="U147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7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7" s="12"/>
      <c r="X147" s="386" t="str">
        <f>IFERROR(IF(TRANSHARI2_SPVOUMALAM[[#This Row],[NAMA REKENING]]="","",TRANSHARI2_SPVOUMALAM[[#This Row],[DEBIT]]),"")</f>
        <v/>
      </c>
      <c r="Y147" s="387"/>
    </row>
    <row r="148" spans="1:25">
      <c r="A148" s="367">
        <v>7</v>
      </c>
      <c r="B148" s="368" t="s">
        <v>192</v>
      </c>
      <c r="C148" s="372">
        <v>1</v>
      </c>
      <c r="D148" s="369">
        <f>IFERROR(VLOOKUP(TRANSHARI2_SPVOUPAGI[[#This Row],[PRODUK]],DATA_SPVOU[],4,FALSE),"")</f>
        <v>10000</v>
      </c>
      <c r="E148" s="374"/>
      <c r="F148" s="369">
        <f>IFERROR(IF(TRANSHARI2_SPVOUPAGI[[#This Row],[NAMA PENGHUTANG]]="",((TRANSHARI2_SPVOUPAGI[[#This Row],[HARGA]]*TRANSHARI2_SPVOUPAGI[[#This Row],[QUANTITY]])+TRANSHARI2_SPVOUPAGI[[#This Row],[PRICE TOLERANCE]]),""),"")</f>
        <v>10000</v>
      </c>
      <c r="G148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8" s="12"/>
      <c r="I148" s="384" t="str">
        <f>IFERROR(IF(TRANSHARI2_SPVOUPAGI[[#This Row],[NAMA REKENING]]="","",TRANSHARI2_SPVOUPAGI[[#This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IFERROR(VLOOKUP(TRANSHARI2_SPVOUMALAM[[#This Row],[PRODUK]],DATA_SPVOU[],4,FALSE),"")</f>
        <v/>
      </c>
      <c r="T148" s="374"/>
      <c r="U148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8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8" s="12"/>
      <c r="X148" s="384" t="str">
        <f>IFERROR(IF(TRANSHARI2_SPVOUMALAM[[#This Row],[NAMA REKENING]]="","",TRANSHARI2_SPVOUMALAM[[#This Row],[DEBIT]]),"")</f>
        <v/>
      </c>
      <c r="Y148" s="387"/>
    </row>
    <row r="149" spans="1:25">
      <c r="A149" s="367">
        <v>8</v>
      </c>
      <c r="B149" s="368" t="s">
        <v>193</v>
      </c>
      <c r="C149" s="372">
        <v>2</v>
      </c>
      <c r="D149" s="373">
        <f>IFERROR(VLOOKUP(TRANSHARI2_SPVOUPAGI[[#This Row],[PRODUK]],DATA_SPVOU[],4,FALSE),"")</f>
        <v>18000</v>
      </c>
      <c r="E149" s="374"/>
      <c r="F149" s="373">
        <f>IFERROR(IF(TRANSHARI2_SPVOUPAGI[[#This Row],[NAMA PENGHUTANG]]="",((TRANSHARI2_SPVOUPAGI[[#This Row],[HARGA]]*TRANSHARI2_SPVOUPAGI[[#This Row],[QUANTITY]])+TRANSHARI2_SPVOUPAGI[[#This Row],[PRICE TOLERANCE]]),""),"")</f>
        <v>36000</v>
      </c>
      <c r="G149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49" s="12"/>
      <c r="I149" s="386" t="str">
        <f>IFERROR(IF(TRANSHARI2_SPVOUPAGI[[#This Row],[NAMA REKENING]]="","",TRANSHARI2_SPVOUPAGI[[#This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IFERROR(VLOOKUP(TRANSHARI2_SPVOUMALAM[[#This Row],[PRODUK]],DATA_SPVOU[],4,FALSE),"")</f>
        <v/>
      </c>
      <c r="T149" s="374"/>
      <c r="U149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49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49" s="12"/>
      <c r="X149" s="386" t="str">
        <f>IFERROR(IF(TRANSHARI2_SPVOUMALAM[[#This Row],[NAMA REKENING]]="","",TRANSHARI2_SPVOUMALAM[[#This Row],[DEBIT]]),"")</f>
        <v/>
      </c>
      <c r="Y149" s="387"/>
    </row>
    <row r="150" spans="1:25">
      <c r="A150" s="367">
        <v>9</v>
      </c>
      <c r="B150" s="368" t="s">
        <v>189</v>
      </c>
      <c r="C150" s="372">
        <v>1</v>
      </c>
      <c r="D150" s="369">
        <f>IFERROR(VLOOKUP(TRANSHARI2_SPVOUPAGI[[#This Row],[PRODUK]],DATA_SPVOU[],4,FALSE),"")</f>
        <v>23000</v>
      </c>
      <c r="E150" s="374"/>
      <c r="F150" s="369">
        <f>IFERROR(IF(TRANSHARI2_SPVOUPAGI[[#This Row],[NAMA PENGHUTANG]]="",((TRANSHARI2_SPVOUPAGI[[#This Row],[HARGA]]*TRANSHARI2_SPVOUPAGI[[#This Row],[QUANTITY]])+TRANSHARI2_SPVOUPAGI[[#This Row],[PRICE TOLERANCE]]),""),"")</f>
        <v>23000</v>
      </c>
      <c r="G150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0" s="12"/>
      <c r="I150" s="384" t="str">
        <f>IFERROR(IF(TRANSHARI2_SPVOUPAGI[[#This Row],[NAMA REKENING]]="","",TRANSHARI2_SPVOUPAGI[[#This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IFERROR(VLOOKUP(TRANSHARI2_SPVOUMALAM[[#This Row],[PRODUK]],DATA_SPVOU[],4,FALSE),"")</f>
        <v/>
      </c>
      <c r="T150" s="374"/>
      <c r="U150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0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0" s="12"/>
      <c r="X150" s="384" t="str">
        <f>IFERROR(IF(TRANSHARI2_SPVOUMALAM[[#This Row],[NAMA REKENING]]="","",TRANSHARI2_SPVOUMALAM[[#This Row],[DEBIT]]),"")</f>
        <v/>
      </c>
      <c r="Y150" s="387"/>
    </row>
    <row r="151" spans="1:25">
      <c r="A151" s="367">
        <v>10</v>
      </c>
      <c r="B151" s="368" t="s">
        <v>191</v>
      </c>
      <c r="C151" s="372">
        <v>1</v>
      </c>
      <c r="D151" s="373">
        <f>IFERROR(VLOOKUP(TRANSHARI2_SPVOUPAGI[[#This Row],[PRODUK]],DATA_SPVOU[],4,FALSE),"")</f>
        <v>30000</v>
      </c>
      <c r="E151" s="374"/>
      <c r="F151" s="373">
        <f>IFERROR(IF(TRANSHARI2_SPVOUPAGI[[#This Row],[NAMA PENGHUTANG]]="",((TRANSHARI2_SPVOUPAGI[[#This Row],[HARGA]]*TRANSHARI2_SPVOUPAGI[[#This Row],[QUANTITY]])+TRANSHARI2_SPVOUPAGI[[#This Row],[PRICE TOLERANCE]]),""),"")</f>
        <v>30000</v>
      </c>
      <c r="G151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1" s="12"/>
      <c r="I151" s="386" t="str">
        <f>IFERROR(IF(TRANSHARI2_SPVOUPAGI[[#This Row],[NAMA REKENING]]="","",TRANSHARI2_SPVOUPAGI[[#This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IFERROR(VLOOKUP(TRANSHARI2_SPVOUMALAM[[#This Row],[PRODUK]],DATA_SPVOU[],4,FALSE),"")</f>
        <v/>
      </c>
      <c r="T151" s="374"/>
      <c r="U151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1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1" s="12"/>
      <c r="X151" s="386" t="str">
        <f>IFERROR(IF(TRANSHARI2_SPVOUMALAM[[#This Row],[NAMA REKENING]]="","",TRANSHARI2_SPVOUMALAM[[#This Row],[DEBIT]]),"")</f>
        <v/>
      </c>
      <c r="Y151" s="387"/>
    </row>
    <row r="152" spans="1:25">
      <c r="A152" s="367">
        <v>11</v>
      </c>
      <c r="B152" s="368" t="s">
        <v>190</v>
      </c>
      <c r="C152" s="372">
        <v>1</v>
      </c>
      <c r="D152" s="369">
        <f>IFERROR(VLOOKUP(TRANSHARI2_SPVOUPAGI[[#This Row],[PRODUK]],DATA_SPVOU[],4,FALSE),"")</f>
        <v>17000</v>
      </c>
      <c r="E152" s="374"/>
      <c r="F152" s="369">
        <f>IFERROR(IF(TRANSHARI2_SPVOUPAGI[[#This Row],[NAMA PENGHUTANG]]="",((TRANSHARI2_SPVOUPAGI[[#This Row],[HARGA]]*TRANSHARI2_SPVOUPAGI[[#This Row],[QUANTITY]])+TRANSHARI2_SPVOUPAGI[[#This Row],[PRICE TOLERANCE]]),""),"")</f>
        <v>17000</v>
      </c>
      <c r="G152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2" s="12"/>
      <c r="I152" s="384" t="str">
        <f>IFERROR(IF(TRANSHARI2_SPVOUPAGI[[#This Row],[NAMA REKENING]]="","",TRANSHARI2_SPVOUPAGI[[#This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IFERROR(VLOOKUP(TRANSHARI2_SPVOUMALAM[[#This Row],[PRODUK]],DATA_SPVOU[],4,FALSE),"")</f>
        <v/>
      </c>
      <c r="T152" s="374"/>
      <c r="U152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2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2" s="12"/>
      <c r="X152" s="384" t="str">
        <f>IFERROR(IF(TRANSHARI2_SPVOUMALAM[[#This Row],[NAMA REKENING]]="","",TRANSHARI2_SPVOUMALAM[[#This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IFERROR(VLOOKUP(TRANSHARI2_SPVOUPAGI[[#This Row],[PRODUK]],DATA_SPVOU[],4,FALSE),"")</f>
        <v/>
      </c>
      <c r="E153" s="374"/>
      <c r="F153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53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3" s="12"/>
      <c r="I153" s="386" t="str">
        <f>IFERROR(IF(TRANSHARI2_SPVOUPAGI[[#This Row],[NAMA REKENING]]="","",TRANSHARI2_SPVOUPAGI[[#This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IFERROR(VLOOKUP(TRANSHARI2_SPVOUMALAM[[#This Row],[PRODUK]],DATA_SPVOU[],4,FALSE),"")</f>
        <v/>
      </c>
      <c r="T153" s="374"/>
      <c r="U153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3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3" s="12"/>
      <c r="X153" s="386" t="str">
        <f>IFERROR(IF(TRANSHARI2_SPVOUMALAM[[#This Row],[NAMA REKENING]]="","",TRANSHARI2_SPVOUMALAM[[#This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IFERROR(VLOOKUP(TRANSHARI2_SPVOUPAGI[[#This Row],[PRODUK]],DATA_SPVOU[],4,FALSE),"")</f>
        <v/>
      </c>
      <c r="E154" s="374"/>
      <c r="F154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54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4" s="12"/>
      <c r="I154" s="384" t="str">
        <f>IFERROR(IF(TRANSHARI2_SPVOUPAGI[[#This Row],[NAMA REKENING]]="","",TRANSHARI2_SPVOUPAGI[[#This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IFERROR(VLOOKUP(TRANSHARI2_SPVOUMALAM[[#This Row],[PRODUK]],DATA_SPVOU[],4,FALSE),"")</f>
        <v/>
      </c>
      <c r="T154" s="374"/>
      <c r="U154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4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4" s="12"/>
      <c r="X154" s="384" t="str">
        <f>IFERROR(IF(TRANSHARI2_SPVOUMALAM[[#This Row],[NAMA REKENING]]="","",TRANSHARI2_SPVOUMALAM[[#This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IFERROR(VLOOKUP(TRANSHARI2_SPVOUPAGI[[#This Row],[PRODUK]],DATA_SPVOU[],4,FALSE),"")</f>
        <v/>
      </c>
      <c r="E155" s="374"/>
      <c r="F155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55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5" s="12"/>
      <c r="I155" s="386" t="str">
        <f>IFERROR(IF(TRANSHARI2_SPVOUPAGI[[#This Row],[NAMA REKENING]]="","",TRANSHARI2_SPVOUPAGI[[#This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IFERROR(VLOOKUP(TRANSHARI2_SPVOUMALAM[[#This Row],[PRODUK]],DATA_SPVOU[],4,FALSE),"")</f>
        <v/>
      </c>
      <c r="T155" s="374"/>
      <c r="U155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5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5" s="12"/>
      <c r="X155" s="386" t="str">
        <f>IFERROR(IF(TRANSHARI2_SPVOUMALAM[[#This Row],[NAMA REKENING]]="","",TRANSHARI2_SPVOUMALAM[[#This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IFERROR(VLOOKUP(TRANSHARI2_SPVOUPAGI[[#This Row],[PRODUK]],DATA_SPVOU[],4,FALSE),"")</f>
        <v/>
      </c>
      <c r="E156" s="374"/>
      <c r="F156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56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6" s="12"/>
      <c r="I156" s="384" t="str">
        <f>IFERROR(IF(TRANSHARI2_SPVOUPAGI[[#This Row],[NAMA REKENING]]="","",TRANSHARI2_SPVOUPAGI[[#This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IFERROR(VLOOKUP(TRANSHARI2_SPVOUMALAM[[#This Row],[PRODUK]],DATA_SPVOU[],4,FALSE),"")</f>
        <v/>
      </c>
      <c r="T156" s="374"/>
      <c r="U156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6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6" s="12"/>
      <c r="X156" s="384" t="str">
        <f>IFERROR(IF(TRANSHARI2_SPVOUMALAM[[#This Row],[NAMA REKENING]]="","",TRANSHARI2_SPVOUMALAM[[#This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IFERROR(VLOOKUP(TRANSHARI2_SPVOUPAGI[[#This Row],[PRODUK]],DATA_SPVOU[],4,FALSE),"")</f>
        <v/>
      </c>
      <c r="E157" s="374"/>
      <c r="F157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57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7" s="12"/>
      <c r="I157" s="386" t="str">
        <f>IFERROR(IF(TRANSHARI2_SPVOUPAGI[[#This Row],[NAMA REKENING]]="","",TRANSHARI2_SPVOUPAGI[[#This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IFERROR(VLOOKUP(TRANSHARI2_SPVOUMALAM[[#This Row],[PRODUK]],DATA_SPVOU[],4,FALSE),"")</f>
        <v/>
      </c>
      <c r="T157" s="374"/>
      <c r="U157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7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7" s="12"/>
      <c r="X157" s="386" t="str">
        <f>IFERROR(IF(TRANSHARI2_SPVOUMALAM[[#This Row],[NAMA REKENING]]="","",TRANSHARI2_SPVOUMALAM[[#This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IFERROR(VLOOKUP(TRANSHARI2_SPVOUPAGI[[#This Row],[PRODUK]],DATA_SPVOU[],4,FALSE),"")</f>
        <v/>
      </c>
      <c r="E158" s="374"/>
      <c r="F158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58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8" s="12"/>
      <c r="I158" s="384" t="str">
        <f>IFERROR(IF(TRANSHARI2_SPVOUPAGI[[#This Row],[NAMA REKENING]]="","",TRANSHARI2_SPVOUPAGI[[#This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IFERROR(VLOOKUP(TRANSHARI2_SPVOUMALAM[[#This Row],[PRODUK]],DATA_SPVOU[],4,FALSE),"")</f>
        <v/>
      </c>
      <c r="T158" s="374"/>
      <c r="U158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8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8" s="12"/>
      <c r="X158" s="384" t="str">
        <f>IFERROR(IF(TRANSHARI2_SPVOUMALAM[[#This Row],[NAMA REKENING]]="","",TRANSHARI2_SPVOUMALAM[[#This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IFERROR(VLOOKUP(TRANSHARI2_SPVOUPAGI[[#This Row],[PRODUK]],DATA_SPVOU[],4,FALSE),"")</f>
        <v/>
      </c>
      <c r="E159" s="374"/>
      <c r="F159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59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59" s="12"/>
      <c r="I159" s="386" t="str">
        <f>IFERROR(IF(TRANSHARI2_SPVOUPAGI[[#This Row],[NAMA REKENING]]="","",TRANSHARI2_SPVOUPAGI[[#This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IFERROR(VLOOKUP(TRANSHARI2_SPVOUMALAM[[#This Row],[PRODUK]],DATA_SPVOU[],4,FALSE),"")</f>
        <v/>
      </c>
      <c r="T159" s="374"/>
      <c r="U159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59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59" s="12"/>
      <c r="X159" s="386" t="str">
        <f>IFERROR(IF(TRANSHARI2_SPVOUMALAM[[#This Row],[NAMA REKENING]]="","",TRANSHARI2_SPVOUMALAM[[#This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IFERROR(VLOOKUP(TRANSHARI2_SPVOUPAGI[[#This Row],[PRODUK]],DATA_SPVOU[],4,FALSE),"")</f>
        <v/>
      </c>
      <c r="E160" s="374"/>
      <c r="F160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0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0" s="12"/>
      <c r="I160" s="384" t="str">
        <f>IFERROR(IF(TRANSHARI2_SPVOUPAGI[[#This Row],[NAMA REKENING]]="","",TRANSHARI2_SPVOUPAGI[[#This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IFERROR(VLOOKUP(TRANSHARI2_SPVOUMALAM[[#This Row],[PRODUK]],DATA_SPVOU[],4,FALSE),"")</f>
        <v/>
      </c>
      <c r="T160" s="374"/>
      <c r="U160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0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0" s="12"/>
      <c r="X160" s="384" t="str">
        <f>IFERROR(IF(TRANSHARI2_SPVOUMALAM[[#This Row],[NAMA REKENING]]="","",TRANSHARI2_SPVOUMALAM[[#This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IFERROR(VLOOKUP(TRANSHARI2_SPVOUPAGI[[#This Row],[PRODUK]],DATA_SPVOU[],4,FALSE),"")</f>
        <v/>
      </c>
      <c r="E161" s="374"/>
      <c r="F161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1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1" s="12"/>
      <c r="I161" s="386" t="str">
        <f>IFERROR(IF(TRANSHARI2_SPVOUPAGI[[#This Row],[NAMA REKENING]]="","",TRANSHARI2_SPVOUPAGI[[#This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IFERROR(VLOOKUP(TRANSHARI2_SPVOUMALAM[[#This Row],[PRODUK]],DATA_SPVOU[],4,FALSE),"")</f>
        <v/>
      </c>
      <c r="T161" s="374"/>
      <c r="U161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1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1" s="12"/>
      <c r="X161" s="386" t="str">
        <f>IFERROR(IF(TRANSHARI2_SPVOUMALAM[[#This Row],[NAMA REKENING]]="","",TRANSHARI2_SPVOUMALAM[[#This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IFERROR(VLOOKUP(TRANSHARI2_SPVOUPAGI[[#This Row],[PRODUK]],DATA_SPVOU[],4,FALSE),"")</f>
        <v/>
      </c>
      <c r="E162" s="374"/>
      <c r="F162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2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2" s="12"/>
      <c r="I162" s="384" t="str">
        <f>IFERROR(IF(TRANSHARI2_SPVOUPAGI[[#This Row],[NAMA REKENING]]="","",TRANSHARI2_SPVOUPAGI[[#This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IFERROR(VLOOKUP(TRANSHARI2_SPVOUMALAM[[#This Row],[PRODUK]],DATA_SPVOU[],4,FALSE),"")</f>
        <v/>
      </c>
      <c r="T162" s="374"/>
      <c r="U162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2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2" s="12"/>
      <c r="X162" s="384" t="str">
        <f>IFERROR(IF(TRANSHARI2_SPVOUMALAM[[#This Row],[NAMA REKENING]]="","",TRANSHARI2_SPVOUMALAM[[#This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IFERROR(VLOOKUP(TRANSHARI2_SPVOUPAGI[[#This Row],[PRODUK]],DATA_SPVOU[],4,FALSE),"")</f>
        <v/>
      </c>
      <c r="E163" s="374"/>
      <c r="F163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3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3" s="12"/>
      <c r="I163" s="386" t="str">
        <f>IFERROR(IF(TRANSHARI2_SPVOUPAGI[[#This Row],[NAMA REKENING]]="","",TRANSHARI2_SPVOUPAGI[[#This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IFERROR(VLOOKUP(TRANSHARI2_SPVOUMALAM[[#This Row],[PRODUK]],DATA_SPVOU[],4,FALSE),"")</f>
        <v/>
      </c>
      <c r="T163" s="374"/>
      <c r="U163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3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3" s="12"/>
      <c r="X163" s="386" t="str">
        <f>IFERROR(IF(TRANSHARI2_SPVOUMALAM[[#This Row],[NAMA REKENING]]="","",TRANSHARI2_SPVOUMALAM[[#This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IFERROR(VLOOKUP(TRANSHARI2_SPVOUPAGI[[#This Row],[PRODUK]],DATA_SPVOU[],4,FALSE),"")</f>
        <v/>
      </c>
      <c r="E164" s="374"/>
      <c r="F164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4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4" s="12"/>
      <c r="I164" s="384" t="str">
        <f>IFERROR(IF(TRANSHARI2_SPVOUPAGI[[#This Row],[NAMA REKENING]]="","",TRANSHARI2_SPVOUPAGI[[#This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IFERROR(VLOOKUP(TRANSHARI2_SPVOUMALAM[[#This Row],[PRODUK]],DATA_SPVOU[],4,FALSE),"")</f>
        <v/>
      </c>
      <c r="T164" s="374"/>
      <c r="U164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4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4" s="12"/>
      <c r="X164" s="384" t="str">
        <f>IFERROR(IF(TRANSHARI2_SPVOUMALAM[[#This Row],[NAMA REKENING]]="","",TRANSHARI2_SPVOUMALAM[[#This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IFERROR(VLOOKUP(TRANSHARI2_SPVOUPAGI[[#This Row],[PRODUK]],DATA_SPVOU[],4,FALSE),"")</f>
        <v/>
      </c>
      <c r="E165" s="374"/>
      <c r="F165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5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5" s="12"/>
      <c r="I165" s="386" t="str">
        <f>IFERROR(IF(TRANSHARI2_SPVOUPAGI[[#This Row],[NAMA REKENING]]="","",TRANSHARI2_SPVOUPAGI[[#This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IFERROR(VLOOKUP(TRANSHARI2_SPVOUMALAM[[#This Row],[PRODUK]],DATA_SPVOU[],4,FALSE),"")</f>
        <v/>
      </c>
      <c r="T165" s="374"/>
      <c r="U165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5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5" s="12"/>
      <c r="X165" s="386" t="str">
        <f>IFERROR(IF(TRANSHARI2_SPVOUMALAM[[#This Row],[NAMA REKENING]]="","",TRANSHARI2_SPVOUMALAM[[#This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IFERROR(VLOOKUP(TRANSHARI2_SPVOUPAGI[[#This Row],[PRODUK]],DATA_SPVOU[],4,FALSE),"")</f>
        <v/>
      </c>
      <c r="E166" s="374"/>
      <c r="F166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6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6" s="12"/>
      <c r="I166" s="384" t="str">
        <f>IFERROR(IF(TRANSHARI2_SPVOUPAGI[[#This Row],[NAMA REKENING]]="","",TRANSHARI2_SPVOUPAGI[[#This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IFERROR(VLOOKUP(TRANSHARI2_SPVOUMALAM[[#This Row],[PRODUK]],DATA_SPVOU[],4,FALSE),"")</f>
        <v/>
      </c>
      <c r="T166" s="374"/>
      <c r="U166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6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6" s="12"/>
      <c r="X166" s="384" t="str">
        <f>IFERROR(IF(TRANSHARI2_SPVOUMALAM[[#This Row],[NAMA REKENING]]="","",TRANSHARI2_SPVOUMALAM[[#This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IFERROR(VLOOKUP(TRANSHARI2_SPVOUPAGI[[#This Row],[PRODUK]],DATA_SPVOU[],4,FALSE),"")</f>
        <v/>
      </c>
      <c r="E167" s="376"/>
      <c r="F167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7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7" s="377"/>
      <c r="I167" s="386" t="str">
        <f>IFERROR(IF(TRANSHARI2_SPVOUPAGI[[#This Row],[NAMA REKENING]]="","",TRANSHARI2_SPVOUPAGI[[#This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IFERROR(VLOOKUP(TRANSHARI2_SPVOUMALAM[[#This Row],[PRODUK]],DATA_SPVOU[],4,FALSE),"")</f>
        <v/>
      </c>
      <c r="T167" s="376"/>
      <c r="U167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7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7" s="377"/>
      <c r="X167" s="386" t="str">
        <f>IFERROR(IF(TRANSHARI2_SPVOUMALAM[[#This Row],[NAMA REKENING]]="","",TRANSHARI2_SPVOUMALAM[[#This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IFERROR(VLOOKUP(TRANSHARI2_SPVOUPAGI[[#This Row],[PRODUK]],DATA_SPVOU[],4,FALSE),"")</f>
        <v/>
      </c>
      <c r="E168" s="374"/>
      <c r="F168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8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8" s="12"/>
      <c r="I168" s="384" t="str">
        <f>IFERROR(IF(TRANSHARI2_SPVOUPAGI[[#This Row],[NAMA REKENING]]="","",TRANSHARI2_SPVOUPAGI[[#This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IFERROR(VLOOKUP(TRANSHARI2_SPVOUMALAM[[#This Row],[PRODUK]],DATA_SPVOU[],4,FALSE),"")</f>
        <v/>
      </c>
      <c r="T168" s="374"/>
      <c r="U168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8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8" s="12"/>
      <c r="X168" s="384" t="str">
        <f>IFERROR(IF(TRANSHARI2_SPVOUMALAM[[#This Row],[NAMA REKENING]]="","",TRANSHARI2_SPVOUMALAM[[#This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IFERROR(VLOOKUP(TRANSHARI2_SPVOUPAGI[[#This Row],[PRODUK]],DATA_SPVOU[],4,FALSE),"")</f>
        <v/>
      </c>
      <c r="E169" s="374"/>
      <c r="F169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69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69" s="12"/>
      <c r="I169" s="386" t="str">
        <f>IFERROR(IF(TRANSHARI2_SPVOUPAGI[[#This Row],[NAMA REKENING]]="","",TRANSHARI2_SPVOUPAGI[[#This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IFERROR(VLOOKUP(TRANSHARI2_SPVOUMALAM[[#This Row],[PRODUK]],DATA_SPVOU[],4,FALSE),"")</f>
        <v/>
      </c>
      <c r="T169" s="374"/>
      <c r="U169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69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69" s="12"/>
      <c r="X169" s="386" t="str">
        <f>IFERROR(IF(TRANSHARI2_SPVOUMALAM[[#This Row],[NAMA REKENING]]="","",TRANSHARI2_SPVOUMALAM[[#This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IFERROR(VLOOKUP(TRANSHARI2_SPVOUPAGI[[#This Row],[PRODUK]],DATA_SPVOU[],4,FALSE),"")</f>
        <v/>
      </c>
      <c r="E170" s="374"/>
      <c r="F170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0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0" s="12"/>
      <c r="I170" s="384" t="str">
        <f>IFERROR(IF(TRANSHARI2_SPVOUPAGI[[#This Row],[NAMA REKENING]]="","",TRANSHARI2_SPVOUPAGI[[#This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IFERROR(VLOOKUP(TRANSHARI2_SPVOUMALAM[[#This Row],[PRODUK]],DATA_SPVOU[],4,FALSE),"")</f>
        <v/>
      </c>
      <c r="T170" s="374"/>
      <c r="U170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0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0" s="12"/>
      <c r="X170" s="384" t="str">
        <f>IFERROR(IF(TRANSHARI2_SPVOUMALAM[[#This Row],[NAMA REKENING]]="","",TRANSHARI2_SPVOUMALAM[[#This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IFERROR(VLOOKUP(TRANSHARI2_SPVOUPAGI[[#This Row],[PRODUK]],DATA_SPVOU[],4,FALSE),"")</f>
        <v/>
      </c>
      <c r="E171" s="374"/>
      <c r="F171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1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1" s="12"/>
      <c r="I171" s="386" t="str">
        <f>IFERROR(IF(TRANSHARI2_SPVOUPAGI[[#This Row],[NAMA REKENING]]="","",TRANSHARI2_SPVOUPAGI[[#This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IFERROR(VLOOKUP(TRANSHARI2_SPVOUMALAM[[#This Row],[PRODUK]],DATA_SPVOU[],4,FALSE),"")</f>
        <v/>
      </c>
      <c r="T171" s="374"/>
      <c r="U171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1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1" s="12"/>
      <c r="X171" s="386" t="str">
        <f>IFERROR(IF(TRANSHARI2_SPVOUMALAM[[#This Row],[NAMA REKENING]]="","",TRANSHARI2_SPVOUMALAM[[#This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IFERROR(VLOOKUP(TRANSHARI2_SPVOUPAGI[[#This Row],[PRODUK]],DATA_SPVOU[],4,FALSE),"")</f>
        <v/>
      </c>
      <c r="E172" s="374"/>
      <c r="F172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2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2" s="12"/>
      <c r="I172" s="384" t="str">
        <f>IFERROR(IF(TRANSHARI2_SPVOUPAGI[[#This Row],[NAMA REKENING]]="","",TRANSHARI2_SPVOUPAGI[[#This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IFERROR(VLOOKUP(TRANSHARI2_SPVOUMALAM[[#This Row],[PRODUK]],DATA_SPVOU[],4,FALSE),"")</f>
        <v/>
      </c>
      <c r="T172" s="374"/>
      <c r="U172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2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2" s="12"/>
      <c r="X172" s="384" t="str">
        <f>IFERROR(IF(TRANSHARI2_SPVOUMALAM[[#This Row],[NAMA REKENING]]="","",TRANSHARI2_SPVOUMALAM[[#This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IFERROR(VLOOKUP(TRANSHARI2_SPVOUPAGI[[#This Row],[PRODUK]],DATA_SPVOU[],4,FALSE),"")</f>
        <v/>
      </c>
      <c r="E173" s="374"/>
      <c r="F173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3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3" s="12"/>
      <c r="I173" s="386" t="str">
        <f>IFERROR(IF(TRANSHARI2_SPVOUPAGI[[#This Row],[NAMA REKENING]]="","",TRANSHARI2_SPVOUPAGI[[#This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IFERROR(VLOOKUP(TRANSHARI2_SPVOUMALAM[[#This Row],[PRODUK]],DATA_SPVOU[],4,FALSE),"")</f>
        <v/>
      </c>
      <c r="T173" s="374"/>
      <c r="U173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3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3" s="12"/>
      <c r="X173" s="386" t="str">
        <f>IFERROR(IF(TRANSHARI2_SPVOUMALAM[[#This Row],[NAMA REKENING]]="","",TRANSHARI2_SPVOUMALAM[[#This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IFERROR(VLOOKUP(TRANSHARI2_SPVOUPAGI[[#This Row],[PRODUK]],DATA_SPVOU[],4,FALSE),"")</f>
        <v/>
      </c>
      <c r="E174" s="374"/>
      <c r="F174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4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4" s="12"/>
      <c r="I174" s="384" t="str">
        <f>IFERROR(IF(TRANSHARI2_SPVOUPAGI[[#This Row],[NAMA REKENING]]="","",TRANSHARI2_SPVOUPAGI[[#This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IFERROR(VLOOKUP(TRANSHARI2_SPVOUMALAM[[#This Row],[PRODUK]],DATA_SPVOU[],4,FALSE),"")</f>
        <v/>
      </c>
      <c r="T174" s="374"/>
      <c r="U174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4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4" s="12"/>
      <c r="X174" s="384" t="str">
        <f>IFERROR(IF(TRANSHARI2_SPVOUMALAM[[#This Row],[NAMA REKENING]]="","",TRANSHARI2_SPVOUMALAM[[#This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IFERROR(VLOOKUP(TRANSHARI2_SPVOUPAGI[[#This Row],[PRODUK]],DATA_SPVOU[],4,FALSE),"")</f>
        <v/>
      </c>
      <c r="E175" s="374"/>
      <c r="F175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5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5" s="12"/>
      <c r="I175" s="386" t="str">
        <f>IFERROR(IF(TRANSHARI2_SPVOUPAGI[[#This Row],[NAMA REKENING]]="","",TRANSHARI2_SPVOUPAGI[[#This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IFERROR(VLOOKUP(TRANSHARI2_SPVOUMALAM[[#This Row],[PRODUK]],DATA_SPVOU[],4,FALSE),"")</f>
        <v/>
      </c>
      <c r="T175" s="374"/>
      <c r="U175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5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5" s="12"/>
      <c r="X175" s="386" t="str">
        <f>IFERROR(IF(TRANSHARI2_SPVOUMALAM[[#This Row],[NAMA REKENING]]="","",TRANSHARI2_SPVOUMALAM[[#This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IFERROR(VLOOKUP(TRANSHARI2_SPVOUPAGI[[#This Row],[PRODUK]],DATA_SPVOU[],4,FALSE),"")</f>
        <v/>
      </c>
      <c r="E176" s="374"/>
      <c r="F176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6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6" s="12"/>
      <c r="I176" s="384" t="str">
        <f>IFERROR(IF(TRANSHARI2_SPVOUPAGI[[#This Row],[NAMA REKENING]]="","",TRANSHARI2_SPVOUPAGI[[#This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IFERROR(VLOOKUP(TRANSHARI2_SPVOUMALAM[[#This Row],[PRODUK]],DATA_SPVOU[],4,FALSE),"")</f>
        <v/>
      </c>
      <c r="T176" s="374"/>
      <c r="U176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6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6" s="12"/>
      <c r="X176" s="384" t="str">
        <f>IFERROR(IF(TRANSHARI2_SPVOUMALAM[[#This Row],[NAMA REKENING]]="","",TRANSHARI2_SPVOUMALAM[[#This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IFERROR(VLOOKUP(TRANSHARI2_SPVOUPAGI[[#This Row],[PRODUK]],DATA_SPVOU[],4,FALSE),"")</f>
        <v/>
      </c>
      <c r="E177" s="374"/>
      <c r="F177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7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7" s="12"/>
      <c r="I177" s="386" t="str">
        <f>IFERROR(IF(TRANSHARI2_SPVOUPAGI[[#This Row],[NAMA REKENING]]="","",TRANSHARI2_SPVOUPAGI[[#This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IFERROR(VLOOKUP(TRANSHARI2_SPVOUMALAM[[#This Row],[PRODUK]],DATA_SPVOU[],4,FALSE),"")</f>
        <v/>
      </c>
      <c r="T177" s="374"/>
      <c r="U177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7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7" s="12"/>
      <c r="X177" s="386" t="str">
        <f>IFERROR(IF(TRANSHARI2_SPVOUMALAM[[#This Row],[NAMA REKENING]]="","",TRANSHARI2_SPVOUMALAM[[#This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IFERROR(VLOOKUP(TRANSHARI2_SPVOUPAGI[[#This Row],[PRODUK]],DATA_SPVOU[],4,FALSE),"")</f>
        <v/>
      </c>
      <c r="E178" s="374"/>
      <c r="F178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8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8" s="12"/>
      <c r="I178" s="384" t="str">
        <f>IFERROR(IF(TRANSHARI2_SPVOUPAGI[[#This Row],[NAMA REKENING]]="","",TRANSHARI2_SPVOUPAGI[[#This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IFERROR(VLOOKUP(TRANSHARI2_SPVOUMALAM[[#This Row],[PRODUK]],DATA_SPVOU[],4,FALSE),"")</f>
        <v/>
      </c>
      <c r="T178" s="374"/>
      <c r="U178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8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8" s="12"/>
      <c r="X178" s="384" t="str">
        <f>IFERROR(IF(TRANSHARI2_SPVOUMALAM[[#This Row],[NAMA REKENING]]="","",TRANSHARI2_SPVOUMALAM[[#This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IFERROR(VLOOKUP(TRANSHARI2_SPVOUPAGI[[#This Row],[PRODUK]],DATA_SPVOU[],4,FALSE),"")</f>
        <v/>
      </c>
      <c r="E179" s="374"/>
      <c r="F179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79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79" s="12"/>
      <c r="I179" s="386" t="str">
        <f>IFERROR(IF(TRANSHARI2_SPVOUPAGI[[#This Row],[NAMA REKENING]]="","",TRANSHARI2_SPVOUPAGI[[#This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IFERROR(VLOOKUP(TRANSHARI2_SPVOUMALAM[[#This Row],[PRODUK]],DATA_SPVOU[],4,FALSE),"")</f>
        <v/>
      </c>
      <c r="T179" s="374"/>
      <c r="U179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79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79" s="12"/>
      <c r="X179" s="386" t="str">
        <f>IFERROR(IF(TRANSHARI2_SPVOUMALAM[[#This Row],[NAMA REKENING]]="","",TRANSHARI2_SPVOUMALAM[[#This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IFERROR(VLOOKUP(TRANSHARI2_SPVOUPAGI[[#This Row],[PRODUK]],DATA_SPVOU[],4,FALSE),"")</f>
        <v/>
      </c>
      <c r="E180" s="374"/>
      <c r="F180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0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0" s="12"/>
      <c r="I180" s="384" t="str">
        <f>IFERROR(IF(TRANSHARI2_SPVOUPAGI[[#This Row],[NAMA REKENING]]="","",TRANSHARI2_SPVOUPAGI[[#This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IFERROR(VLOOKUP(TRANSHARI2_SPVOUMALAM[[#This Row],[PRODUK]],DATA_SPVOU[],4,FALSE),"")</f>
        <v/>
      </c>
      <c r="T180" s="374"/>
      <c r="U180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0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0" s="12"/>
      <c r="X180" s="384" t="str">
        <f>IFERROR(IF(TRANSHARI2_SPVOUMALAM[[#This Row],[NAMA REKENING]]="","",TRANSHARI2_SPVOUMALAM[[#This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IFERROR(VLOOKUP(TRANSHARI2_SPVOUPAGI[[#This Row],[PRODUK]],DATA_SPVOU[],4,FALSE),"")</f>
        <v/>
      </c>
      <c r="E181" s="374"/>
      <c r="F181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1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1" s="12"/>
      <c r="I181" s="386" t="str">
        <f>IFERROR(IF(TRANSHARI2_SPVOUPAGI[[#This Row],[NAMA REKENING]]="","",TRANSHARI2_SPVOUPAGI[[#This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IFERROR(VLOOKUP(TRANSHARI2_SPVOUMALAM[[#This Row],[PRODUK]],DATA_SPVOU[],4,FALSE),"")</f>
        <v/>
      </c>
      <c r="T181" s="374"/>
      <c r="U181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1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1" s="12"/>
      <c r="X181" s="386" t="str">
        <f>IFERROR(IF(TRANSHARI2_SPVOUMALAM[[#This Row],[NAMA REKENING]]="","",TRANSHARI2_SPVOUMALAM[[#This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IFERROR(VLOOKUP(TRANSHARI2_SPVOUPAGI[[#This Row],[PRODUK]],DATA_SPVOU[],4,FALSE),"")</f>
        <v/>
      </c>
      <c r="E182" s="374"/>
      <c r="F182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2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2" s="12"/>
      <c r="I182" s="384" t="str">
        <f>IFERROR(IF(TRANSHARI2_SPVOUPAGI[[#This Row],[NAMA REKENING]]="","",TRANSHARI2_SPVOUPAGI[[#This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IFERROR(VLOOKUP(TRANSHARI2_SPVOUMALAM[[#This Row],[PRODUK]],DATA_SPVOU[],4,FALSE),"")</f>
        <v/>
      </c>
      <c r="T182" s="374"/>
      <c r="U182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2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2" s="12"/>
      <c r="X182" s="384" t="str">
        <f>IFERROR(IF(TRANSHARI2_SPVOUMALAM[[#This Row],[NAMA REKENING]]="","",TRANSHARI2_SPVOUMALAM[[#This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IFERROR(VLOOKUP(TRANSHARI2_SPVOUPAGI[[#This Row],[PRODUK]],DATA_SPVOU[],4,FALSE),"")</f>
        <v/>
      </c>
      <c r="E183" s="374"/>
      <c r="F183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3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3" s="12"/>
      <c r="I183" s="386" t="str">
        <f>IFERROR(IF(TRANSHARI2_SPVOUPAGI[[#This Row],[NAMA REKENING]]="","",TRANSHARI2_SPVOUPAGI[[#This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IFERROR(VLOOKUP(TRANSHARI2_SPVOUMALAM[[#This Row],[PRODUK]],DATA_SPVOU[],4,FALSE),"")</f>
        <v/>
      </c>
      <c r="T183" s="374"/>
      <c r="U183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3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3" s="12"/>
      <c r="X183" s="386" t="str">
        <f>IFERROR(IF(TRANSHARI2_SPVOUMALAM[[#This Row],[NAMA REKENING]]="","",TRANSHARI2_SPVOUMALAM[[#This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IFERROR(VLOOKUP(TRANSHARI2_SPVOUPAGI[[#This Row],[PRODUK]],DATA_SPVOU[],4,FALSE),"")</f>
        <v/>
      </c>
      <c r="E184" s="374"/>
      <c r="F184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4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4" s="12"/>
      <c r="I184" s="384" t="str">
        <f>IFERROR(IF(TRANSHARI2_SPVOUPAGI[[#This Row],[NAMA REKENING]]="","",TRANSHARI2_SPVOUPAGI[[#This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IFERROR(VLOOKUP(TRANSHARI2_SPVOUMALAM[[#This Row],[PRODUK]],DATA_SPVOU[],4,FALSE),"")</f>
        <v/>
      </c>
      <c r="T184" s="374"/>
      <c r="U184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4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4" s="12"/>
      <c r="X184" s="384" t="str">
        <f>IFERROR(IF(TRANSHARI2_SPVOUMALAM[[#This Row],[NAMA REKENING]]="","",TRANSHARI2_SPVOUMALAM[[#This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IFERROR(VLOOKUP(TRANSHARI2_SPVOUPAGI[[#This Row],[PRODUK]],DATA_SPVOU[],4,FALSE),"")</f>
        <v/>
      </c>
      <c r="E185" s="374"/>
      <c r="F185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5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5" s="12"/>
      <c r="I185" s="386" t="str">
        <f>IFERROR(IF(TRANSHARI2_SPVOUPAGI[[#This Row],[NAMA REKENING]]="","",TRANSHARI2_SPVOUPAGI[[#This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IFERROR(VLOOKUP(TRANSHARI2_SPVOUMALAM[[#This Row],[PRODUK]],DATA_SPVOU[],4,FALSE),"")</f>
        <v/>
      </c>
      <c r="T185" s="374"/>
      <c r="U185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5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5" s="12"/>
      <c r="X185" s="386" t="str">
        <f>IFERROR(IF(TRANSHARI2_SPVOUMALAM[[#This Row],[NAMA REKENING]]="","",TRANSHARI2_SPVOUMALAM[[#This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IFERROR(VLOOKUP(TRANSHARI2_SPVOUPAGI[[#This Row],[PRODUK]],DATA_SPVOU[],4,FALSE),"")</f>
        <v/>
      </c>
      <c r="E186" s="374"/>
      <c r="F186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6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6" s="12"/>
      <c r="I186" s="384" t="str">
        <f>IFERROR(IF(TRANSHARI2_SPVOUPAGI[[#This Row],[NAMA REKENING]]="","",TRANSHARI2_SPVOUPAGI[[#This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IFERROR(VLOOKUP(TRANSHARI2_SPVOUMALAM[[#This Row],[PRODUK]],DATA_SPVOU[],4,FALSE),"")</f>
        <v/>
      </c>
      <c r="T186" s="374"/>
      <c r="U186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6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6" s="12"/>
      <c r="X186" s="384" t="str">
        <f>IFERROR(IF(TRANSHARI2_SPVOUMALAM[[#This Row],[NAMA REKENING]]="","",TRANSHARI2_SPVOUMALAM[[#This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IFERROR(VLOOKUP(TRANSHARI2_SPVOUPAGI[[#This Row],[PRODUK]],DATA_SPVOU[],4,FALSE),"")</f>
        <v/>
      </c>
      <c r="E187" s="374"/>
      <c r="F187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7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7" s="12"/>
      <c r="I187" s="386" t="str">
        <f>IFERROR(IF(TRANSHARI2_SPVOUPAGI[[#This Row],[NAMA REKENING]]="","",TRANSHARI2_SPVOUPAGI[[#This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IFERROR(VLOOKUP(TRANSHARI2_SPVOUMALAM[[#This Row],[PRODUK]],DATA_SPVOU[],4,FALSE),"")</f>
        <v/>
      </c>
      <c r="T187" s="374"/>
      <c r="U187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7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7" s="12"/>
      <c r="X187" s="386" t="str">
        <f>IFERROR(IF(TRANSHARI2_SPVOUMALAM[[#This Row],[NAMA REKENING]]="","",TRANSHARI2_SPVOUMALAM[[#This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IFERROR(VLOOKUP(TRANSHARI2_SPVOUPAGI[[#This Row],[PRODUK]],DATA_SPVOU[],4,FALSE),"")</f>
        <v/>
      </c>
      <c r="E188" s="374"/>
      <c r="F188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8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8" s="12"/>
      <c r="I188" s="384" t="str">
        <f>IFERROR(IF(TRANSHARI2_SPVOUPAGI[[#This Row],[NAMA REKENING]]="","",TRANSHARI2_SPVOUPAGI[[#This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IFERROR(VLOOKUP(TRANSHARI2_SPVOUMALAM[[#This Row],[PRODUK]],DATA_SPVOU[],4,FALSE),"")</f>
        <v/>
      </c>
      <c r="T188" s="374"/>
      <c r="U188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8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8" s="12"/>
      <c r="X188" s="384" t="str">
        <f>IFERROR(IF(TRANSHARI2_SPVOUMALAM[[#This Row],[NAMA REKENING]]="","",TRANSHARI2_SPVOUMALAM[[#This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IFERROR(VLOOKUP(TRANSHARI2_SPVOUPAGI[[#This Row],[PRODUK]],DATA_SPVOU[],4,FALSE),"")</f>
        <v/>
      </c>
      <c r="E189" s="374"/>
      <c r="F189" s="373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89" s="373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89" s="12"/>
      <c r="I189" s="386" t="str">
        <f>IFERROR(IF(TRANSHARI2_SPVOUPAGI[[#This Row],[NAMA REKENING]]="","",TRANSHARI2_SPVOUPAGI[[#This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IFERROR(VLOOKUP(TRANSHARI2_SPVOUMALAM[[#This Row],[PRODUK]],DATA_SPVOU[],4,FALSE),"")</f>
        <v/>
      </c>
      <c r="T189" s="374"/>
      <c r="U189" s="373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89" s="373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89" s="12"/>
      <c r="X189" s="386" t="str">
        <f>IFERROR(IF(TRANSHARI2_SPVOUMALAM[[#This Row],[NAMA REKENING]]="","",TRANSHARI2_SPVOUMALAM[[#This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IFERROR(VLOOKUP(TRANSHARI2_SPVOUPAGI[[#This Row],[PRODUK]],DATA_SPVOU[],4,FALSE),"")</f>
        <v/>
      </c>
      <c r="E190" s="374"/>
      <c r="F190" s="369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90" s="369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90" s="12"/>
      <c r="I190" s="384" t="str">
        <f>IFERROR(IF(TRANSHARI2_SPVOUPAGI[[#This Row],[NAMA REKENING]]="","",TRANSHARI2_SPVOUPAGI[[#This Row],[DEBIT]]),"")</f>
        <v/>
      </c>
      <c r="J190" s="387"/>
      <c r="K190" s="389">
        <f>F192+G192</f>
        <v>237000</v>
      </c>
      <c r="L190" s="390"/>
      <c r="O190" s="324"/>
      <c r="P190" s="367">
        <v>49</v>
      </c>
      <c r="Q190" s="368"/>
      <c r="R190" s="372"/>
      <c r="S190" s="369" t="str">
        <f>IFERROR(VLOOKUP(TRANSHARI2_SPVOUMALAM[[#This Row],[PRODUK]],DATA_SPVOU[],4,FALSE),"")</f>
        <v/>
      </c>
      <c r="T190" s="374"/>
      <c r="U190" s="369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90" s="369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90" s="12"/>
      <c r="X190" s="384" t="str">
        <f>IFERROR(IF(TRANSHARI2_SPVOUMALAM[[#This Row],[NAMA REKENING]]="","",TRANSHARI2_SPVOUMALAM[[#This Row],[DEBIT]]),"")</f>
        <v/>
      </c>
      <c r="Y190" s="387"/>
      <c r="Z190" s="400">
        <f>K190+Z185</f>
        <v>237000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IFERROR(VLOOKUP(TRANSHARI2_SPVOUPAGI[[#This Row],[PRODUK]],DATA_SPVOU[],4,FALSE),"")</f>
        <v/>
      </c>
      <c r="E191" s="376"/>
      <c r="F191" s="394" t="str">
        <f>IFERROR(IF(TRANSHARI2_SPVOUPAGI[[#This Row],[NAMA PENGHUTANG]]="",((TRANSHARI2_SPVOUPAGI[[#This Row],[HARGA]]*TRANSHARI2_SPVOUPAGI[[#This Row],[QUANTITY]])+TRANSHARI2_SPVOUPAGI[[#This Row],[PRICE TOLERANCE]]),""),"")</f>
        <v/>
      </c>
      <c r="G191" s="394" t="str">
        <f>IFERROR(IF(TRANSHARI2_SPVOUPAGI[[#This Row],[NAMA PENGHUTANG]]="","",((TRANSHARI2_SPVOUPAGI[[#This Row],[HARGA]]*TRANSHARI2_SPVOUPAGI[[#This Row],[QUANTITY]])+TRANSHARI2_SPVOUPAGI[[#This Row],[PRICE TOLERANCE]])),"")</f>
        <v/>
      </c>
      <c r="H191" s="377"/>
      <c r="I191" s="399" t="str">
        <f>IFERROR(IF(TRANSHARI2_SPVOUPAGI[[#This Row],[NAMA REKENING]]="","",TRANSHARI2_SPVOUPAGI[[#This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IFERROR(VLOOKUP(TRANSHARI2_SPVOUMALAM[[#This Row],[PRODUK]],DATA_SPVOU[],4,FALSE),"")</f>
        <v/>
      </c>
      <c r="T191" s="376"/>
      <c r="U191" s="394" t="str">
        <f>IFERROR(IF(TRANSHARI2_SPVOUMALAM[[#This Row],[NAMA PENGHUTANG]]="",((TRANSHARI2_SPVOUMALAM[[#This Row],[HARGA]]*TRANSHARI2_SPVOUMALAM[[#This Row],[QUANTITY]])+TRANSHARI2_SPVOUMALAM[[#This Row],[PRICE TOLERANCE]]),""),"")</f>
        <v/>
      </c>
      <c r="V191" s="394" t="str">
        <f>IFERROR(IF(TRANSHARI2_SPVOUMALAM[[#This Row],[NAMA PENGHUTANG]]="","",((TRANSHARI2_SPVOUMALAM[[#This Row],[HARGA]]*TRANSHARI2_SPVOUMALAM[[#This Row],[QUANTITY]])+TRANSHARI2_SPVOUMALAM[[#This Row],[PRICE TOLERANCE]])),"")</f>
        <v/>
      </c>
      <c r="W191" s="377"/>
      <c r="X191" s="399" t="str">
        <f>IFERROR(IF(TRANSHARI2_SPVOUMALAM[[#This Row],[NAMA REKENING]]="","",TRANSHARI2_SPVOUMALAM[[#This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SUM(TRANSHARI2_SPVOUPAGI[QUANTITY])</f>
        <v>12</v>
      </c>
      <c r="E192" s="398">
        <f>SUM(TRANSHARI2_SPVOUPAGI[PRICE TOLERANCE])</f>
        <v>0</v>
      </c>
      <c r="F192" s="396">
        <f>SUM(TRANSHARI2_SPVOUPAGI[DEBIT])</f>
        <v>237000</v>
      </c>
      <c r="G192" s="396">
        <f>SUM(TRANSHARI2_SPVOUPAGI[KREDIT])</f>
        <v>0</v>
      </c>
      <c r="I192" s="396">
        <f>SUM(TRANSHARI2_SPVOUPAGI[NOMINAL TRANSFER])</f>
        <v>0</v>
      </c>
      <c r="O192" s="324"/>
      <c r="P192" s="303" t="s">
        <v>78</v>
      </c>
      <c r="Q192" s="316"/>
      <c r="R192" s="395">
        <f>SUM(TRANSHARI2_SPVOUMALAM[QUANTITY])</f>
        <v>0</v>
      </c>
      <c r="T192" s="398">
        <f>SUM(TRANSHARI2_SPVOUMALAM[PRICE TOLERANCE])</f>
        <v>0</v>
      </c>
      <c r="U192" s="396">
        <f>SUM(TRANSHARI2_SPVOUMALAM[DEBIT])</f>
        <v>0</v>
      </c>
      <c r="V192" s="396">
        <f>SUM(TRANSHARI2_SPVOUMALAM[KREDIT])</f>
        <v>0</v>
      </c>
      <c r="X192" s="396">
        <f>SUM(TRANSHARI2_SPVOUMALAM[NOMINAL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">
        <v>179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">
        <v>180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 t="s">
        <v>194</v>
      </c>
      <c r="C199" s="368">
        <v>1</v>
      </c>
      <c r="D199" s="369">
        <f>IFERROR(VLOOKUP(TRANSHARI2_SOFTDRINKPAGI[[#This Row],[PRODUK]],DATA_SOFTDRINK[],4,FALSE),"")</f>
        <v>5000</v>
      </c>
      <c r="E199" s="370"/>
      <c r="F199" s="369">
        <f>IFERROR(IF(TRANSHARI2_SOFTDRINKPAGI[[#This Row],[NAMA PENGHUTANG]]="",((TRANSHARI2_SOFTDRINKPAGI[[#This Row],[HARGA]]*TRANSHARI2_SOFTDRINKPAGI[[#This Row],[QUANTITY]])+TRANSHARI2_SOFTDRINKPAGI[[#This Row],[PRICE TOLERANCE]]),""),"")</f>
        <v>5000</v>
      </c>
      <c r="G199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199" s="371"/>
      <c r="I199" s="384" t="str">
        <f>IFERROR(IF(TRANSHARI2_SOFTDRINKPAGI[[#This Row],[NAMA REKENING]]="","",TRANSHARI2_SOFTDRINKPAGI[[#This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IFERROR(VLOOKUP(TRANSHARI2_SOFTDRINKMALAM[[#This Row],[PRODUK]],DATA_SOFTDRINK[],4,FALSE),"")</f>
        <v/>
      </c>
      <c r="T199" s="370"/>
      <c r="U199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199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199" s="371"/>
      <c r="X199" s="384" t="str">
        <f>IFERROR(IF(TRANSHARI2_SOFTDRINKMALAM[[#This Row],[NAMA REKENING]]="","",TRANSHARI2_SOFTDRINKMALAM[[#This Row],[DEBIT]]),"")</f>
        <v/>
      </c>
      <c r="Y199" s="385"/>
    </row>
    <row r="200" spans="1:25">
      <c r="A200" s="367">
        <v>2</v>
      </c>
      <c r="B200" s="368" t="s">
        <v>98</v>
      </c>
      <c r="C200" s="372">
        <v>1</v>
      </c>
      <c r="D200" s="373">
        <f>IFERROR(VLOOKUP(TRANSHARI2_SOFTDRINKPAGI[[#This Row],[PRODUK]],DATA_SOFTDRINK[],4,FALSE),"")</f>
        <v>4000</v>
      </c>
      <c r="E200" s="374"/>
      <c r="F200" s="373">
        <f>IFERROR(IF(TRANSHARI2_SOFTDRINKPAGI[[#This Row],[NAMA PENGHUTANG]]="",((TRANSHARI2_SOFTDRINKPAGI[[#This Row],[HARGA]]*TRANSHARI2_SOFTDRINKPAGI[[#This Row],[QUANTITY]])+TRANSHARI2_SOFTDRINKPAGI[[#This Row],[PRICE TOLERANCE]]),""),"")</f>
        <v>4000</v>
      </c>
      <c r="G200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0" s="12"/>
      <c r="I200" s="386" t="str">
        <f>IFERROR(IF(TRANSHARI2_SOFTDRINKPAGI[[#This Row],[NAMA REKENING]]="","",TRANSHARI2_SOFTDRINKPAGI[[#This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IFERROR(VLOOKUP(TRANSHARI2_SOFTDRINKMALAM[[#This Row],[PRODUK]],DATA_SOFTDRINK[],4,FALSE),"")</f>
        <v/>
      </c>
      <c r="T200" s="374"/>
      <c r="U200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0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0" s="12"/>
      <c r="X200" s="386" t="str">
        <f>IFERROR(IF(TRANSHARI2_SOFTDRINKMALAM[[#This Row],[NAMA REKENING]]="","",TRANSHARI2_SOFTDRINKMALAM[[#This Row],[DEBIT]]),"")</f>
        <v/>
      </c>
      <c r="Y200" s="387"/>
    </row>
    <row r="201" spans="1:25">
      <c r="A201" s="367">
        <v>3</v>
      </c>
      <c r="B201" s="368" t="s">
        <v>94</v>
      </c>
      <c r="C201" s="372">
        <v>1</v>
      </c>
      <c r="D201" s="369">
        <f>IFERROR(VLOOKUP(TRANSHARI2_SOFTDRINKPAGI[[#This Row],[PRODUK]],DATA_SOFTDRINK[],4,FALSE),"")</f>
        <v>3000</v>
      </c>
      <c r="E201" s="374"/>
      <c r="F201" s="369">
        <f>IFERROR(IF(TRANSHARI2_SOFTDRINKPAGI[[#This Row],[NAMA PENGHUTANG]]="",((TRANSHARI2_SOFTDRINKPAGI[[#This Row],[HARGA]]*TRANSHARI2_SOFTDRINKPAGI[[#This Row],[QUANTITY]])+TRANSHARI2_SOFTDRINKPAGI[[#This Row],[PRICE TOLERANCE]]),""),"")</f>
        <v>3000</v>
      </c>
      <c r="G201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1" s="12"/>
      <c r="I201" s="384" t="str">
        <f>IFERROR(IF(TRANSHARI2_SOFTDRINKPAGI[[#This Row],[NAMA REKENING]]="","",TRANSHARI2_SOFTDRINKPAGI[[#This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IFERROR(VLOOKUP(TRANSHARI2_SOFTDRINKMALAM[[#This Row],[PRODUK]],DATA_SOFTDRINK[],4,FALSE),"")</f>
        <v/>
      </c>
      <c r="T201" s="374"/>
      <c r="U201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1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1" s="12"/>
      <c r="X201" s="384" t="str">
        <f>IFERROR(IF(TRANSHARI2_SOFTDRINKMALAM[[#This Row],[NAMA REKENING]]="","",TRANSHARI2_SOFTDRINKMALAM[[#This Row],[DEBIT]]),"")</f>
        <v/>
      </c>
      <c r="Y201" s="387"/>
    </row>
    <row r="202" spans="1:25">
      <c r="A202" s="367">
        <v>4</v>
      </c>
      <c r="B202" s="368" t="s">
        <v>94</v>
      </c>
      <c r="C202" s="372">
        <v>1</v>
      </c>
      <c r="D202" s="373">
        <f>IFERROR(VLOOKUP(TRANSHARI2_SOFTDRINKPAGI[[#This Row],[PRODUK]],DATA_SOFTDRINK[],4,FALSE),"")</f>
        <v>3000</v>
      </c>
      <c r="E202" s="374"/>
      <c r="F202" s="373">
        <f>IFERROR(IF(TRANSHARI2_SOFTDRINKPAGI[[#This Row],[NAMA PENGHUTANG]]="",((TRANSHARI2_SOFTDRINKPAGI[[#This Row],[HARGA]]*TRANSHARI2_SOFTDRINKPAGI[[#This Row],[QUANTITY]])+TRANSHARI2_SOFTDRINKPAGI[[#This Row],[PRICE TOLERANCE]]),""),"")</f>
        <v>3000</v>
      </c>
      <c r="G202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2" s="12"/>
      <c r="I202" s="386" t="str">
        <f>IFERROR(IF(TRANSHARI2_SOFTDRINKPAGI[[#This Row],[NAMA REKENING]]="","",TRANSHARI2_SOFTDRINKPAGI[[#This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IFERROR(VLOOKUP(TRANSHARI2_SOFTDRINKMALAM[[#This Row],[PRODUK]],DATA_SOFTDRINK[],4,FALSE),"")</f>
        <v/>
      </c>
      <c r="T202" s="374"/>
      <c r="U202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2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2" s="12"/>
      <c r="X202" s="386" t="str">
        <f>IFERROR(IF(TRANSHARI2_SOFTDRINKMALAM[[#This Row],[NAMA REKENING]]="","",TRANSHARI2_SOFTDRINKMALAM[[#This Row],[DEBIT]]),"")</f>
        <v/>
      </c>
      <c r="Y202" s="387"/>
    </row>
    <row r="203" spans="1:25">
      <c r="A203" s="367">
        <v>5</v>
      </c>
      <c r="B203" s="368" t="s">
        <v>94</v>
      </c>
      <c r="C203" s="372">
        <v>1</v>
      </c>
      <c r="D203" s="369">
        <f>IFERROR(VLOOKUP(TRANSHARI2_SOFTDRINKPAGI[[#This Row],[PRODUK]],DATA_SOFTDRINK[],4,FALSE),"")</f>
        <v>3000</v>
      </c>
      <c r="E203" s="374"/>
      <c r="F203" s="369">
        <f>IFERROR(IF(TRANSHARI2_SOFTDRINKPAGI[[#This Row],[NAMA PENGHUTANG]]="",((TRANSHARI2_SOFTDRINKPAGI[[#This Row],[HARGA]]*TRANSHARI2_SOFTDRINKPAGI[[#This Row],[QUANTITY]])+TRANSHARI2_SOFTDRINKPAGI[[#This Row],[PRICE TOLERANCE]]),""),"")</f>
        <v>3000</v>
      </c>
      <c r="G203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3" s="12"/>
      <c r="I203" s="384" t="str">
        <f>IFERROR(IF(TRANSHARI2_SOFTDRINKPAGI[[#This Row],[NAMA REKENING]]="","",TRANSHARI2_SOFTDRINKPAGI[[#This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IFERROR(VLOOKUP(TRANSHARI2_SOFTDRINKMALAM[[#This Row],[PRODUK]],DATA_SOFTDRINK[],4,FALSE),"")</f>
        <v/>
      </c>
      <c r="T203" s="374"/>
      <c r="U203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3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3" s="12"/>
      <c r="X203" s="384" t="str">
        <f>IFERROR(IF(TRANSHARI2_SOFTDRINKMALAM[[#This Row],[NAMA REKENING]]="","",TRANSHARI2_SOFTDRINKMALAM[[#This Row],[DEBIT]]),"")</f>
        <v/>
      </c>
      <c r="Y203" s="387"/>
    </row>
    <row r="204" spans="1:25">
      <c r="A204" s="367">
        <v>6</v>
      </c>
      <c r="B204" s="368" t="s">
        <v>95</v>
      </c>
      <c r="C204" s="372">
        <v>1</v>
      </c>
      <c r="D204" s="373">
        <f>IFERROR(VLOOKUP(TRANSHARI2_SOFTDRINKPAGI[[#This Row],[PRODUK]],DATA_SOFTDRINK[],4,FALSE),"")</f>
        <v>1000</v>
      </c>
      <c r="E204" s="374"/>
      <c r="F204" s="373">
        <f>IFERROR(IF(TRANSHARI2_SOFTDRINKPAGI[[#This Row],[NAMA PENGHUTANG]]="",((TRANSHARI2_SOFTDRINKPAGI[[#This Row],[HARGA]]*TRANSHARI2_SOFTDRINKPAGI[[#This Row],[QUANTITY]])+TRANSHARI2_SOFTDRINKPAGI[[#This Row],[PRICE TOLERANCE]]),""),"")</f>
        <v>1000</v>
      </c>
      <c r="G204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4" s="12"/>
      <c r="I204" s="386" t="str">
        <f>IFERROR(IF(TRANSHARI2_SOFTDRINKPAGI[[#This Row],[NAMA REKENING]]="","",TRANSHARI2_SOFTDRINKPAGI[[#This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IFERROR(VLOOKUP(TRANSHARI2_SOFTDRINKMALAM[[#This Row],[PRODUK]],DATA_SOFTDRINK[],4,FALSE),"")</f>
        <v/>
      </c>
      <c r="T204" s="374"/>
      <c r="U204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4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4" s="12"/>
      <c r="X204" s="386" t="str">
        <f>IFERROR(IF(TRANSHARI2_SOFTDRINKMALAM[[#This Row],[NAMA REKENING]]="","",TRANSHARI2_SOFTDRINKMALAM[[#This Row],[DEBIT]]),"")</f>
        <v/>
      </c>
      <c r="Y204" s="387"/>
    </row>
    <row r="205" spans="1:25">
      <c r="A205" s="367">
        <v>7</v>
      </c>
      <c r="B205" s="368" t="s">
        <v>95</v>
      </c>
      <c r="C205" s="372">
        <v>3</v>
      </c>
      <c r="D205" s="369">
        <f>IFERROR(VLOOKUP(TRANSHARI2_SOFTDRINKPAGI[[#This Row],[PRODUK]],DATA_SOFTDRINK[],4,FALSE),"")</f>
        <v>1000</v>
      </c>
      <c r="E205" s="374"/>
      <c r="F205" s="369">
        <f>IFERROR(IF(TRANSHARI2_SOFTDRINKPAGI[[#This Row],[NAMA PENGHUTANG]]="",((TRANSHARI2_SOFTDRINKPAGI[[#This Row],[HARGA]]*TRANSHARI2_SOFTDRINKPAGI[[#This Row],[QUANTITY]])+TRANSHARI2_SOFTDRINKPAGI[[#This Row],[PRICE TOLERANCE]]),""),"")</f>
        <v>3000</v>
      </c>
      <c r="G205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5" s="12"/>
      <c r="I205" s="384" t="str">
        <f>IFERROR(IF(TRANSHARI2_SOFTDRINKPAGI[[#This Row],[NAMA REKENING]]="","",TRANSHARI2_SOFTDRINKPAGI[[#This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IFERROR(VLOOKUP(TRANSHARI2_SOFTDRINKMALAM[[#This Row],[PRODUK]],DATA_SOFTDRINK[],4,FALSE),"")</f>
        <v/>
      </c>
      <c r="T205" s="374"/>
      <c r="U205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5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5" s="12"/>
      <c r="X205" s="384" t="str">
        <f>IFERROR(IF(TRANSHARI2_SOFTDRINKMALAM[[#This Row],[NAMA REKENING]]="","",TRANSHARI2_SOFTDRINKMALAM[[#This Row],[DEBIT]]),"")</f>
        <v/>
      </c>
      <c r="Y205" s="387"/>
    </row>
    <row r="206" spans="1:25">
      <c r="A206" s="367">
        <v>8</v>
      </c>
      <c r="B206" s="368" t="s">
        <v>95</v>
      </c>
      <c r="C206" s="372">
        <v>2</v>
      </c>
      <c r="D206" s="373">
        <f>IFERROR(VLOOKUP(TRANSHARI2_SOFTDRINKPAGI[[#This Row],[PRODUK]],DATA_SOFTDRINK[],4,FALSE),"")</f>
        <v>1000</v>
      </c>
      <c r="E206" s="374"/>
      <c r="F206" s="373">
        <f>IFERROR(IF(TRANSHARI2_SOFTDRINKPAGI[[#This Row],[NAMA PENGHUTANG]]="",((TRANSHARI2_SOFTDRINKPAGI[[#This Row],[HARGA]]*TRANSHARI2_SOFTDRINKPAGI[[#This Row],[QUANTITY]])+TRANSHARI2_SOFTDRINKPAGI[[#This Row],[PRICE TOLERANCE]]),""),"")</f>
        <v>2000</v>
      </c>
      <c r="G206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6" s="12"/>
      <c r="I206" s="386" t="str">
        <f>IFERROR(IF(TRANSHARI2_SOFTDRINKPAGI[[#This Row],[NAMA REKENING]]="","",TRANSHARI2_SOFTDRINKPAGI[[#This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IFERROR(VLOOKUP(TRANSHARI2_SOFTDRINKMALAM[[#This Row],[PRODUK]],DATA_SOFTDRINK[],4,FALSE),"")</f>
        <v/>
      </c>
      <c r="T206" s="374"/>
      <c r="U206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6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6" s="12"/>
      <c r="X206" s="386" t="str">
        <f>IFERROR(IF(TRANSHARI2_SOFTDRINKMALAM[[#This Row],[NAMA REKENING]]="","",TRANSHARI2_SOFTDRINKMALAM[[#This Row],[DEBIT]]),"")</f>
        <v/>
      </c>
      <c r="Y206" s="387"/>
    </row>
    <row r="207" spans="1:25">
      <c r="A207" s="367">
        <v>9</v>
      </c>
      <c r="B207" s="368" t="s">
        <v>96</v>
      </c>
      <c r="C207" s="372">
        <v>1</v>
      </c>
      <c r="D207" s="369">
        <f>IFERROR(VLOOKUP(TRANSHARI2_SOFTDRINKPAGI[[#This Row],[PRODUK]],DATA_SOFTDRINK[],4,FALSE),"")</f>
        <v>2500</v>
      </c>
      <c r="E207" s="374"/>
      <c r="F207" s="369">
        <f>IFERROR(IF(TRANSHARI2_SOFTDRINKPAGI[[#This Row],[NAMA PENGHUTANG]]="",((TRANSHARI2_SOFTDRINKPAGI[[#This Row],[HARGA]]*TRANSHARI2_SOFTDRINKPAGI[[#This Row],[QUANTITY]])+TRANSHARI2_SOFTDRINKPAGI[[#This Row],[PRICE TOLERANCE]]),""),"")</f>
        <v>2500</v>
      </c>
      <c r="G207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7" s="12"/>
      <c r="I207" s="384" t="str">
        <f>IFERROR(IF(TRANSHARI2_SOFTDRINKPAGI[[#This Row],[NAMA REKENING]]="","",TRANSHARI2_SOFTDRINKPAGI[[#This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IFERROR(VLOOKUP(TRANSHARI2_SOFTDRINKMALAM[[#This Row],[PRODUK]],DATA_SOFTDRINK[],4,FALSE),"")</f>
        <v/>
      </c>
      <c r="T207" s="374"/>
      <c r="U207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7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7" s="12"/>
      <c r="X207" s="384" t="str">
        <f>IFERROR(IF(TRANSHARI2_SOFTDRINKMALAM[[#This Row],[NAMA REKENING]]="","",TRANSHARI2_SOFTDRINKMALAM[[#This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IFERROR(VLOOKUP(TRANSHARI2_SOFTDRINKPAGI[[#This Row],[PRODUK]],DATA_SOFTDRINK[],4,FALSE),"")</f>
        <v/>
      </c>
      <c r="E208" s="374"/>
      <c r="F208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08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8" s="12"/>
      <c r="I208" s="386" t="str">
        <f>IFERROR(IF(TRANSHARI2_SOFTDRINKPAGI[[#This Row],[NAMA REKENING]]="","",TRANSHARI2_SOFTDRINKPAGI[[#This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IFERROR(VLOOKUP(TRANSHARI2_SOFTDRINKMALAM[[#This Row],[PRODUK]],DATA_SOFTDRINK[],4,FALSE),"")</f>
        <v/>
      </c>
      <c r="T208" s="374"/>
      <c r="U208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8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8" s="12"/>
      <c r="X208" s="386" t="str">
        <f>IFERROR(IF(TRANSHARI2_SOFTDRINKMALAM[[#This Row],[NAMA REKENING]]="","",TRANSHARI2_SOFTDRINKMALAM[[#This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IFERROR(VLOOKUP(TRANSHARI2_SOFTDRINKPAGI[[#This Row],[PRODUK]],DATA_SOFTDRINK[],4,FALSE),"")</f>
        <v/>
      </c>
      <c r="E209" s="374"/>
      <c r="F209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09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09" s="12"/>
      <c r="I209" s="384" t="str">
        <f>IFERROR(IF(TRANSHARI2_SOFTDRINKPAGI[[#This Row],[NAMA REKENING]]="","",TRANSHARI2_SOFTDRINKPAGI[[#This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IFERROR(VLOOKUP(TRANSHARI2_SOFTDRINKMALAM[[#This Row],[PRODUK]],DATA_SOFTDRINK[],4,FALSE),"")</f>
        <v/>
      </c>
      <c r="T209" s="374"/>
      <c r="U209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09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09" s="12"/>
      <c r="X209" s="384" t="str">
        <f>IFERROR(IF(TRANSHARI2_SOFTDRINKMALAM[[#This Row],[NAMA REKENING]]="","",TRANSHARI2_SOFTDRINKMALAM[[#This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IFERROR(VLOOKUP(TRANSHARI2_SOFTDRINKPAGI[[#This Row],[PRODUK]],DATA_SOFTDRINK[],4,FALSE),"")</f>
        <v/>
      </c>
      <c r="E210" s="374"/>
      <c r="F210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0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0" s="12"/>
      <c r="I210" s="386" t="str">
        <f>IFERROR(IF(TRANSHARI2_SOFTDRINKPAGI[[#This Row],[NAMA REKENING]]="","",TRANSHARI2_SOFTDRINKPAGI[[#This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IFERROR(VLOOKUP(TRANSHARI2_SOFTDRINKMALAM[[#This Row],[PRODUK]],DATA_SOFTDRINK[],4,FALSE),"")</f>
        <v/>
      </c>
      <c r="T210" s="374"/>
      <c r="U210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0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0" s="12"/>
      <c r="X210" s="386" t="str">
        <f>IFERROR(IF(TRANSHARI2_SOFTDRINKMALAM[[#This Row],[NAMA REKENING]]="","",TRANSHARI2_SOFTDRINKMALAM[[#This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IFERROR(VLOOKUP(TRANSHARI2_SOFTDRINKPAGI[[#This Row],[PRODUK]],DATA_SOFTDRINK[],4,FALSE),"")</f>
        <v/>
      </c>
      <c r="E211" s="374"/>
      <c r="F211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1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1" s="12"/>
      <c r="I211" s="384" t="str">
        <f>IFERROR(IF(TRANSHARI2_SOFTDRINKPAGI[[#This Row],[NAMA REKENING]]="","",TRANSHARI2_SOFTDRINKPAGI[[#This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IFERROR(VLOOKUP(TRANSHARI2_SOFTDRINKMALAM[[#This Row],[PRODUK]],DATA_SOFTDRINK[],4,FALSE),"")</f>
        <v/>
      </c>
      <c r="T211" s="374"/>
      <c r="U211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1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1" s="12"/>
      <c r="X211" s="384" t="str">
        <f>IFERROR(IF(TRANSHARI2_SOFTDRINKMALAM[[#This Row],[NAMA REKENING]]="","",TRANSHARI2_SOFTDRINKMALAM[[#This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IFERROR(VLOOKUP(TRANSHARI2_SOFTDRINKPAGI[[#This Row],[PRODUK]],DATA_SOFTDRINK[],4,FALSE),"")</f>
        <v/>
      </c>
      <c r="E212" s="374"/>
      <c r="F212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2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2" s="12"/>
      <c r="I212" s="386" t="str">
        <f>IFERROR(IF(TRANSHARI2_SOFTDRINKPAGI[[#This Row],[NAMA REKENING]]="","",TRANSHARI2_SOFTDRINKPAGI[[#This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IFERROR(VLOOKUP(TRANSHARI2_SOFTDRINKMALAM[[#This Row],[PRODUK]],DATA_SOFTDRINK[],4,FALSE),"")</f>
        <v/>
      </c>
      <c r="T212" s="374"/>
      <c r="U212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2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2" s="12"/>
      <c r="X212" s="386" t="str">
        <f>IFERROR(IF(TRANSHARI2_SOFTDRINKMALAM[[#This Row],[NAMA REKENING]]="","",TRANSHARI2_SOFTDRINKMALAM[[#This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IFERROR(VLOOKUP(TRANSHARI2_SOFTDRINKPAGI[[#This Row],[PRODUK]],DATA_SOFTDRINK[],4,FALSE),"")</f>
        <v/>
      </c>
      <c r="E213" s="374"/>
      <c r="F213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3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3" s="12"/>
      <c r="I213" s="384" t="str">
        <f>IFERROR(IF(TRANSHARI2_SOFTDRINKPAGI[[#This Row],[NAMA REKENING]]="","",TRANSHARI2_SOFTDRINKPAGI[[#This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IFERROR(VLOOKUP(TRANSHARI2_SOFTDRINKMALAM[[#This Row],[PRODUK]],DATA_SOFTDRINK[],4,FALSE),"")</f>
        <v/>
      </c>
      <c r="T213" s="374"/>
      <c r="U213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3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3" s="12"/>
      <c r="X213" s="384" t="str">
        <f>IFERROR(IF(TRANSHARI2_SOFTDRINKMALAM[[#This Row],[NAMA REKENING]]="","",TRANSHARI2_SOFTDRINKMALAM[[#This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IFERROR(VLOOKUP(TRANSHARI2_SOFTDRINKPAGI[[#This Row],[PRODUK]],DATA_SOFTDRINK[],4,FALSE),"")</f>
        <v/>
      </c>
      <c r="E214" s="374"/>
      <c r="F214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4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4" s="12"/>
      <c r="I214" s="386" t="str">
        <f>IFERROR(IF(TRANSHARI2_SOFTDRINKPAGI[[#This Row],[NAMA REKENING]]="","",TRANSHARI2_SOFTDRINKPAGI[[#This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IFERROR(VLOOKUP(TRANSHARI2_SOFTDRINKMALAM[[#This Row],[PRODUK]],DATA_SOFTDRINK[],4,FALSE),"")</f>
        <v/>
      </c>
      <c r="T214" s="374"/>
      <c r="U214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4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4" s="12"/>
      <c r="X214" s="386" t="str">
        <f>IFERROR(IF(TRANSHARI2_SOFTDRINKMALAM[[#This Row],[NAMA REKENING]]="","",TRANSHARI2_SOFTDRINKMALAM[[#This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IFERROR(VLOOKUP(TRANSHARI2_SOFTDRINKPAGI[[#This Row],[PRODUK]],DATA_SOFTDRINK[],4,FALSE),"")</f>
        <v/>
      </c>
      <c r="E215" s="374"/>
      <c r="F215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5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5" s="12"/>
      <c r="I215" s="384" t="str">
        <f>IFERROR(IF(TRANSHARI2_SOFTDRINKPAGI[[#This Row],[NAMA REKENING]]="","",TRANSHARI2_SOFTDRINKPAGI[[#This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IFERROR(VLOOKUP(TRANSHARI2_SOFTDRINKMALAM[[#This Row],[PRODUK]],DATA_SOFTDRINK[],4,FALSE),"")</f>
        <v/>
      </c>
      <c r="T215" s="374"/>
      <c r="U215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5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5" s="12"/>
      <c r="X215" s="384" t="str">
        <f>IFERROR(IF(TRANSHARI2_SOFTDRINKMALAM[[#This Row],[NAMA REKENING]]="","",TRANSHARI2_SOFTDRINKMALAM[[#This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IFERROR(VLOOKUP(TRANSHARI2_SOFTDRINKPAGI[[#This Row],[PRODUK]],DATA_SOFTDRINK[],4,FALSE),"")</f>
        <v/>
      </c>
      <c r="E216" s="374"/>
      <c r="F216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6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6" s="12"/>
      <c r="I216" s="386" t="str">
        <f>IFERROR(IF(TRANSHARI2_SOFTDRINKPAGI[[#This Row],[NAMA REKENING]]="","",TRANSHARI2_SOFTDRINKPAGI[[#This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IFERROR(VLOOKUP(TRANSHARI2_SOFTDRINKMALAM[[#This Row],[PRODUK]],DATA_SOFTDRINK[],4,FALSE),"")</f>
        <v/>
      </c>
      <c r="T216" s="374"/>
      <c r="U216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6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6" s="12"/>
      <c r="X216" s="386" t="str">
        <f>IFERROR(IF(TRANSHARI2_SOFTDRINKMALAM[[#This Row],[NAMA REKENING]]="","",TRANSHARI2_SOFTDRINKMALAM[[#This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IFERROR(VLOOKUP(TRANSHARI2_SOFTDRINKPAGI[[#This Row],[PRODUK]],DATA_SOFTDRINK[],4,FALSE),"")</f>
        <v/>
      </c>
      <c r="E217" s="374"/>
      <c r="F217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7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7" s="12"/>
      <c r="I217" s="384" t="str">
        <f>IFERROR(IF(TRANSHARI2_SOFTDRINKPAGI[[#This Row],[NAMA REKENING]]="","",TRANSHARI2_SOFTDRINKPAGI[[#This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IFERROR(VLOOKUP(TRANSHARI2_SOFTDRINKMALAM[[#This Row],[PRODUK]],DATA_SOFTDRINK[],4,FALSE),"")</f>
        <v/>
      </c>
      <c r="T217" s="374"/>
      <c r="U217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7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7" s="12"/>
      <c r="X217" s="384" t="str">
        <f>IFERROR(IF(TRANSHARI2_SOFTDRINKMALAM[[#This Row],[NAMA REKENING]]="","",TRANSHARI2_SOFTDRINKMALAM[[#This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IFERROR(VLOOKUP(TRANSHARI2_SOFTDRINKPAGI[[#This Row],[PRODUK]],DATA_SOFTDRINK[],4,FALSE),"")</f>
        <v/>
      </c>
      <c r="E218" s="374"/>
      <c r="F218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8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8" s="12"/>
      <c r="I218" s="386" t="str">
        <f>IFERROR(IF(TRANSHARI2_SOFTDRINKPAGI[[#This Row],[NAMA REKENING]]="","",TRANSHARI2_SOFTDRINKPAGI[[#This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IFERROR(VLOOKUP(TRANSHARI2_SOFTDRINKMALAM[[#This Row],[PRODUK]],DATA_SOFTDRINK[],4,FALSE),"")</f>
        <v/>
      </c>
      <c r="T218" s="374"/>
      <c r="U218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8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8" s="12"/>
      <c r="X218" s="386" t="str">
        <f>IFERROR(IF(TRANSHARI2_SOFTDRINKMALAM[[#This Row],[NAMA REKENING]]="","",TRANSHARI2_SOFTDRINKMALAM[[#This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IFERROR(VLOOKUP(TRANSHARI2_SOFTDRINKPAGI[[#This Row],[PRODUK]],DATA_SOFTDRINK[],4,FALSE),"")</f>
        <v/>
      </c>
      <c r="E219" s="374"/>
      <c r="F219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19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19" s="12"/>
      <c r="I219" s="384" t="str">
        <f>IFERROR(IF(TRANSHARI2_SOFTDRINKPAGI[[#This Row],[NAMA REKENING]]="","",TRANSHARI2_SOFTDRINKPAGI[[#This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IFERROR(VLOOKUP(TRANSHARI2_SOFTDRINKMALAM[[#This Row],[PRODUK]],DATA_SOFTDRINK[],4,FALSE),"")</f>
        <v/>
      </c>
      <c r="T219" s="374"/>
      <c r="U219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19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19" s="12"/>
      <c r="X219" s="384" t="str">
        <f>IFERROR(IF(TRANSHARI2_SOFTDRINKMALAM[[#This Row],[NAMA REKENING]]="","",TRANSHARI2_SOFTDRINKMALAM[[#This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IFERROR(VLOOKUP(TRANSHARI2_SOFTDRINKPAGI[[#This Row],[PRODUK]],DATA_SOFTDRINK[],4,FALSE),"")</f>
        <v/>
      </c>
      <c r="E220" s="374"/>
      <c r="F220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0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0" s="12"/>
      <c r="I220" s="386" t="str">
        <f>IFERROR(IF(TRANSHARI2_SOFTDRINKPAGI[[#This Row],[NAMA REKENING]]="","",TRANSHARI2_SOFTDRINKPAGI[[#This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IFERROR(VLOOKUP(TRANSHARI2_SOFTDRINKMALAM[[#This Row],[PRODUK]],DATA_SOFTDRINK[],4,FALSE),"")</f>
        <v/>
      </c>
      <c r="T220" s="374"/>
      <c r="U220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0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0" s="12"/>
      <c r="X220" s="386" t="str">
        <f>IFERROR(IF(TRANSHARI2_SOFTDRINKMALAM[[#This Row],[NAMA REKENING]]="","",TRANSHARI2_SOFTDRINKMALAM[[#This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IFERROR(VLOOKUP(TRANSHARI2_SOFTDRINKPAGI[[#This Row],[PRODUK]],DATA_SOFTDRINK[],4,FALSE),"")</f>
        <v/>
      </c>
      <c r="E221" s="374"/>
      <c r="F221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1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1" s="12"/>
      <c r="I221" s="384" t="str">
        <f>IFERROR(IF(TRANSHARI2_SOFTDRINKPAGI[[#This Row],[NAMA REKENING]]="","",TRANSHARI2_SOFTDRINKPAGI[[#This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IFERROR(VLOOKUP(TRANSHARI2_SOFTDRINKMALAM[[#This Row],[PRODUK]],DATA_SOFTDRINK[],4,FALSE),"")</f>
        <v/>
      </c>
      <c r="T221" s="374"/>
      <c r="U221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1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1" s="12"/>
      <c r="X221" s="384" t="str">
        <f>IFERROR(IF(TRANSHARI2_SOFTDRINKMALAM[[#This Row],[NAMA REKENING]]="","",TRANSHARI2_SOFTDRINKMALAM[[#This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IFERROR(VLOOKUP(TRANSHARI2_SOFTDRINKPAGI[[#This Row],[PRODUK]],DATA_SOFTDRINK[],4,FALSE),"")</f>
        <v/>
      </c>
      <c r="E222" s="374"/>
      <c r="F222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2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2" s="12"/>
      <c r="I222" s="386" t="str">
        <f>IFERROR(IF(TRANSHARI2_SOFTDRINKPAGI[[#This Row],[NAMA REKENING]]="","",TRANSHARI2_SOFTDRINKPAGI[[#This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IFERROR(VLOOKUP(TRANSHARI2_SOFTDRINKMALAM[[#This Row],[PRODUK]],DATA_SOFTDRINK[],4,FALSE),"")</f>
        <v/>
      </c>
      <c r="T222" s="374"/>
      <c r="U222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2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2" s="12"/>
      <c r="X222" s="386" t="str">
        <f>IFERROR(IF(TRANSHARI2_SOFTDRINKMALAM[[#This Row],[NAMA REKENING]]="","",TRANSHARI2_SOFTDRINKMALAM[[#This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IFERROR(VLOOKUP(TRANSHARI2_SOFTDRINKPAGI[[#This Row],[PRODUK]],DATA_SOFTDRINK[],4,FALSE),"")</f>
        <v/>
      </c>
      <c r="E223" s="374"/>
      <c r="F223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3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3" s="12"/>
      <c r="I223" s="384" t="str">
        <f>IFERROR(IF(TRANSHARI2_SOFTDRINKPAGI[[#This Row],[NAMA REKENING]]="","",TRANSHARI2_SOFTDRINKPAGI[[#This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IFERROR(VLOOKUP(TRANSHARI2_SOFTDRINKMALAM[[#This Row],[PRODUK]],DATA_SOFTDRINK[],4,FALSE),"")</f>
        <v/>
      </c>
      <c r="T223" s="374"/>
      <c r="U223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3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3" s="12"/>
      <c r="X223" s="384" t="str">
        <f>IFERROR(IF(TRANSHARI2_SOFTDRINKMALAM[[#This Row],[NAMA REKENING]]="","",TRANSHARI2_SOFTDRINKMALAM[[#This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IFERROR(VLOOKUP(TRANSHARI2_SOFTDRINKPAGI[[#This Row],[PRODUK]],DATA_SOFTDRINK[],4,FALSE),"")</f>
        <v/>
      </c>
      <c r="E224" s="376"/>
      <c r="F224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4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4" s="377"/>
      <c r="I224" s="386" t="str">
        <f>IFERROR(IF(TRANSHARI2_SOFTDRINKPAGI[[#This Row],[NAMA REKENING]]="","",TRANSHARI2_SOFTDRINKPAGI[[#This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IFERROR(VLOOKUP(TRANSHARI2_SOFTDRINKMALAM[[#This Row],[PRODUK]],DATA_SOFTDRINK[],4,FALSE),"")</f>
        <v/>
      </c>
      <c r="T224" s="376"/>
      <c r="U224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4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4" s="377"/>
      <c r="X224" s="386" t="str">
        <f>IFERROR(IF(TRANSHARI2_SOFTDRINKMALAM[[#This Row],[NAMA REKENING]]="","",TRANSHARI2_SOFTDRINKMALAM[[#This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IFERROR(VLOOKUP(TRANSHARI2_SOFTDRINKPAGI[[#This Row],[PRODUK]],DATA_SOFTDRINK[],4,FALSE),"")</f>
        <v/>
      </c>
      <c r="E225" s="374"/>
      <c r="F225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5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5" s="12"/>
      <c r="I225" s="384" t="str">
        <f>IFERROR(IF(TRANSHARI2_SOFTDRINKPAGI[[#This Row],[NAMA REKENING]]="","",TRANSHARI2_SOFTDRINKPAGI[[#This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IFERROR(VLOOKUP(TRANSHARI2_SOFTDRINKMALAM[[#This Row],[PRODUK]],DATA_SOFTDRINK[],4,FALSE),"")</f>
        <v/>
      </c>
      <c r="T225" s="374"/>
      <c r="U225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5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5" s="12"/>
      <c r="X225" s="384" t="str">
        <f>IFERROR(IF(TRANSHARI2_SOFTDRINKMALAM[[#This Row],[NAMA REKENING]]="","",TRANSHARI2_SOFTDRINKMALAM[[#This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IFERROR(VLOOKUP(TRANSHARI2_SOFTDRINKPAGI[[#This Row],[PRODUK]],DATA_SOFTDRINK[],4,FALSE),"")</f>
        <v/>
      </c>
      <c r="E226" s="374"/>
      <c r="F226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6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6" s="12"/>
      <c r="I226" s="386" t="str">
        <f>IFERROR(IF(TRANSHARI2_SOFTDRINKPAGI[[#This Row],[NAMA REKENING]]="","",TRANSHARI2_SOFTDRINKPAGI[[#This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IFERROR(VLOOKUP(TRANSHARI2_SOFTDRINKMALAM[[#This Row],[PRODUK]],DATA_SOFTDRINK[],4,FALSE),"")</f>
        <v/>
      </c>
      <c r="T226" s="374"/>
      <c r="U226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6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6" s="12"/>
      <c r="X226" s="386" t="str">
        <f>IFERROR(IF(TRANSHARI2_SOFTDRINKMALAM[[#This Row],[NAMA REKENING]]="","",TRANSHARI2_SOFTDRINKMALAM[[#This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IFERROR(VLOOKUP(TRANSHARI2_SOFTDRINKPAGI[[#This Row],[PRODUK]],DATA_SOFTDRINK[],4,FALSE),"")</f>
        <v/>
      </c>
      <c r="E227" s="374"/>
      <c r="F227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7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7" s="12"/>
      <c r="I227" s="384" t="str">
        <f>IFERROR(IF(TRANSHARI2_SOFTDRINKPAGI[[#This Row],[NAMA REKENING]]="","",TRANSHARI2_SOFTDRINKPAGI[[#This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IFERROR(VLOOKUP(TRANSHARI2_SOFTDRINKMALAM[[#This Row],[PRODUK]],DATA_SOFTDRINK[],4,FALSE),"")</f>
        <v/>
      </c>
      <c r="T227" s="374"/>
      <c r="U227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7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7" s="12"/>
      <c r="X227" s="384" t="str">
        <f>IFERROR(IF(TRANSHARI2_SOFTDRINKMALAM[[#This Row],[NAMA REKENING]]="","",TRANSHARI2_SOFTDRINKMALAM[[#This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IFERROR(VLOOKUP(TRANSHARI2_SOFTDRINKPAGI[[#This Row],[PRODUK]],DATA_SOFTDRINK[],4,FALSE),"")</f>
        <v/>
      </c>
      <c r="E228" s="374"/>
      <c r="F228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8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8" s="12"/>
      <c r="I228" s="386" t="str">
        <f>IFERROR(IF(TRANSHARI2_SOFTDRINKPAGI[[#This Row],[NAMA REKENING]]="","",TRANSHARI2_SOFTDRINKPAGI[[#This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IFERROR(VLOOKUP(TRANSHARI2_SOFTDRINKMALAM[[#This Row],[PRODUK]],DATA_SOFTDRINK[],4,FALSE),"")</f>
        <v/>
      </c>
      <c r="T228" s="374"/>
      <c r="U228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8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8" s="12"/>
      <c r="X228" s="386" t="str">
        <f>IFERROR(IF(TRANSHARI2_SOFTDRINKMALAM[[#This Row],[NAMA REKENING]]="","",TRANSHARI2_SOFTDRINKMALAM[[#This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IFERROR(VLOOKUP(TRANSHARI2_SOFTDRINKPAGI[[#This Row],[PRODUK]],DATA_SOFTDRINK[],4,FALSE),"")</f>
        <v/>
      </c>
      <c r="E229" s="374"/>
      <c r="F229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29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29" s="12"/>
      <c r="I229" s="384" t="str">
        <f>IFERROR(IF(TRANSHARI2_SOFTDRINKPAGI[[#This Row],[NAMA REKENING]]="","",TRANSHARI2_SOFTDRINKPAGI[[#This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IFERROR(VLOOKUP(TRANSHARI2_SOFTDRINKMALAM[[#This Row],[PRODUK]],DATA_SOFTDRINK[],4,FALSE),"")</f>
        <v/>
      </c>
      <c r="T229" s="374"/>
      <c r="U229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29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29" s="12"/>
      <c r="X229" s="384" t="str">
        <f>IFERROR(IF(TRANSHARI2_SOFTDRINKMALAM[[#This Row],[NAMA REKENING]]="","",TRANSHARI2_SOFTDRINKMALAM[[#This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IFERROR(VLOOKUP(TRANSHARI2_SOFTDRINKPAGI[[#This Row],[PRODUK]],DATA_SOFTDRINK[],4,FALSE),"")</f>
        <v/>
      </c>
      <c r="E230" s="374"/>
      <c r="F230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0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0" s="12"/>
      <c r="I230" s="386" t="str">
        <f>IFERROR(IF(TRANSHARI2_SOFTDRINKPAGI[[#This Row],[NAMA REKENING]]="","",TRANSHARI2_SOFTDRINKPAGI[[#This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IFERROR(VLOOKUP(TRANSHARI2_SOFTDRINKMALAM[[#This Row],[PRODUK]],DATA_SOFTDRINK[],4,FALSE),"")</f>
        <v/>
      </c>
      <c r="T230" s="374"/>
      <c r="U230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0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0" s="12"/>
      <c r="X230" s="386" t="str">
        <f>IFERROR(IF(TRANSHARI2_SOFTDRINKMALAM[[#This Row],[NAMA REKENING]]="","",TRANSHARI2_SOFTDRINKMALAM[[#This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IFERROR(VLOOKUP(TRANSHARI2_SOFTDRINKPAGI[[#This Row],[PRODUK]],DATA_SOFTDRINK[],4,FALSE),"")</f>
        <v/>
      </c>
      <c r="E231" s="374"/>
      <c r="F231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1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1" s="12"/>
      <c r="I231" s="384" t="str">
        <f>IFERROR(IF(TRANSHARI2_SOFTDRINKPAGI[[#This Row],[NAMA REKENING]]="","",TRANSHARI2_SOFTDRINKPAGI[[#This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IFERROR(VLOOKUP(TRANSHARI2_SOFTDRINKMALAM[[#This Row],[PRODUK]],DATA_SOFTDRINK[],4,FALSE),"")</f>
        <v/>
      </c>
      <c r="T231" s="374"/>
      <c r="U231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1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1" s="12"/>
      <c r="X231" s="384" t="str">
        <f>IFERROR(IF(TRANSHARI2_SOFTDRINKMALAM[[#This Row],[NAMA REKENING]]="","",TRANSHARI2_SOFTDRINKMALAM[[#This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IFERROR(VLOOKUP(TRANSHARI2_SOFTDRINKPAGI[[#This Row],[PRODUK]],DATA_SOFTDRINK[],4,FALSE),"")</f>
        <v/>
      </c>
      <c r="E232" s="374"/>
      <c r="F232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2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2" s="12"/>
      <c r="I232" s="386" t="str">
        <f>IFERROR(IF(TRANSHARI2_SOFTDRINKPAGI[[#This Row],[NAMA REKENING]]="","",TRANSHARI2_SOFTDRINKPAGI[[#This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IFERROR(VLOOKUP(TRANSHARI2_SOFTDRINKMALAM[[#This Row],[PRODUK]],DATA_SOFTDRINK[],4,FALSE),"")</f>
        <v/>
      </c>
      <c r="T232" s="374"/>
      <c r="U232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2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2" s="12"/>
      <c r="X232" s="386" t="str">
        <f>IFERROR(IF(TRANSHARI2_SOFTDRINKMALAM[[#This Row],[NAMA REKENING]]="","",TRANSHARI2_SOFTDRINKMALAM[[#This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IFERROR(VLOOKUP(TRANSHARI2_SOFTDRINKPAGI[[#This Row],[PRODUK]],DATA_SOFTDRINK[],4,FALSE),"")</f>
        <v/>
      </c>
      <c r="E233" s="374"/>
      <c r="F233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3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3" s="12"/>
      <c r="I233" s="384" t="str">
        <f>IFERROR(IF(TRANSHARI2_SOFTDRINKPAGI[[#This Row],[NAMA REKENING]]="","",TRANSHARI2_SOFTDRINKPAGI[[#This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IFERROR(VLOOKUP(TRANSHARI2_SOFTDRINKMALAM[[#This Row],[PRODUK]],DATA_SOFTDRINK[],4,FALSE),"")</f>
        <v/>
      </c>
      <c r="T233" s="374"/>
      <c r="U233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3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3" s="12"/>
      <c r="X233" s="384" t="str">
        <f>IFERROR(IF(TRANSHARI2_SOFTDRINKMALAM[[#This Row],[NAMA REKENING]]="","",TRANSHARI2_SOFTDRINKMALAM[[#This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IFERROR(VLOOKUP(TRANSHARI2_SOFTDRINKPAGI[[#This Row],[PRODUK]],DATA_SOFTDRINK[],4,FALSE),"")</f>
        <v/>
      </c>
      <c r="E234" s="374"/>
      <c r="F234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4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4" s="12"/>
      <c r="I234" s="386" t="str">
        <f>IFERROR(IF(TRANSHARI2_SOFTDRINKPAGI[[#This Row],[NAMA REKENING]]="","",TRANSHARI2_SOFTDRINKPAGI[[#This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IFERROR(VLOOKUP(TRANSHARI2_SOFTDRINKMALAM[[#This Row],[PRODUK]],DATA_SOFTDRINK[],4,FALSE),"")</f>
        <v/>
      </c>
      <c r="T234" s="374"/>
      <c r="U234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4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4" s="12"/>
      <c r="X234" s="386" t="str">
        <f>IFERROR(IF(TRANSHARI2_SOFTDRINKMALAM[[#This Row],[NAMA REKENING]]="","",TRANSHARI2_SOFTDRINKMALAM[[#This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IFERROR(VLOOKUP(TRANSHARI2_SOFTDRINKPAGI[[#This Row],[PRODUK]],DATA_SOFTDRINK[],4,FALSE),"")</f>
        <v/>
      </c>
      <c r="E235" s="374"/>
      <c r="F235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5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5" s="12"/>
      <c r="I235" s="384" t="str">
        <f>IFERROR(IF(TRANSHARI2_SOFTDRINKPAGI[[#This Row],[NAMA REKENING]]="","",TRANSHARI2_SOFTDRINKPAGI[[#This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IFERROR(VLOOKUP(TRANSHARI2_SOFTDRINKMALAM[[#This Row],[PRODUK]],DATA_SOFTDRINK[],4,FALSE),"")</f>
        <v/>
      </c>
      <c r="T235" s="374"/>
      <c r="U235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5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5" s="12"/>
      <c r="X235" s="384" t="str">
        <f>IFERROR(IF(TRANSHARI2_SOFTDRINKMALAM[[#This Row],[NAMA REKENING]]="","",TRANSHARI2_SOFTDRINKMALAM[[#This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IFERROR(VLOOKUP(TRANSHARI2_SOFTDRINKPAGI[[#This Row],[PRODUK]],DATA_SOFTDRINK[],4,FALSE),"")</f>
        <v/>
      </c>
      <c r="E236" s="374"/>
      <c r="F236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6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6" s="12"/>
      <c r="I236" s="386" t="str">
        <f>IFERROR(IF(TRANSHARI2_SOFTDRINKPAGI[[#This Row],[NAMA REKENING]]="","",TRANSHARI2_SOFTDRINKPAGI[[#This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IFERROR(VLOOKUP(TRANSHARI2_SOFTDRINKMALAM[[#This Row],[PRODUK]],DATA_SOFTDRINK[],4,FALSE),"")</f>
        <v/>
      </c>
      <c r="T236" s="374"/>
      <c r="U236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6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6" s="12"/>
      <c r="X236" s="386" t="str">
        <f>IFERROR(IF(TRANSHARI2_SOFTDRINKMALAM[[#This Row],[NAMA REKENING]]="","",TRANSHARI2_SOFTDRINKMALAM[[#This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IFERROR(VLOOKUP(TRANSHARI2_SOFTDRINKPAGI[[#This Row],[PRODUK]],DATA_SOFTDRINK[],4,FALSE),"")</f>
        <v/>
      </c>
      <c r="E237" s="374"/>
      <c r="F237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7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7" s="12"/>
      <c r="I237" s="384" t="str">
        <f>IFERROR(IF(TRANSHARI2_SOFTDRINKPAGI[[#This Row],[NAMA REKENING]]="","",TRANSHARI2_SOFTDRINKPAGI[[#This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IFERROR(VLOOKUP(TRANSHARI2_SOFTDRINKMALAM[[#This Row],[PRODUK]],DATA_SOFTDRINK[],4,FALSE),"")</f>
        <v/>
      </c>
      <c r="T237" s="374"/>
      <c r="U237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7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7" s="12"/>
      <c r="X237" s="384" t="str">
        <f>IFERROR(IF(TRANSHARI2_SOFTDRINKMALAM[[#This Row],[NAMA REKENING]]="","",TRANSHARI2_SOFTDRINKMALAM[[#This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IFERROR(VLOOKUP(TRANSHARI2_SOFTDRINKPAGI[[#This Row],[PRODUK]],DATA_SOFTDRINK[],4,FALSE),"")</f>
        <v/>
      </c>
      <c r="E238" s="374"/>
      <c r="F238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8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8" s="12"/>
      <c r="I238" s="386" t="str">
        <f>IFERROR(IF(TRANSHARI2_SOFTDRINKPAGI[[#This Row],[NAMA REKENING]]="","",TRANSHARI2_SOFTDRINKPAGI[[#This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IFERROR(VLOOKUP(TRANSHARI2_SOFTDRINKMALAM[[#This Row],[PRODUK]],DATA_SOFTDRINK[],4,FALSE),"")</f>
        <v/>
      </c>
      <c r="T238" s="374"/>
      <c r="U238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8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8" s="12"/>
      <c r="X238" s="386" t="str">
        <f>IFERROR(IF(TRANSHARI2_SOFTDRINKMALAM[[#This Row],[NAMA REKENING]]="","",TRANSHARI2_SOFTDRINKMALAM[[#This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IFERROR(VLOOKUP(TRANSHARI2_SOFTDRINKPAGI[[#This Row],[PRODUK]],DATA_SOFTDRINK[],4,FALSE),"")</f>
        <v/>
      </c>
      <c r="E239" s="374"/>
      <c r="F239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39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39" s="12"/>
      <c r="I239" s="384" t="str">
        <f>IFERROR(IF(TRANSHARI2_SOFTDRINKPAGI[[#This Row],[NAMA REKENING]]="","",TRANSHARI2_SOFTDRINKPAGI[[#This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IFERROR(VLOOKUP(TRANSHARI2_SOFTDRINKMALAM[[#This Row],[PRODUK]],DATA_SOFTDRINK[],4,FALSE),"")</f>
        <v/>
      </c>
      <c r="T239" s="374"/>
      <c r="U239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39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39" s="12"/>
      <c r="X239" s="384" t="str">
        <f>IFERROR(IF(TRANSHARI2_SOFTDRINKMALAM[[#This Row],[NAMA REKENING]]="","",TRANSHARI2_SOFTDRINKMALAM[[#This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IFERROR(VLOOKUP(TRANSHARI2_SOFTDRINKPAGI[[#This Row],[PRODUK]],DATA_SOFTDRINK[],4,FALSE),"")</f>
        <v/>
      </c>
      <c r="E240" s="374"/>
      <c r="F240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0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0" s="12"/>
      <c r="I240" s="386" t="str">
        <f>IFERROR(IF(TRANSHARI2_SOFTDRINKPAGI[[#This Row],[NAMA REKENING]]="","",TRANSHARI2_SOFTDRINKPAGI[[#This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IFERROR(VLOOKUP(TRANSHARI2_SOFTDRINKMALAM[[#This Row],[PRODUK]],DATA_SOFTDRINK[],4,FALSE),"")</f>
        <v/>
      </c>
      <c r="T240" s="374"/>
      <c r="U240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0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0" s="12"/>
      <c r="X240" s="386" t="str">
        <f>IFERROR(IF(TRANSHARI2_SOFTDRINKMALAM[[#This Row],[NAMA REKENING]]="","",TRANSHARI2_SOFTDRINKMALAM[[#This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IFERROR(VLOOKUP(TRANSHARI2_SOFTDRINKPAGI[[#This Row],[PRODUK]],DATA_SOFTDRINK[],4,FALSE),"")</f>
        <v/>
      </c>
      <c r="E241" s="374"/>
      <c r="F241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1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1" s="12"/>
      <c r="I241" s="384" t="str">
        <f>IFERROR(IF(TRANSHARI2_SOFTDRINKPAGI[[#This Row],[NAMA REKENING]]="","",TRANSHARI2_SOFTDRINKPAGI[[#This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IFERROR(VLOOKUP(TRANSHARI2_SOFTDRINKMALAM[[#This Row],[PRODUK]],DATA_SOFTDRINK[],4,FALSE),"")</f>
        <v/>
      </c>
      <c r="T241" s="374"/>
      <c r="U241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1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1" s="12"/>
      <c r="X241" s="384" t="str">
        <f>IFERROR(IF(TRANSHARI2_SOFTDRINKMALAM[[#This Row],[NAMA REKENING]]="","",TRANSHARI2_SOFTDRINKMALAM[[#This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IFERROR(VLOOKUP(TRANSHARI2_SOFTDRINKPAGI[[#This Row],[PRODUK]],DATA_SOFTDRINK[],4,FALSE),"")</f>
        <v/>
      </c>
      <c r="E242" s="374"/>
      <c r="F242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2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2" s="12"/>
      <c r="I242" s="386" t="str">
        <f>IFERROR(IF(TRANSHARI2_SOFTDRINKPAGI[[#This Row],[NAMA REKENING]]="","",TRANSHARI2_SOFTDRINKPAGI[[#This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IFERROR(VLOOKUP(TRANSHARI2_SOFTDRINKMALAM[[#This Row],[PRODUK]],DATA_SOFTDRINK[],4,FALSE),"")</f>
        <v/>
      </c>
      <c r="T242" s="374"/>
      <c r="U242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2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2" s="12"/>
      <c r="X242" s="386" t="str">
        <f>IFERROR(IF(TRANSHARI2_SOFTDRINKMALAM[[#This Row],[NAMA REKENING]]="","",TRANSHARI2_SOFTDRINKMALAM[[#This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IFERROR(VLOOKUP(TRANSHARI2_SOFTDRINKPAGI[[#This Row],[PRODUK]],DATA_SOFTDRINK[],4,FALSE),"")</f>
        <v/>
      </c>
      <c r="E243" s="374"/>
      <c r="F243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3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3" s="12"/>
      <c r="I243" s="384" t="str">
        <f>IFERROR(IF(TRANSHARI2_SOFTDRINKPAGI[[#This Row],[NAMA REKENING]]="","",TRANSHARI2_SOFTDRINKPAGI[[#This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IFERROR(VLOOKUP(TRANSHARI2_SOFTDRINKMALAM[[#This Row],[PRODUK]],DATA_SOFTDRINK[],4,FALSE),"")</f>
        <v/>
      </c>
      <c r="T243" s="374"/>
      <c r="U243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3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3" s="12"/>
      <c r="X243" s="384" t="str">
        <f>IFERROR(IF(TRANSHARI2_SOFTDRINKMALAM[[#This Row],[NAMA REKENING]]="","",TRANSHARI2_SOFTDRINKMALAM[[#This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IFERROR(VLOOKUP(TRANSHARI2_SOFTDRINKPAGI[[#This Row],[PRODUK]],DATA_SOFTDRINK[],4,FALSE),"")</f>
        <v/>
      </c>
      <c r="E244" s="374"/>
      <c r="F244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4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4" s="12"/>
      <c r="I244" s="386" t="str">
        <f>IFERROR(IF(TRANSHARI2_SOFTDRINKPAGI[[#This Row],[NAMA REKENING]]="","",TRANSHARI2_SOFTDRINKPAGI[[#This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IFERROR(VLOOKUP(TRANSHARI2_SOFTDRINKMALAM[[#This Row],[PRODUK]],DATA_SOFTDRINK[],4,FALSE),"")</f>
        <v/>
      </c>
      <c r="T244" s="374"/>
      <c r="U244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4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4" s="12"/>
      <c r="X244" s="386" t="str">
        <f>IFERROR(IF(TRANSHARI2_SOFTDRINKMALAM[[#This Row],[NAMA REKENING]]="","",TRANSHARI2_SOFTDRINKMALAM[[#This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IFERROR(VLOOKUP(TRANSHARI2_SOFTDRINKPAGI[[#This Row],[PRODUK]],DATA_SOFTDRINK[],4,FALSE),"")</f>
        <v/>
      </c>
      <c r="E245" s="374"/>
      <c r="F245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5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5" s="12"/>
      <c r="I245" s="384" t="str">
        <f>IFERROR(IF(TRANSHARI2_SOFTDRINKPAGI[[#This Row],[NAMA REKENING]]="","",TRANSHARI2_SOFTDRINKPAGI[[#This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IFERROR(VLOOKUP(TRANSHARI2_SOFTDRINKMALAM[[#This Row],[PRODUK]],DATA_SOFTDRINK[],4,FALSE),"")</f>
        <v/>
      </c>
      <c r="T245" s="374"/>
      <c r="U245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5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5" s="12"/>
      <c r="X245" s="384" t="str">
        <f>IFERROR(IF(TRANSHARI2_SOFTDRINKMALAM[[#This Row],[NAMA REKENING]]="","",TRANSHARI2_SOFTDRINKMALAM[[#This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IFERROR(VLOOKUP(TRANSHARI2_SOFTDRINKPAGI[[#This Row],[PRODUK]],DATA_SOFTDRINK[],4,FALSE),"")</f>
        <v/>
      </c>
      <c r="E246" s="374"/>
      <c r="F246" s="373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6" s="373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6" s="12"/>
      <c r="I246" s="386" t="str">
        <f>IFERROR(IF(TRANSHARI2_SOFTDRINKPAGI[[#This Row],[NAMA REKENING]]="","",TRANSHARI2_SOFTDRINKPAGI[[#This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IFERROR(VLOOKUP(TRANSHARI2_SOFTDRINKMALAM[[#This Row],[PRODUK]],DATA_SOFTDRINK[],4,FALSE),"")</f>
        <v/>
      </c>
      <c r="T246" s="374"/>
      <c r="U246" s="373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6" s="373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6" s="12"/>
      <c r="X246" s="386" t="str">
        <f>IFERROR(IF(TRANSHARI2_SOFTDRINKMALAM[[#This Row],[NAMA REKENING]]="","",TRANSHARI2_SOFTDRINKMALAM[[#This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IFERROR(VLOOKUP(TRANSHARI2_SOFTDRINKPAGI[[#This Row],[PRODUK]],DATA_SOFTDRINK[],4,FALSE),"")</f>
        <v/>
      </c>
      <c r="E247" s="374"/>
      <c r="F247" s="369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7" s="369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7" s="12"/>
      <c r="I247" s="384" t="str">
        <f>IFERROR(IF(TRANSHARI2_SOFTDRINKPAGI[[#This Row],[NAMA REKENING]]="","",TRANSHARI2_SOFTDRINKPAGI[[#This Row],[DEBIT]]),"")</f>
        <v/>
      </c>
      <c r="J247" s="387"/>
      <c r="K247" s="389">
        <f>F249+G249</f>
        <v>26500</v>
      </c>
      <c r="L247" s="390"/>
      <c r="O247" s="324"/>
      <c r="P247" s="367">
        <v>49</v>
      </c>
      <c r="Q247" s="368"/>
      <c r="R247" s="372"/>
      <c r="S247" s="369" t="str">
        <f>IFERROR(VLOOKUP(TRANSHARI2_SOFTDRINKMALAM[[#This Row],[PRODUK]],DATA_SOFTDRINK[],4,FALSE),"")</f>
        <v/>
      </c>
      <c r="T247" s="374"/>
      <c r="U247" s="369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7" s="369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7" s="12"/>
      <c r="X247" s="384" t="str">
        <f>IFERROR(IF(TRANSHARI2_SOFTDRINKMALAM[[#This Row],[NAMA REKENING]]="","",TRANSHARI2_SOFTDRINKMALAM[[#This Row],[DEBIT]]),"")</f>
        <v/>
      </c>
      <c r="Y247" s="387"/>
      <c r="Z247" s="400">
        <f>K247+Z242</f>
        <v>26500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IFERROR(VLOOKUP(TRANSHARI2_SOFTDRINKPAGI[[#This Row],[PRODUK]],DATA_SOFTDRINK[],4,FALSE),"")</f>
        <v/>
      </c>
      <c r="E248" s="376"/>
      <c r="F248" s="394" t="str">
        <f>IFERROR(IF(TRANSHARI2_SOFTDRINKPAGI[[#This Row],[NAMA PENGHUTANG]]="",((TRANSHARI2_SOFTDRINKPAGI[[#This Row],[HARGA]]*TRANSHARI2_SOFTDRINKPAGI[[#This Row],[QUANTITY]])+TRANSHARI2_SOFTDRINKPAGI[[#This Row],[PRICE TOLERANCE]]),""),"")</f>
        <v/>
      </c>
      <c r="G248" s="394" t="str">
        <f>IFERROR(IF(TRANSHARI2_SOFTDRINKPAGI[[#This Row],[NAMA PENGHUTANG]]="","",((TRANSHARI2_SOFTDRINKPAGI[[#This Row],[HARGA]]*TRANSHARI2_SOFTDRINKPAGI[[#This Row],[QUANTITY]])+TRANSHARI2_SOFTDRINKPAGI[[#This Row],[PRICE TOLERANCE]])),"")</f>
        <v/>
      </c>
      <c r="H248" s="377"/>
      <c r="I248" s="399" t="str">
        <f>IFERROR(IF(TRANSHARI2_SOFTDRINKPAGI[[#This Row],[NAMA REKENING]]="","",TRANSHARI2_SOFTDRINKPAGI[[#This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IFERROR(VLOOKUP(TRANSHARI2_SOFTDRINKMALAM[[#This Row],[PRODUK]],DATA_SOFTDRINK[],4,FALSE),"")</f>
        <v/>
      </c>
      <c r="T248" s="376"/>
      <c r="U248" s="394" t="str">
        <f>IFERROR(IF(TRANSHARI2_SOFTDRINKMALAM[[#This Row],[NAMA PENGHUTANG]]="",((TRANSHARI2_SOFTDRINKMALAM[[#This Row],[HARGA]]*TRANSHARI2_SOFTDRINKMALAM[[#This Row],[QUANTITY]])+TRANSHARI2_SOFTDRINKMALAM[[#This Row],[PRICE TOLERANCE]]),""),"")</f>
        <v/>
      </c>
      <c r="V248" s="394" t="str">
        <f>IFERROR(IF(TRANSHARI2_SOFTDRINKMALAM[[#This Row],[NAMA PENGHUTANG]]="","",((TRANSHARI2_SOFTDRINKMALAM[[#This Row],[HARGA]]*TRANSHARI2_SOFTDRINKMALAM[[#This Row],[QUANTITY]])+TRANSHARI2_SOFTDRINKMALAM[[#This Row],[PRICE TOLERANCE]])),"")</f>
        <v/>
      </c>
      <c r="W248" s="377"/>
      <c r="X248" s="399" t="str">
        <f>IFERROR(IF(TRANSHARI2_SOFTDRINKMALAM[[#This Row],[NAMA REKENING]]="","",TRANSHARI2_SOFTDRINKMALAM[[#This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SUM(TRANSHARI2_SOFTDRINKPAGI[QUANTITY])</f>
        <v>12</v>
      </c>
      <c r="E249" s="398">
        <f>SUM(TRANSHARI2_SOFTDRINKPAGI[PRICE TOLERANCE])</f>
        <v>0</v>
      </c>
      <c r="F249" s="396">
        <f>SUM(TRANSHARI2_SOFTDRINKPAGI[DEBIT])</f>
        <v>26500</v>
      </c>
      <c r="G249" s="396">
        <f>SUM(TRANSHARI2_SOFTDRINKPAGI[KREDIT])</f>
        <v>0</v>
      </c>
      <c r="I249" s="396">
        <f>SUM(TRANSHARI2_SOFTDRINKPAGI[NOMINAL TRANSFER])</f>
        <v>0</v>
      </c>
      <c r="O249" s="324"/>
      <c r="P249" s="303" t="s">
        <v>78</v>
      </c>
      <c r="Q249" s="316"/>
      <c r="R249" s="395">
        <f>SUM(TRANSHARI2_SOFTDRINKMALAM[QUANTITY])</f>
        <v>0</v>
      </c>
      <c r="T249" s="398">
        <f>SUM(TRANSHARI2_SOFTDRINKMALAM[PRICE TOLERANCE])</f>
        <v>0</v>
      </c>
      <c r="U249" s="396">
        <f>SUM(TRANSHARI2_SOFTDRINKMALAM[DEBIT])</f>
        <v>0</v>
      </c>
      <c r="V249" s="396">
        <f>SUM(TRANSHARI2_SOFTDRINKMALAM[KREDIT])</f>
        <v>0</v>
      </c>
      <c r="X249" s="396">
        <f>SUM(TRANSHARI2_SOFTDRINKMALAM[NOMINAL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">
        <v>179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">
        <v>180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 t="s">
        <v>102</v>
      </c>
      <c r="C256" s="368">
        <v>1</v>
      </c>
      <c r="D256" s="369">
        <f>IFERROR(VLOOKUP(TRANSHARI2_ICECREAMPAGI[[#This Row],[PRODUK]],DATA_ICECREAM[],4,FALSE),"")</f>
        <v>2000</v>
      </c>
      <c r="E256" s="370"/>
      <c r="F256" s="369">
        <f>IFERROR(IF(TRANSHARI2_ICECREAMPAGI[[#This Row],[NAMA PENGHUTANG]]="",((TRANSHARI2_ICECREAMPAGI[[#This Row],[HARGA]]*TRANSHARI2_ICECREAMPAGI[[#This Row],[QUANTITY]])+TRANSHARI2_ICECREAMPAGI[[#This Row],[PRICE TOLERANCE]]),""),"")</f>
        <v>2000</v>
      </c>
      <c r="G256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56" s="371"/>
      <c r="I256" s="384" t="str">
        <f>IFERROR(IF(TRANSHARI2_ICECREAMPAGI[[#This Row],[NAMA REKENING]]="","",TRANSHARI2_ICECREAMPAGI[[#This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IFERROR(VLOOKUP(TRANSHARI2_ICECREAMMALAM[[#This Row],[PRODUK]],DATA_ICECREAM[],4,FALSE),"")</f>
        <v/>
      </c>
      <c r="T256" s="370"/>
      <c r="U256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56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56" s="371"/>
      <c r="X256" s="384" t="str">
        <f>IFERROR(IF(TRANSHARI2_ICECREAMMALAM[[#This Row],[NAMA REKENING]]="","",TRANSHARI2_ICECREAMMALAM[[#This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IFERROR(VLOOKUP(TRANSHARI2_ICECREAMPAGI[[#This Row],[PRODUK]],DATA_ICECREAM[],4,FALSE),"")</f>
        <v/>
      </c>
      <c r="E257" s="374"/>
      <c r="F257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57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57" s="12"/>
      <c r="I257" s="386" t="str">
        <f>IFERROR(IF(TRANSHARI2_ICECREAMPAGI[[#This Row],[NAMA REKENING]]="","",TRANSHARI2_ICECREAMPAGI[[#This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IFERROR(VLOOKUP(TRANSHARI2_ICECREAMMALAM[[#This Row],[PRODUK]],DATA_ICECREAM[],4,FALSE),"")</f>
        <v/>
      </c>
      <c r="T257" s="374"/>
      <c r="U257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57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57" s="12"/>
      <c r="X257" s="386" t="str">
        <f>IFERROR(IF(TRANSHARI2_ICECREAMMALAM[[#This Row],[NAMA REKENING]]="","",TRANSHARI2_ICECREAMMALAM[[#This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IFERROR(VLOOKUP(TRANSHARI2_ICECREAMPAGI[[#This Row],[PRODUK]],DATA_ICECREAM[],4,FALSE),"")</f>
        <v/>
      </c>
      <c r="E258" s="374"/>
      <c r="F258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58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58" s="12"/>
      <c r="I258" s="384" t="str">
        <f>IFERROR(IF(TRANSHARI2_ICECREAMPAGI[[#This Row],[NAMA REKENING]]="","",TRANSHARI2_ICECREAMPAGI[[#This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IFERROR(VLOOKUP(TRANSHARI2_ICECREAMMALAM[[#This Row],[PRODUK]],DATA_ICECREAM[],4,FALSE),"")</f>
        <v/>
      </c>
      <c r="T258" s="374"/>
      <c r="U258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58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58" s="12"/>
      <c r="X258" s="384" t="str">
        <f>IFERROR(IF(TRANSHARI2_ICECREAMMALAM[[#This Row],[NAMA REKENING]]="","",TRANSHARI2_ICECREAMMALAM[[#This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IFERROR(VLOOKUP(TRANSHARI2_ICECREAMPAGI[[#This Row],[PRODUK]],DATA_ICECREAM[],4,FALSE),"")</f>
        <v/>
      </c>
      <c r="E259" s="374"/>
      <c r="F259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59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59" s="12"/>
      <c r="I259" s="386" t="str">
        <f>IFERROR(IF(TRANSHARI2_ICECREAMPAGI[[#This Row],[NAMA REKENING]]="","",TRANSHARI2_ICECREAMPAGI[[#This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IFERROR(VLOOKUP(TRANSHARI2_ICECREAMMALAM[[#This Row],[PRODUK]],DATA_ICECREAM[],4,FALSE),"")</f>
        <v/>
      </c>
      <c r="T259" s="374"/>
      <c r="U259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59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59" s="12"/>
      <c r="X259" s="386" t="str">
        <f>IFERROR(IF(TRANSHARI2_ICECREAMMALAM[[#This Row],[NAMA REKENING]]="","",TRANSHARI2_ICECREAMMALAM[[#This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IFERROR(VLOOKUP(TRANSHARI2_ICECREAMPAGI[[#This Row],[PRODUK]],DATA_ICECREAM[],4,FALSE),"")</f>
        <v/>
      </c>
      <c r="E260" s="374"/>
      <c r="F260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0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0" s="12"/>
      <c r="I260" s="384" t="str">
        <f>IFERROR(IF(TRANSHARI2_ICECREAMPAGI[[#This Row],[NAMA REKENING]]="","",TRANSHARI2_ICECREAMPAGI[[#This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IFERROR(VLOOKUP(TRANSHARI2_ICECREAMMALAM[[#This Row],[PRODUK]],DATA_ICECREAM[],4,FALSE),"")</f>
        <v/>
      </c>
      <c r="T260" s="374"/>
      <c r="U260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0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0" s="12"/>
      <c r="X260" s="384" t="str">
        <f>IFERROR(IF(TRANSHARI2_ICECREAMMALAM[[#This Row],[NAMA REKENING]]="","",TRANSHARI2_ICECREAMMALAM[[#This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IFERROR(VLOOKUP(TRANSHARI2_ICECREAMPAGI[[#This Row],[PRODUK]],DATA_ICECREAM[],4,FALSE),"")</f>
        <v/>
      </c>
      <c r="E261" s="374"/>
      <c r="F261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1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1" s="12"/>
      <c r="I261" s="386" t="str">
        <f>IFERROR(IF(TRANSHARI2_ICECREAMPAGI[[#This Row],[NAMA REKENING]]="","",TRANSHARI2_ICECREAMPAGI[[#This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IFERROR(VLOOKUP(TRANSHARI2_ICECREAMMALAM[[#This Row],[PRODUK]],DATA_ICECREAM[],4,FALSE),"")</f>
        <v/>
      </c>
      <c r="T261" s="374"/>
      <c r="U261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1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1" s="12"/>
      <c r="X261" s="386" t="str">
        <f>IFERROR(IF(TRANSHARI2_ICECREAMMALAM[[#This Row],[NAMA REKENING]]="","",TRANSHARI2_ICECREAMMALAM[[#This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IFERROR(VLOOKUP(TRANSHARI2_ICECREAMPAGI[[#This Row],[PRODUK]],DATA_ICECREAM[],4,FALSE),"")</f>
        <v/>
      </c>
      <c r="E262" s="374"/>
      <c r="F262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2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2" s="12"/>
      <c r="I262" s="384" t="str">
        <f>IFERROR(IF(TRANSHARI2_ICECREAMPAGI[[#This Row],[NAMA REKENING]]="","",TRANSHARI2_ICECREAMPAGI[[#This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IFERROR(VLOOKUP(TRANSHARI2_ICECREAMMALAM[[#This Row],[PRODUK]],DATA_ICECREAM[],4,FALSE),"")</f>
        <v/>
      </c>
      <c r="T262" s="374"/>
      <c r="U262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2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2" s="12"/>
      <c r="X262" s="384" t="str">
        <f>IFERROR(IF(TRANSHARI2_ICECREAMMALAM[[#This Row],[NAMA REKENING]]="","",TRANSHARI2_ICECREAMMALAM[[#This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IFERROR(VLOOKUP(TRANSHARI2_ICECREAMPAGI[[#This Row],[PRODUK]],DATA_ICECREAM[],4,FALSE),"")</f>
        <v/>
      </c>
      <c r="E263" s="374"/>
      <c r="F263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3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3" s="12"/>
      <c r="I263" s="386" t="str">
        <f>IFERROR(IF(TRANSHARI2_ICECREAMPAGI[[#This Row],[NAMA REKENING]]="","",TRANSHARI2_ICECREAMPAGI[[#This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IFERROR(VLOOKUP(TRANSHARI2_ICECREAMMALAM[[#This Row],[PRODUK]],DATA_ICECREAM[],4,FALSE),"")</f>
        <v/>
      </c>
      <c r="T263" s="374"/>
      <c r="U263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3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3" s="12"/>
      <c r="X263" s="386" t="str">
        <f>IFERROR(IF(TRANSHARI2_ICECREAMMALAM[[#This Row],[NAMA REKENING]]="","",TRANSHARI2_ICECREAMMALAM[[#This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IFERROR(VLOOKUP(TRANSHARI2_ICECREAMPAGI[[#This Row],[PRODUK]],DATA_ICECREAM[],4,FALSE),"")</f>
        <v/>
      </c>
      <c r="E264" s="374"/>
      <c r="F264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4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4" s="12"/>
      <c r="I264" s="384" t="str">
        <f>IFERROR(IF(TRANSHARI2_ICECREAMPAGI[[#This Row],[NAMA REKENING]]="","",TRANSHARI2_ICECREAMPAGI[[#This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IFERROR(VLOOKUP(TRANSHARI2_ICECREAMMALAM[[#This Row],[PRODUK]],DATA_ICECREAM[],4,FALSE),"")</f>
        <v/>
      </c>
      <c r="T264" s="374"/>
      <c r="U264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4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4" s="12"/>
      <c r="X264" s="384" t="str">
        <f>IFERROR(IF(TRANSHARI2_ICECREAMMALAM[[#This Row],[NAMA REKENING]]="","",TRANSHARI2_ICECREAMMALAM[[#This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IFERROR(VLOOKUP(TRANSHARI2_ICECREAMPAGI[[#This Row],[PRODUK]],DATA_ICECREAM[],4,FALSE),"")</f>
        <v/>
      </c>
      <c r="E265" s="374"/>
      <c r="F265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5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5" s="12"/>
      <c r="I265" s="386" t="str">
        <f>IFERROR(IF(TRANSHARI2_ICECREAMPAGI[[#This Row],[NAMA REKENING]]="","",TRANSHARI2_ICECREAMPAGI[[#This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IFERROR(VLOOKUP(TRANSHARI2_ICECREAMMALAM[[#This Row],[PRODUK]],DATA_ICECREAM[],4,FALSE),"")</f>
        <v/>
      </c>
      <c r="T265" s="374"/>
      <c r="U265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5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5" s="12"/>
      <c r="X265" s="386" t="str">
        <f>IFERROR(IF(TRANSHARI2_ICECREAMMALAM[[#This Row],[NAMA REKENING]]="","",TRANSHARI2_ICECREAMMALAM[[#This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IFERROR(VLOOKUP(TRANSHARI2_ICECREAMPAGI[[#This Row],[PRODUK]],DATA_ICECREAM[],4,FALSE),"")</f>
        <v/>
      </c>
      <c r="E266" s="374"/>
      <c r="F266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6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6" s="12"/>
      <c r="I266" s="384" t="str">
        <f>IFERROR(IF(TRANSHARI2_ICECREAMPAGI[[#This Row],[NAMA REKENING]]="","",TRANSHARI2_ICECREAMPAGI[[#This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IFERROR(VLOOKUP(TRANSHARI2_ICECREAMMALAM[[#This Row],[PRODUK]],DATA_ICECREAM[],4,FALSE),"")</f>
        <v/>
      </c>
      <c r="T266" s="374"/>
      <c r="U266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6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6" s="12"/>
      <c r="X266" s="384" t="str">
        <f>IFERROR(IF(TRANSHARI2_ICECREAMMALAM[[#This Row],[NAMA REKENING]]="","",TRANSHARI2_ICECREAMMALAM[[#This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IFERROR(VLOOKUP(TRANSHARI2_ICECREAMPAGI[[#This Row],[PRODUK]],DATA_ICECREAM[],4,FALSE),"")</f>
        <v/>
      </c>
      <c r="E267" s="374"/>
      <c r="F267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7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7" s="12"/>
      <c r="I267" s="386" t="str">
        <f>IFERROR(IF(TRANSHARI2_ICECREAMPAGI[[#This Row],[NAMA REKENING]]="","",TRANSHARI2_ICECREAMPAGI[[#This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IFERROR(VLOOKUP(TRANSHARI2_ICECREAMMALAM[[#This Row],[PRODUK]],DATA_ICECREAM[],4,FALSE),"")</f>
        <v/>
      </c>
      <c r="T267" s="374"/>
      <c r="U267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7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7" s="12"/>
      <c r="X267" s="386" t="str">
        <f>IFERROR(IF(TRANSHARI2_ICECREAMMALAM[[#This Row],[NAMA REKENING]]="","",TRANSHARI2_ICECREAMMALAM[[#This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IFERROR(VLOOKUP(TRANSHARI2_ICECREAMPAGI[[#This Row],[PRODUK]],DATA_ICECREAM[],4,FALSE),"")</f>
        <v/>
      </c>
      <c r="E268" s="374"/>
      <c r="F268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8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8" s="12"/>
      <c r="I268" s="384" t="str">
        <f>IFERROR(IF(TRANSHARI2_ICECREAMPAGI[[#This Row],[NAMA REKENING]]="","",TRANSHARI2_ICECREAMPAGI[[#This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IFERROR(VLOOKUP(TRANSHARI2_ICECREAMMALAM[[#This Row],[PRODUK]],DATA_ICECREAM[],4,FALSE),"")</f>
        <v/>
      </c>
      <c r="T268" s="374"/>
      <c r="U268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8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8" s="12"/>
      <c r="X268" s="384" t="str">
        <f>IFERROR(IF(TRANSHARI2_ICECREAMMALAM[[#This Row],[NAMA REKENING]]="","",TRANSHARI2_ICECREAMMALAM[[#This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IFERROR(VLOOKUP(TRANSHARI2_ICECREAMPAGI[[#This Row],[PRODUK]],DATA_ICECREAM[],4,FALSE),"")</f>
        <v/>
      </c>
      <c r="E269" s="374"/>
      <c r="F269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69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69" s="12"/>
      <c r="I269" s="386" t="str">
        <f>IFERROR(IF(TRANSHARI2_ICECREAMPAGI[[#This Row],[NAMA REKENING]]="","",TRANSHARI2_ICECREAMPAGI[[#This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IFERROR(VLOOKUP(TRANSHARI2_ICECREAMMALAM[[#This Row],[PRODUK]],DATA_ICECREAM[],4,FALSE),"")</f>
        <v/>
      </c>
      <c r="T269" s="374"/>
      <c r="U269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69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69" s="12"/>
      <c r="X269" s="386" t="str">
        <f>IFERROR(IF(TRANSHARI2_ICECREAMMALAM[[#This Row],[NAMA REKENING]]="","",TRANSHARI2_ICECREAMMALAM[[#This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IFERROR(VLOOKUP(TRANSHARI2_ICECREAMPAGI[[#This Row],[PRODUK]],DATA_ICECREAM[],4,FALSE),"")</f>
        <v/>
      </c>
      <c r="E270" s="374"/>
      <c r="F270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0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0" s="12"/>
      <c r="I270" s="384" t="str">
        <f>IFERROR(IF(TRANSHARI2_ICECREAMPAGI[[#This Row],[NAMA REKENING]]="","",TRANSHARI2_ICECREAMPAGI[[#This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IFERROR(VLOOKUP(TRANSHARI2_ICECREAMMALAM[[#This Row],[PRODUK]],DATA_ICECREAM[],4,FALSE),"")</f>
        <v/>
      </c>
      <c r="T270" s="374"/>
      <c r="U270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0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0" s="12"/>
      <c r="X270" s="384" t="str">
        <f>IFERROR(IF(TRANSHARI2_ICECREAMMALAM[[#This Row],[NAMA REKENING]]="","",TRANSHARI2_ICECREAMMALAM[[#This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IFERROR(VLOOKUP(TRANSHARI2_ICECREAMPAGI[[#This Row],[PRODUK]],DATA_ICECREAM[],4,FALSE),"")</f>
        <v/>
      </c>
      <c r="E271" s="374"/>
      <c r="F271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1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1" s="12"/>
      <c r="I271" s="386" t="str">
        <f>IFERROR(IF(TRANSHARI2_ICECREAMPAGI[[#This Row],[NAMA REKENING]]="","",TRANSHARI2_ICECREAMPAGI[[#This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IFERROR(VLOOKUP(TRANSHARI2_ICECREAMMALAM[[#This Row],[PRODUK]],DATA_ICECREAM[],4,FALSE),"")</f>
        <v/>
      </c>
      <c r="T271" s="374"/>
      <c r="U271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1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1" s="12"/>
      <c r="X271" s="386" t="str">
        <f>IFERROR(IF(TRANSHARI2_ICECREAMMALAM[[#This Row],[NAMA REKENING]]="","",TRANSHARI2_ICECREAMMALAM[[#This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IFERROR(VLOOKUP(TRANSHARI2_ICECREAMPAGI[[#This Row],[PRODUK]],DATA_ICECREAM[],4,FALSE),"")</f>
        <v/>
      </c>
      <c r="E272" s="374"/>
      <c r="F272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2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2" s="12"/>
      <c r="I272" s="384" t="str">
        <f>IFERROR(IF(TRANSHARI2_ICECREAMPAGI[[#This Row],[NAMA REKENING]]="","",TRANSHARI2_ICECREAMPAGI[[#This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IFERROR(VLOOKUP(TRANSHARI2_ICECREAMMALAM[[#This Row],[PRODUK]],DATA_ICECREAM[],4,FALSE),"")</f>
        <v/>
      </c>
      <c r="T272" s="374"/>
      <c r="U272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2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2" s="12"/>
      <c r="X272" s="384" t="str">
        <f>IFERROR(IF(TRANSHARI2_ICECREAMMALAM[[#This Row],[NAMA REKENING]]="","",TRANSHARI2_ICECREAMMALAM[[#This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IFERROR(VLOOKUP(TRANSHARI2_ICECREAMPAGI[[#This Row],[PRODUK]],DATA_ICECREAM[],4,FALSE),"")</f>
        <v/>
      </c>
      <c r="E273" s="374"/>
      <c r="F273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3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3" s="12"/>
      <c r="I273" s="386" t="str">
        <f>IFERROR(IF(TRANSHARI2_ICECREAMPAGI[[#This Row],[NAMA REKENING]]="","",TRANSHARI2_ICECREAMPAGI[[#This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IFERROR(VLOOKUP(TRANSHARI2_ICECREAMMALAM[[#This Row],[PRODUK]],DATA_ICECREAM[],4,FALSE),"")</f>
        <v/>
      </c>
      <c r="T273" s="374"/>
      <c r="U273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3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3" s="12"/>
      <c r="X273" s="386" t="str">
        <f>IFERROR(IF(TRANSHARI2_ICECREAMMALAM[[#This Row],[NAMA REKENING]]="","",TRANSHARI2_ICECREAMMALAM[[#This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IFERROR(VLOOKUP(TRANSHARI2_ICECREAMPAGI[[#This Row],[PRODUK]],DATA_ICECREAM[],4,FALSE),"")</f>
        <v/>
      </c>
      <c r="E274" s="374"/>
      <c r="F274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4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4" s="12"/>
      <c r="I274" s="384" t="str">
        <f>IFERROR(IF(TRANSHARI2_ICECREAMPAGI[[#This Row],[NAMA REKENING]]="","",TRANSHARI2_ICECREAMPAGI[[#This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IFERROR(VLOOKUP(TRANSHARI2_ICECREAMMALAM[[#This Row],[PRODUK]],DATA_ICECREAM[],4,FALSE),"")</f>
        <v/>
      </c>
      <c r="T274" s="374"/>
      <c r="U274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4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4" s="12"/>
      <c r="X274" s="384" t="str">
        <f>IFERROR(IF(TRANSHARI2_ICECREAMMALAM[[#This Row],[NAMA REKENING]]="","",TRANSHARI2_ICECREAMMALAM[[#This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IFERROR(VLOOKUP(TRANSHARI2_ICECREAMPAGI[[#This Row],[PRODUK]],DATA_ICECREAM[],4,FALSE),"")</f>
        <v/>
      </c>
      <c r="E275" s="374"/>
      <c r="F275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5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5" s="12"/>
      <c r="I275" s="386" t="str">
        <f>IFERROR(IF(TRANSHARI2_ICECREAMPAGI[[#This Row],[NAMA REKENING]]="","",TRANSHARI2_ICECREAMPAGI[[#This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IFERROR(VLOOKUP(TRANSHARI2_ICECREAMMALAM[[#This Row],[PRODUK]],DATA_ICECREAM[],4,FALSE),"")</f>
        <v/>
      </c>
      <c r="T275" s="374"/>
      <c r="U275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5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5" s="12"/>
      <c r="X275" s="386" t="str">
        <f>IFERROR(IF(TRANSHARI2_ICECREAMMALAM[[#This Row],[NAMA REKENING]]="","",TRANSHARI2_ICECREAMMALAM[[#This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IFERROR(VLOOKUP(TRANSHARI2_ICECREAMPAGI[[#This Row],[PRODUK]],DATA_ICECREAM[],4,FALSE),"")</f>
        <v/>
      </c>
      <c r="E276" s="374"/>
      <c r="F276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6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6" s="12"/>
      <c r="I276" s="384" t="str">
        <f>IFERROR(IF(TRANSHARI2_ICECREAMPAGI[[#This Row],[NAMA REKENING]]="","",TRANSHARI2_ICECREAMPAGI[[#This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IFERROR(VLOOKUP(TRANSHARI2_ICECREAMMALAM[[#This Row],[PRODUK]],DATA_ICECREAM[],4,FALSE),"")</f>
        <v/>
      </c>
      <c r="T276" s="374"/>
      <c r="U276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6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6" s="12"/>
      <c r="X276" s="384" t="str">
        <f>IFERROR(IF(TRANSHARI2_ICECREAMMALAM[[#This Row],[NAMA REKENING]]="","",TRANSHARI2_ICECREAMMALAM[[#This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IFERROR(VLOOKUP(TRANSHARI2_ICECREAMPAGI[[#This Row],[PRODUK]],DATA_ICECREAM[],4,FALSE),"")</f>
        <v/>
      </c>
      <c r="E277" s="374"/>
      <c r="F277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7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7" s="12"/>
      <c r="I277" s="386" t="str">
        <f>IFERROR(IF(TRANSHARI2_ICECREAMPAGI[[#This Row],[NAMA REKENING]]="","",TRANSHARI2_ICECREAMPAGI[[#This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IFERROR(VLOOKUP(TRANSHARI2_ICECREAMMALAM[[#This Row],[PRODUK]],DATA_ICECREAM[],4,FALSE),"")</f>
        <v/>
      </c>
      <c r="T277" s="374"/>
      <c r="U277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7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7" s="12"/>
      <c r="X277" s="386" t="str">
        <f>IFERROR(IF(TRANSHARI2_ICECREAMMALAM[[#This Row],[NAMA REKENING]]="","",TRANSHARI2_ICECREAMMALAM[[#This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IFERROR(VLOOKUP(TRANSHARI2_ICECREAMPAGI[[#This Row],[PRODUK]],DATA_ICECREAM[],4,FALSE),"")</f>
        <v/>
      </c>
      <c r="E278" s="374"/>
      <c r="F278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8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8" s="12"/>
      <c r="I278" s="384" t="str">
        <f>IFERROR(IF(TRANSHARI2_ICECREAMPAGI[[#This Row],[NAMA REKENING]]="","",TRANSHARI2_ICECREAMPAGI[[#This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IFERROR(VLOOKUP(TRANSHARI2_ICECREAMMALAM[[#This Row],[PRODUK]],DATA_ICECREAM[],4,FALSE),"")</f>
        <v/>
      </c>
      <c r="T278" s="374"/>
      <c r="U278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8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8" s="12"/>
      <c r="X278" s="384" t="str">
        <f>IFERROR(IF(TRANSHARI2_ICECREAMMALAM[[#This Row],[NAMA REKENING]]="","",TRANSHARI2_ICECREAMMALAM[[#This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IFERROR(VLOOKUP(TRANSHARI2_ICECREAMPAGI[[#This Row],[PRODUK]],DATA_ICECREAM[],4,FALSE),"")</f>
        <v/>
      </c>
      <c r="E279" s="374"/>
      <c r="F279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79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79" s="12"/>
      <c r="I279" s="386" t="str">
        <f>IFERROR(IF(TRANSHARI2_ICECREAMPAGI[[#This Row],[NAMA REKENING]]="","",TRANSHARI2_ICECREAMPAGI[[#This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IFERROR(VLOOKUP(TRANSHARI2_ICECREAMMALAM[[#This Row],[PRODUK]],DATA_ICECREAM[],4,FALSE),"")</f>
        <v/>
      </c>
      <c r="T279" s="374"/>
      <c r="U279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79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79" s="12"/>
      <c r="X279" s="386" t="str">
        <f>IFERROR(IF(TRANSHARI2_ICECREAMMALAM[[#This Row],[NAMA REKENING]]="","",TRANSHARI2_ICECREAMMALAM[[#This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IFERROR(VLOOKUP(TRANSHARI2_ICECREAMPAGI[[#This Row],[PRODUK]],DATA_ICECREAM[],4,FALSE),"")</f>
        <v/>
      </c>
      <c r="E280" s="374"/>
      <c r="F280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0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0" s="12"/>
      <c r="I280" s="384" t="str">
        <f>IFERROR(IF(TRANSHARI2_ICECREAMPAGI[[#This Row],[NAMA REKENING]]="","",TRANSHARI2_ICECREAMPAGI[[#This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IFERROR(VLOOKUP(TRANSHARI2_ICECREAMMALAM[[#This Row],[PRODUK]],DATA_ICECREAM[],4,FALSE),"")</f>
        <v/>
      </c>
      <c r="T280" s="374"/>
      <c r="U280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0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0" s="12"/>
      <c r="X280" s="384" t="str">
        <f>IFERROR(IF(TRANSHARI2_ICECREAMMALAM[[#This Row],[NAMA REKENING]]="","",TRANSHARI2_ICECREAMMALAM[[#This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IFERROR(VLOOKUP(TRANSHARI2_ICECREAMPAGI[[#This Row],[PRODUK]],DATA_ICECREAM[],4,FALSE),"")</f>
        <v/>
      </c>
      <c r="E281" s="376"/>
      <c r="F281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1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1" s="377"/>
      <c r="I281" s="386" t="str">
        <f>IFERROR(IF(TRANSHARI2_ICECREAMPAGI[[#This Row],[NAMA REKENING]]="","",TRANSHARI2_ICECREAMPAGI[[#This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IFERROR(VLOOKUP(TRANSHARI2_ICECREAMMALAM[[#This Row],[PRODUK]],DATA_ICECREAM[],4,FALSE),"")</f>
        <v/>
      </c>
      <c r="T281" s="376"/>
      <c r="U281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1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1" s="377"/>
      <c r="X281" s="386" t="str">
        <f>IFERROR(IF(TRANSHARI2_ICECREAMMALAM[[#This Row],[NAMA REKENING]]="","",TRANSHARI2_ICECREAMMALAM[[#This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IFERROR(VLOOKUP(TRANSHARI2_ICECREAMPAGI[[#This Row],[PRODUK]],DATA_ICECREAM[],4,FALSE),"")</f>
        <v/>
      </c>
      <c r="E282" s="374"/>
      <c r="F282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2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2" s="12"/>
      <c r="I282" s="384" t="str">
        <f>IFERROR(IF(TRANSHARI2_ICECREAMPAGI[[#This Row],[NAMA REKENING]]="","",TRANSHARI2_ICECREAMPAGI[[#This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IFERROR(VLOOKUP(TRANSHARI2_ICECREAMMALAM[[#This Row],[PRODUK]],DATA_ICECREAM[],4,FALSE),"")</f>
        <v/>
      </c>
      <c r="T282" s="374"/>
      <c r="U282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2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2" s="12"/>
      <c r="X282" s="384" t="str">
        <f>IFERROR(IF(TRANSHARI2_ICECREAMMALAM[[#This Row],[NAMA REKENING]]="","",TRANSHARI2_ICECREAMMALAM[[#This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IFERROR(VLOOKUP(TRANSHARI2_ICECREAMPAGI[[#This Row],[PRODUK]],DATA_ICECREAM[],4,FALSE),"")</f>
        <v/>
      </c>
      <c r="E283" s="374"/>
      <c r="F283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3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3" s="12"/>
      <c r="I283" s="386" t="str">
        <f>IFERROR(IF(TRANSHARI2_ICECREAMPAGI[[#This Row],[NAMA REKENING]]="","",TRANSHARI2_ICECREAMPAGI[[#This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IFERROR(VLOOKUP(TRANSHARI2_ICECREAMMALAM[[#This Row],[PRODUK]],DATA_ICECREAM[],4,FALSE),"")</f>
        <v/>
      </c>
      <c r="T283" s="374"/>
      <c r="U283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3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3" s="12"/>
      <c r="X283" s="386" t="str">
        <f>IFERROR(IF(TRANSHARI2_ICECREAMMALAM[[#This Row],[NAMA REKENING]]="","",TRANSHARI2_ICECREAMMALAM[[#This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IFERROR(VLOOKUP(TRANSHARI2_ICECREAMPAGI[[#This Row],[PRODUK]],DATA_ICECREAM[],4,FALSE),"")</f>
        <v/>
      </c>
      <c r="E284" s="374"/>
      <c r="F284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4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4" s="12"/>
      <c r="I284" s="384" t="str">
        <f>IFERROR(IF(TRANSHARI2_ICECREAMPAGI[[#This Row],[NAMA REKENING]]="","",TRANSHARI2_ICECREAMPAGI[[#This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IFERROR(VLOOKUP(TRANSHARI2_ICECREAMMALAM[[#This Row],[PRODUK]],DATA_ICECREAM[],4,FALSE),"")</f>
        <v/>
      </c>
      <c r="T284" s="374"/>
      <c r="U284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4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4" s="12"/>
      <c r="X284" s="384" t="str">
        <f>IFERROR(IF(TRANSHARI2_ICECREAMMALAM[[#This Row],[NAMA REKENING]]="","",TRANSHARI2_ICECREAMMALAM[[#This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IFERROR(VLOOKUP(TRANSHARI2_ICECREAMPAGI[[#This Row],[PRODUK]],DATA_ICECREAM[],4,FALSE),"")</f>
        <v/>
      </c>
      <c r="E285" s="374"/>
      <c r="F285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5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5" s="12"/>
      <c r="I285" s="386" t="str">
        <f>IFERROR(IF(TRANSHARI2_ICECREAMPAGI[[#This Row],[NAMA REKENING]]="","",TRANSHARI2_ICECREAMPAGI[[#This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IFERROR(VLOOKUP(TRANSHARI2_ICECREAMMALAM[[#This Row],[PRODUK]],DATA_ICECREAM[],4,FALSE),"")</f>
        <v/>
      </c>
      <c r="T285" s="374"/>
      <c r="U285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5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5" s="12"/>
      <c r="X285" s="386" t="str">
        <f>IFERROR(IF(TRANSHARI2_ICECREAMMALAM[[#This Row],[NAMA REKENING]]="","",TRANSHARI2_ICECREAMMALAM[[#This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IFERROR(VLOOKUP(TRANSHARI2_ICECREAMPAGI[[#This Row],[PRODUK]],DATA_ICECREAM[],4,FALSE),"")</f>
        <v/>
      </c>
      <c r="E286" s="374"/>
      <c r="F286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6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6" s="12"/>
      <c r="I286" s="384" t="str">
        <f>IFERROR(IF(TRANSHARI2_ICECREAMPAGI[[#This Row],[NAMA REKENING]]="","",TRANSHARI2_ICECREAMPAGI[[#This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IFERROR(VLOOKUP(TRANSHARI2_ICECREAMMALAM[[#This Row],[PRODUK]],DATA_ICECREAM[],4,FALSE),"")</f>
        <v/>
      </c>
      <c r="T286" s="374"/>
      <c r="U286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6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6" s="12"/>
      <c r="X286" s="384" t="str">
        <f>IFERROR(IF(TRANSHARI2_ICECREAMMALAM[[#This Row],[NAMA REKENING]]="","",TRANSHARI2_ICECREAMMALAM[[#This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IFERROR(VLOOKUP(TRANSHARI2_ICECREAMPAGI[[#This Row],[PRODUK]],DATA_ICECREAM[],4,FALSE),"")</f>
        <v/>
      </c>
      <c r="E287" s="374"/>
      <c r="F287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7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7" s="12"/>
      <c r="I287" s="386" t="str">
        <f>IFERROR(IF(TRANSHARI2_ICECREAMPAGI[[#This Row],[NAMA REKENING]]="","",TRANSHARI2_ICECREAMPAGI[[#This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IFERROR(VLOOKUP(TRANSHARI2_ICECREAMMALAM[[#This Row],[PRODUK]],DATA_ICECREAM[],4,FALSE),"")</f>
        <v/>
      </c>
      <c r="T287" s="374"/>
      <c r="U287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7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7" s="12"/>
      <c r="X287" s="386" t="str">
        <f>IFERROR(IF(TRANSHARI2_ICECREAMMALAM[[#This Row],[NAMA REKENING]]="","",TRANSHARI2_ICECREAMMALAM[[#This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IFERROR(VLOOKUP(TRANSHARI2_ICECREAMPAGI[[#This Row],[PRODUK]],DATA_ICECREAM[],4,FALSE),"")</f>
        <v/>
      </c>
      <c r="E288" s="374"/>
      <c r="F288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8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8" s="12"/>
      <c r="I288" s="384" t="str">
        <f>IFERROR(IF(TRANSHARI2_ICECREAMPAGI[[#This Row],[NAMA REKENING]]="","",TRANSHARI2_ICECREAMPAGI[[#This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IFERROR(VLOOKUP(TRANSHARI2_ICECREAMMALAM[[#This Row],[PRODUK]],DATA_ICECREAM[],4,FALSE),"")</f>
        <v/>
      </c>
      <c r="T288" s="374"/>
      <c r="U288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8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8" s="12"/>
      <c r="X288" s="384" t="str">
        <f>IFERROR(IF(TRANSHARI2_ICECREAMMALAM[[#This Row],[NAMA REKENING]]="","",TRANSHARI2_ICECREAMMALAM[[#This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IFERROR(VLOOKUP(TRANSHARI2_ICECREAMPAGI[[#This Row],[PRODUK]],DATA_ICECREAM[],4,FALSE),"")</f>
        <v/>
      </c>
      <c r="E289" s="374"/>
      <c r="F289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89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89" s="12"/>
      <c r="I289" s="386" t="str">
        <f>IFERROR(IF(TRANSHARI2_ICECREAMPAGI[[#This Row],[NAMA REKENING]]="","",TRANSHARI2_ICECREAMPAGI[[#This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IFERROR(VLOOKUP(TRANSHARI2_ICECREAMMALAM[[#This Row],[PRODUK]],DATA_ICECREAM[],4,FALSE),"")</f>
        <v/>
      </c>
      <c r="T289" s="374"/>
      <c r="U289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89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89" s="12"/>
      <c r="X289" s="386" t="str">
        <f>IFERROR(IF(TRANSHARI2_ICECREAMMALAM[[#This Row],[NAMA REKENING]]="","",TRANSHARI2_ICECREAMMALAM[[#This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IFERROR(VLOOKUP(TRANSHARI2_ICECREAMPAGI[[#This Row],[PRODUK]],DATA_ICECREAM[],4,FALSE),"")</f>
        <v/>
      </c>
      <c r="E290" s="374"/>
      <c r="F290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0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0" s="12"/>
      <c r="I290" s="384" t="str">
        <f>IFERROR(IF(TRANSHARI2_ICECREAMPAGI[[#This Row],[NAMA REKENING]]="","",TRANSHARI2_ICECREAMPAGI[[#This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IFERROR(VLOOKUP(TRANSHARI2_ICECREAMMALAM[[#This Row],[PRODUK]],DATA_ICECREAM[],4,FALSE),"")</f>
        <v/>
      </c>
      <c r="T290" s="374"/>
      <c r="U290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0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0" s="12"/>
      <c r="X290" s="384" t="str">
        <f>IFERROR(IF(TRANSHARI2_ICECREAMMALAM[[#This Row],[NAMA REKENING]]="","",TRANSHARI2_ICECREAMMALAM[[#This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IFERROR(VLOOKUP(TRANSHARI2_ICECREAMPAGI[[#This Row],[PRODUK]],DATA_ICECREAM[],4,FALSE),"")</f>
        <v/>
      </c>
      <c r="E291" s="374"/>
      <c r="F291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1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1" s="12"/>
      <c r="I291" s="386" t="str">
        <f>IFERROR(IF(TRANSHARI2_ICECREAMPAGI[[#This Row],[NAMA REKENING]]="","",TRANSHARI2_ICECREAMPAGI[[#This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IFERROR(VLOOKUP(TRANSHARI2_ICECREAMMALAM[[#This Row],[PRODUK]],DATA_ICECREAM[],4,FALSE),"")</f>
        <v/>
      </c>
      <c r="T291" s="374"/>
      <c r="U291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1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1" s="12"/>
      <c r="X291" s="386" t="str">
        <f>IFERROR(IF(TRANSHARI2_ICECREAMMALAM[[#This Row],[NAMA REKENING]]="","",TRANSHARI2_ICECREAMMALAM[[#This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IFERROR(VLOOKUP(TRANSHARI2_ICECREAMPAGI[[#This Row],[PRODUK]],DATA_ICECREAM[],4,FALSE),"")</f>
        <v/>
      </c>
      <c r="E292" s="374"/>
      <c r="F292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2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2" s="12"/>
      <c r="I292" s="384" t="str">
        <f>IFERROR(IF(TRANSHARI2_ICECREAMPAGI[[#This Row],[NAMA REKENING]]="","",TRANSHARI2_ICECREAMPAGI[[#This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IFERROR(VLOOKUP(TRANSHARI2_ICECREAMMALAM[[#This Row],[PRODUK]],DATA_ICECREAM[],4,FALSE),"")</f>
        <v/>
      </c>
      <c r="T292" s="374"/>
      <c r="U292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2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2" s="12"/>
      <c r="X292" s="384" t="str">
        <f>IFERROR(IF(TRANSHARI2_ICECREAMMALAM[[#This Row],[NAMA REKENING]]="","",TRANSHARI2_ICECREAMMALAM[[#This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IFERROR(VLOOKUP(TRANSHARI2_ICECREAMPAGI[[#This Row],[PRODUK]],DATA_ICECREAM[],4,FALSE),"")</f>
        <v/>
      </c>
      <c r="E293" s="374"/>
      <c r="F293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3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3" s="12"/>
      <c r="I293" s="386" t="str">
        <f>IFERROR(IF(TRANSHARI2_ICECREAMPAGI[[#This Row],[NAMA REKENING]]="","",TRANSHARI2_ICECREAMPAGI[[#This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IFERROR(VLOOKUP(TRANSHARI2_ICECREAMMALAM[[#This Row],[PRODUK]],DATA_ICECREAM[],4,FALSE),"")</f>
        <v/>
      </c>
      <c r="T293" s="374"/>
      <c r="U293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3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3" s="12"/>
      <c r="X293" s="386" t="str">
        <f>IFERROR(IF(TRANSHARI2_ICECREAMMALAM[[#This Row],[NAMA REKENING]]="","",TRANSHARI2_ICECREAMMALAM[[#This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IFERROR(VLOOKUP(TRANSHARI2_ICECREAMPAGI[[#This Row],[PRODUK]],DATA_ICECREAM[],4,FALSE),"")</f>
        <v/>
      </c>
      <c r="E294" s="374"/>
      <c r="F294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4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4" s="12"/>
      <c r="I294" s="384" t="str">
        <f>IFERROR(IF(TRANSHARI2_ICECREAMPAGI[[#This Row],[NAMA REKENING]]="","",TRANSHARI2_ICECREAMPAGI[[#This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IFERROR(VLOOKUP(TRANSHARI2_ICECREAMMALAM[[#This Row],[PRODUK]],DATA_ICECREAM[],4,FALSE),"")</f>
        <v/>
      </c>
      <c r="T294" s="374"/>
      <c r="U294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4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4" s="12"/>
      <c r="X294" s="384" t="str">
        <f>IFERROR(IF(TRANSHARI2_ICECREAMMALAM[[#This Row],[NAMA REKENING]]="","",TRANSHARI2_ICECREAMMALAM[[#This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IFERROR(VLOOKUP(TRANSHARI2_ICECREAMPAGI[[#This Row],[PRODUK]],DATA_ICECREAM[],4,FALSE),"")</f>
        <v/>
      </c>
      <c r="E295" s="374"/>
      <c r="F295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5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5" s="12"/>
      <c r="I295" s="386" t="str">
        <f>IFERROR(IF(TRANSHARI2_ICECREAMPAGI[[#This Row],[NAMA REKENING]]="","",TRANSHARI2_ICECREAMPAGI[[#This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IFERROR(VLOOKUP(TRANSHARI2_ICECREAMMALAM[[#This Row],[PRODUK]],DATA_ICECREAM[],4,FALSE),"")</f>
        <v/>
      </c>
      <c r="T295" s="374"/>
      <c r="U295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5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5" s="12"/>
      <c r="X295" s="386" t="str">
        <f>IFERROR(IF(TRANSHARI2_ICECREAMMALAM[[#This Row],[NAMA REKENING]]="","",TRANSHARI2_ICECREAMMALAM[[#This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IFERROR(VLOOKUP(TRANSHARI2_ICECREAMPAGI[[#This Row],[PRODUK]],DATA_ICECREAM[],4,FALSE),"")</f>
        <v/>
      </c>
      <c r="E296" s="374"/>
      <c r="F296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6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6" s="12"/>
      <c r="I296" s="384" t="str">
        <f>IFERROR(IF(TRANSHARI2_ICECREAMPAGI[[#This Row],[NAMA REKENING]]="","",TRANSHARI2_ICECREAMPAGI[[#This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IFERROR(VLOOKUP(TRANSHARI2_ICECREAMMALAM[[#This Row],[PRODUK]],DATA_ICECREAM[],4,FALSE),"")</f>
        <v/>
      </c>
      <c r="T296" s="374"/>
      <c r="U296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6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6" s="12"/>
      <c r="X296" s="384" t="str">
        <f>IFERROR(IF(TRANSHARI2_ICECREAMMALAM[[#This Row],[NAMA REKENING]]="","",TRANSHARI2_ICECREAMMALAM[[#This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IFERROR(VLOOKUP(TRANSHARI2_ICECREAMPAGI[[#This Row],[PRODUK]],DATA_ICECREAM[],4,FALSE),"")</f>
        <v/>
      </c>
      <c r="E297" s="374"/>
      <c r="F297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7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7" s="12"/>
      <c r="I297" s="386" t="str">
        <f>IFERROR(IF(TRANSHARI2_ICECREAMPAGI[[#This Row],[NAMA REKENING]]="","",TRANSHARI2_ICECREAMPAGI[[#This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IFERROR(VLOOKUP(TRANSHARI2_ICECREAMMALAM[[#This Row],[PRODUK]],DATA_ICECREAM[],4,FALSE),"")</f>
        <v/>
      </c>
      <c r="T297" s="374"/>
      <c r="U297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7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7" s="12"/>
      <c r="X297" s="386" t="str">
        <f>IFERROR(IF(TRANSHARI2_ICECREAMMALAM[[#This Row],[NAMA REKENING]]="","",TRANSHARI2_ICECREAMMALAM[[#This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IFERROR(VLOOKUP(TRANSHARI2_ICECREAMPAGI[[#This Row],[PRODUK]],DATA_ICECREAM[],4,FALSE),"")</f>
        <v/>
      </c>
      <c r="E298" s="374"/>
      <c r="F298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8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8" s="12"/>
      <c r="I298" s="384" t="str">
        <f>IFERROR(IF(TRANSHARI2_ICECREAMPAGI[[#This Row],[NAMA REKENING]]="","",TRANSHARI2_ICECREAMPAGI[[#This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IFERROR(VLOOKUP(TRANSHARI2_ICECREAMMALAM[[#This Row],[PRODUK]],DATA_ICECREAM[],4,FALSE),"")</f>
        <v/>
      </c>
      <c r="T298" s="374"/>
      <c r="U298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8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8" s="12"/>
      <c r="X298" s="384" t="str">
        <f>IFERROR(IF(TRANSHARI2_ICECREAMMALAM[[#This Row],[NAMA REKENING]]="","",TRANSHARI2_ICECREAMMALAM[[#This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IFERROR(VLOOKUP(TRANSHARI2_ICECREAMPAGI[[#This Row],[PRODUK]],DATA_ICECREAM[],4,FALSE),"")</f>
        <v/>
      </c>
      <c r="E299" s="374"/>
      <c r="F299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299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299" s="12"/>
      <c r="I299" s="386" t="str">
        <f>IFERROR(IF(TRANSHARI2_ICECREAMPAGI[[#This Row],[NAMA REKENING]]="","",TRANSHARI2_ICECREAMPAGI[[#This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IFERROR(VLOOKUP(TRANSHARI2_ICECREAMMALAM[[#This Row],[PRODUK]],DATA_ICECREAM[],4,FALSE),"")</f>
        <v/>
      </c>
      <c r="T299" s="374"/>
      <c r="U299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299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299" s="12"/>
      <c r="X299" s="386" t="str">
        <f>IFERROR(IF(TRANSHARI2_ICECREAMMALAM[[#This Row],[NAMA REKENING]]="","",TRANSHARI2_ICECREAMMALAM[[#This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IFERROR(VLOOKUP(TRANSHARI2_ICECREAMPAGI[[#This Row],[PRODUK]],DATA_ICECREAM[],4,FALSE),"")</f>
        <v/>
      </c>
      <c r="E300" s="374"/>
      <c r="F300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300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300" s="12"/>
      <c r="I300" s="384" t="str">
        <f>IFERROR(IF(TRANSHARI2_ICECREAMPAGI[[#This Row],[NAMA REKENING]]="","",TRANSHARI2_ICECREAMPAGI[[#This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IFERROR(VLOOKUP(TRANSHARI2_ICECREAMMALAM[[#This Row],[PRODUK]],DATA_ICECREAM[],4,FALSE),"")</f>
        <v/>
      </c>
      <c r="T300" s="374"/>
      <c r="U300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300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300" s="12"/>
      <c r="X300" s="384" t="str">
        <f>IFERROR(IF(TRANSHARI2_ICECREAMMALAM[[#This Row],[NAMA REKENING]]="","",TRANSHARI2_ICECREAMMALAM[[#This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IFERROR(VLOOKUP(TRANSHARI2_ICECREAMPAGI[[#This Row],[PRODUK]],DATA_ICECREAM[],4,FALSE),"")</f>
        <v/>
      </c>
      <c r="E301" s="374"/>
      <c r="F301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301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301" s="12"/>
      <c r="I301" s="386" t="str">
        <f>IFERROR(IF(TRANSHARI2_ICECREAMPAGI[[#This Row],[NAMA REKENING]]="","",TRANSHARI2_ICECREAMPAGI[[#This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IFERROR(VLOOKUP(TRANSHARI2_ICECREAMMALAM[[#This Row],[PRODUK]],DATA_ICECREAM[],4,FALSE),"")</f>
        <v/>
      </c>
      <c r="T301" s="374"/>
      <c r="U301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301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301" s="12"/>
      <c r="X301" s="386" t="str">
        <f>IFERROR(IF(TRANSHARI2_ICECREAMMALAM[[#This Row],[NAMA REKENING]]="","",TRANSHARI2_ICECREAMMALAM[[#This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IFERROR(VLOOKUP(TRANSHARI2_ICECREAMPAGI[[#This Row],[PRODUK]],DATA_ICECREAM[],4,FALSE),"")</f>
        <v/>
      </c>
      <c r="E302" s="374"/>
      <c r="F302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302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302" s="12"/>
      <c r="I302" s="384" t="str">
        <f>IFERROR(IF(TRANSHARI2_ICECREAMPAGI[[#This Row],[NAMA REKENING]]="","",TRANSHARI2_ICECREAMPAGI[[#This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IFERROR(VLOOKUP(TRANSHARI2_ICECREAMMALAM[[#This Row],[PRODUK]],DATA_ICECREAM[],4,FALSE),"")</f>
        <v/>
      </c>
      <c r="T302" s="374"/>
      <c r="U302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302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302" s="12"/>
      <c r="X302" s="384" t="str">
        <f>IFERROR(IF(TRANSHARI2_ICECREAMMALAM[[#This Row],[NAMA REKENING]]="","",TRANSHARI2_ICECREAMMALAM[[#This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IFERROR(VLOOKUP(TRANSHARI2_ICECREAMPAGI[[#This Row],[PRODUK]],DATA_ICECREAM[],4,FALSE),"")</f>
        <v/>
      </c>
      <c r="E303" s="374"/>
      <c r="F303" s="373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303" s="373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303" s="12"/>
      <c r="I303" s="386" t="str">
        <f>IFERROR(IF(TRANSHARI2_ICECREAMPAGI[[#This Row],[NAMA REKENING]]="","",TRANSHARI2_ICECREAMPAGI[[#This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IFERROR(VLOOKUP(TRANSHARI2_ICECREAMMALAM[[#This Row],[PRODUK]],DATA_ICECREAM[],4,FALSE),"")</f>
        <v/>
      </c>
      <c r="T303" s="374"/>
      <c r="U303" s="373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303" s="373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303" s="12"/>
      <c r="X303" s="386" t="str">
        <f>IFERROR(IF(TRANSHARI2_ICECREAMMALAM[[#This Row],[NAMA REKENING]]="","",TRANSHARI2_ICECREAMMALAM[[#This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IFERROR(VLOOKUP(TRANSHARI2_ICECREAMPAGI[[#This Row],[PRODUK]],DATA_ICECREAM[],4,FALSE),"")</f>
        <v/>
      </c>
      <c r="E304" s="374"/>
      <c r="F304" s="369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304" s="369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304" s="12"/>
      <c r="I304" s="384" t="str">
        <f>IFERROR(IF(TRANSHARI2_ICECREAMPAGI[[#This Row],[NAMA REKENING]]="","",TRANSHARI2_ICECREAMPAGI[[#This Row],[DEBIT]]),"")</f>
        <v/>
      </c>
      <c r="J304" s="387"/>
      <c r="K304" s="389">
        <f>F306+G306</f>
        <v>2000</v>
      </c>
      <c r="L304" s="390"/>
      <c r="O304" s="324"/>
      <c r="P304" s="367">
        <v>49</v>
      </c>
      <c r="Q304" s="368"/>
      <c r="R304" s="372"/>
      <c r="S304" s="369" t="str">
        <f>IFERROR(VLOOKUP(TRANSHARI2_ICECREAMMALAM[[#This Row],[PRODUK]],DATA_ICECREAM[],4,FALSE),"")</f>
        <v/>
      </c>
      <c r="T304" s="374"/>
      <c r="U304" s="369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304" s="369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304" s="12"/>
      <c r="X304" s="384" t="str">
        <f>IFERROR(IF(TRANSHARI2_ICECREAMMALAM[[#This Row],[NAMA REKENING]]="","",TRANSHARI2_ICECREAMMALAM[[#This Row],[DEBIT]]),"")</f>
        <v/>
      </c>
      <c r="Y304" s="387"/>
      <c r="Z304" s="400">
        <f>K304+Z299</f>
        <v>2000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IFERROR(VLOOKUP(TRANSHARI2_ICECREAMPAGI[[#This Row],[PRODUK]],DATA_ICECREAM[],4,FALSE),"")</f>
        <v/>
      </c>
      <c r="E305" s="376"/>
      <c r="F305" s="394" t="str">
        <f>IFERROR(IF(TRANSHARI2_ICECREAMPAGI[[#This Row],[NAMA PENGHUTANG]]="",((TRANSHARI2_ICECREAMPAGI[[#This Row],[HARGA]]*TRANSHARI2_ICECREAMPAGI[[#This Row],[QUANTITY]])+TRANSHARI2_ICECREAMPAGI[[#This Row],[PRICE TOLERANCE]]),""),"")</f>
        <v/>
      </c>
      <c r="G305" s="394" t="str">
        <f>IFERROR(IF(TRANSHARI2_ICECREAMPAGI[[#This Row],[NAMA PENGHUTANG]]="","",((TRANSHARI2_ICECREAMPAGI[[#This Row],[HARGA]]*TRANSHARI2_ICECREAMPAGI[[#This Row],[QUANTITY]])+TRANSHARI2_ICECREAMPAGI[[#This Row],[PRICE TOLERANCE]])),"")</f>
        <v/>
      </c>
      <c r="H305" s="377"/>
      <c r="I305" s="399" t="str">
        <f>IFERROR(IF(TRANSHARI2_ICECREAMPAGI[[#This Row],[NAMA REKENING]]="","",TRANSHARI2_ICECREAMPAGI[[#This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IFERROR(VLOOKUP(TRANSHARI2_ICECREAMMALAM[[#This Row],[PRODUK]],DATA_ICECREAM[],4,FALSE),"")</f>
        <v/>
      </c>
      <c r="T305" s="376"/>
      <c r="U305" s="394" t="str">
        <f>IFERROR(IF(TRANSHARI2_ICECREAMMALAM[[#This Row],[NAMA PENGHUTANG]]="",((TRANSHARI2_ICECREAMMALAM[[#This Row],[HARGA]]*TRANSHARI2_ICECREAMMALAM[[#This Row],[QUANTITY]])+TRANSHARI2_ICECREAMMALAM[[#This Row],[PRICE TOLERANCE]]),""),"")</f>
        <v/>
      </c>
      <c r="V305" s="394" t="str">
        <f>IFERROR(IF(TRANSHARI2_ICECREAMMALAM[[#This Row],[NAMA PENGHUTANG]]="","",((TRANSHARI2_ICECREAMMALAM[[#This Row],[HARGA]]*TRANSHARI2_ICECREAMMALAM[[#This Row],[QUANTITY]])+TRANSHARI2_ICECREAMMALAM[[#This Row],[PRICE TOLERANCE]])),"")</f>
        <v/>
      </c>
      <c r="W305" s="377"/>
      <c r="X305" s="399" t="str">
        <f>IFERROR(IF(TRANSHARI2_ICECREAMMALAM[[#This Row],[NAMA REKENING]]="","",TRANSHARI2_ICECREAMMALAM[[#This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SUM(TRANSHARI2_ICECREAMPAGI[QUANTITY])</f>
        <v>1</v>
      </c>
      <c r="E306" s="398">
        <f>SUM(TRANSHARI2_ICECREAMPAGI[PRICE TOLERANCE])</f>
        <v>0</v>
      </c>
      <c r="F306" s="396">
        <f>SUM(TRANSHARI2_ICECREAMPAGI[DEBIT])</f>
        <v>2000</v>
      </c>
      <c r="G306" s="396">
        <f>SUM(TRANSHARI2_ICECREAMPAGI[KREDIT])</f>
        <v>0</v>
      </c>
      <c r="I306" s="396">
        <f>SUM(TRANSHARI2_ICECREAMPAGI[NOMINAL TRANSFER])</f>
        <v>0</v>
      </c>
      <c r="O306" s="324"/>
      <c r="P306" s="303" t="s">
        <v>78</v>
      </c>
      <c r="Q306" s="316"/>
      <c r="R306" s="395">
        <f>SUM(TRANSHARI2_ICECREAMMALAM[QUANTITY])</f>
        <v>0</v>
      </c>
      <c r="T306" s="398">
        <f>SUM(TRANSHARI2_ICECREAMMALAM[PRICE TOLERANCE])</f>
        <v>0</v>
      </c>
      <c r="U306" s="396">
        <f>SUM(TRANSHARI2_ICECREAMMALAM[DEBIT])</f>
        <v>0</v>
      </c>
      <c r="V306" s="396">
        <f>SUM(TRANSHARI2_ICECREAMMALAM[KREDIT])</f>
        <v>0</v>
      </c>
      <c r="X306" s="396">
        <f>SUM(TRANSHARI2_ICECREAMMALAM[NOMINAL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">
        <v>179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">
        <v>180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 t="s">
        <v>195</v>
      </c>
      <c r="C313" s="368">
        <v>1</v>
      </c>
      <c r="D313" s="369">
        <f>IFERROR(VLOOKUP(TRANSHARI2_ACCPAGI[[#This Row],[PRODUK]],DATA_ACC[],4,FALSE),"")</f>
        <v>25000</v>
      </c>
      <c r="E313" s="370"/>
      <c r="F313" s="369">
        <f>IFERROR(IF(TRANSHARI2_ACCPAGI[[#This Row],[NAMA PENGHUTANG]]="",((TRANSHARI2_ACCPAGI[[#This Row],[HARGA]]*TRANSHARI2_ACCPAGI[[#This Row],[QUANTITY]])+TRANSHARI2_ACCPAGI[[#This Row],[PRICE TOLERANCE]]),""),"")</f>
        <v>25000</v>
      </c>
      <c r="G313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13" s="371"/>
      <c r="I313" s="384" t="str">
        <f>IFERROR(IF(TRANSHARI2_ACCPAGI[[#This Row],[NAMA REKENING]]="","",TRANSHARI2_ACCPAGI[[#This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IFERROR(VLOOKUP(TRANSHARI2_ACCMALAM[[#This Row],[PRODUK]],DATA_ACC[],4,FALSE),"")</f>
        <v/>
      </c>
      <c r="T313" s="370"/>
      <c r="U313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13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13" s="371"/>
      <c r="X313" s="384" t="str">
        <f>IFERROR(IF(TRANSHARI2_ACCMALAM[[#This Row],[NAMA REKENING]]="","",TRANSHARI2_ACCMALAM[[#This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IFERROR(VLOOKUP(TRANSHARI2_ACCPAGI[[#This Row],[PRODUK]],DATA_ACC[],4,FALSE),"")</f>
        <v/>
      </c>
      <c r="E314" s="374"/>
      <c r="F314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14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14" s="12"/>
      <c r="I314" s="386" t="str">
        <f>IFERROR(IF(TRANSHARI2_ACCPAGI[[#This Row],[NAMA REKENING]]="","",TRANSHARI2_ACCPAGI[[#This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IFERROR(VLOOKUP(TRANSHARI2_ACCMALAM[[#This Row],[PRODUK]],DATA_ACC[],4,FALSE),"")</f>
        <v/>
      </c>
      <c r="T314" s="374"/>
      <c r="U314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14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14" s="12"/>
      <c r="X314" s="386" t="str">
        <f>IFERROR(IF(TRANSHARI2_ACCMALAM[[#This Row],[NAMA REKENING]]="","",TRANSHARI2_ACCMALAM[[#This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IFERROR(VLOOKUP(TRANSHARI2_ACCPAGI[[#This Row],[PRODUK]],DATA_ACC[],4,FALSE),"")</f>
        <v/>
      </c>
      <c r="E315" s="374"/>
      <c r="F315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15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15" s="12"/>
      <c r="I315" s="384" t="str">
        <f>IFERROR(IF(TRANSHARI2_ACCPAGI[[#This Row],[NAMA REKENING]]="","",TRANSHARI2_ACCPAGI[[#This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IFERROR(VLOOKUP(TRANSHARI2_ACCMALAM[[#This Row],[PRODUK]],DATA_ACC[],4,FALSE),"")</f>
        <v/>
      </c>
      <c r="T315" s="374"/>
      <c r="U315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15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15" s="12"/>
      <c r="X315" s="384" t="str">
        <f>IFERROR(IF(TRANSHARI2_ACCMALAM[[#This Row],[NAMA REKENING]]="","",TRANSHARI2_ACCMALAM[[#This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IFERROR(VLOOKUP(TRANSHARI2_ACCPAGI[[#This Row],[PRODUK]],DATA_ACC[],4,FALSE),"")</f>
        <v/>
      </c>
      <c r="E316" s="374"/>
      <c r="F316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16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16" s="12"/>
      <c r="I316" s="386" t="str">
        <f>IFERROR(IF(TRANSHARI2_ACCPAGI[[#This Row],[NAMA REKENING]]="","",TRANSHARI2_ACCPAGI[[#This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IFERROR(VLOOKUP(TRANSHARI2_ACCMALAM[[#This Row],[PRODUK]],DATA_ACC[],4,FALSE),"")</f>
        <v/>
      </c>
      <c r="T316" s="374"/>
      <c r="U316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16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16" s="12"/>
      <c r="X316" s="386" t="str">
        <f>IFERROR(IF(TRANSHARI2_ACCMALAM[[#This Row],[NAMA REKENING]]="","",TRANSHARI2_ACCMALAM[[#This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IFERROR(VLOOKUP(TRANSHARI2_ACCPAGI[[#This Row],[PRODUK]],DATA_ACC[],4,FALSE),"")</f>
        <v/>
      </c>
      <c r="E317" s="374"/>
      <c r="F317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17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17" s="12"/>
      <c r="I317" s="384" t="str">
        <f>IFERROR(IF(TRANSHARI2_ACCPAGI[[#This Row],[NAMA REKENING]]="","",TRANSHARI2_ACCPAGI[[#This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IFERROR(VLOOKUP(TRANSHARI2_ACCMALAM[[#This Row],[PRODUK]],DATA_ACC[],4,FALSE),"")</f>
        <v/>
      </c>
      <c r="T317" s="374"/>
      <c r="U317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17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17" s="12"/>
      <c r="X317" s="384" t="str">
        <f>IFERROR(IF(TRANSHARI2_ACCMALAM[[#This Row],[NAMA REKENING]]="","",TRANSHARI2_ACCMALAM[[#This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IFERROR(VLOOKUP(TRANSHARI2_ACCPAGI[[#This Row],[PRODUK]],DATA_ACC[],4,FALSE),"")</f>
        <v/>
      </c>
      <c r="E318" s="374"/>
      <c r="F318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18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18" s="12"/>
      <c r="I318" s="386" t="str">
        <f>IFERROR(IF(TRANSHARI2_ACCPAGI[[#This Row],[NAMA REKENING]]="","",TRANSHARI2_ACCPAGI[[#This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IFERROR(VLOOKUP(TRANSHARI2_ACCMALAM[[#This Row],[PRODUK]],DATA_ACC[],4,FALSE),"")</f>
        <v/>
      </c>
      <c r="T318" s="374"/>
      <c r="U318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18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18" s="12"/>
      <c r="X318" s="386" t="str">
        <f>IFERROR(IF(TRANSHARI2_ACCMALAM[[#This Row],[NAMA REKENING]]="","",TRANSHARI2_ACCMALAM[[#This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IFERROR(VLOOKUP(TRANSHARI2_ACCPAGI[[#This Row],[PRODUK]],DATA_ACC[],4,FALSE),"")</f>
        <v/>
      </c>
      <c r="E319" s="374"/>
      <c r="F319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19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19" s="12"/>
      <c r="I319" s="384" t="str">
        <f>IFERROR(IF(TRANSHARI2_ACCPAGI[[#This Row],[NAMA REKENING]]="","",TRANSHARI2_ACCPAGI[[#This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IFERROR(VLOOKUP(TRANSHARI2_ACCMALAM[[#This Row],[PRODUK]],DATA_ACC[],4,FALSE),"")</f>
        <v/>
      </c>
      <c r="T319" s="374"/>
      <c r="U319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19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19" s="12"/>
      <c r="X319" s="384" t="str">
        <f>IFERROR(IF(TRANSHARI2_ACCMALAM[[#This Row],[NAMA REKENING]]="","",TRANSHARI2_ACCMALAM[[#This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IFERROR(VLOOKUP(TRANSHARI2_ACCPAGI[[#This Row],[PRODUK]],DATA_ACC[],4,FALSE),"")</f>
        <v/>
      </c>
      <c r="E320" s="374"/>
      <c r="F320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20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20" s="12"/>
      <c r="I320" s="386" t="str">
        <f>IFERROR(IF(TRANSHARI2_ACCPAGI[[#This Row],[NAMA REKENING]]="","",TRANSHARI2_ACCPAGI[[#This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IFERROR(VLOOKUP(TRANSHARI2_ACCMALAM[[#This Row],[PRODUK]],DATA_ACC[],4,FALSE),"")</f>
        <v/>
      </c>
      <c r="T320" s="374"/>
      <c r="U320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20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20" s="12"/>
      <c r="X320" s="386" t="str">
        <f>IFERROR(IF(TRANSHARI2_ACCMALAM[[#This Row],[NAMA REKENING]]="","",TRANSHARI2_ACCMALAM[[#This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IFERROR(VLOOKUP(TRANSHARI2_ACCPAGI[[#This Row],[PRODUK]],DATA_ACC[],4,FALSE),"")</f>
        <v/>
      </c>
      <c r="E321" s="374"/>
      <c r="F321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21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21" s="12"/>
      <c r="I321" s="384" t="str">
        <f>IFERROR(IF(TRANSHARI2_ACCPAGI[[#This Row],[NAMA REKENING]]="","",TRANSHARI2_ACCPAGI[[#This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IFERROR(VLOOKUP(TRANSHARI2_ACCMALAM[[#This Row],[PRODUK]],DATA_ACC[],4,FALSE),"")</f>
        <v/>
      </c>
      <c r="T321" s="374"/>
      <c r="U321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21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21" s="12"/>
      <c r="X321" s="384" t="str">
        <f>IFERROR(IF(TRANSHARI2_ACCMALAM[[#This Row],[NAMA REKENING]]="","",TRANSHARI2_ACCMALAM[[#This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IFERROR(VLOOKUP(TRANSHARI2_ACCPAGI[[#This Row],[PRODUK]],DATA_ACC[],4,FALSE),"")</f>
        <v/>
      </c>
      <c r="E322" s="374"/>
      <c r="F322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22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22" s="12"/>
      <c r="I322" s="386" t="str">
        <f>IFERROR(IF(TRANSHARI2_ACCPAGI[[#This Row],[NAMA REKENING]]="","",TRANSHARI2_ACCPAGI[[#This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IFERROR(VLOOKUP(TRANSHARI2_ACCMALAM[[#This Row],[PRODUK]],DATA_ACC[],4,FALSE),"")</f>
        <v/>
      </c>
      <c r="T322" s="374"/>
      <c r="U322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22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22" s="12"/>
      <c r="X322" s="386" t="str">
        <f>IFERROR(IF(TRANSHARI2_ACCMALAM[[#This Row],[NAMA REKENING]]="","",TRANSHARI2_ACCMALAM[[#This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IFERROR(VLOOKUP(TRANSHARI2_ACCPAGI[[#This Row],[PRODUK]],DATA_ACC[],4,FALSE),"")</f>
        <v/>
      </c>
      <c r="E323" s="374"/>
      <c r="F323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23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23" s="12"/>
      <c r="I323" s="384" t="str">
        <f>IFERROR(IF(TRANSHARI2_ACCPAGI[[#This Row],[NAMA REKENING]]="","",TRANSHARI2_ACCPAGI[[#This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IFERROR(VLOOKUP(TRANSHARI2_ACCMALAM[[#This Row],[PRODUK]],DATA_ACC[],4,FALSE),"")</f>
        <v/>
      </c>
      <c r="T323" s="374"/>
      <c r="U323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23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23" s="12"/>
      <c r="X323" s="384" t="str">
        <f>IFERROR(IF(TRANSHARI2_ACCMALAM[[#This Row],[NAMA REKENING]]="","",TRANSHARI2_ACCMALAM[[#This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IFERROR(VLOOKUP(TRANSHARI2_ACCPAGI[[#This Row],[PRODUK]],DATA_ACC[],4,FALSE),"")</f>
        <v/>
      </c>
      <c r="E324" s="374"/>
      <c r="F324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24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24" s="12"/>
      <c r="I324" s="386" t="str">
        <f>IFERROR(IF(TRANSHARI2_ACCPAGI[[#This Row],[NAMA REKENING]]="","",TRANSHARI2_ACCPAGI[[#This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IFERROR(VLOOKUP(TRANSHARI2_ACCMALAM[[#This Row],[PRODUK]],DATA_ACC[],4,FALSE),"")</f>
        <v/>
      </c>
      <c r="T324" s="374"/>
      <c r="U324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24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24" s="12"/>
      <c r="X324" s="386" t="str">
        <f>IFERROR(IF(TRANSHARI2_ACCMALAM[[#This Row],[NAMA REKENING]]="","",TRANSHARI2_ACCMALAM[[#This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IFERROR(VLOOKUP(TRANSHARI2_ACCPAGI[[#This Row],[PRODUK]],DATA_ACC[],4,FALSE),"")</f>
        <v/>
      </c>
      <c r="E325" s="374"/>
      <c r="F325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25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25" s="12"/>
      <c r="I325" s="384" t="str">
        <f>IFERROR(IF(TRANSHARI2_ACCPAGI[[#This Row],[NAMA REKENING]]="","",TRANSHARI2_ACCPAGI[[#This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IFERROR(VLOOKUP(TRANSHARI2_ACCMALAM[[#This Row],[PRODUK]],DATA_ACC[],4,FALSE),"")</f>
        <v/>
      </c>
      <c r="T325" s="374"/>
      <c r="U325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25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25" s="12"/>
      <c r="X325" s="384" t="str">
        <f>IFERROR(IF(TRANSHARI2_ACCMALAM[[#This Row],[NAMA REKENING]]="","",TRANSHARI2_ACCMALAM[[#This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IFERROR(VLOOKUP(TRANSHARI2_ACCPAGI[[#This Row],[PRODUK]],DATA_ACC[],4,FALSE),"")</f>
        <v/>
      </c>
      <c r="E326" s="374"/>
      <c r="F326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26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26" s="12"/>
      <c r="I326" s="386" t="str">
        <f>IFERROR(IF(TRANSHARI2_ACCPAGI[[#This Row],[NAMA REKENING]]="","",TRANSHARI2_ACCPAGI[[#This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IFERROR(VLOOKUP(TRANSHARI2_ACCMALAM[[#This Row],[PRODUK]],DATA_ACC[],4,FALSE),"")</f>
        <v/>
      </c>
      <c r="T326" s="374"/>
      <c r="U326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26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26" s="12"/>
      <c r="X326" s="386" t="str">
        <f>IFERROR(IF(TRANSHARI2_ACCMALAM[[#This Row],[NAMA REKENING]]="","",TRANSHARI2_ACCMALAM[[#This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IFERROR(VLOOKUP(TRANSHARI2_ACCPAGI[[#This Row],[PRODUK]],DATA_ACC[],4,FALSE),"")</f>
        <v/>
      </c>
      <c r="E327" s="374"/>
      <c r="F327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27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27" s="12"/>
      <c r="I327" s="384" t="str">
        <f>IFERROR(IF(TRANSHARI2_ACCPAGI[[#This Row],[NAMA REKENING]]="","",TRANSHARI2_ACCPAGI[[#This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IFERROR(VLOOKUP(TRANSHARI2_ACCMALAM[[#This Row],[PRODUK]],DATA_ACC[],4,FALSE),"")</f>
        <v/>
      </c>
      <c r="T327" s="374"/>
      <c r="U327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27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27" s="12"/>
      <c r="X327" s="384" t="str">
        <f>IFERROR(IF(TRANSHARI2_ACCMALAM[[#This Row],[NAMA REKENING]]="","",TRANSHARI2_ACCMALAM[[#This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IFERROR(VLOOKUP(TRANSHARI2_ACCPAGI[[#This Row],[PRODUK]],DATA_ACC[],4,FALSE),"")</f>
        <v/>
      </c>
      <c r="E328" s="374"/>
      <c r="F328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28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28" s="12"/>
      <c r="I328" s="386" t="str">
        <f>IFERROR(IF(TRANSHARI2_ACCPAGI[[#This Row],[NAMA REKENING]]="","",TRANSHARI2_ACCPAGI[[#This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IFERROR(VLOOKUP(TRANSHARI2_ACCMALAM[[#This Row],[PRODUK]],DATA_ACC[],4,FALSE),"")</f>
        <v/>
      </c>
      <c r="T328" s="374"/>
      <c r="U328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28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28" s="12"/>
      <c r="X328" s="386" t="str">
        <f>IFERROR(IF(TRANSHARI2_ACCMALAM[[#This Row],[NAMA REKENING]]="","",TRANSHARI2_ACCMALAM[[#This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IFERROR(VLOOKUP(TRANSHARI2_ACCPAGI[[#This Row],[PRODUK]],DATA_ACC[],4,FALSE),"")</f>
        <v/>
      </c>
      <c r="E329" s="374"/>
      <c r="F329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29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29" s="12"/>
      <c r="I329" s="384" t="str">
        <f>IFERROR(IF(TRANSHARI2_ACCPAGI[[#This Row],[NAMA REKENING]]="","",TRANSHARI2_ACCPAGI[[#This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IFERROR(VLOOKUP(TRANSHARI2_ACCMALAM[[#This Row],[PRODUK]],DATA_ACC[],4,FALSE),"")</f>
        <v/>
      </c>
      <c r="T329" s="374"/>
      <c r="U329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29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29" s="12"/>
      <c r="X329" s="384" t="str">
        <f>IFERROR(IF(TRANSHARI2_ACCMALAM[[#This Row],[NAMA REKENING]]="","",TRANSHARI2_ACCMALAM[[#This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IFERROR(VLOOKUP(TRANSHARI2_ACCPAGI[[#This Row],[PRODUK]],DATA_ACC[],4,FALSE),"")</f>
        <v/>
      </c>
      <c r="E330" s="374"/>
      <c r="F330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30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30" s="12"/>
      <c r="I330" s="386" t="str">
        <f>IFERROR(IF(TRANSHARI2_ACCPAGI[[#This Row],[NAMA REKENING]]="","",TRANSHARI2_ACCPAGI[[#This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IFERROR(VLOOKUP(TRANSHARI2_ACCMALAM[[#This Row],[PRODUK]],DATA_ACC[],4,FALSE),"")</f>
        <v/>
      </c>
      <c r="T330" s="374"/>
      <c r="U330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30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30" s="12"/>
      <c r="X330" s="386" t="str">
        <f>IFERROR(IF(TRANSHARI2_ACCMALAM[[#This Row],[NAMA REKENING]]="","",TRANSHARI2_ACCMALAM[[#This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IFERROR(VLOOKUP(TRANSHARI2_ACCPAGI[[#This Row],[PRODUK]],DATA_ACC[],4,FALSE),"")</f>
        <v/>
      </c>
      <c r="E331" s="374"/>
      <c r="F331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31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31" s="12"/>
      <c r="I331" s="384" t="str">
        <f>IFERROR(IF(TRANSHARI2_ACCPAGI[[#This Row],[NAMA REKENING]]="","",TRANSHARI2_ACCPAGI[[#This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IFERROR(VLOOKUP(TRANSHARI2_ACCMALAM[[#This Row],[PRODUK]],DATA_ACC[],4,FALSE),"")</f>
        <v/>
      </c>
      <c r="T331" s="374"/>
      <c r="U331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31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31" s="12"/>
      <c r="X331" s="384" t="str">
        <f>IFERROR(IF(TRANSHARI2_ACCMALAM[[#This Row],[NAMA REKENING]]="","",TRANSHARI2_ACCMALAM[[#This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IFERROR(VLOOKUP(TRANSHARI2_ACCPAGI[[#This Row],[PRODUK]],DATA_ACC[],4,FALSE),"")</f>
        <v/>
      </c>
      <c r="E332" s="374"/>
      <c r="F332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32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32" s="12"/>
      <c r="I332" s="386" t="str">
        <f>IFERROR(IF(TRANSHARI2_ACCPAGI[[#This Row],[NAMA REKENING]]="","",TRANSHARI2_ACCPAGI[[#This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IFERROR(VLOOKUP(TRANSHARI2_ACCMALAM[[#This Row],[PRODUK]],DATA_ACC[],4,FALSE),"")</f>
        <v/>
      </c>
      <c r="T332" s="374"/>
      <c r="U332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32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32" s="12"/>
      <c r="X332" s="386" t="str">
        <f>IFERROR(IF(TRANSHARI2_ACCMALAM[[#This Row],[NAMA REKENING]]="","",TRANSHARI2_ACCMALAM[[#This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IFERROR(VLOOKUP(TRANSHARI2_ACCPAGI[[#This Row],[PRODUK]],DATA_ACC[],4,FALSE),"")</f>
        <v/>
      </c>
      <c r="E333" s="374"/>
      <c r="F333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33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33" s="12"/>
      <c r="I333" s="384" t="str">
        <f>IFERROR(IF(TRANSHARI2_ACCPAGI[[#This Row],[NAMA REKENING]]="","",TRANSHARI2_ACCPAGI[[#This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IFERROR(VLOOKUP(TRANSHARI2_ACCMALAM[[#This Row],[PRODUK]],DATA_ACC[],4,FALSE),"")</f>
        <v/>
      </c>
      <c r="T333" s="374"/>
      <c r="U333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33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33" s="12"/>
      <c r="X333" s="384" t="str">
        <f>IFERROR(IF(TRANSHARI2_ACCMALAM[[#This Row],[NAMA REKENING]]="","",TRANSHARI2_ACCMALAM[[#This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IFERROR(VLOOKUP(TRANSHARI2_ACCPAGI[[#This Row],[PRODUK]],DATA_ACC[],4,FALSE),"")</f>
        <v/>
      </c>
      <c r="E334" s="374"/>
      <c r="F334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34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34" s="12"/>
      <c r="I334" s="386" t="str">
        <f>IFERROR(IF(TRANSHARI2_ACCPAGI[[#This Row],[NAMA REKENING]]="","",TRANSHARI2_ACCPAGI[[#This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IFERROR(VLOOKUP(TRANSHARI2_ACCMALAM[[#This Row],[PRODUK]],DATA_ACC[],4,FALSE),"")</f>
        <v/>
      </c>
      <c r="T334" s="374"/>
      <c r="U334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34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34" s="12"/>
      <c r="X334" s="386" t="str">
        <f>IFERROR(IF(TRANSHARI2_ACCMALAM[[#This Row],[NAMA REKENING]]="","",TRANSHARI2_ACCMALAM[[#This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IFERROR(VLOOKUP(TRANSHARI2_ACCPAGI[[#This Row],[PRODUK]],DATA_ACC[],4,FALSE),"")</f>
        <v/>
      </c>
      <c r="E335" s="374"/>
      <c r="F335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35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35" s="12"/>
      <c r="I335" s="384" t="str">
        <f>IFERROR(IF(TRANSHARI2_ACCPAGI[[#This Row],[NAMA REKENING]]="","",TRANSHARI2_ACCPAGI[[#This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IFERROR(VLOOKUP(TRANSHARI2_ACCMALAM[[#This Row],[PRODUK]],DATA_ACC[],4,FALSE),"")</f>
        <v/>
      </c>
      <c r="T335" s="374"/>
      <c r="U335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35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35" s="12"/>
      <c r="X335" s="384" t="str">
        <f>IFERROR(IF(TRANSHARI2_ACCMALAM[[#This Row],[NAMA REKENING]]="","",TRANSHARI2_ACCMALAM[[#This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IFERROR(VLOOKUP(TRANSHARI2_ACCPAGI[[#This Row],[PRODUK]],DATA_ACC[],4,FALSE),"")</f>
        <v/>
      </c>
      <c r="E336" s="374"/>
      <c r="F336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36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36" s="12"/>
      <c r="I336" s="386" t="str">
        <f>IFERROR(IF(TRANSHARI2_ACCPAGI[[#This Row],[NAMA REKENING]]="","",TRANSHARI2_ACCPAGI[[#This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IFERROR(VLOOKUP(TRANSHARI2_ACCMALAM[[#This Row],[PRODUK]],DATA_ACC[],4,FALSE),"")</f>
        <v/>
      </c>
      <c r="T336" s="374"/>
      <c r="U336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36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36" s="12"/>
      <c r="X336" s="386" t="str">
        <f>IFERROR(IF(TRANSHARI2_ACCMALAM[[#This Row],[NAMA REKENING]]="","",TRANSHARI2_ACCMALAM[[#This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IFERROR(VLOOKUP(TRANSHARI2_ACCPAGI[[#This Row],[PRODUK]],DATA_ACC[],4,FALSE),"")</f>
        <v/>
      </c>
      <c r="E337" s="374"/>
      <c r="F337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37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37" s="12"/>
      <c r="I337" s="384" t="str">
        <f>IFERROR(IF(TRANSHARI2_ACCPAGI[[#This Row],[NAMA REKENING]]="","",TRANSHARI2_ACCPAGI[[#This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IFERROR(VLOOKUP(TRANSHARI2_ACCMALAM[[#This Row],[PRODUK]],DATA_ACC[],4,FALSE),"")</f>
        <v/>
      </c>
      <c r="T337" s="374"/>
      <c r="U337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37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37" s="12"/>
      <c r="X337" s="384" t="str">
        <f>IFERROR(IF(TRANSHARI2_ACCMALAM[[#This Row],[NAMA REKENING]]="","",TRANSHARI2_ACCMALAM[[#This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IFERROR(VLOOKUP(TRANSHARI2_ACCPAGI[[#This Row],[PRODUK]],DATA_ACC[],4,FALSE),"")</f>
        <v/>
      </c>
      <c r="E338" s="376"/>
      <c r="F338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38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38" s="377"/>
      <c r="I338" s="386" t="str">
        <f>IFERROR(IF(TRANSHARI2_ACCPAGI[[#This Row],[NAMA REKENING]]="","",TRANSHARI2_ACCPAGI[[#This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IFERROR(VLOOKUP(TRANSHARI2_ACCMALAM[[#This Row],[PRODUK]],DATA_ACC[],4,FALSE),"")</f>
        <v/>
      </c>
      <c r="T338" s="376"/>
      <c r="U338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38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38" s="377"/>
      <c r="X338" s="386" t="str">
        <f>IFERROR(IF(TRANSHARI2_ACCMALAM[[#This Row],[NAMA REKENING]]="","",TRANSHARI2_ACCMALAM[[#This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IFERROR(VLOOKUP(TRANSHARI2_ACCPAGI[[#This Row],[PRODUK]],DATA_ACC[],4,FALSE),"")</f>
        <v/>
      </c>
      <c r="E339" s="374"/>
      <c r="F339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39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39" s="12"/>
      <c r="I339" s="384" t="str">
        <f>IFERROR(IF(TRANSHARI2_ACCPAGI[[#This Row],[NAMA REKENING]]="","",TRANSHARI2_ACCPAGI[[#This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IFERROR(VLOOKUP(TRANSHARI2_ACCMALAM[[#This Row],[PRODUK]],DATA_ACC[],4,FALSE),"")</f>
        <v/>
      </c>
      <c r="T339" s="374"/>
      <c r="U339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39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39" s="12"/>
      <c r="X339" s="384" t="str">
        <f>IFERROR(IF(TRANSHARI2_ACCMALAM[[#This Row],[NAMA REKENING]]="","",TRANSHARI2_ACCMALAM[[#This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IFERROR(VLOOKUP(TRANSHARI2_ACCPAGI[[#This Row],[PRODUK]],DATA_ACC[],4,FALSE),"")</f>
        <v/>
      </c>
      <c r="E340" s="374"/>
      <c r="F340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40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40" s="12"/>
      <c r="I340" s="386" t="str">
        <f>IFERROR(IF(TRANSHARI2_ACCPAGI[[#This Row],[NAMA REKENING]]="","",TRANSHARI2_ACCPAGI[[#This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IFERROR(VLOOKUP(TRANSHARI2_ACCMALAM[[#This Row],[PRODUK]],DATA_ACC[],4,FALSE),"")</f>
        <v/>
      </c>
      <c r="T340" s="374"/>
      <c r="U340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40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40" s="12"/>
      <c r="X340" s="386" t="str">
        <f>IFERROR(IF(TRANSHARI2_ACCMALAM[[#This Row],[NAMA REKENING]]="","",TRANSHARI2_ACCMALAM[[#This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IFERROR(VLOOKUP(TRANSHARI2_ACCPAGI[[#This Row],[PRODUK]],DATA_ACC[],4,FALSE),"")</f>
        <v/>
      </c>
      <c r="E341" s="374"/>
      <c r="F341" s="369" t="str">
        <f>IFERROR(IF(TRANSHARI2_ACCPAGI[[#This Row],[NAMA PENGHUTANG]]="",((TRANSHARI2_ACCPAGI[[#This Row],[HARGA]]*TRANSHARI2_ACCPAGI[[#This Row],[QUANTITY]])+TRANSHARI2_ACCPAGI[[#This Row],[PRICE TOLERANCE]]),""),"")</f>
        <v/>
      </c>
      <c r="G341" s="369" t="str">
        <f>IFERROR(IF(TRANSHARI2_ACCPAGI[[#This Row],[NAMA PENGHUTANG]]="","",((TRANSHARI2_ACCPAGI[[#This Row],[HARGA]]*TRANSHARI2_ACCPAGI[[#This Row],[QUANTITY]])+TRANSHARI2_ACCPAGI[[#This Row],[PRICE TOLERANCE]])),"")</f>
        <v/>
      </c>
      <c r="H341" s="12"/>
      <c r="I341" s="384" t="str">
        <f>IFERROR(IF(TRANSHARI2_ACCPAGI[[#This Row],[NAMA REKENING]]="","",TRANSHARI2_ACCPAGI[[#This Row],[DEBIT]]),"")</f>
        <v/>
      </c>
      <c r="J341" s="387"/>
      <c r="K341" s="389">
        <f>F343+G343</f>
        <v>25000</v>
      </c>
      <c r="L341" s="390"/>
      <c r="O341" s="324"/>
      <c r="P341" s="367">
        <v>29</v>
      </c>
      <c r="Q341" s="368"/>
      <c r="R341" s="372"/>
      <c r="S341" s="369" t="str">
        <f>IFERROR(VLOOKUP(TRANSHARI2_ACCMALAM[[#This Row],[PRODUK]],DATA_ACC[],4,FALSE),"")</f>
        <v/>
      </c>
      <c r="T341" s="374"/>
      <c r="U341" s="369" t="str">
        <f>IFERROR(IF(TRANSHARI2_ACCMALAM[[#This Row],[NAMA PENGHUTANG]]="",((TRANSHARI2_ACCMALAM[[#This Row],[HARGA]]*TRANSHARI2_ACCMALAM[[#This Row],[QUANTITY]])+TRANSHARI2_ACCMALAM[[#This Row],[PRICE TOLERANCE]]),""),"")</f>
        <v/>
      </c>
      <c r="V341" s="369" t="str">
        <f>IFERROR(IF(TRANSHARI2_ACCMALAM[[#This Row],[NAMA PENGHUTANG]]="","",((TRANSHARI2_ACCMALAM[[#This Row],[HARGA]]*TRANSHARI2_ACCMALAM[[#This Row],[QUANTITY]])+TRANSHARI2_ACCMALAM[[#This Row],[PRICE TOLERANCE]])),"")</f>
        <v/>
      </c>
      <c r="W341" s="12"/>
      <c r="X341" s="384" t="str">
        <f>IFERROR(IF(TRANSHARI2_ACCMALAM[[#This Row],[NAMA REKENING]]="","",TRANSHARI2_ACCMALAM[[#This Row],[DEBIT]]),"")</f>
        <v/>
      </c>
      <c r="Y341" s="387"/>
      <c r="Z341" s="400">
        <f>K341+Z336</f>
        <v>25000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IFERROR(VLOOKUP(TRANSHARI2_ACCPAGI[[#This Row],[PRODUK]],DATA_ACC[],4,FALSE),"")</f>
        <v/>
      </c>
      <c r="E342" s="374"/>
      <c r="F342" s="373" t="str">
        <f>IFERROR(IF(TRANSHARI2_ACCPAGI[[#This Row],[NAMA PENGHUTANG]]="",((TRANSHARI2_ACCPAGI[[#This Row],[HARGA]]*TRANSHARI2_ACCPAGI[[#This Row],[QUANTITY]])+TRANSHARI2_ACCPAGI[[#This Row],[PRICE TOLERANCE]]),""),"")</f>
        <v/>
      </c>
      <c r="G342" s="373" t="str">
        <f>IFERROR(IF(TRANSHARI2_ACCPAGI[[#This Row],[NAMA PENGHUTANG]]="","",((TRANSHARI2_ACCPAGI[[#This Row],[HARGA]]*TRANSHARI2_ACCPAGI[[#This Row],[QUANTITY]])+TRANSHARI2_ACCPAGI[[#This Row],[PRICE TOLERANCE]])),"")</f>
        <v/>
      </c>
      <c r="H342" s="12"/>
      <c r="I342" s="386" t="str">
        <f>IFERROR(IF(TRANSHARI2_ACCPAGI[[#This Row],[NAMA REKENING]]="","",TRANSHARI2_ACCPAGI[[#This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IFERROR(VLOOKUP(TRANSHARI2_ACCMALAM[[#This Row],[PRODUK]],DATA_ACC[],4,FALSE),"")</f>
        <v/>
      </c>
      <c r="T342" s="374"/>
      <c r="U342" s="373" t="str">
        <f>IFERROR(IF(TRANSHARI2_ACCMALAM[[#This Row],[NAMA PENGHUTANG]]="",((TRANSHARI2_ACCMALAM[[#This Row],[HARGA]]*TRANSHARI2_ACCMALAM[[#This Row],[QUANTITY]])+TRANSHARI2_ACCMALAM[[#This Row],[PRICE TOLERANCE]]),""),"")</f>
        <v/>
      </c>
      <c r="V342" s="373" t="str">
        <f>IFERROR(IF(TRANSHARI2_ACCMALAM[[#This Row],[NAMA PENGHUTANG]]="","",((TRANSHARI2_ACCMALAM[[#This Row],[HARGA]]*TRANSHARI2_ACCMALAM[[#This Row],[QUANTITY]])+TRANSHARI2_ACCMALAM[[#This Row],[PRICE TOLERANCE]])),"")</f>
        <v/>
      </c>
      <c r="W342" s="12"/>
      <c r="X342" s="386" t="str">
        <f>IFERROR(IF(TRANSHARI2_ACCMALAM[[#This Row],[NAMA REKENING]]="","",TRANSHARI2_ACCMALAM[[#This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SUM(TRANSHARI2_ACCPAGI[QUANTITY])</f>
        <v>1</v>
      </c>
      <c r="E343" s="398">
        <f>SUM(TRANSHARI2_ACCPAGI[PRICE TOLERANCE])</f>
        <v>0</v>
      </c>
      <c r="F343" s="396">
        <f>SUM(TRANSHARI2_ACCPAGI[DEBIT])</f>
        <v>25000</v>
      </c>
      <c r="G343" s="396">
        <f>SUM(TRANSHARI2_ACCPAGI[KREDIT])</f>
        <v>0</v>
      </c>
      <c r="I343" s="396">
        <f>SUM(TRANSHARI2_ACCPAGI[NOMINAL TRANSFER])</f>
        <v>0</v>
      </c>
      <c r="O343" s="324"/>
      <c r="P343" s="303" t="s">
        <v>78</v>
      </c>
      <c r="Q343" s="316"/>
      <c r="R343" s="395">
        <f>SUM(TRANSHARI2_ACCMALAM[QUANTITY])</f>
        <v>0</v>
      </c>
      <c r="T343" s="398">
        <f>SUM(TRANSHARI2_ACCMALAM[PRICE TOLERANCE])</f>
        <v>0</v>
      </c>
      <c r="U343" s="396">
        <f>SUM(TRANSHARI2_ACCMALAM[DEBIT])</f>
        <v>0</v>
      </c>
      <c r="V343" s="396">
        <f>SUM(TRANSHARI2_ACCMALAM[KREDIT])</f>
        <v>0</v>
      </c>
      <c r="X343" s="396">
        <f>SUM(TRANSHARI2_ACCMALAM[NOMINAL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">
        <v>179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">
        <v>180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IFERROR(VLOOKUP(TRANSHARI2_HYDROPAGI[[#This Row],[PRODUK]],DATA_HYDRO[],4,FALSE),"")</f>
        <v/>
      </c>
      <c r="E350" s="370"/>
      <c r="F350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0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0" s="371"/>
      <c r="I350" s="384" t="str">
        <f>IFERROR(IF(TRANSHARI2_HYDROPAGI[[#This Row],[NAMA REKENING]]="","",TRANSHARI2_HYDROPAGI[[#This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IFERROR(VLOOKUP(TRANSHARI2_HYDROMALAM[[#This Row],[PRODUK]],DATA_HYDRO[],4,FALSE),"")</f>
        <v/>
      </c>
      <c r="T350" s="370"/>
      <c r="U350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0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0" s="371"/>
      <c r="X350" s="384" t="str">
        <f>IFERROR(IF(TRANSHARI2_HYDROMALAM[[#This Row],[NAMA REKENING]]="","",TRANSHARI2_HYDROMALAM[[#This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IFERROR(VLOOKUP(TRANSHARI2_HYDROPAGI[[#This Row],[PRODUK]],DATA_HYDRO[],4,FALSE),"")</f>
        <v/>
      </c>
      <c r="E351" s="374"/>
      <c r="F351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1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1" s="12"/>
      <c r="I351" s="386" t="str">
        <f>IFERROR(IF(TRANSHARI2_HYDROPAGI[[#This Row],[NAMA REKENING]]="","",TRANSHARI2_HYDROPAGI[[#This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IFERROR(VLOOKUP(TRANSHARI2_HYDROMALAM[[#This Row],[PRODUK]],DATA_HYDRO[],4,FALSE),"")</f>
        <v/>
      </c>
      <c r="T351" s="374"/>
      <c r="U351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1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1" s="12"/>
      <c r="X351" s="386" t="str">
        <f>IFERROR(IF(TRANSHARI2_HYDROMALAM[[#This Row],[NAMA REKENING]]="","",TRANSHARI2_HYDROMALAM[[#This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IFERROR(VLOOKUP(TRANSHARI2_HYDROPAGI[[#This Row],[PRODUK]],DATA_HYDRO[],4,FALSE),"")</f>
        <v/>
      </c>
      <c r="E352" s="374"/>
      <c r="F352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2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2" s="12"/>
      <c r="I352" s="384" t="str">
        <f>IFERROR(IF(TRANSHARI2_HYDROPAGI[[#This Row],[NAMA REKENING]]="","",TRANSHARI2_HYDROPAGI[[#This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IFERROR(VLOOKUP(TRANSHARI2_HYDROMALAM[[#This Row],[PRODUK]],DATA_HYDRO[],4,FALSE),"")</f>
        <v/>
      </c>
      <c r="T352" s="374"/>
      <c r="U352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2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2" s="12"/>
      <c r="X352" s="384" t="str">
        <f>IFERROR(IF(TRANSHARI2_HYDROMALAM[[#This Row],[NAMA REKENING]]="","",TRANSHARI2_HYDROMALAM[[#This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IFERROR(VLOOKUP(TRANSHARI2_HYDROPAGI[[#This Row],[PRODUK]],DATA_HYDRO[],4,FALSE),"")</f>
        <v/>
      </c>
      <c r="E353" s="374"/>
      <c r="F353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3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3" s="12"/>
      <c r="I353" s="386" t="str">
        <f>IFERROR(IF(TRANSHARI2_HYDROPAGI[[#This Row],[NAMA REKENING]]="","",TRANSHARI2_HYDROPAGI[[#This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IFERROR(VLOOKUP(TRANSHARI2_HYDROMALAM[[#This Row],[PRODUK]],DATA_HYDRO[],4,FALSE),"")</f>
        <v/>
      </c>
      <c r="T353" s="374"/>
      <c r="U353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3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3" s="12"/>
      <c r="X353" s="386" t="str">
        <f>IFERROR(IF(TRANSHARI2_HYDROMALAM[[#This Row],[NAMA REKENING]]="","",TRANSHARI2_HYDROMALAM[[#This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IFERROR(VLOOKUP(TRANSHARI2_HYDROPAGI[[#This Row],[PRODUK]],DATA_HYDRO[],4,FALSE),"")</f>
        <v/>
      </c>
      <c r="E354" s="374"/>
      <c r="F354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4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4" s="12"/>
      <c r="I354" s="384" t="str">
        <f>IFERROR(IF(TRANSHARI2_HYDROPAGI[[#This Row],[NAMA REKENING]]="","",TRANSHARI2_HYDROPAGI[[#This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IFERROR(VLOOKUP(TRANSHARI2_HYDROMALAM[[#This Row],[PRODUK]],DATA_HYDRO[],4,FALSE),"")</f>
        <v/>
      </c>
      <c r="T354" s="374"/>
      <c r="U354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4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4" s="12"/>
      <c r="X354" s="384" t="str">
        <f>IFERROR(IF(TRANSHARI2_HYDROMALAM[[#This Row],[NAMA REKENING]]="","",TRANSHARI2_HYDROMALAM[[#This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IFERROR(VLOOKUP(TRANSHARI2_HYDROPAGI[[#This Row],[PRODUK]],DATA_HYDRO[],4,FALSE),"")</f>
        <v/>
      </c>
      <c r="E355" s="374"/>
      <c r="F355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5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5" s="12"/>
      <c r="I355" s="386" t="str">
        <f>IFERROR(IF(TRANSHARI2_HYDROPAGI[[#This Row],[NAMA REKENING]]="","",TRANSHARI2_HYDROPAGI[[#This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IFERROR(VLOOKUP(TRANSHARI2_HYDROMALAM[[#This Row],[PRODUK]],DATA_HYDRO[],4,FALSE),"")</f>
        <v/>
      </c>
      <c r="T355" s="374"/>
      <c r="U355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5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5" s="12"/>
      <c r="X355" s="386" t="str">
        <f>IFERROR(IF(TRANSHARI2_HYDROMALAM[[#This Row],[NAMA REKENING]]="","",TRANSHARI2_HYDROMALAM[[#This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IFERROR(VLOOKUP(TRANSHARI2_HYDROPAGI[[#This Row],[PRODUK]],DATA_HYDRO[],4,FALSE),"")</f>
        <v/>
      </c>
      <c r="E356" s="374"/>
      <c r="F356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6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6" s="12"/>
      <c r="I356" s="384" t="str">
        <f>IFERROR(IF(TRANSHARI2_HYDROPAGI[[#This Row],[NAMA REKENING]]="","",TRANSHARI2_HYDROPAGI[[#This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IFERROR(VLOOKUP(TRANSHARI2_HYDROMALAM[[#This Row],[PRODUK]],DATA_HYDRO[],4,FALSE),"")</f>
        <v/>
      </c>
      <c r="T356" s="374"/>
      <c r="U356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6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6" s="12"/>
      <c r="X356" s="384" t="str">
        <f>IFERROR(IF(TRANSHARI2_HYDROMALAM[[#This Row],[NAMA REKENING]]="","",TRANSHARI2_HYDROMALAM[[#This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IFERROR(VLOOKUP(TRANSHARI2_HYDROPAGI[[#This Row],[PRODUK]],DATA_HYDRO[],4,FALSE),"")</f>
        <v/>
      </c>
      <c r="E357" s="374"/>
      <c r="F357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7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7" s="12"/>
      <c r="I357" s="386" t="str">
        <f>IFERROR(IF(TRANSHARI2_HYDROPAGI[[#This Row],[NAMA REKENING]]="","",TRANSHARI2_HYDROPAGI[[#This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IFERROR(VLOOKUP(TRANSHARI2_HYDROMALAM[[#This Row],[PRODUK]],DATA_HYDRO[],4,FALSE),"")</f>
        <v/>
      </c>
      <c r="T357" s="374"/>
      <c r="U357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7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7" s="12"/>
      <c r="X357" s="386" t="str">
        <f>IFERROR(IF(TRANSHARI2_HYDROMALAM[[#This Row],[NAMA REKENING]]="","",TRANSHARI2_HYDROMALAM[[#This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IFERROR(VLOOKUP(TRANSHARI2_HYDROPAGI[[#This Row],[PRODUK]],DATA_HYDRO[],4,FALSE),"")</f>
        <v/>
      </c>
      <c r="E358" s="374"/>
      <c r="F358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8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8" s="12"/>
      <c r="I358" s="384" t="str">
        <f>IFERROR(IF(TRANSHARI2_HYDROPAGI[[#This Row],[NAMA REKENING]]="","",TRANSHARI2_HYDROPAGI[[#This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IFERROR(VLOOKUP(TRANSHARI2_HYDROMALAM[[#This Row],[PRODUK]],DATA_HYDRO[],4,FALSE),"")</f>
        <v/>
      </c>
      <c r="T358" s="374"/>
      <c r="U358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8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8" s="12"/>
      <c r="X358" s="384" t="str">
        <f>IFERROR(IF(TRANSHARI2_HYDROMALAM[[#This Row],[NAMA REKENING]]="","",TRANSHARI2_HYDROMALAM[[#This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IFERROR(VLOOKUP(TRANSHARI2_HYDROPAGI[[#This Row],[PRODUK]],DATA_HYDRO[],4,FALSE),"")</f>
        <v/>
      </c>
      <c r="E359" s="374"/>
      <c r="F359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59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59" s="12"/>
      <c r="I359" s="386" t="str">
        <f>IFERROR(IF(TRANSHARI2_HYDROPAGI[[#This Row],[NAMA REKENING]]="","",TRANSHARI2_HYDROPAGI[[#This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IFERROR(VLOOKUP(TRANSHARI2_HYDROMALAM[[#This Row],[PRODUK]],DATA_HYDRO[],4,FALSE),"")</f>
        <v/>
      </c>
      <c r="T359" s="374"/>
      <c r="U359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59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59" s="12"/>
      <c r="X359" s="386" t="str">
        <f>IFERROR(IF(TRANSHARI2_HYDROMALAM[[#This Row],[NAMA REKENING]]="","",TRANSHARI2_HYDROMALAM[[#This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IFERROR(VLOOKUP(TRANSHARI2_HYDROPAGI[[#This Row],[PRODUK]],DATA_HYDRO[],4,FALSE),"")</f>
        <v/>
      </c>
      <c r="E360" s="374"/>
      <c r="F360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0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0" s="12"/>
      <c r="I360" s="384" t="str">
        <f>IFERROR(IF(TRANSHARI2_HYDROPAGI[[#This Row],[NAMA REKENING]]="","",TRANSHARI2_HYDROPAGI[[#This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IFERROR(VLOOKUP(TRANSHARI2_HYDROMALAM[[#This Row],[PRODUK]],DATA_HYDRO[],4,FALSE),"")</f>
        <v/>
      </c>
      <c r="T360" s="374"/>
      <c r="U360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0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0" s="12"/>
      <c r="X360" s="384" t="str">
        <f>IFERROR(IF(TRANSHARI2_HYDROMALAM[[#This Row],[NAMA REKENING]]="","",TRANSHARI2_HYDROMALAM[[#This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IFERROR(VLOOKUP(TRANSHARI2_HYDROPAGI[[#This Row],[PRODUK]],DATA_HYDRO[],4,FALSE),"")</f>
        <v/>
      </c>
      <c r="E361" s="374"/>
      <c r="F361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1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1" s="12"/>
      <c r="I361" s="386" t="str">
        <f>IFERROR(IF(TRANSHARI2_HYDROPAGI[[#This Row],[NAMA REKENING]]="","",TRANSHARI2_HYDROPAGI[[#This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IFERROR(VLOOKUP(TRANSHARI2_HYDROMALAM[[#This Row],[PRODUK]],DATA_HYDRO[],4,FALSE),"")</f>
        <v/>
      </c>
      <c r="T361" s="374"/>
      <c r="U361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1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1" s="12"/>
      <c r="X361" s="386" t="str">
        <f>IFERROR(IF(TRANSHARI2_HYDROMALAM[[#This Row],[NAMA REKENING]]="","",TRANSHARI2_HYDROMALAM[[#This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IFERROR(VLOOKUP(TRANSHARI2_HYDROPAGI[[#This Row],[PRODUK]],DATA_HYDRO[],4,FALSE),"")</f>
        <v/>
      </c>
      <c r="E362" s="374"/>
      <c r="F362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2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2" s="12"/>
      <c r="I362" s="384" t="str">
        <f>IFERROR(IF(TRANSHARI2_HYDROPAGI[[#This Row],[NAMA REKENING]]="","",TRANSHARI2_HYDROPAGI[[#This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IFERROR(VLOOKUP(TRANSHARI2_HYDROMALAM[[#This Row],[PRODUK]],DATA_HYDRO[],4,FALSE),"")</f>
        <v/>
      </c>
      <c r="T362" s="374"/>
      <c r="U362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2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2" s="12"/>
      <c r="X362" s="384" t="str">
        <f>IFERROR(IF(TRANSHARI2_HYDROMALAM[[#This Row],[NAMA REKENING]]="","",TRANSHARI2_HYDROMALAM[[#This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IFERROR(VLOOKUP(TRANSHARI2_HYDROPAGI[[#This Row],[PRODUK]],DATA_HYDRO[],4,FALSE),"")</f>
        <v/>
      </c>
      <c r="E363" s="374"/>
      <c r="F363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3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3" s="12"/>
      <c r="I363" s="386" t="str">
        <f>IFERROR(IF(TRANSHARI2_HYDROPAGI[[#This Row],[NAMA REKENING]]="","",TRANSHARI2_HYDROPAGI[[#This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IFERROR(VLOOKUP(TRANSHARI2_HYDROMALAM[[#This Row],[PRODUK]],DATA_HYDRO[],4,FALSE),"")</f>
        <v/>
      </c>
      <c r="T363" s="374"/>
      <c r="U363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3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3" s="12"/>
      <c r="X363" s="386" t="str">
        <f>IFERROR(IF(TRANSHARI2_HYDROMALAM[[#This Row],[NAMA REKENING]]="","",TRANSHARI2_HYDROMALAM[[#This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IFERROR(VLOOKUP(TRANSHARI2_HYDROPAGI[[#This Row],[PRODUK]],DATA_HYDRO[],4,FALSE),"")</f>
        <v/>
      </c>
      <c r="E364" s="374"/>
      <c r="F364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4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4" s="12"/>
      <c r="I364" s="384" t="str">
        <f>IFERROR(IF(TRANSHARI2_HYDROPAGI[[#This Row],[NAMA REKENING]]="","",TRANSHARI2_HYDROPAGI[[#This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IFERROR(VLOOKUP(TRANSHARI2_HYDROMALAM[[#This Row],[PRODUK]],DATA_HYDRO[],4,FALSE),"")</f>
        <v/>
      </c>
      <c r="T364" s="374"/>
      <c r="U364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4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4" s="12"/>
      <c r="X364" s="384" t="str">
        <f>IFERROR(IF(TRANSHARI2_HYDROMALAM[[#This Row],[NAMA REKENING]]="","",TRANSHARI2_HYDROMALAM[[#This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IFERROR(VLOOKUP(TRANSHARI2_HYDROPAGI[[#This Row],[PRODUK]],DATA_HYDRO[],4,FALSE),"")</f>
        <v/>
      </c>
      <c r="E365" s="374"/>
      <c r="F365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5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5" s="12"/>
      <c r="I365" s="386" t="str">
        <f>IFERROR(IF(TRANSHARI2_HYDROPAGI[[#This Row],[NAMA REKENING]]="","",TRANSHARI2_HYDROPAGI[[#This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IFERROR(VLOOKUP(TRANSHARI2_HYDROMALAM[[#This Row],[PRODUK]],DATA_HYDRO[],4,FALSE),"")</f>
        <v/>
      </c>
      <c r="T365" s="374"/>
      <c r="U365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5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5" s="12"/>
      <c r="X365" s="386" t="str">
        <f>IFERROR(IF(TRANSHARI2_HYDROMALAM[[#This Row],[NAMA REKENING]]="","",TRANSHARI2_HYDROMALAM[[#This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IFERROR(VLOOKUP(TRANSHARI2_HYDROPAGI[[#This Row],[PRODUK]],DATA_HYDRO[],4,FALSE),"")</f>
        <v/>
      </c>
      <c r="E366" s="374"/>
      <c r="F366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6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6" s="12"/>
      <c r="I366" s="384" t="str">
        <f>IFERROR(IF(TRANSHARI2_HYDROPAGI[[#This Row],[NAMA REKENING]]="","",TRANSHARI2_HYDROPAGI[[#This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IFERROR(VLOOKUP(TRANSHARI2_HYDROMALAM[[#This Row],[PRODUK]],DATA_HYDRO[],4,FALSE),"")</f>
        <v/>
      </c>
      <c r="T366" s="374"/>
      <c r="U366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6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6" s="12"/>
      <c r="X366" s="384" t="str">
        <f>IFERROR(IF(TRANSHARI2_HYDROMALAM[[#This Row],[NAMA REKENING]]="","",TRANSHARI2_HYDROMALAM[[#This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IFERROR(VLOOKUP(TRANSHARI2_HYDROPAGI[[#This Row],[PRODUK]],DATA_HYDRO[],4,FALSE),"")</f>
        <v/>
      </c>
      <c r="E367" s="374"/>
      <c r="F367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7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7" s="12"/>
      <c r="I367" s="386" t="str">
        <f>IFERROR(IF(TRANSHARI2_HYDROPAGI[[#This Row],[NAMA REKENING]]="","",TRANSHARI2_HYDROPAGI[[#This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IFERROR(VLOOKUP(TRANSHARI2_HYDROMALAM[[#This Row],[PRODUK]],DATA_HYDRO[],4,FALSE),"")</f>
        <v/>
      </c>
      <c r="T367" s="374"/>
      <c r="U367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7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7" s="12"/>
      <c r="X367" s="386" t="str">
        <f>IFERROR(IF(TRANSHARI2_HYDROMALAM[[#This Row],[NAMA REKENING]]="","",TRANSHARI2_HYDROMALAM[[#This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IFERROR(VLOOKUP(TRANSHARI2_HYDROPAGI[[#This Row],[PRODUK]],DATA_HYDRO[],4,FALSE),"")</f>
        <v/>
      </c>
      <c r="E368" s="374"/>
      <c r="F368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8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8" s="12"/>
      <c r="I368" s="384" t="str">
        <f>IFERROR(IF(TRANSHARI2_HYDROPAGI[[#This Row],[NAMA REKENING]]="","",TRANSHARI2_HYDROPAGI[[#This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IFERROR(VLOOKUP(TRANSHARI2_HYDROMALAM[[#This Row],[PRODUK]],DATA_HYDRO[],4,FALSE),"")</f>
        <v/>
      </c>
      <c r="T368" s="374"/>
      <c r="U368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8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8" s="12"/>
      <c r="X368" s="384" t="str">
        <f>IFERROR(IF(TRANSHARI2_HYDROMALAM[[#This Row],[NAMA REKENING]]="","",TRANSHARI2_HYDROMALAM[[#This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IFERROR(VLOOKUP(TRANSHARI2_HYDROPAGI[[#This Row],[PRODUK]],DATA_HYDRO[],4,FALSE),"")</f>
        <v/>
      </c>
      <c r="E369" s="374"/>
      <c r="F369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69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69" s="12"/>
      <c r="I369" s="386" t="str">
        <f>IFERROR(IF(TRANSHARI2_HYDROPAGI[[#This Row],[NAMA REKENING]]="","",TRANSHARI2_HYDROPAGI[[#This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IFERROR(VLOOKUP(TRANSHARI2_HYDROMALAM[[#This Row],[PRODUK]],DATA_HYDRO[],4,FALSE),"")</f>
        <v/>
      </c>
      <c r="T369" s="374"/>
      <c r="U369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69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69" s="12"/>
      <c r="X369" s="386" t="str">
        <f>IFERROR(IF(TRANSHARI2_HYDROMALAM[[#This Row],[NAMA REKENING]]="","",TRANSHARI2_HYDROMALAM[[#This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IFERROR(VLOOKUP(TRANSHARI2_HYDROPAGI[[#This Row],[PRODUK]],DATA_HYDRO[],4,FALSE),"")</f>
        <v/>
      </c>
      <c r="E370" s="374"/>
      <c r="F370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0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0" s="12"/>
      <c r="I370" s="384" t="str">
        <f>IFERROR(IF(TRANSHARI2_HYDROPAGI[[#This Row],[NAMA REKENING]]="","",TRANSHARI2_HYDROPAGI[[#This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IFERROR(VLOOKUP(TRANSHARI2_HYDROMALAM[[#This Row],[PRODUK]],DATA_HYDRO[],4,FALSE),"")</f>
        <v/>
      </c>
      <c r="T370" s="374"/>
      <c r="U370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0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0" s="12"/>
      <c r="X370" s="384" t="str">
        <f>IFERROR(IF(TRANSHARI2_HYDROMALAM[[#This Row],[NAMA REKENING]]="","",TRANSHARI2_HYDROMALAM[[#This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IFERROR(VLOOKUP(TRANSHARI2_HYDROPAGI[[#This Row],[PRODUK]],DATA_HYDRO[],4,FALSE),"")</f>
        <v/>
      </c>
      <c r="E371" s="374"/>
      <c r="F371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1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1" s="12"/>
      <c r="I371" s="386" t="str">
        <f>IFERROR(IF(TRANSHARI2_HYDROPAGI[[#This Row],[NAMA REKENING]]="","",TRANSHARI2_HYDROPAGI[[#This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IFERROR(VLOOKUP(TRANSHARI2_HYDROMALAM[[#This Row],[PRODUK]],DATA_HYDRO[],4,FALSE),"")</f>
        <v/>
      </c>
      <c r="T371" s="374"/>
      <c r="U371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1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1" s="12"/>
      <c r="X371" s="386" t="str">
        <f>IFERROR(IF(TRANSHARI2_HYDROMALAM[[#This Row],[NAMA REKENING]]="","",TRANSHARI2_HYDROMALAM[[#This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IFERROR(VLOOKUP(TRANSHARI2_HYDROPAGI[[#This Row],[PRODUK]],DATA_HYDRO[],4,FALSE),"")</f>
        <v/>
      </c>
      <c r="E372" s="374"/>
      <c r="F372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2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2" s="12"/>
      <c r="I372" s="384" t="str">
        <f>IFERROR(IF(TRANSHARI2_HYDROPAGI[[#This Row],[NAMA REKENING]]="","",TRANSHARI2_HYDROPAGI[[#This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IFERROR(VLOOKUP(TRANSHARI2_HYDROMALAM[[#This Row],[PRODUK]],DATA_HYDRO[],4,FALSE),"")</f>
        <v/>
      </c>
      <c r="T372" s="374"/>
      <c r="U372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2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2" s="12"/>
      <c r="X372" s="384" t="str">
        <f>IFERROR(IF(TRANSHARI2_HYDROMALAM[[#This Row],[NAMA REKENING]]="","",TRANSHARI2_HYDROMALAM[[#This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IFERROR(VLOOKUP(TRANSHARI2_HYDROPAGI[[#This Row],[PRODUK]],DATA_HYDRO[],4,FALSE),"")</f>
        <v/>
      </c>
      <c r="E373" s="374"/>
      <c r="F373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3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3" s="12"/>
      <c r="I373" s="386" t="str">
        <f>IFERROR(IF(TRANSHARI2_HYDROPAGI[[#This Row],[NAMA REKENING]]="","",TRANSHARI2_HYDROPAGI[[#This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IFERROR(VLOOKUP(TRANSHARI2_HYDROMALAM[[#This Row],[PRODUK]],DATA_HYDRO[],4,FALSE),"")</f>
        <v/>
      </c>
      <c r="T373" s="374"/>
      <c r="U373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3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3" s="12"/>
      <c r="X373" s="386" t="str">
        <f>IFERROR(IF(TRANSHARI2_HYDROMALAM[[#This Row],[NAMA REKENING]]="","",TRANSHARI2_HYDROMALAM[[#This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IFERROR(VLOOKUP(TRANSHARI2_HYDROPAGI[[#This Row],[PRODUK]],DATA_HYDRO[],4,FALSE),"")</f>
        <v/>
      </c>
      <c r="E374" s="374"/>
      <c r="F374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4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4" s="12"/>
      <c r="I374" s="384" t="str">
        <f>IFERROR(IF(TRANSHARI2_HYDROPAGI[[#This Row],[NAMA REKENING]]="","",TRANSHARI2_HYDROPAGI[[#This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IFERROR(VLOOKUP(TRANSHARI2_HYDROMALAM[[#This Row],[PRODUK]],DATA_HYDRO[],4,FALSE),"")</f>
        <v/>
      </c>
      <c r="T374" s="374"/>
      <c r="U374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4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4" s="12"/>
      <c r="X374" s="384" t="str">
        <f>IFERROR(IF(TRANSHARI2_HYDROMALAM[[#This Row],[NAMA REKENING]]="","",TRANSHARI2_HYDROMALAM[[#This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IFERROR(VLOOKUP(TRANSHARI2_HYDROPAGI[[#This Row],[PRODUK]],DATA_HYDRO[],4,FALSE),"")</f>
        <v/>
      </c>
      <c r="E375" s="376"/>
      <c r="F375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5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5" s="377"/>
      <c r="I375" s="386" t="str">
        <f>IFERROR(IF(TRANSHARI2_HYDROPAGI[[#This Row],[NAMA REKENING]]="","",TRANSHARI2_HYDROPAGI[[#This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IFERROR(VLOOKUP(TRANSHARI2_HYDROMALAM[[#This Row],[PRODUK]],DATA_HYDRO[],4,FALSE),"")</f>
        <v/>
      </c>
      <c r="T375" s="376"/>
      <c r="U375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5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5" s="377"/>
      <c r="X375" s="386" t="str">
        <f>IFERROR(IF(TRANSHARI2_HYDROMALAM[[#This Row],[NAMA REKENING]]="","",TRANSHARI2_HYDROMALAM[[#This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IFERROR(VLOOKUP(TRANSHARI2_HYDROPAGI[[#This Row],[PRODUK]],DATA_HYDRO[],4,FALSE),"")</f>
        <v/>
      </c>
      <c r="E376" s="374"/>
      <c r="F376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6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6" s="12"/>
      <c r="I376" s="384" t="str">
        <f>IFERROR(IF(TRANSHARI2_HYDROPAGI[[#This Row],[NAMA REKENING]]="","",TRANSHARI2_HYDROPAGI[[#This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IFERROR(VLOOKUP(TRANSHARI2_HYDROMALAM[[#This Row],[PRODUK]],DATA_HYDRO[],4,FALSE),"")</f>
        <v/>
      </c>
      <c r="T376" s="374"/>
      <c r="U376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6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6" s="12"/>
      <c r="X376" s="384" t="str">
        <f>IFERROR(IF(TRANSHARI2_HYDROMALAM[[#This Row],[NAMA REKENING]]="","",TRANSHARI2_HYDROMALAM[[#This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IFERROR(VLOOKUP(TRANSHARI2_HYDROPAGI[[#This Row],[PRODUK]],DATA_HYDRO[],4,FALSE),"")</f>
        <v/>
      </c>
      <c r="E377" s="374"/>
      <c r="F377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7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7" s="12"/>
      <c r="I377" s="386" t="str">
        <f>IFERROR(IF(TRANSHARI2_HYDROPAGI[[#This Row],[NAMA REKENING]]="","",TRANSHARI2_HYDROPAGI[[#This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IFERROR(VLOOKUP(TRANSHARI2_HYDROMALAM[[#This Row],[PRODUK]],DATA_HYDRO[],4,FALSE),"")</f>
        <v/>
      </c>
      <c r="T377" s="374"/>
      <c r="U377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7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7" s="12"/>
      <c r="X377" s="386" t="str">
        <f>IFERROR(IF(TRANSHARI2_HYDROMALAM[[#This Row],[NAMA REKENING]]="","",TRANSHARI2_HYDROMALAM[[#This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IFERROR(VLOOKUP(TRANSHARI2_HYDROPAGI[[#This Row],[PRODUK]],DATA_HYDRO[],4,FALSE),"")</f>
        <v/>
      </c>
      <c r="E378" s="374"/>
      <c r="F378" s="369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8" s="369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8" s="12"/>
      <c r="I378" s="384" t="str">
        <f>IFERROR(IF(TRANSHARI2_HYDROPAGI[[#This Row],[NAMA REKENING]]="","",TRANSHARI2_HYDROPAGI[[#This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IFERROR(VLOOKUP(TRANSHARI2_HYDROMALAM[[#This Row],[PRODUK]],DATA_HYDRO[],4,FALSE),"")</f>
        <v/>
      </c>
      <c r="T378" s="374"/>
      <c r="U378" s="369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8" s="369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8" s="12"/>
      <c r="X378" s="384" t="str">
        <f>IFERROR(IF(TRANSHARI2_HYDROMALAM[[#This Row],[NAMA REKENING]]="","",TRANSHARI2_HYDROMALAM[[#This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IFERROR(VLOOKUP(TRANSHARI2_HYDROPAGI[[#This Row],[PRODUK]],DATA_HYDRO[],4,FALSE),"")</f>
        <v/>
      </c>
      <c r="E379" s="374"/>
      <c r="F379" s="373" t="str">
        <f>IFERROR(IF(TRANSHARI2_HYDROPAGI[[#This Row],[NAMA PENGHUTANG]]="",((TRANSHARI2_HYDROPAGI[[#This Row],[HARGA]]*TRANSHARI2_HYDROPAGI[[#This Row],[QUANTITY]])+TRANSHARI2_HYDROPAGI[[#This Row],[PRICE TOLERANCE]]),""),"")</f>
        <v/>
      </c>
      <c r="G379" s="373" t="str">
        <f>IFERROR(IF(TRANSHARI2_HYDROPAGI[[#This Row],[NAMA PENGHUTANG]]="","",((TRANSHARI2_HYDROPAGI[[#This Row],[HARGA]]*TRANSHARI2_HYDROPAGI[[#This Row],[QUANTITY]])+TRANSHARI2_HYDROPAGI[[#This Row],[PRICE TOLERANCE]])),"")</f>
        <v/>
      </c>
      <c r="H379" s="12"/>
      <c r="I379" s="386" t="str">
        <f>IFERROR(IF(TRANSHARI2_HYDROPAGI[[#This Row],[NAMA REKENING]]="","",TRANSHARI2_HYDROPAGI[[#This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IFERROR(VLOOKUP(TRANSHARI2_HYDROMALAM[[#This Row],[PRODUK]],DATA_HYDRO[],4,FALSE),"")</f>
        <v/>
      </c>
      <c r="T379" s="374"/>
      <c r="U379" s="373" t="str">
        <f>IFERROR(IF(TRANSHARI2_HYDROMALAM[[#This Row],[NAMA PENGHUTANG]]="",((TRANSHARI2_HYDROMALAM[[#This Row],[HARGA]]*TRANSHARI2_HYDROMALAM[[#This Row],[QUANTITY]])+TRANSHARI2_HYDROMALAM[[#This Row],[PRICE TOLERANCE]]),""),"")</f>
        <v/>
      </c>
      <c r="V379" s="373" t="str">
        <f>IFERROR(IF(TRANSHARI2_HYDROMALAM[[#This Row],[NAMA PENGHUTANG]]="","",((TRANSHARI2_HYDROMALAM[[#This Row],[HARGA]]*TRANSHARI2_HYDROMALAM[[#This Row],[QUANTITY]])+TRANSHARI2_HYDROMALAM[[#This Row],[PRICE TOLERANCE]])),"")</f>
        <v/>
      </c>
      <c r="W379" s="12"/>
      <c r="X379" s="386" t="str">
        <f>IFERROR(IF(TRANSHARI2_HYDROMALAM[[#This Row],[NAMA REKENING]]="","",TRANSHARI2_HYDROMALAM[[#This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SUM(TRANSHARI2_HYDROPAGI[QUANTITY])</f>
        <v>0</v>
      </c>
      <c r="E380" s="398">
        <f>SUM(TRANSHARI2_HYDROPAGI[PRICE TOLERANCE])</f>
        <v>0</v>
      </c>
      <c r="F380" s="396">
        <f>SUM(TRANSHARI2_HYDROPAGI[DEBIT])</f>
        <v>0</v>
      </c>
      <c r="G380" s="396">
        <f>SUM(TRANSHARI2_HYDROPAGI[KREDIT])</f>
        <v>0</v>
      </c>
      <c r="I380" s="396">
        <f>SUM(TRANSHARI2_HYDROPAGI[NOMINAL TRANSFER])</f>
        <v>0</v>
      </c>
      <c r="O380" s="324"/>
      <c r="P380" s="303" t="s">
        <v>78</v>
      </c>
      <c r="Q380" s="316"/>
      <c r="R380" s="395">
        <f>SUM(TRANSHARI2_HYDROMALAM[QUANTITY])</f>
        <v>0</v>
      </c>
      <c r="T380" s="398">
        <f>SUM(TRANSHARI2_HYDROMALAM[PRICE TOLERANCE])</f>
        <v>0</v>
      </c>
      <c r="U380" s="396">
        <f>SUM(TRANSHARI2_HYDROMALAM[DEBIT])</f>
        <v>0</v>
      </c>
      <c r="V380" s="396">
        <f>SUM(TRANSHARI2_HYDROMALAM[KREDIT])</f>
        <v>0</v>
      </c>
      <c r="X380" s="396">
        <f>SUM(TRANSHARI2_HYDROMALAM[NOMINAL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196</v>
      </c>
      <c r="B384" s="406"/>
      <c r="C384" s="407" t="s">
        <v>120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197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SUM(TRANSHARI2_PULSAPAGI[DEBIT])</f>
        <v>285000</v>
      </c>
      <c r="D390" s="431">
        <f>SUM(TRANSHARI2_PULSAPAGI[KREDIT])</f>
        <v>0</v>
      </c>
      <c r="E390" s="432">
        <f>SUM(TRANSHARI2_PULSAPAGI[NOMINAL TRANSFER])</f>
        <v>0</v>
      </c>
      <c r="F390" s="433">
        <f>0</f>
        <v>0</v>
      </c>
      <c r="G390" s="434">
        <f>COUNTA(TRANSHARI2_PULSAPAGI[[DEBIT]:[KREDIT]])</f>
        <v>7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SUM(TRANSHARI2_PULSAMALAM[DEBIT])</f>
        <v>0</v>
      </c>
      <c r="S390" s="431">
        <f>SUM(TRANSHARI2_PULSAMALAM[KREDIT])</f>
        <v>0</v>
      </c>
      <c r="T390" s="432">
        <f>SUM(TRANSHARI2_PULSAMALAM[NOMINAL TRANSFER])</f>
        <v>0</v>
      </c>
      <c r="U390" s="433">
        <f>0</f>
        <v>0</v>
      </c>
      <c r="V390" s="434">
        <f>COUNTA(TRANSHARI2_PULSAMALAM[[DEBIT]:[KREDIT]])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SUM(TRANSHARI2_ROKOKPAGI[DEBIT])</f>
        <v>76000</v>
      </c>
      <c r="D391" s="431">
        <f>SUM(TRANSHARI2_ROKOKPAGI[KREDIT])</f>
        <v>0</v>
      </c>
      <c r="E391" s="432">
        <f>SUM(TRANSHARI2_ROKOKPAGI[NOMINAL TRANSFER])</f>
        <v>0</v>
      </c>
      <c r="F391" s="433">
        <f>SUM(TRANSHARI2_ROKOKPAGI[PRICE TOLERANCE])</f>
        <v>0</v>
      </c>
      <c r="G391" s="434">
        <f>C135</f>
        <v>2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SUM(TRANSHARI2_ROKOKMALAM[DEBIT])</f>
        <v>0</v>
      </c>
      <c r="S391" s="431">
        <f>SUM(TRANSHARI2_ROKOKMALAM[KREDIT])</f>
        <v>0</v>
      </c>
      <c r="T391" s="432">
        <f>SUM(TRANSHARI2_ROKOKMALAM[NOMINAL TRANSFER])</f>
        <v>0</v>
      </c>
      <c r="U391" s="433">
        <f>SUM(TRANSHARI2_ROKOKMALAM[PRICE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SUM(TRANSHARI2_SPVOUPAGI[DEBIT])</f>
        <v>237000</v>
      </c>
      <c r="D392" s="431">
        <f>SUM(TRANSHARI2_SPVOUPAGI[KREDIT])</f>
        <v>0</v>
      </c>
      <c r="E392" s="432">
        <f>SUM(TRANSHARI2_SPVOUPAGI[NOMINAL TRANSFER])</f>
        <v>0</v>
      </c>
      <c r="F392" s="433">
        <f>SUM(TRANSHARI2_SPVOUPAGI[PRICE TOLERANCE])</f>
        <v>0</v>
      </c>
      <c r="G392" s="434">
        <f>C192</f>
        <v>12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SUM(TRANSHARI2_SPVOUMALAM[DEBIT])</f>
        <v>0</v>
      </c>
      <c r="S392" s="431">
        <f>SUM(TRANSHARI2_SPVOUMALAM[KREDIT])</f>
        <v>0</v>
      </c>
      <c r="T392" s="432">
        <f>SUM(TRANSHARI2_SPVOUMALAM[NOMINAL TRANSFER])</f>
        <v>0</v>
      </c>
      <c r="U392" s="433">
        <f>SUM(TRANSHARI2_SPVOUMALAM[PRICE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SUM(TRANSHARI2_SOFTDRINKPAGI[DEBIT])</f>
        <v>26500</v>
      </c>
      <c r="D393" s="431">
        <f>SUM(TRANSHARI2_SOFTDRINKPAGI[KREDIT])</f>
        <v>0</v>
      </c>
      <c r="E393" s="432">
        <f>SUM(TRANSHARI2_SOFTDRINKPAGI[NOMINAL TRANSFER])</f>
        <v>0</v>
      </c>
      <c r="F393" s="433">
        <f>SUM(TRANSHARI2_SOFTDRINKPAGI[PRICE TOLERANCE])</f>
        <v>0</v>
      </c>
      <c r="G393" s="434">
        <f>C249</f>
        <v>12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SUM(TRANSHARI2_SOFTDRINKMALAM[DEBIT])</f>
        <v>0</v>
      </c>
      <c r="S393" s="431">
        <f>SUM(TRANSHARI2_SOFTDRINKMALAM[KREDIT])</f>
        <v>0</v>
      </c>
      <c r="T393" s="432">
        <f>SUM(TRANSHARI2_SOFTDRINKMALAM[NOMINAL TRANSFER])</f>
        <v>0</v>
      </c>
      <c r="U393" s="433">
        <f>SUM(TRANSHARI2_SOFTDRINKMALAM[PRICE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SUM(TRANSHARI2_ICECREAMPAGI[DEBIT])</f>
        <v>2000</v>
      </c>
      <c r="D394" s="431">
        <f>SUM(TRANSHARI2_ICECREAMPAGI[KREDIT])</f>
        <v>0</v>
      </c>
      <c r="E394" s="432">
        <f>SUM(TRANSHARI2_ICECREAMPAGI[NOMINAL TRANSFER])</f>
        <v>0</v>
      </c>
      <c r="F394" s="433">
        <f>SUM(TRANSHARI2_ICECREAMPAGI[PRICE TOLERANCE])</f>
        <v>0</v>
      </c>
      <c r="G394" s="434">
        <f>C306</f>
        <v>1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SUM(TRANSHARI2_ICECREAMMALAM[DEBIT])</f>
        <v>0</v>
      </c>
      <c r="S394" s="431">
        <f>SUM(TRANSHARI2_ICECREAMMALAM[KREDIT])</f>
        <v>0</v>
      </c>
      <c r="T394" s="432">
        <f>SUM(TRANSHARI2_ICECREAMMALAM[NOMINAL TRANSFER])</f>
        <v>0</v>
      </c>
      <c r="U394" s="433">
        <f>SUM(TRANSHARI2_ICECREAMMALAM[PRICE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SUM(TRANSHARI2_ACCPAGI[DEBIT])</f>
        <v>25000</v>
      </c>
      <c r="D395" s="431">
        <f>SUM(TRANSHARI2_ACCPAGI[KREDIT])</f>
        <v>0</v>
      </c>
      <c r="E395" s="432">
        <f>SUM(TRANSHARI2_ACCPAGI[NOMINAL TRANSFER])</f>
        <v>0</v>
      </c>
      <c r="F395" s="433">
        <f>SUM(TRANSHARI2_ACCPAGI[PRICE TOLERANCE])</f>
        <v>0</v>
      </c>
      <c r="G395" s="434">
        <f>C343</f>
        <v>1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SUM(TRANSHARI2_ACCMALAM[DEBIT])</f>
        <v>0</v>
      </c>
      <c r="S395" s="431">
        <f>SUM(TRANSHARI2_ACCMALAM[KREDIT])</f>
        <v>0</v>
      </c>
      <c r="T395" s="432">
        <f>SUM(TRANSHARI2_ACCMALAM[NOMINAL TRANSFER])</f>
        <v>0</v>
      </c>
      <c r="U395" s="433">
        <f>SUM(TRANSHARI2_ACCMALAM[PRICE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SUM(TRANSHARI2_HYDROPAGI[DEBIT])</f>
        <v>0</v>
      </c>
      <c r="D396" s="437">
        <f>SUM(TRANSHARI2_HYDROPAGI[KREDIT])</f>
        <v>0</v>
      </c>
      <c r="E396" s="438">
        <f>SUM(TRANSHARI2_HYDROPAGI[NOMINAL TRANSFER])</f>
        <v>0</v>
      </c>
      <c r="F396" s="439">
        <f>SUM(TRANSHARI2_HYDROPAGI[PRICE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SUM(TRANSHARI2_HYDROMALAM[DEBIT])</f>
        <v>0</v>
      </c>
      <c r="S396" s="437">
        <f>SUM(TRANSHARI2_HYDROMALAM[KREDIT])</f>
        <v>0</v>
      </c>
      <c r="T396" s="438">
        <f>SUM(TRANSHARI2_HYDROMALAM[NOMINAL TRANSFER])</f>
        <v>0</v>
      </c>
      <c r="U396" s="439">
        <f>SUM(TRANSHARI2_HYDROMALAM[PRICE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651500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35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651500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1'!T430</f>
        <v>458000</v>
      </c>
      <c r="F428" s="516"/>
      <c r="I428" s="598" t="s">
        <v>164</v>
      </c>
      <c r="J428" s="599"/>
      <c r="K428" s="600">
        <v>130000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1000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 t="s">
        <v>198</v>
      </c>
      <c r="C430" s="521">
        <v>6000</v>
      </c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450000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6000</v>
      </c>
      <c r="D435" s="534" t="s">
        <v>175</v>
      </c>
      <c r="E435" s="535">
        <v>2000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452000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651500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651500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WAdcAFc6IRL5Em/yABGjSn/ObyFF4hI48kSN/hLjKs+Ukje61F8RfQUG8QLsfHG2Y+V/Q8xITv+DQnavIvKr7Q==" saltValue="2dvcZUHl7WWzZ/M5DpGFvg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24:AC447"/>
  <sheetViews>
    <sheetView showGridLines="0" zoomScale="73" zoomScaleNormal="73" topLeftCell="D407" workbookViewId="0">
      <selection activeCell="S384" sqref="S384:S385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199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200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IFERROR(IF(TRANSHARI3_PULSAPAGI[[#This Row],[NAMA REKENING]]="","",TRANSHARI3_PULSAPAGI[[#This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IFERROR(IF(TRANSHARI3_PULSAMALAM[[#This Row],[NAMA REKENING]]="","",TRANSHARI3_PULSAMALAM[[#This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IFERROR(IF(TRANSHARI3_PULSAPAGI[[#This Row],[NAMA REKENING]]="","",TRANSHARI3_PULSAPAGI[[#This Row],[DEBIT]]),"")</f>
        <v/>
      </c>
      <c r="I29" s="311"/>
      <c r="J29" s="326"/>
      <c r="K29" s="330" t="s">
        <v>27</v>
      </c>
      <c r="L29" s="331">
        <f>'HARI 2'!AA33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IFERROR(IF(TRANSHARI3_PULSAMALAM[[#This Row],[NAMA REKENING]]="","",TRANSHARI3_PULSAMALAM[[#This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IFERROR(IF(TRANSHARI3_PULSAPAGI[[#This Row],[NAMA REKENING]]="","",TRANSHARI3_PULSAPAGI[[#This Row],[DEBIT]]),"")</f>
        <v/>
      </c>
      <c r="I30" s="311"/>
      <c r="J30" s="326"/>
      <c r="K30" s="332" t="s">
        <v>30</v>
      </c>
      <c r="L30" s="333">
        <f>SUMIF(TRANSHARI3_PULSAPAGI[APLIKASI],K28,TRANSHARI3_PULSAPAGI[SALDO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IFERROR(IF(TRANSHARI3_PULSAMALAM[[#This Row],[NAMA REKENING]]="","",TRANSHARI3_PULSAMALAM[[#This Row],[DEBIT]]),"")</f>
        <v/>
      </c>
      <c r="X30" s="311"/>
      <c r="Y30" s="326"/>
      <c r="Z30" s="332" t="s">
        <v>30</v>
      </c>
      <c r="AA30" s="333">
        <f>SUMIF(TRANSHARI3_PULSAMALAM[APLIKASI],Z28,TRANSHARI3_PULSAMALAM[SALDO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IFERROR(IF(TRANSHARI3_PULSAPAGI[[#This Row],[NAMA REKENING]]="","",TRANSHARI3_PULSAPAGI[[#This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IFERROR(IF(TRANSHARI3_PULSAMALAM[[#This Row],[NAMA REKENING]]="","",TRANSHARI3_PULSAMALAM[[#This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IFERROR(IF(TRANSHARI3_PULSAPAGI[[#This Row],[NAMA REKENING]]="","",TRANSHARI3_PULSAPAGI[[#This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IFERROR(IF(TRANSHARI3_PULSAMALAM[[#This Row],[NAMA REKENING]]="","",TRANSHARI3_PULSAMALAM[[#This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IFERROR(IF(TRANSHARI3_PULSAPAGI[[#This Row],[NAMA REKENING]]="","",TRANSHARI3_PULSAPAGI[[#This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IFERROR(IF(TRANSHARI3_PULSAMALAM[[#This Row],[NAMA REKENING]]="","",TRANSHARI3_PULSAMALAM[[#This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IFERROR(IF(TRANSHARI3_PULSAPAGI[[#This Row],[NAMA REKENING]]="","",TRANSHARI3_PULSAPAGI[[#This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IFERROR(IF(TRANSHARI3_PULSAMALAM[[#This Row],[NAMA REKENING]]="","",TRANSHARI3_PULSAMALAM[[#This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IFERROR(IF(TRANSHARI3_PULSAPAGI[[#This Row],[NAMA REKENING]]="","",TRANSHARI3_PULSAPAGI[[#This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IFERROR(IF(TRANSHARI3_PULSAMALAM[[#This Row],[NAMA REKENING]]="","",TRANSHARI3_PULSAMALAM[[#This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IFERROR(IF(TRANSHARI3_PULSAPAGI[[#This Row],[NAMA REKENING]]="","",TRANSHARI3_PULSAPAGI[[#This Row],[DEBIT]]),"")</f>
        <v/>
      </c>
      <c r="I36" s="311"/>
      <c r="J36" s="326"/>
      <c r="K36" s="330" t="s">
        <v>27</v>
      </c>
      <c r="L36" s="331">
        <f>'HARI 2'!AA40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IFERROR(IF(TRANSHARI3_PULSAMALAM[[#This Row],[NAMA REKENING]]="","",TRANSHARI3_PULSAMALAM[[#This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IFERROR(IF(TRANSHARI3_PULSAPAGI[[#This Row],[NAMA REKENING]]="","",TRANSHARI3_PULSAPAGI[[#This Row],[DEBIT]]),"")</f>
        <v/>
      </c>
      <c r="I37" s="311"/>
      <c r="J37" s="326"/>
      <c r="K37" s="332" t="s">
        <v>30</v>
      </c>
      <c r="L37" s="333">
        <f>SUMIF(TRANSHARI3_PULSAPAGI[APLIKASI],K35,TRANSHARI3_PULSAPAGI[SALDO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IFERROR(IF(TRANSHARI3_PULSAMALAM[[#This Row],[NAMA REKENING]]="","",TRANSHARI3_PULSAMALAM[[#This Row],[DEBIT]]),"")</f>
        <v/>
      </c>
      <c r="X37" s="311"/>
      <c r="Y37" s="326"/>
      <c r="Z37" s="332" t="s">
        <v>30</v>
      </c>
      <c r="AA37" s="333">
        <f>SUMIF(TRANSHARI3_PULSAMALAM[APLIKASI],Z35,TRANSHARI3_PULSAMALAM[SALDO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IFERROR(IF(TRANSHARI3_PULSAPAGI[[#This Row],[NAMA REKENING]]="","",TRANSHARI3_PULSAPAGI[[#This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IFERROR(IF(TRANSHARI3_PULSAMALAM[[#This Row],[NAMA REKENING]]="","",TRANSHARI3_PULSAMALAM[[#This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IFERROR(IF(TRANSHARI3_PULSAPAGI[[#This Row],[NAMA REKENING]]="","",TRANSHARI3_PULSAPAGI[[#This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IFERROR(IF(TRANSHARI3_PULSAMALAM[[#This Row],[NAMA REKENING]]="","",TRANSHARI3_PULSAMALAM[[#This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IFERROR(IF(TRANSHARI3_PULSAPAGI[[#This Row],[NAMA REKENING]]="","",TRANSHARI3_PULSAPAGI[[#This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IFERROR(IF(TRANSHARI3_PULSAMALAM[[#This Row],[NAMA REKENING]]="","",TRANSHARI3_PULSAMALAM[[#This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IFERROR(IF(TRANSHARI3_PULSAPAGI[[#This Row],[NAMA REKENING]]="","",TRANSHARI3_PULSAPAGI[[#This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IFERROR(IF(TRANSHARI3_PULSAMALAM[[#This Row],[NAMA REKENING]]="","",TRANSHARI3_PULSAMALAM[[#This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IFERROR(IF(TRANSHARI3_PULSAPAGI[[#This Row],[NAMA REKENING]]="","",TRANSHARI3_PULSAPAGI[[#This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IFERROR(IF(TRANSHARI3_PULSAMALAM[[#This Row],[NAMA REKENING]]="","",TRANSHARI3_PULSAMALAM[[#This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IFERROR(IF(TRANSHARI3_PULSAPAGI[[#This Row],[NAMA REKENING]]="","",TRANSHARI3_PULSAPAGI[[#This Row],[DEBIT]]),"")</f>
        <v/>
      </c>
      <c r="I43" s="311"/>
      <c r="J43" s="326"/>
      <c r="K43" s="330" t="s">
        <v>27</v>
      </c>
      <c r="L43" s="331">
        <f>'HARI 2'!AA47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IFERROR(IF(TRANSHARI3_PULSAMALAM[[#This Row],[NAMA REKENING]]="","",TRANSHARI3_PULSAMALAM[[#This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IFERROR(IF(TRANSHARI3_PULSAPAGI[[#This Row],[NAMA REKENING]]="","",TRANSHARI3_PULSAPAGI[[#This Row],[DEBIT]]),"")</f>
        <v/>
      </c>
      <c r="I44" s="311"/>
      <c r="J44" s="326"/>
      <c r="K44" s="332" t="s">
        <v>30</v>
      </c>
      <c r="L44" s="333">
        <f>SUMIF(TRANSHARI3_PULSAPAGI[APLIKASI],K42,TRANSHARI3_PULSAPAGI[SALDO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IFERROR(IF(TRANSHARI3_PULSAMALAM[[#This Row],[NAMA REKENING]]="","",TRANSHARI3_PULSAMALAM[[#This Row],[DEBIT]]),"")</f>
        <v/>
      </c>
      <c r="X44" s="311"/>
      <c r="Y44" s="326"/>
      <c r="Z44" s="332" t="s">
        <v>30</v>
      </c>
      <c r="AA44" s="333">
        <f>SUMIF(TRANSHARI3_PULSAMALAM[APLIKASI],Z42,TRANSHARI3_PULSAMALAM[SALDO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IFERROR(IF(TRANSHARI3_PULSAPAGI[[#This Row],[NAMA REKENING]]="","",TRANSHARI3_PULSAPAGI[[#This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IFERROR(IF(TRANSHARI3_PULSAMALAM[[#This Row],[NAMA REKENING]]="","",TRANSHARI3_PULSAMALAM[[#This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IFERROR(IF(TRANSHARI3_PULSAPAGI[[#This Row],[NAMA REKENING]]="","",TRANSHARI3_PULSAPAGI[[#This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IFERROR(IF(TRANSHARI3_PULSAMALAM[[#This Row],[NAMA REKENING]]="","",TRANSHARI3_PULSAMALAM[[#This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IFERROR(IF(TRANSHARI3_PULSAPAGI[[#This Row],[NAMA REKENING]]="","",TRANSHARI3_PULSAPAGI[[#This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IFERROR(IF(TRANSHARI3_PULSAMALAM[[#This Row],[NAMA REKENING]]="","",TRANSHARI3_PULSAMALAM[[#This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IFERROR(IF(TRANSHARI3_PULSAPAGI[[#This Row],[NAMA REKENING]]="","",TRANSHARI3_PULSAPAGI[[#This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IFERROR(IF(TRANSHARI3_PULSAMALAM[[#This Row],[NAMA REKENING]]="","",TRANSHARI3_PULSAMALAM[[#This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IFERROR(IF(TRANSHARI3_PULSAPAGI[[#This Row],[NAMA REKENING]]="","",TRANSHARI3_PULSAPAGI[[#This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IFERROR(IF(TRANSHARI3_PULSAMALAM[[#This Row],[NAMA REKENING]]="","",TRANSHARI3_PULSAMALAM[[#This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IFERROR(IF(TRANSHARI3_PULSAPAGI[[#This Row],[NAMA REKENING]]="","",TRANSHARI3_PULSAPAGI[[#This Row],[DEBIT]]),"")</f>
        <v/>
      </c>
      <c r="I50" s="311"/>
      <c r="J50" s="326"/>
      <c r="K50" s="330" t="s">
        <v>27</v>
      </c>
      <c r="L50" s="331">
        <f>'HARI 2'!AA54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IFERROR(IF(TRANSHARI3_PULSAMALAM[[#This Row],[NAMA REKENING]]="","",TRANSHARI3_PULSAMALAM[[#This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IFERROR(IF(TRANSHARI3_PULSAPAGI[[#This Row],[NAMA REKENING]]="","",TRANSHARI3_PULSAPAGI[[#This Row],[DEBIT]]),"")</f>
        <v/>
      </c>
      <c r="I51" s="311"/>
      <c r="J51" s="326"/>
      <c r="K51" s="332" t="s">
        <v>30</v>
      </c>
      <c r="L51" s="333">
        <f>SUMIF(TRANSHARI3_PULSAPAGI[APLIKASI],K49,TRANSHARI3_PULSAPAGI[SALDO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IFERROR(IF(TRANSHARI3_PULSAMALAM[[#This Row],[NAMA REKENING]]="","",TRANSHARI3_PULSAMALAM[[#This Row],[DEBIT]]),"")</f>
        <v/>
      </c>
      <c r="X51" s="311"/>
      <c r="Y51" s="326"/>
      <c r="Z51" s="332" t="s">
        <v>30</v>
      </c>
      <c r="AA51" s="333">
        <f>SUMIF(TRANSHARI3_PULSAMALAM[APLIKASI],Z49,TRANSHARI3_PULSAMALAM[SALDO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IFERROR(IF(TRANSHARI3_PULSAPAGI[[#This Row],[NAMA REKENING]]="","",TRANSHARI3_PULSAPAGI[[#This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IFERROR(IF(TRANSHARI3_PULSAMALAM[[#This Row],[NAMA REKENING]]="","",TRANSHARI3_PULSAMALAM[[#This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IFERROR(IF(TRANSHARI3_PULSAPAGI[[#This Row],[NAMA REKENING]]="","",TRANSHARI3_PULSAPAGI[[#This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IFERROR(IF(TRANSHARI3_PULSAMALAM[[#This Row],[NAMA REKENING]]="","",TRANSHARI3_PULSAMALAM[[#This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IFERROR(IF(TRANSHARI3_PULSAPAGI[[#This Row],[NAMA REKENING]]="","",TRANSHARI3_PULSAPAGI[[#This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IFERROR(IF(TRANSHARI3_PULSAMALAM[[#This Row],[NAMA REKENING]]="","",TRANSHARI3_PULSAMALAM[[#This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IFERROR(IF(TRANSHARI3_PULSAPAGI[[#This Row],[NAMA REKENING]]="","",TRANSHARI3_PULSAPAGI[[#This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IFERROR(IF(TRANSHARI3_PULSAMALAM[[#This Row],[NAMA REKENING]]="","",TRANSHARI3_PULSAMALAM[[#This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IFERROR(IF(TRANSHARI3_PULSAPAGI[[#This Row],[NAMA REKENING]]="","",TRANSHARI3_PULSAPAGI[[#This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IFERROR(IF(TRANSHARI3_PULSAMALAM[[#This Row],[NAMA REKENING]]="","",TRANSHARI3_PULSAMALAM[[#This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IFERROR(IF(TRANSHARI3_PULSAPAGI[[#This Row],[NAMA REKENING]]="","",TRANSHARI3_PULSAPAGI[[#This Row],[DEBIT]]),"")</f>
        <v/>
      </c>
      <c r="I57" s="311"/>
      <c r="J57" s="326"/>
      <c r="K57" s="330" t="s">
        <v>27</v>
      </c>
      <c r="L57" s="331">
        <f>'HARI 2'!AA61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IFERROR(IF(TRANSHARI3_PULSAMALAM[[#This Row],[NAMA REKENING]]="","",TRANSHARI3_PULSAMALAM[[#This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IFERROR(IF(TRANSHARI3_PULSAPAGI[[#This Row],[NAMA REKENING]]="","",TRANSHARI3_PULSAPAGI[[#This Row],[DEBIT]]),"")</f>
        <v/>
      </c>
      <c r="I58" s="311"/>
      <c r="J58" s="326"/>
      <c r="K58" s="332" t="s">
        <v>30</v>
      </c>
      <c r="L58" s="333">
        <f>SUMIF(TRANSHARI3_PULSAPAGI[APLIKASI],K56,TRANSHARI3_PULSAPAGI[SALDO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IFERROR(IF(TRANSHARI3_PULSAMALAM[[#This Row],[NAMA REKENING]]="","",TRANSHARI3_PULSAMALAM[[#This Row],[DEBIT]]),"")</f>
        <v/>
      </c>
      <c r="X58" s="311"/>
      <c r="Y58" s="326"/>
      <c r="Z58" s="332" t="s">
        <v>30</v>
      </c>
      <c r="AA58" s="333">
        <f>SUMIF(TRANSHARI3_PULSAMALAM[APLIKASI],Z56,TRANSHARI3_PULSAMALAM[SALDO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IFERROR(IF(TRANSHARI3_PULSAPAGI[[#This Row],[NAMA REKENING]]="","",TRANSHARI3_PULSAPAGI[[#This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IFERROR(IF(TRANSHARI3_PULSAMALAM[[#This Row],[NAMA REKENING]]="","",TRANSHARI3_PULSAMALAM[[#This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IFERROR(IF(TRANSHARI3_PULSAPAGI[[#This Row],[NAMA REKENING]]="","",TRANSHARI3_PULSAPAGI[[#This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IFERROR(IF(TRANSHARI3_PULSAMALAM[[#This Row],[NAMA REKENING]]="","",TRANSHARI3_PULSAMALAM[[#This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IFERROR(IF(TRANSHARI3_PULSAPAGI[[#This Row],[NAMA REKENING]]="","",TRANSHARI3_PULSAPAGI[[#This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IFERROR(IF(TRANSHARI3_PULSAMALAM[[#This Row],[NAMA REKENING]]="","",TRANSHARI3_PULSAMALAM[[#This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IFERROR(IF(TRANSHARI3_PULSAPAGI[[#This Row],[NAMA REKENING]]="","",TRANSHARI3_PULSAPAGI[[#This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IFERROR(IF(TRANSHARI3_PULSAMALAM[[#This Row],[NAMA REKENING]]="","",TRANSHARI3_PULSAMALAM[[#This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IFERROR(IF(TRANSHARI3_PULSAPAGI[[#This Row],[NAMA REKENING]]="","",TRANSHARI3_PULSAPAGI[[#This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IFERROR(IF(TRANSHARI3_PULSAMALAM[[#This Row],[NAMA REKENING]]="","",TRANSHARI3_PULSAMALAM[[#This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IFERROR(IF(TRANSHARI3_PULSAPAGI[[#This Row],[NAMA REKENING]]="","",TRANSHARI3_PULSAPAGI[[#This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IFERROR(IF(TRANSHARI3_PULSAMALAM[[#This Row],[NAMA REKENING]]="","",TRANSHARI3_PULSAMALAM[[#This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IFERROR(IF(TRANSHARI3_PULSAPAGI[[#This Row],[NAMA REKENING]]="","",TRANSHARI3_PULSAPAGI[[#This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IFERROR(IF(TRANSHARI3_PULSAMALAM[[#This Row],[NAMA REKENING]]="","",TRANSHARI3_PULSAMALAM[[#This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IFERROR(IF(TRANSHARI3_PULSAPAGI[[#This Row],[NAMA REKENING]]="","",TRANSHARI3_PULSAPAGI[[#This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IFERROR(IF(TRANSHARI3_PULSAMALAM[[#This Row],[NAMA REKENING]]="","",TRANSHARI3_PULSAMALAM[[#This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IFERROR(IF(TRANSHARI3_PULSAPAGI[[#This Row],[NAMA REKENING]]="","",TRANSHARI3_PULSAPAGI[[#This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IFERROR(IF(TRANSHARI3_PULSAMALAM[[#This Row],[NAMA REKENING]]="","",TRANSHARI3_PULSAMALAM[[#This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IFERROR(IF(TRANSHARI3_PULSAPAGI[[#This Row],[NAMA REKENING]]="","",TRANSHARI3_PULSAPAGI[[#This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IFERROR(IF(TRANSHARI3_PULSAMALAM[[#This Row],[NAMA REKENING]]="","",TRANSHARI3_PULSAMALAM[[#This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IFERROR(IF(TRANSHARI3_PULSAPAGI[[#This Row],[NAMA REKENING]]="","",TRANSHARI3_PULSAPAGI[[#This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IFERROR(IF(TRANSHARI3_PULSAMALAM[[#This Row],[NAMA REKENING]]="","",TRANSHARI3_PULSAMALAM[[#This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IFERROR(IF(TRANSHARI3_PULSAPAGI[[#This Row],[NAMA REKENING]]="","",TRANSHARI3_PULSAPAGI[[#This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IFERROR(IF(TRANSHARI3_PULSAMALAM[[#This Row],[NAMA REKENING]]="","",TRANSHARI3_PULSAMALAM[[#This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IFERROR(IF(TRANSHARI3_PULSAPAGI[[#This Row],[NAMA REKENING]]="","",TRANSHARI3_PULSAPAGI[[#This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IFERROR(IF(TRANSHARI3_PULSAMALAM[[#This Row],[NAMA REKENING]]="","",TRANSHARI3_PULSAMALAM[[#This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IFERROR(IF(TRANSHARI3_PULSAPAGI[[#This Row],[NAMA REKENING]]="","",TRANSHARI3_PULSAPAGI[[#This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IFERROR(IF(TRANSHARI3_PULSAMALAM[[#This Row],[NAMA REKENING]]="","",TRANSHARI3_PULSAMALAM[[#This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IFERROR(IF(TRANSHARI3_PULSAPAGI[[#This Row],[NAMA REKENING]]="","",TRANSHARI3_PULSAPAGI[[#This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IFERROR(IF(TRANSHARI3_PULSAMALAM[[#This Row],[NAMA REKENING]]="","",TRANSHARI3_PULSAMALAM[[#This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IFERROR(IF(TRANSHARI3_PULSAPAGI[[#This Row],[NAMA REKENING]]="","",TRANSHARI3_PULSAPAGI[[#This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IFERROR(IF(TRANSHARI3_PULSAMALAM[[#This Row],[NAMA REKENING]]="","",TRANSHARI3_PULSAMALAM[[#This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IFERROR(IF(TRANSHARI3_PULSAPAGI[[#This Row],[NAMA REKENING]]="","",TRANSHARI3_PULSAPAGI[[#This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IFERROR(IF(TRANSHARI3_PULSAMALAM[[#This Row],[NAMA REKENING]]="","",TRANSHARI3_PULSAMALAM[[#This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IFERROR(IF(TRANSHARI3_PULSAPAGI[[#This Row],[NAMA REKENING]]="","",TRANSHARI3_PULSAPAGI[[#This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IFERROR(IF(TRANSHARI3_PULSAMALAM[[#This Row],[NAMA REKENING]]="","",TRANSHARI3_PULSAMALAM[[#This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IFERROR(IF(TRANSHARI3_PULSAPAGI[[#This Row],[NAMA REKENING]]="","",TRANSHARI3_PULSAPAGI[[#This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IFERROR(IF(TRANSHARI3_PULSAMALAM[[#This Row],[NAMA REKENING]]="","",TRANSHARI3_PULSAMALAM[[#This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SUM(TRANSHARI3_PULSAPAGI[DEBIT])</f>
        <v>0</v>
      </c>
      <c r="D78" s="353">
        <f>SUM(TRANSHARI3_PULSAPAGI[KREDIT])</f>
        <v>0</v>
      </c>
      <c r="E78" s="167"/>
      <c r="F78" s="354">
        <f>SUM(TRANSHARI3_PULSAPAGI[SALDO MINUS])</f>
        <v>0</v>
      </c>
      <c r="G78" s="167"/>
      <c r="H78" s="355">
        <f>SUM(TRANSHARI3_PULSAPAGI[NOMINAL TRANSFER])</f>
        <v>0</v>
      </c>
      <c r="I78" s="167"/>
      <c r="O78" s="324"/>
      <c r="P78" s="379" t="s">
        <v>64</v>
      </c>
      <c r="Q78" s="352"/>
      <c r="R78" s="353">
        <f>SUM(TRANSHARI3_PULSAMALAM[DEBIT])</f>
        <v>0</v>
      </c>
      <c r="S78" s="353">
        <f>SUM(TRANSHARI3_PULSAMALAM[KREDIT])</f>
        <v>0</v>
      </c>
      <c r="T78" s="167"/>
      <c r="U78" s="354">
        <f>SUM(TRANSHARI3_PULSAMALAM[SALDO MINUS])</f>
        <v>0</v>
      </c>
      <c r="V78" s="167"/>
      <c r="W78" s="355">
        <f>SUM(TRANSHARI3_PULSAMALAM[NOMINAL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">
        <v>199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">
        <v>200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IFERROR(VLOOKUP(TRANSHARI3_ROKOKPAGI[[#This Row],[PRODUK]],DATA_ROKOK[],5,FALSE),"")</f>
        <v/>
      </c>
      <c r="E85" s="370"/>
      <c r="F85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85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85" s="371"/>
      <c r="I85" s="384" t="str">
        <f>IFERROR(IF(TRANSHARI3_ROKOKPAGI[[#This Row],[NAMA REKENING]]="","",TRANSHARI3_ROKOKPAGI[[#This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IFERROR(VLOOKUP(TRANSHARI3_ROKOKMALAM[[#This Row],[PRODUK]],DATA_ROKOK[],5,FALSE),"")</f>
        <v/>
      </c>
      <c r="T85" s="370"/>
      <c r="U85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85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85" s="371"/>
      <c r="X85" s="384" t="str">
        <f>IFERROR(IF(TRANSHARI3_ROKOKMALAM[[#This Row],[NAMA REKENING]]="","",TRANSHARI3_ROKOKMALAM[[#This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IFERROR(VLOOKUP(TRANSHARI3_ROKOKPAGI[[#This Row],[PRODUK]],DATA_ROKOK[],5,FALSE),"")</f>
        <v/>
      </c>
      <c r="E86" s="374"/>
      <c r="F86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86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86" s="12"/>
      <c r="I86" s="386" t="str">
        <f>IFERROR(IF(TRANSHARI3_ROKOKPAGI[[#This Row],[NAMA REKENING]]="","",TRANSHARI3_ROKOKPAGI[[#This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IFERROR(VLOOKUP(TRANSHARI3_ROKOKMALAM[[#This Row],[PRODUK]],DATA_ROKOK[],5,FALSE),"")</f>
        <v/>
      </c>
      <c r="T86" s="374"/>
      <c r="U86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86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86" s="12"/>
      <c r="X86" s="386" t="str">
        <f>IFERROR(IF(TRANSHARI3_ROKOKMALAM[[#This Row],[NAMA REKENING]]="","",TRANSHARI3_ROKOKMALAM[[#This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IFERROR(VLOOKUP(TRANSHARI3_ROKOKPAGI[[#This Row],[PRODUK]],DATA_ROKOK[],5,FALSE),"")</f>
        <v/>
      </c>
      <c r="E87" s="374"/>
      <c r="F87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87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87" s="12"/>
      <c r="I87" s="384" t="str">
        <f>IFERROR(IF(TRANSHARI3_ROKOKPAGI[[#This Row],[NAMA REKENING]]="","",TRANSHARI3_ROKOKPAGI[[#This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IFERROR(VLOOKUP(TRANSHARI3_ROKOKMALAM[[#This Row],[PRODUK]],DATA_ROKOK[],5,FALSE),"")</f>
        <v/>
      </c>
      <c r="T87" s="374"/>
      <c r="U87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87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87" s="12"/>
      <c r="X87" s="384" t="str">
        <f>IFERROR(IF(TRANSHARI3_ROKOKMALAM[[#This Row],[NAMA REKENING]]="","",TRANSHARI3_ROKOKMALAM[[#This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IFERROR(VLOOKUP(TRANSHARI3_ROKOKPAGI[[#This Row],[PRODUK]],DATA_ROKOK[],5,FALSE),"")</f>
        <v/>
      </c>
      <c r="E88" s="374"/>
      <c r="F88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88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88" s="12"/>
      <c r="I88" s="386" t="str">
        <f>IFERROR(IF(TRANSHARI3_ROKOKPAGI[[#This Row],[NAMA REKENING]]="","",TRANSHARI3_ROKOKPAGI[[#This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IFERROR(VLOOKUP(TRANSHARI3_ROKOKMALAM[[#This Row],[PRODUK]],DATA_ROKOK[],5,FALSE),"")</f>
        <v/>
      </c>
      <c r="T88" s="374"/>
      <c r="U88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88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88" s="12"/>
      <c r="X88" s="386" t="str">
        <f>IFERROR(IF(TRANSHARI3_ROKOKMALAM[[#This Row],[NAMA REKENING]]="","",TRANSHARI3_ROKOKMALAM[[#This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IFERROR(VLOOKUP(TRANSHARI3_ROKOKPAGI[[#This Row],[PRODUK]],DATA_ROKOK[],5,FALSE),"")</f>
        <v/>
      </c>
      <c r="E89" s="374"/>
      <c r="F89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89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89" s="12"/>
      <c r="I89" s="384" t="str">
        <f>IFERROR(IF(TRANSHARI3_ROKOKPAGI[[#This Row],[NAMA REKENING]]="","",TRANSHARI3_ROKOKPAGI[[#This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IFERROR(VLOOKUP(TRANSHARI3_ROKOKMALAM[[#This Row],[PRODUK]],DATA_ROKOK[],5,FALSE),"")</f>
        <v/>
      </c>
      <c r="T89" s="374"/>
      <c r="U89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89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89" s="12"/>
      <c r="X89" s="384" t="str">
        <f>IFERROR(IF(TRANSHARI3_ROKOKMALAM[[#This Row],[NAMA REKENING]]="","",TRANSHARI3_ROKOKMALAM[[#This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IFERROR(VLOOKUP(TRANSHARI3_ROKOKPAGI[[#This Row],[PRODUK]],DATA_ROKOK[],5,FALSE),"")</f>
        <v/>
      </c>
      <c r="E90" s="374"/>
      <c r="F90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0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0" s="12"/>
      <c r="I90" s="386" t="str">
        <f>IFERROR(IF(TRANSHARI3_ROKOKPAGI[[#This Row],[NAMA REKENING]]="","",TRANSHARI3_ROKOKPAGI[[#This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IFERROR(VLOOKUP(TRANSHARI3_ROKOKMALAM[[#This Row],[PRODUK]],DATA_ROKOK[],5,FALSE),"")</f>
        <v/>
      </c>
      <c r="T90" s="374"/>
      <c r="U90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0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0" s="12"/>
      <c r="X90" s="386" t="str">
        <f>IFERROR(IF(TRANSHARI3_ROKOKMALAM[[#This Row],[NAMA REKENING]]="","",TRANSHARI3_ROKOKMALAM[[#This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IFERROR(VLOOKUP(TRANSHARI3_ROKOKPAGI[[#This Row],[PRODUK]],DATA_ROKOK[],5,FALSE),"")</f>
        <v/>
      </c>
      <c r="E91" s="374"/>
      <c r="F91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1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1" s="12"/>
      <c r="I91" s="384" t="str">
        <f>IFERROR(IF(TRANSHARI3_ROKOKPAGI[[#This Row],[NAMA REKENING]]="","",TRANSHARI3_ROKOKPAGI[[#This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IFERROR(VLOOKUP(TRANSHARI3_ROKOKMALAM[[#This Row],[PRODUK]],DATA_ROKOK[],5,FALSE),"")</f>
        <v/>
      </c>
      <c r="T91" s="374"/>
      <c r="U91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1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1" s="12"/>
      <c r="X91" s="384" t="str">
        <f>IFERROR(IF(TRANSHARI3_ROKOKMALAM[[#This Row],[NAMA REKENING]]="","",TRANSHARI3_ROKOKMALAM[[#This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IFERROR(VLOOKUP(TRANSHARI3_ROKOKPAGI[[#This Row],[PRODUK]],DATA_ROKOK[],5,FALSE),"")</f>
        <v/>
      </c>
      <c r="E92" s="374"/>
      <c r="F92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2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2" s="12"/>
      <c r="I92" s="386" t="str">
        <f>IFERROR(IF(TRANSHARI3_ROKOKPAGI[[#This Row],[NAMA REKENING]]="","",TRANSHARI3_ROKOKPAGI[[#This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IFERROR(VLOOKUP(TRANSHARI3_ROKOKMALAM[[#This Row],[PRODUK]],DATA_ROKOK[],5,FALSE),"")</f>
        <v/>
      </c>
      <c r="T92" s="374"/>
      <c r="U92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2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2" s="12"/>
      <c r="X92" s="386" t="str">
        <f>IFERROR(IF(TRANSHARI3_ROKOKMALAM[[#This Row],[NAMA REKENING]]="","",TRANSHARI3_ROKOKMALAM[[#This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IFERROR(VLOOKUP(TRANSHARI3_ROKOKPAGI[[#This Row],[PRODUK]],DATA_ROKOK[],5,FALSE),"")</f>
        <v/>
      </c>
      <c r="E93" s="374"/>
      <c r="F93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3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3" s="12"/>
      <c r="I93" s="384" t="str">
        <f>IFERROR(IF(TRANSHARI3_ROKOKPAGI[[#This Row],[NAMA REKENING]]="","",TRANSHARI3_ROKOKPAGI[[#This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IFERROR(VLOOKUP(TRANSHARI3_ROKOKMALAM[[#This Row],[PRODUK]],DATA_ROKOK[],5,FALSE),"")</f>
        <v/>
      </c>
      <c r="T93" s="374"/>
      <c r="U93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3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3" s="12"/>
      <c r="X93" s="384" t="str">
        <f>IFERROR(IF(TRANSHARI3_ROKOKMALAM[[#This Row],[NAMA REKENING]]="","",TRANSHARI3_ROKOKMALAM[[#This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IFERROR(VLOOKUP(TRANSHARI3_ROKOKPAGI[[#This Row],[PRODUK]],DATA_ROKOK[],5,FALSE),"")</f>
        <v/>
      </c>
      <c r="E94" s="374"/>
      <c r="F94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4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4" s="12"/>
      <c r="I94" s="386" t="str">
        <f>IFERROR(IF(TRANSHARI3_ROKOKPAGI[[#This Row],[NAMA REKENING]]="","",TRANSHARI3_ROKOKPAGI[[#This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IFERROR(VLOOKUP(TRANSHARI3_ROKOKMALAM[[#This Row],[PRODUK]],DATA_ROKOK[],5,FALSE),"")</f>
        <v/>
      </c>
      <c r="T94" s="374"/>
      <c r="U94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4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4" s="12"/>
      <c r="X94" s="386" t="str">
        <f>IFERROR(IF(TRANSHARI3_ROKOKMALAM[[#This Row],[NAMA REKENING]]="","",TRANSHARI3_ROKOKMALAM[[#This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IFERROR(VLOOKUP(TRANSHARI3_ROKOKPAGI[[#This Row],[PRODUK]],DATA_ROKOK[],5,FALSE),"")</f>
        <v/>
      </c>
      <c r="E95" s="374"/>
      <c r="F95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5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5" s="12"/>
      <c r="I95" s="384" t="str">
        <f>IFERROR(IF(TRANSHARI3_ROKOKPAGI[[#This Row],[NAMA REKENING]]="","",TRANSHARI3_ROKOKPAGI[[#This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IFERROR(VLOOKUP(TRANSHARI3_ROKOKMALAM[[#This Row],[PRODUK]],DATA_ROKOK[],5,FALSE),"")</f>
        <v/>
      </c>
      <c r="T95" s="374"/>
      <c r="U95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5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5" s="12"/>
      <c r="X95" s="384" t="str">
        <f>IFERROR(IF(TRANSHARI3_ROKOKMALAM[[#This Row],[NAMA REKENING]]="","",TRANSHARI3_ROKOKMALAM[[#This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IFERROR(VLOOKUP(TRANSHARI3_ROKOKPAGI[[#This Row],[PRODUK]],DATA_ROKOK[],5,FALSE),"")</f>
        <v/>
      </c>
      <c r="E96" s="374"/>
      <c r="F96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6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6" s="12"/>
      <c r="I96" s="386" t="str">
        <f>IFERROR(IF(TRANSHARI3_ROKOKPAGI[[#This Row],[NAMA REKENING]]="","",TRANSHARI3_ROKOKPAGI[[#This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IFERROR(VLOOKUP(TRANSHARI3_ROKOKMALAM[[#This Row],[PRODUK]],DATA_ROKOK[],5,FALSE),"")</f>
        <v/>
      </c>
      <c r="T96" s="374"/>
      <c r="U96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6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6" s="12"/>
      <c r="X96" s="386" t="str">
        <f>IFERROR(IF(TRANSHARI3_ROKOKMALAM[[#This Row],[NAMA REKENING]]="","",TRANSHARI3_ROKOKMALAM[[#This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IFERROR(VLOOKUP(TRANSHARI3_ROKOKPAGI[[#This Row],[PRODUK]],DATA_ROKOK[],5,FALSE),"")</f>
        <v/>
      </c>
      <c r="E97" s="374"/>
      <c r="F97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7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7" s="12"/>
      <c r="I97" s="384" t="str">
        <f>IFERROR(IF(TRANSHARI3_ROKOKPAGI[[#This Row],[NAMA REKENING]]="","",TRANSHARI3_ROKOKPAGI[[#This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IFERROR(VLOOKUP(TRANSHARI3_ROKOKMALAM[[#This Row],[PRODUK]],DATA_ROKOK[],5,FALSE),"")</f>
        <v/>
      </c>
      <c r="T97" s="374"/>
      <c r="U97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7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7" s="12"/>
      <c r="X97" s="384" t="str">
        <f>IFERROR(IF(TRANSHARI3_ROKOKMALAM[[#This Row],[NAMA REKENING]]="","",TRANSHARI3_ROKOKMALAM[[#This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IFERROR(VLOOKUP(TRANSHARI3_ROKOKPAGI[[#This Row],[PRODUK]],DATA_ROKOK[],5,FALSE),"")</f>
        <v/>
      </c>
      <c r="E98" s="374"/>
      <c r="F98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8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8" s="12"/>
      <c r="I98" s="386" t="str">
        <f>IFERROR(IF(TRANSHARI3_ROKOKPAGI[[#This Row],[NAMA REKENING]]="","",TRANSHARI3_ROKOKPAGI[[#This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IFERROR(VLOOKUP(TRANSHARI3_ROKOKMALAM[[#This Row],[PRODUK]],DATA_ROKOK[],5,FALSE),"")</f>
        <v/>
      </c>
      <c r="T98" s="374"/>
      <c r="U98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8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8" s="12"/>
      <c r="X98" s="386" t="str">
        <f>IFERROR(IF(TRANSHARI3_ROKOKMALAM[[#This Row],[NAMA REKENING]]="","",TRANSHARI3_ROKOKMALAM[[#This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IFERROR(VLOOKUP(TRANSHARI3_ROKOKPAGI[[#This Row],[PRODUK]],DATA_ROKOK[],5,FALSE),"")</f>
        <v/>
      </c>
      <c r="E99" s="374"/>
      <c r="F99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99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99" s="12"/>
      <c r="I99" s="384" t="str">
        <f>IFERROR(IF(TRANSHARI3_ROKOKPAGI[[#This Row],[NAMA REKENING]]="","",TRANSHARI3_ROKOKPAGI[[#This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IFERROR(VLOOKUP(TRANSHARI3_ROKOKMALAM[[#This Row],[PRODUK]],DATA_ROKOK[],5,FALSE),"")</f>
        <v/>
      </c>
      <c r="T99" s="374"/>
      <c r="U99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99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99" s="12"/>
      <c r="X99" s="384" t="str">
        <f>IFERROR(IF(TRANSHARI3_ROKOKMALAM[[#This Row],[NAMA REKENING]]="","",TRANSHARI3_ROKOKMALAM[[#This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IFERROR(VLOOKUP(TRANSHARI3_ROKOKPAGI[[#This Row],[PRODUK]],DATA_ROKOK[],5,FALSE),"")</f>
        <v/>
      </c>
      <c r="E100" s="374"/>
      <c r="F100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0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0" s="12"/>
      <c r="I100" s="386" t="str">
        <f>IFERROR(IF(TRANSHARI3_ROKOKPAGI[[#This Row],[NAMA REKENING]]="","",TRANSHARI3_ROKOKPAGI[[#This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IFERROR(VLOOKUP(TRANSHARI3_ROKOKMALAM[[#This Row],[PRODUK]],DATA_ROKOK[],5,FALSE),"")</f>
        <v/>
      </c>
      <c r="T100" s="374"/>
      <c r="U100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0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0" s="12"/>
      <c r="X100" s="386" t="str">
        <f>IFERROR(IF(TRANSHARI3_ROKOKMALAM[[#This Row],[NAMA REKENING]]="","",TRANSHARI3_ROKOKMALAM[[#This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IFERROR(VLOOKUP(TRANSHARI3_ROKOKPAGI[[#This Row],[PRODUK]],DATA_ROKOK[],5,FALSE),"")</f>
        <v/>
      </c>
      <c r="E101" s="374"/>
      <c r="F101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1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1" s="12"/>
      <c r="I101" s="384" t="str">
        <f>IFERROR(IF(TRANSHARI3_ROKOKPAGI[[#This Row],[NAMA REKENING]]="","",TRANSHARI3_ROKOKPAGI[[#This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IFERROR(VLOOKUP(TRANSHARI3_ROKOKMALAM[[#This Row],[PRODUK]],DATA_ROKOK[],5,FALSE),"")</f>
        <v/>
      </c>
      <c r="T101" s="374"/>
      <c r="U101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1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1" s="12"/>
      <c r="X101" s="384" t="str">
        <f>IFERROR(IF(TRANSHARI3_ROKOKMALAM[[#This Row],[NAMA REKENING]]="","",TRANSHARI3_ROKOKMALAM[[#This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IFERROR(VLOOKUP(TRANSHARI3_ROKOKPAGI[[#This Row],[PRODUK]],DATA_ROKOK[],5,FALSE),"")</f>
        <v/>
      </c>
      <c r="E102" s="374"/>
      <c r="F102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2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2" s="12"/>
      <c r="I102" s="386" t="str">
        <f>IFERROR(IF(TRANSHARI3_ROKOKPAGI[[#This Row],[NAMA REKENING]]="","",TRANSHARI3_ROKOKPAGI[[#This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IFERROR(VLOOKUP(TRANSHARI3_ROKOKMALAM[[#This Row],[PRODUK]],DATA_ROKOK[],5,FALSE),"")</f>
        <v/>
      </c>
      <c r="T102" s="374"/>
      <c r="U102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2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2" s="12"/>
      <c r="X102" s="386" t="str">
        <f>IFERROR(IF(TRANSHARI3_ROKOKMALAM[[#This Row],[NAMA REKENING]]="","",TRANSHARI3_ROKOKMALAM[[#This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IFERROR(VLOOKUP(TRANSHARI3_ROKOKPAGI[[#This Row],[PRODUK]],DATA_ROKOK[],5,FALSE),"")</f>
        <v/>
      </c>
      <c r="E103" s="374"/>
      <c r="F103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3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3" s="12"/>
      <c r="I103" s="384" t="str">
        <f>IFERROR(IF(TRANSHARI3_ROKOKPAGI[[#This Row],[NAMA REKENING]]="","",TRANSHARI3_ROKOKPAGI[[#This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IFERROR(VLOOKUP(TRANSHARI3_ROKOKMALAM[[#This Row],[PRODUK]],DATA_ROKOK[],5,FALSE),"")</f>
        <v/>
      </c>
      <c r="T103" s="374"/>
      <c r="U103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3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3" s="12"/>
      <c r="X103" s="384" t="str">
        <f>IFERROR(IF(TRANSHARI3_ROKOKMALAM[[#This Row],[NAMA REKENING]]="","",TRANSHARI3_ROKOKMALAM[[#This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IFERROR(VLOOKUP(TRANSHARI3_ROKOKPAGI[[#This Row],[PRODUK]],DATA_ROKOK[],5,FALSE),"")</f>
        <v/>
      </c>
      <c r="E104" s="374"/>
      <c r="F104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4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4" s="12"/>
      <c r="I104" s="386" t="str">
        <f>IFERROR(IF(TRANSHARI3_ROKOKPAGI[[#This Row],[NAMA REKENING]]="","",TRANSHARI3_ROKOKPAGI[[#This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IFERROR(VLOOKUP(TRANSHARI3_ROKOKMALAM[[#This Row],[PRODUK]],DATA_ROKOK[],5,FALSE),"")</f>
        <v/>
      </c>
      <c r="T104" s="374"/>
      <c r="U104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4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4" s="12"/>
      <c r="X104" s="386" t="str">
        <f>IFERROR(IF(TRANSHARI3_ROKOKMALAM[[#This Row],[NAMA REKENING]]="","",TRANSHARI3_ROKOKMALAM[[#This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IFERROR(VLOOKUP(TRANSHARI3_ROKOKPAGI[[#This Row],[PRODUK]],DATA_ROKOK[],5,FALSE),"")</f>
        <v/>
      </c>
      <c r="E105" s="374"/>
      <c r="F105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5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5" s="12"/>
      <c r="I105" s="384" t="str">
        <f>IFERROR(IF(TRANSHARI3_ROKOKPAGI[[#This Row],[NAMA REKENING]]="","",TRANSHARI3_ROKOKPAGI[[#This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IFERROR(VLOOKUP(TRANSHARI3_ROKOKMALAM[[#This Row],[PRODUK]],DATA_ROKOK[],5,FALSE),"")</f>
        <v/>
      </c>
      <c r="T105" s="374"/>
      <c r="U105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5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5" s="12"/>
      <c r="X105" s="384" t="str">
        <f>IFERROR(IF(TRANSHARI3_ROKOKMALAM[[#This Row],[NAMA REKENING]]="","",TRANSHARI3_ROKOKMALAM[[#This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IFERROR(VLOOKUP(TRANSHARI3_ROKOKPAGI[[#This Row],[PRODUK]],DATA_ROKOK[],5,FALSE),"")</f>
        <v/>
      </c>
      <c r="E106" s="374"/>
      <c r="F106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6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6" s="12"/>
      <c r="I106" s="386" t="str">
        <f>IFERROR(IF(TRANSHARI3_ROKOKPAGI[[#This Row],[NAMA REKENING]]="","",TRANSHARI3_ROKOKPAGI[[#This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IFERROR(VLOOKUP(TRANSHARI3_ROKOKMALAM[[#This Row],[PRODUK]],DATA_ROKOK[],5,FALSE),"")</f>
        <v/>
      </c>
      <c r="T106" s="374"/>
      <c r="U106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6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6" s="12"/>
      <c r="X106" s="386" t="str">
        <f>IFERROR(IF(TRANSHARI3_ROKOKMALAM[[#This Row],[NAMA REKENING]]="","",TRANSHARI3_ROKOKMALAM[[#This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IFERROR(VLOOKUP(TRANSHARI3_ROKOKPAGI[[#This Row],[PRODUK]],DATA_ROKOK[],5,FALSE),"")</f>
        <v/>
      </c>
      <c r="E107" s="374"/>
      <c r="F107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7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7" s="12"/>
      <c r="I107" s="384" t="str">
        <f>IFERROR(IF(TRANSHARI3_ROKOKPAGI[[#This Row],[NAMA REKENING]]="","",TRANSHARI3_ROKOKPAGI[[#This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IFERROR(VLOOKUP(TRANSHARI3_ROKOKMALAM[[#This Row],[PRODUK]],DATA_ROKOK[],5,FALSE),"")</f>
        <v/>
      </c>
      <c r="T107" s="374"/>
      <c r="U107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7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7" s="12"/>
      <c r="X107" s="384" t="str">
        <f>IFERROR(IF(TRANSHARI3_ROKOKMALAM[[#This Row],[NAMA REKENING]]="","",TRANSHARI3_ROKOKMALAM[[#This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IFERROR(VLOOKUP(TRANSHARI3_ROKOKPAGI[[#This Row],[PRODUK]],DATA_ROKOK[],5,FALSE),"")</f>
        <v/>
      </c>
      <c r="E108" s="374"/>
      <c r="F108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8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8" s="12"/>
      <c r="I108" s="386" t="str">
        <f>IFERROR(IF(TRANSHARI3_ROKOKPAGI[[#This Row],[NAMA REKENING]]="","",TRANSHARI3_ROKOKPAGI[[#This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IFERROR(VLOOKUP(TRANSHARI3_ROKOKMALAM[[#This Row],[PRODUK]],DATA_ROKOK[],5,FALSE),"")</f>
        <v/>
      </c>
      <c r="T108" s="374"/>
      <c r="U108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8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8" s="12"/>
      <c r="X108" s="386" t="str">
        <f>IFERROR(IF(TRANSHARI3_ROKOKMALAM[[#This Row],[NAMA REKENING]]="","",TRANSHARI3_ROKOKMALAM[[#This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IFERROR(VLOOKUP(TRANSHARI3_ROKOKPAGI[[#This Row],[PRODUK]],DATA_ROKOK[],5,FALSE),"")</f>
        <v/>
      </c>
      <c r="E109" s="374"/>
      <c r="F109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09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09" s="12"/>
      <c r="I109" s="384" t="str">
        <f>IFERROR(IF(TRANSHARI3_ROKOKPAGI[[#This Row],[NAMA REKENING]]="","",TRANSHARI3_ROKOKPAGI[[#This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IFERROR(VLOOKUP(TRANSHARI3_ROKOKMALAM[[#This Row],[PRODUK]],DATA_ROKOK[],5,FALSE),"")</f>
        <v/>
      </c>
      <c r="T109" s="374"/>
      <c r="U109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09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09" s="12"/>
      <c r="X109" s="384" t="str">
        <f>IFERROR(IF(TRANSHARI3_ROKOKMALAM[[#This Row],[NAMA REKENING]]="","",TRANSHARI3_ROKOKMALAM[[#This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IFERROR(VLOOKUP(TRANSHARI3_ROKOKPAGI[[#This Row],[PRODUK]],DATA_ROKOK[],5,FALSE),"")</f>
        <v/>
      </c>
      <c r="E110" s="376"/>
      <c r="F110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0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0" s="377"/>
      <c r="I110" s="386" t="str">
        <f>IFERROR(IF(TRANSHARI3_ROKOKPAGI[[#This Row],[NAMA REKENING]]="","",TRANSHARI3_ROKOKPAGI[[#This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IFERROR(VLOOKUP(TRANSHARI3_ROKOKMALAM[[#This Row],[PRODUK]],DATA_ROKOK[],5,FALSE),"")</f>
        <v/>
      </c>
      <c r="T110" s="376"/>
      <c r="U110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0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0" s="377"/>
      <c r="X110" s="386" t="str">
        <f>IFERROR(IF(TRANSHARI3_ROKOKMALAM[[#This Row],[NAMA REKENING]]="","",TRANSHARI3_ROKOKMALAM[[#This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IFERROR(VLOOKUP(TRANSHARI3_ROKOKPAGI[[#This Row],[PRODUK]],DATA_ROKOK[],5,FALSE),"")</f>
        <v/>
      </c>
      <c r="E111" s="374"/>
      <c r="F111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1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1" s="12"/>
      <c r="I111" s="384" t="str">
        <f>IFERROR(IF(TRANSHARI3_ROKOKPAGI[[#This Row],[NAMA REKENING]]="","",TRANSHARI3_ROKOKPAGI[[#This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IFERROR(VLOOKUP(TRANSHARI3_ROKOKMALAM[[#This Row],[PRODUK]],DATA_ROKOK[],5,FALSE),"")</f>
        <v/>
      </c>
      <c r="T111" s="374"/>
      <c r="U111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1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1" s="12"/>
      <c r="X111" s="384" t="str">
        <f>IFERROR(IF(TRANSHARI3_ROKOKMALAM[[#This Row],[NAMA REKENING]]="","",TRANSHARI3_ROKOKMALAM[[#This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IFERROR(VLOOKUP(TRANSHARI3_ROKOKPAGI[[#This Row],[PRODUK]],DATA_ROKOK[],5,FALSE),"")</f>
        <v/>
      </c>
      <c r="E112" s="374"/>
      <c r="F112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2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2" s="12"/>
      <c r="I112" s="386" t="str">
        <f>IFERROR(IF(TRANSHARI3_ROKOKPAGI[[#This Row],[NAMA REKENING]]="","",TRANSHARI3_ROKOKPAGI[[#This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IFERROR(VLOOKUP(TRANSHARI3_ROKOKMALAM[[#This Row],[PRODUK]],DATA_ROKOK[],5,FALSE),"")</f>
        <v/>
      </c>
      <c r="T112" s="374"/>
      <c r="U112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2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2" s="12"/>
      <c r="X112" s="386" t="str">
        <f>IFERROR(IF(TRANSHARI3_ROKOKMALAM[[#This Row],[NAMA REKENING]]="","",TRANSHARI3_ROKOKMALAM[[#This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IFERROR(VLOOKUP(TRANSHARI3_ROKOKPAGI[[#This Row],[PRODUK]],DATA_ROKOK[],5,FALSE),"")</f>
        <v/>
      </c>
      <c r="E113" s="374"/>
      <c r="F113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3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3" s="12"/>
      <c r="I113" s="384" t="str">
        <f>IFERROR(IF(TRANSHARI3_ROKOKPAGI[[#This Row],[NAMA REKENING]]="","",TRANSHARI3_ROKOKPAGI[[#This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IFERROR(VLOOKUP(TRANSHARI3_ROKOKMALAM[[#This Row],[PRODUK]],DATA_ROKOK[],5,FALSE),"")</f>
        <v/>
      </c>
      <c r="T113" s="374"/>
      <c r="U113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3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3" s="12"/>
      <c r="X113" s="384" t="str">
        <f>IFERROR(IF(TRANSHARI3_ROKOKMALAM[[#This Row],[NAMA REKENING]]="","",TRANSHARI3_ROKOKMALAM[[#This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IFERROR(VLOOKUP(TRANSHARI3_ROKOKPAGI[[#This Row],[PRODUK]],DATA_ROKOK[],5,FALSE),"")</f>
        <v/>
      </c>
      <c r="E114" s="374"/>
      <c r="F114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4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4" s="12"/>
      <c r="I114" s="386" t="str">
        <f>IFERROR(IF(TRANSHARI3_ROKOKPAGI[[#This Row],[NAMA REKENING]]="","",TRANSHARI3_ROKOKPAGI[[#This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IFERROR(VLOOKUP(TRANSHARI3_ROKOKMALAM[[#This Row],[PRODUK]],DATA_ROKOK[],5,FALSE),"")</f>
        <v/>
      </c>
      <c r="T114" s="374"/>
      <c r="U114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4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4" s="12"/>
      <c r="X114" s="386" t="str">
        <f>IFERROR(IF(TRANSHARI3_ROKOKMALAM[[#This Row],[NAMA REKENING]]="","",TRANSHARI3_ROKOKMALAM[[#This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IFERROR(VLOOKUP(TRANSHARI3_ROKOKPAGI[[#This Row],[PRODUK]],DATA_ROKOK[],5,FALSE),"")</f>
        <v/>
      </c>
      <c r="E115" s="374"/>
      <c r="F115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5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5" s="12"/>
      <c r="I115" s="384" t="str">
        <f>IFERROR(IF(TRANSHARI3_ROKOKPAGI[[#This Row],[NAMA REKENING]]="","",TRANSHARI3_ROKOKPAGI[[#This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IFERROR(VLOOKUP(TRANSHARI3_ROKOKMALAM[[#This Row],[PRODUK]],DATA_ROKOK[],5,FALSE),"")</f>
        <v/>
      </c>
      <c r="T115" s="374"/>
      <c r="U115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5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5" s="12"/>
      <c r="X115" s="384" t="str">
        <f>IFERROR(IF(TRANSHARI3_ROKOKMALAM[[#This Row],[NAMA REKENING]]="","",TRANSHARI3_ROKOKMALAM[[#This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IFERROR(VLOOKUP(TRANSHARI3_ROKOKPAGI[[#This Row],[PRODUK]],DATA_ROKOK[],5,FALSE),"")</f>
        <v/>
      </c>
      <c r="E116" s="374"/>
      <c r="F116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6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6" s="12"/>
      <c r="I116" s="386" t="str">
        <f>IFERROR(IF(TRANSHARI3_ROKOKPAGI[[#This Row],[NAMA REKENING]]="","",TRANSHARI3_ROKOKPAGI[[#This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IFERROR(VLOOKUP(TRANSHARI3_ROKOKMALAM[[#This Row],[PRODUK]],DATA_ROKOK[],5,FALSE),"")</f>
        <v/>
      </c>
      <c r="T116" s="374"/>
      <c r="U116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6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6" s="12"/>
      <c r="X116" s="386" t="str">
        <f>IFERROR(IF(TRANSHARI3_ROKOKMALAM[[#This Row],[NAMA REKENING]]="","",TRANSHARI3_ROKOKMALAM[[#This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IFERROR(VLOOKUP(TRANSHARI3_ROKOKPAGI[[#This Row],[PRODUK]],DATA_ROKOK[],5,FALSE),"")</f>
        <v/>
      </c>
      <c r="E117" s="374"/>
      <c r="F117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7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7" s="12"/>
      <c r="I117" s="384" t="str">
        <f>IFERROR(IF(TRANSHARI3_ROKOKPAGI[[#This Row],[NAMA REKENING]]="","",TRANSHARI3_ROKOKPAGI[[#This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IFERROR(VLOOKUP(TRANSHARI3_ROKOKMALAM[[#This Row],[PRODUK]],DATA_ROKOK[],5,FALSE),"")</f>
        <v/>
      </c>
      <c r="T117" s="374"/>
      <c r="U117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7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7" s="12"/>
      <c r="X117" s="384" t="str">
        <f>IFERROR(IF(TRANSHARI3_ROKOKMALAM[[#This Row],[NAMA REKENING]]="","",TRANSHARI3_ROKOKMALAM[[#This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IFERROR(VLOOKUP(TRANSHARI3_ROKOKPAGI[[#This Row],[PRODUK]],DATA_ROKOK[],5,FALSE),"")</f>
        <v/>
      </c>
      <c r="E118" s="374"/>
      <c r="F118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8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8" s="12"/>
      <c r="I118" s="386" t="str">
        <f>IFERROR(IF(TRANSHARI3_ROKOKPAGI[[#This Row],[NAMA REKENING]]="","",TRANSHARI3_ROKOKPAGI[[#This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IFERROR(VLOOKUP(TRANSHARI3_ROKOKMALAM[[#This Row],[PRODUK]],DATA_ROKOK[],5,FALSE),"")</f>
        <v/>
      </c>
      <c r="T118" s="374"/>
      <c r="U118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8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8" s="12"/>
      <c r="X118" s="386" t="str">
        <f>IFERROR(IF(TRANSHARI3_ROKOKMALAM[[#This Row],[NAMA REKENING]]="","",TRANSHARI3_ROKOKMALAM[[#This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IFERROR(VLOOKUP(TRANSHARI3_ROKOKPAGI[[#This Row],[PRODUK]],DATA_ROKOK[],5,FALSE),"")</f>
        <v/>
      </c>
      <c r="E119" s="374"/>
      <c r="F119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19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19" s="12"/>
      <c r="I119" s="384" t="str">
        <f>IFERROR(IF(TRANSHARI3_ROKOKPAGI[[#This Row],[NAMA REKENING]]="","",TRANSHARI3_ROKOKPAGI[[#This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IFERROR(VLOOKUP(TRANSHARI3_ROKOKMALAM[[#This Row],[PRODUK]],DATA_ROKOK[],5,FALSE),"")</f>
        <v/>
      </c>
      <c r="T119" s="374"/>
      <c r="U119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19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19" s="12"/>
      <c r="X119" s="384" t="str">
        <f>IFERROR(IF(TRANSHARI3_ROKOKMALAM[[#This Row],[NAMA REKENING]]="","",TRANSHARI3_ROKOKMALAM[[#This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IFERROR(VLOOKUP(TRANSHARI3_ROKOKPAGI[[#This Row],[PRODUK]],DATA_ROKOK[],5,FALSE),"")</f>
        <v/>
      </c>
      <c r="E120" s="374"/>
      <c r="F120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0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0" s="12"/>
      <c r="I120" s="386" t="str">
        <f>IFERROR(IF(TRANSHARI3_ROKOKPAGI[[#This Row],[NAMA REKENING]]="","",TRANSHARI3_ROKOKPAGI[[#This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IFERROR(VLOOKUP(TRANSHARI3_ROKOKMALAM[[#This Row],[PRODUK]],DATA_ROKOK[],5,FALSE),"")</f>
        <v/>
      </c>
      <c r="T120" s="374"/>
      <c r="U120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0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0" s="12"/>
      <c r="X120" s="386" t="str">
        <f>IFERROR(IF(TRANSHARI3_ROKOKMALAM[[#This Row],[NAMA REKENING]]="","",TRANSHARI3_ROKOKMALAM[[#This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IFERROR(VLOOKUP(TRANSHARI3_ROKOKPAGI[[#This Row],[PRODUK]],DATA_ROKOK[],5,FALSE),"")</f>
        <v/>
      </c>
      <c r="E121" s="374"/>
      <c r="F121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1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1" s="12"/>
      <c r="I121" s="384" t="str">
        <f>IFERROR(IF(TRANSHARI3_ROKOKPAGI[[#This Row],[NAMA REKENING]]="","",TRANSHARI3_ROKOKPAGI[[#This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IFERROR(VLOOKUP(TRANSHARI3_ROKOKMALAM[[#This Row],[PRODUK]],DATA_ROKOK[],5,FALSE),"")</f>
        <v/>
      </c>
      <c r="T121" s="374"/>
      <c r="U121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1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1" s="12"/>
      <c r="X121" s="384" t="str">
        <f>IFERROR(IF(TRANSHARI3_ROKOKMALAM[[#This Row],[NAMA REKENING]]="","",TRANSHARI3_ROKOKMALAM[[#This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IFERROR(VLOOKUP(TRANSHARI3_ROKOKPAGI[[#This Row],[PRODUK]],DATA_ROKOK[],5,FALSE),"")</f>
        <v/>
      </c>
      <c r="E122" s="374"/>
      <c r="F122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2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2" s="12"/>
      <c r="I122" s="386" t="str">
        <f>IFERROR(IF(TRANSHARI3_ROKOKPAGI[[#This Row],[NAMA REKENING]]="","",TRANSHARI3_ROKOKPAGI[[#This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IFERROR(VLOOKUP(TRANSHARI3_ROKOKMALAM[[#This Row],[PRODUK]],DATA_ROKOK[],5,FALSE),"")</f>
        <v/>
      </c>
      <c r="T122" s="374"/>
      <c r="U122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2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2" s="12"/>
      <c r="X122" s="386" t="str">
        <f>IFERROR(IF(TRANSHARI3_ROKOKMALAM[[#This Row],[NAMA REKENING]]="","",TRANSHARI3_ROKOKMALAM[[#This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IFERROR(VLOOKUP(TRANSHARI3_ROKOKPAGI[[#This Row],[PRODUK]],DATA_ROKOK[],5,FALSE),"")</f>
        <v/>
      </c>
      <c r="E123" s="374"/>
      <c r="F123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3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3" s="12"/>
      <c r="I123" s="384" t="str">
        <f>IFERROR(IF(TRANSHARI3_ROKOKPAGI[[#This Row],[NAMA REKENING]]="","",TRANSHARI3_ROKOKPAGI[[#This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IFERROR(VLOOKUP(TRANSHARI3_ROKOKMALAM[[#This Row],[PRODUK]],DATA_ROKOK[],5,FALSE),"")</f>
        <v/>
      </c>
      <c r="T123" s="374"/>
      <c r="U123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3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3" s="12"/>
      <c r="X123" s="384" t="str">
        <f>IFERROR(IF(TRANSHARI3_ROKOKMALAM[[#This Row],[NAMA REKENING]]="","",TRANSHARI3_ROKOKMALAM[[#This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IFERROR(VLOOKUP(TRANSHARI3_ROKOKPAGI[[#This Row],[PRODUK]],DATA_ROKOK[],5,FALSE),"")</f>
        <v/>
      </c>
      <c r="E124" s="374"/>
      <c r="F124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4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4" s="12"/>
      <c r="I124" s="386" t="str">
        <f>IFERROR(IF(TRANSHARI3_ROKOKPAGI[[#This Row],[NAMA REKENING]]="","",TRANSHARI3_ROKOKPAGI[[#This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IFERROR(VLOOKUP(TRANSHARI3_ROKOKMALAM[[#This Row],[PRODUK]],DATA_ROKOK[],5,FALSE),"")</f>
        <v/>
      </c>
      <c r="T124" s="374"/>
      <c r="U124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4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4" s="12"/>
      <c r="X124" s="386" t="str">
        <f>IFERROR(IF(TRANSHARI3_ROKOKMALAM[[#This Row],[NAMA REKENING]]="","",TRANSHARI3_ROKOKMALAM[[#This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IFERROR(VLOOKUP(TRANSHARI3_ROKOKPAGI[[#This Row],[PRODUK]],DATA_ROKOK[],5,FALSE),"")</f>
        <v/>
      </c>
      <c r="E125" s="374"/>
      <c r="F125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5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5" s="12"/>
      <c r="I125" s="384" t="str">
        <f>IFERROR(IF(TRANSHARI3_ROKOKPAGI[[#This Row],[NAMA REKENING]]="","",TRANSHARI3_ROKOKPAGI[[#This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IFERROR(VLOOKUP(TRANSHARI3_ROKOKMALAM[[#This Row],[PRODUK]],DATA_ROKOK[],5,FALSE),"")</f>
        <v/>
      </c>
      <c r="T125" s="374"/>
      <c r="U125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5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5" s="12"/>
      <c r="X125" s="384" t="str">
        <f>IFERROR(IF(TRANSHARI3_ROKOKMALAM[[#This Row],[NAMA REKENING]]="","",TRANSHARI3_ROKOKMALAM[[#This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IFERROR(VLOOKUP(TRANSHARI3_ROKOKPAGI[[#This Row],[PRODUK]],DATA_ROKOK[],5,FALSE),"")</f>
        <v/>
      </c>
      <c r="E126" s="374"/>
      <c r="F126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6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6" s="12"/>
      <c r="I126" s="386" t="str">
        <f>IFERROR(IF(TRANSHARI3_ROKOKPAGI[[#This Row],[NAMA REKENING]]="","",TRANSHARI3_ROKOKPAGI[[#This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IFERROR(VLOOKUP(TRANSHARI3_ROKOKMALAM[[#This Row],[PRODUK]],DATA_ROKOK[],5,FALSE),"")</f>
        <v/>
      </c>
      <c r="T126" s="374"/>
      <c r="U126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6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6" s="12"/>
      <c r="X126" s="386" t="str">
        <f>IFERROR(IF(TRANSHARI3_ROKOKMALAM[[#This Row],[NAMA REKENING]]="","",TRANSHARI3_ROKOKMALAM[[#This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IFERROR(VLOOKUP(TRANSHARI3_ROKOKPAGI[[#This Row],[PRODUK]],DATA_ROKOK[],5,FALSE),"")</f>
        <v/>
      </c>
      <c r="E127" s="374"/>
      <c r="F127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7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7" s="12"/>
      <c r="I127" s="384" t="str">
        <f>IFERROR(IF(TRANSHARI3_ROKOKPAGI[[#This Row],[NAMA REKENING]]="","",TRANSHARI3_ROKOKPAGI[[#This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IFERROR(VLOOKUP(TRANSHARI3_ROKOKMALAM[[#This Row],[PRODUK]],DATA_ROKOK[],5,FALSE),"")</f>
        <v/>
      </c>
      <c r="T127" s="374"/>
      <c r="U127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7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7" s="12"/>
      <c r="X127" s="384" t="str">
        <f>IFERROR(IF(TRANSHARI3_ROKOKMALAM[[#This Row],[NAMA REKENING]]="","",TRANSHARI3_ROKOKMALAM[[#This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IFERROR(VLOOKUP(TRANSHARI3_ROKOKPAGI[[#This Row],[PRODUK]],DATA_ROKOK[],5,FALSE),"")</f>
        <v/>
      </c>
      <c r="E128" s="374"/>
      <c r="F128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8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8" s="12"/>
      <c r="I128" s="386" t="str">
        <f>IFERROR(IF(TRANSHARI3_ROKOKPAGI[[#This Row],[NAMA REKENING]]="","",TRANSHARI3_ROKOKPAGI[[#This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IFERROR(VLOOKUP(TRANSHARI3_ROKOKMALAM[[#This Row],[PRODUK]],DATA_ROKOK[],5,FALSE),"")</f>
        <v/>
      </c>
      <c r="T128" s="374"/>
      <c r="U128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8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8" s="12"/>
      <c r="X128" s="386" t="str">
        <f>IFERROR(IF(TRANSHARI3_ROKOKMALAM[[#This Row],[NAMA REKENING]]="","",TRANSHARI3_ROKOKMALAM[[#This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IFERROR(VLOOKUP(TRANSHARI3_ROKOKPAGI[[#This Row],[PRODUK]],DATA_ROKOK[],5,FALSE),"")</f>
        <v/>
      </c>
      <c r="E129" s="374"/>
      <c r="F129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29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29" s="12"/>
      <c r="I129" s="384" t="str">
        <f>IFERROR(IF(TRANSHARI3_ROKOKPAGI[[#This Row],[NAMA REKENING]]="","",TRANSHARI3_ROKOKPAGI[[#This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IFERROR(VLOOKUP(TRANSHARI3_ROKOKMALAM[[#This Row],[PRODUK]],DATA_ROKOK[],5,FALSE),"")</f>
        <v/>
      </c>
      <c r="T129" s="374"/>
      <c r="U129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29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29" s="12"/>
      <c r="X129" s="384" t="str">
        <f>IFERROR(IF(TRANSHARI3_ROKOKMALAM[[#This Row],[NAMA REKENING]]="","",TRANSHARI3_ROKOKMALAM[[#This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IFERROR(VLOOKUP(TRANSHARI3_ROKOKPAGI[[#This Row],[PRODUK]],DATA_ROKOK[],5,FALSE),"")</f>
        <v/>
      </c>
      <c r="E130" s="374"/>
      <c r="F130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30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30" s="12"/>
      <c r="I130" s="386" t="str">
        <f>IFERROR(IF(TRANSHARI3_ROKOKPAGI[[#This Row],[NAMA REKENING]]="","",TRANSHARI3_ROKOKPAGI[[#This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IFERROR(VLOOKUP(TRANSHARI3_ROKOKMALAM[[#This Row],[PRODUK]],DATA_ROKOK[],5,FALSE),"")</f>
        <v/>
      </c>
      <c r="T130" s="374"/>
      <c r="U130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30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30" s="12"/>
      <c r="X130" s="386" t="str">
        <f>IFERROR(IF(TRANSHARI3_ROKOKMALAM[[#This Row],[NAMA REKENING]]="","",TRANSHARI3_ROKOKMALAM[[#This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IFERROR(VLOOKUP(TRANSHARI3_ROKOKPAGI[[#This Row],[PRODUK]],DATA_ROKOK[],5,FALSE),"")</f>
        <v/>
      </c>
      <c r="E131" s="374"/>
      <c r="F131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31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31" s="12"/>
      <c r="I131" s="384" t="str">
        <f>IFERROR(IF(TRANSHARI3_ROKOKPAGI[[#This Row],[NAMA REKENING]]="","",TRANSHARI3_ROKOKPAGI[[#This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IFERROR(VLOOKUP(TRANSHARI3_ROKOKMALAM[[#This Row],[PRODUK]],DATA_ROKOK[],5,FALSE),"")</f>
        <v/>
      </c>
      <c r="T131" s="374"/>
      <c r="U131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31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31" s="12"/>
      <c r="X131" s="384" t="str">
        <f>IFERROR(IF(TRANSHARI3_ROKOKMALAM[[#This Row],[NAMA REKENING]]="","",TRANSHARI3_ROKOKMALAM[[#This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IFERROR(VLOOKUP(TRANSHARI3_ROKOKPAGI[[#This Row],[PRODUK]],DATA_ROKOK[],5,FALSE),"")</f>
        <v/>
      </c>
      <c r="E132" s="374"/>
      <c r="F132" s="373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32" s="373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32" s="12"/>
      <c r="I132" s="386" t="str">
        <f>IFERROR(IF(TRANSHARI3_ROKOKPAGI[[#This Row],[NAMA REKENING]]="","",TRANSHARI3_ROKOKPAGI[[#This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IFERROR(VLOOKUP(TRANSHARI3_ROKOKMALAM[[#This Row],[PRODUK]],DATA_ROKOK[],5,FALSE),"")</f>
        <v/>
      </c>
      <c r="T132" s="374"/>
      <c r="U132" s="373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32" s="373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32" s="12"/>
      <c r="X132" s="386" t="str">
        <f>IFERROR(IF(TRANSHARI3_ROKOKMALAM[[#This Row],[NAMA REKENING]]="","",TRANSHARI3_ROKOKMALAM[[#This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IFERROR(VLOOKUP(TRANSHARI3_ROKOKPAGI[[#This Row],[PRODUK]],DATA_ROKOK[],5,FALSE),"")</f>
        <v/>
      </c>
      <c r="E133" s="374"/>
      <c r="F133" s="369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33" s="369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33" s="12"/>
      <c r="I133" s="384" t="str">
        <f>IFERROR(IF(TRANSHARI3_ROKOKPAGI[[#This Row],[NAMA REKENING]]="","",TRANSHARI3_ROKOKPAGI[[#This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IFERROR(VLOOKUP(TRANSHARI3_ROKOKMALAM[[#This Row],[PRODUK]],DATA_ROKOK[],5,FALSE),"")</f>
        <v/>
      </c>
      <c r="T133" s="374"/>
      <c r="U133" s="369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33" s="369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33" s="12"/>
      <c r="X133" s="384" t="str">
        <f>IFERROR(IF(TRANSHARI3_ROKOKMALAM[[#This Row],[NAMA REKENING]]="","",TRANSHARI3_ROKOKMALAM[[#This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IFERROR(VLOOKUP(TRANSHARI3_ROKOKPAGI[[#This Row],[PRODUK]],DATA_ROKOK[],5,FALSE),"")</f>
        <v/>
      </c>
      <c r="E134" s="376"/>
      <c r="F134" s="394" t="str">
        <f>IFERROR(IF(TRANSHARI3_ROKOKPAGI[[#This Row],[NAMA PENGHUTANG]]="",((TRANSHARI3_ROKOKPAGI[[#This Row],[HARGA]]*TRANSHARI3_ROKOKPAGI[[#This Row],[QUANTITY]])+TRANSHARI3_ROKOKPAGI[[#This Row],[PRICE TOLERANCE]]),""),"")</f>
        <v/>
      </c>
      <c r="G134" s="394" t="str">
        <f>IFERROR(IF(TRANSHARI3_ROKOKPAGI[[#This Row],[NAMA PENGHUTANG]]="","",((TRANSHARI3_ROKOKPAGI[[#This Row],[HARGA]]*TRANSHARI3_ROKOKPAGI[[#This Row],[QUANTITY]])+TRANSHARI3_ROKOKPAGI[[#This Row],[PRICE TOLERANCE]])),"")</f>
        <v/>
      </c>
      <c r="H134" s="377"/>
      <c r="I134" s="399" t="str">
        <f>IFERROR(IF(TRANSHARI3_ROKOKPAGI[[#This Row],[NAMA REKENING]]="","",TRANSHARI3_ROKOKPAGI[[#This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IFERROR(VLOOKUP(TRANSHARI3_ROKOKMALAM[[#This Row],[PRODUK]],DATA_ROKOK[],5,FALSE),"")</f>
        <v/>
      </c>
      <c r="T134" s="376"/>
      <c r="U134" s="394" t="str">
        <f>IFERROR(IF(TRANSHARI3_ROKOKMALAM[[#This Row],[NAMA PENGHUTANG]]="",((TRANSHARI3_ROKOKMALAM[[#This Row],[HARGA]]*TRANSHARI3_ROKOKMALAM[[#This Row],[QUANTITY]])+TRANSHARI3_ROKOKMALAM[[#This Row],[PRICE TOLERANCE]]),""),"")</f>
        <v/>
      </c>
      <c r="V134" s="394" t="str">
        <f>IFERROR(IF(TRANSHARI3_ROKOKMALAM[[#This Row],[NAMA PENGHUTANG]]="","",((TRANSHARI3_ROKOKMALAM[[#This Row],[HARGA]]*TRANSHARI3_ROKOKMALAM[[#This Row],[QUANTITY]])+TRANSHARI3_ROKOKMALAM[[#This Row],[PRICE TOLERANCE]])),"")</f>
        <v/>
      </c>
      <c r="W134" s="377"/>
      <c r="X134" s="399" t="str">
        <f>IFERROR(IF(TRANSHARI3_ROKOKMALAM[[#This Row],[NAMA REKENING]]="","",TRANSHARI3_ROKOKMALAM[[#This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SUM(TRANSHARI3_ROKOKPAGI[QUANTITY])</f>
        <v>0</v>
      </c>
      <c r="E135" s="396">
        <f>SUM(TRANSHARI3_ROKOKPAGI[PRICE TOLERANCE])</f>
        <v>0</v>
      </c>
      <c r="F135" s="396">
        <f>SUM(TRANSHARI3_ROKOKPAGI[DEBIT])</f>
        <v>0</v>
      </c>
      <c r="G135" s="396">
        <f>SUM(TRANSHARI3_ROKOKPAGI[KREDIT])</f>
        <v>0</v>
      </c>
      <c r="I135" s="396">
        <f>SUM(TRANSHARI3_ROKOKPAGI[NOMINAL TRANSFER])</f>
        <v>0</v>
      </c>
      <c r="O135" s="324"/>
      <c r="P135" s="303" t="s">
        <v>78</v>
      </c>
      <c r="Q135" s="316"/>
      <c r="R135" s="395">
        <f>SUM(TRANSHARI3_ROKOKMALAM[QUANTITY])</f>
        <v>0</v>
      </c>
      <c r="T135" s="396">
        <f>SUM(TRANSHARI3_ROKOKMALAM[PRICE TOLERANCE])</f>
        <v>0</v>
      </c>
      <c r="U135" s="396">
        <f>SUM(TRANSHARI3_ROKOKMALAM[DEBIT])</f>
        <v>0</v>
      </c>
      <c r="V135" s="396">
        <f>SUM(TRANSHARI3_ROKOKMALAM[KREDIT])</f>
        <v>0</v>
      </c>
      <c r="X135" s="396">
        <f>SUM(TRANSHARI3_ROKOKMALAM[NOMINAL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">
        <v>199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">
        <v>200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IFERROR(VLOOKUP(TRANSHARI3_SPVOUPAGI[[#This Row],[PRODUK]],DATA_SPVOU[],5,FALSE),"")</f>
        <v/>
      </c>
      <c r="E142" s="370"/>
      <c r="F142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2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2" s="371"/>
      <c r="I142" s="384" t="str">
        <f>IFERROR(IF(TRANSHARI3_SPVOUPAGI[[#This Row],[NAMA REKENING]]="","",TRANSHARI3_SPVOUPAGI[[#This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IFERROR(VLOOKUP(TRANSHARI3_SPVOUMALAM[[#This Row],[PRODUK]],DATA_SPVOU[],5,FALSE),"")</f>
        <v/>
      </c>
      <c r="T142" s="370"/>
      <c r="U142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2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2" s="371"/>
      <c r="X142" s="384" t="str">
        <f>IFERROR(IF(TRANSHARI3_SPVOUMALAM[[#This Row],[NAMA REKENING]]="","",TRANSHARI3_SPVOUMALAM[[#This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IFERROR(VLOOKUP(TRANSHARI3_SPVOUPAGI[[#This Row],[PRODUK]],DATA_SPVOU[],5,FALSE),"")</f>
        <v/>
      </c>
      <c r="E143" s="374"/>
      <c r="F143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3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3" s="12"/>
      <c r="I143" s="386" t="str">
        <f>IFERROR(IF(TRANSHARI3_SPVOUPAGI[[#This Row],[NAMA REKENING]]="","",TRANSHARI3_SPVOUPAGI[[#This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IFERROR(VLOOKUP(TRANSHARI3_SPVOUMALAM[[#This Row],[PRODUK]],DATA_SPVOU[],5,FALSE),"")</f>
        <v/>
      </c>
      <c r="T143" s="374"/>
      <c r="U143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3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3" s="12"/>
      <c r="X143" s="386" t="str">
        <f>IFERROR(IF(TRANSHARI3_SPVOUMALAM[[#This Row],[NAMA REKENING]]="","",TRANSHARI3_SPVOUMALAM[[#This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IFERROR(VLOOKUP(TRANSHARI3_SPVOUPAGI[[#This Row],[PRODUK]],DATA_SPVOU[],5,FALSE),"")</f>
        <v/>
      </c>
      <c r="E144" s="374"/>
      <c r="F144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4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4" s="12"/>
      <c r="I144" s="384" t="str">
        <f>IFERROR(IF(TRANSHARI3_SPVOUPAGI[[#This Row],[NAMA REKENING]]="","",TRANSHARI3_SPVOUPAGI[[#This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IFERROR(VLOOKUP(TRANSHARI3_SPVOUMALAM[[#This Row],[PRODUK]],DATA_SPVOU[],5,FALSE),"")</f>
        <v/>
      </c>
      <c r="T144" s="374"/>
      <c r="U144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4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4" s="12"/>
      <c r="X144" s="384" t="str">
        <f>IFERROR(IF(TRANSHARI3_SPVOUMALAM[[#This Row],[NAMA REKENING]]="","",TRANSHARI3_SPVOUMALAM[[#This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IFERROR(VLOOKUP(TRANSHARI3_SPVOUPAGI[[#This Row],[PRODUK]],DATA_SPVOU[],5,FALSE),"")</f>
        <v/>
      </c>
      <c r="E145" s="374"/>
      <c r="F145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5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5" s="12"/>
      <c r="I145" s="386" t="str">
        <f>IFERROR(IF(TRANSHARI3_SPVOUPAGI[[#This Row],[NAMA REKENING]]="","",TRANSHARI3_SPVOUPAGI[[#This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IFERROR(VLOOKUP(TRANSHARI3_SPVOUMALAM[[#This Row],[PRODUK]],DATA_SPVOU[],5,FALSE),"")</f>
        <v/>
      </c>
      <c r="T145" s="374"/>
      <c r="U145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5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5" s="12"/>
      <c r="X145" s="386" t="str">
        <f>IFERROR(IF(TRANSHARI3_SPVOUMALAM[[#This Row],[NAMA REKENING]]="","",TRANSHARI3_SPVOUMALAM[[#This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IFERROR(VLOOKUP(TRANSHARI3_SPVOUPAGI[[#This Row],[PRODUK]],DATA_SPVOU[],5,FALSE),"")</f>
        <v/>
      </c>
      <c r="E146" s="374"/>
      <c r="F146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6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6" s="12"/>
      <c r="I146" s="384" t="str">
        <f>IFERROR(IF(TRANSHARI3_SPVOUPAGI[[#This Row],[NAMA REKENING]]="","",TRANSHARI3_SPVOUPAGI[[#This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IFERROR(VLOOKUP(TRANSHARI3_SPVOUMALAM[[#This Row],[PRODUK]],DATA_SPVOU[],5,FALSE),"")</f>
        <v/>
      </c>
      <c r="T146" s="374"/>
      <c r="U146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6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6" s="12"/>
      <c r="X146" s="384" t="str">
        <f>IFERROR(IF(TRANSHARI3_SPVOUMALAM[[#This Row],[NAMA REKENING]]="","",TRANSHARI3_SPVOUMALAM[[#This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IFERROR(VLOOKUP(TRANSHARI3_SPVOUPAGI[[#This Row],[PRODUK]],DATA_SPVOU[],5,FALSE),"")</f>
        <v/>
      </c>
      <c r="E147" s="374"/>
      <c r="F147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7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7" s="12"/>
      <c r="I147" s="386" t="str">
        <f>IFERROR(IF(TRANSHARI3_SPVOUPAGI[[#This Row],[NAMA REKENING]]="","",TRANSHARI3_SPVOUPAGI[[#This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IFERROR(VLOOKUP(TRANSHARI3_SPVOUMALAM[[#This Row],[PRODUK]],DATA_SPVOU[],5,FALSE),"")</f>
        <v/>
      </c>
      <c r="T147" s="374"/>
      <c r="U147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7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7" s="12"/>
      <c r="X147" s="386" t="str">
        <f>IFERROR(IF(TRANSHARI3_SPVOUMALAM[[#This Row],[NAMA REKENING]]="","",TRANSHARI3_SPVOUMALAM[[#This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IFERROR(VLOOKUP(TRANSHARI3_SPVOUPAGI[[#This Row],[PRODUK]],DATA_SPVOU[],5,FALSE),"")</f>
        <v/>
      </c>
      <c r="E148" s="374"/>
      <c r="F148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8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8" s="12"/>
      <c r="I148" s="384" t="str">
        <f>IFERROR(IF(TRANSHARI3_SPVOUPAGI[[#This Row],[NAMA REKENING]]="","",TRANSHARI3_SPVOUPAGI[[#This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IFERROR(VLOOKUP(TRANSHARI3_SPVOUMALAM[[#This Row],[PRODUK]],DATA_SPVOU[],5,FALSE),"")</f>
        <v/>
      </c>
      <c r="T148" s="374"/>
      <c r="U148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8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8" s="12"/>
      <c r="X148" s="384" t="str">
        <f>IFERROR(IF(TRANSHARI3_SPVOUMALAM[[#This Row],[NAMA REKENING]]="","",TRANSHARI3_SPVOUMALAM[[#This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IFERROR(VLOOKUP(TRANSHARI3_SPVOUPAGI[[#This Row],[PRODUK]],DATA_SPVOU[],5,FALSE),"")</f>
        <v/>
      </c>
      <c r="E149" s="374"/>
      <c r="F149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49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49" s="12"/>
      <c r="I149" s="386" t="str">
        <f>IFERROR(IF(TRANSHARI3_SPVOUPAGI[[#This Row],[NAMA REKENING]]="","",TRANSHARI3_SPVOUPAGI[[#This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IFERROR(VLOOKUP(TRANSHARI3_SPVOUMALAM[[#This Row],[PRODUK]],DATA_SPVOU[],5,FALSE),"")</f>
        <v/>
      </c>
      <c r="T149" s="374"/>
      <c r="U149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49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49" s="12"/>
      <c r="X149" s="386" t="str">
        <f>IFERROR(IF(TRANSHARI3_SPVOUMALAM[[#This Row],[NAMA REKENING]]="","",TRANSHARI3_SPVOUMALAM[[#This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IFERROR(VLOOKUP(TRANSHARI3_SPVOUPAGI[[#This Row],[PRODUK]],DATA_SPVOU[],5,FALSE),"")</f>
        <v/>
      </c>
      <c r="E150" s="374"/>
      <c r="F150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0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0" s="12"/>
      <c r="I150" s="384" t="str">
        <f>IFERROR(IF(TRANSHARI3_SPVOUPAGI[[#This Row],[NAMA REKENING]]="","",TRANSHARI3_SPVOUPAGI[[#This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IFERROR(VLOOKUP(TRANSHARI3_SPVOUMALAM[[#This Row],[PRODUK]],DATA_SPVOU[],5,FALSE),"")</f>
        <v/>
      </c>
      <c r="T150" s="374"/>
      <c r="U150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0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0" s="12"/>
      <c r="X150" s="384" t="str">
        <f>IFERROR(IF(TRANSHARI3_SPVOUMALAM[[#This Row],[NAMA REKENING]]="","",TRANSHARI3_SPVOUMALAM[[#This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IFERROR(VLOOKUP(TRANSHARI3_SPVOUPAGI[[#This Row],[PRODUK]],DATA_SPVOU[],5,FALSE),"")</f>
        <v/>
      </c>
      <c r="E151" s="374"/>
      <c r="F151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1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1" s="12"/>
      <c r="I151" s="386" t="str">
        <f>IFERROR(IF(TRANSHARI3_SPVOUPAGI[[#This Row],[NAMA REKENING]]="","",TRANSHARI3_SPVOUPAGI[[#This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IFERROR(VLOOKUP(TRANSHARI3_SPVOUMALAM[[#This Row],[PRODUK]],DATA_SPVOU[],5,FALSE),"")</f>
        <v/>
      </c>
      <c r="T151" s="374"/>
      <c r="U151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1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1" s="12"/>
      <c r="X151" s="386" t="str">
        <f>IFERROR(IF(TRANSHARI3_SPVOUMALAM[[#This Row],[NAMA REKENING]]="","",TRANSHARI3_SPVOUMALAM[[#This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IFERROR(VLOOKUP(TRANSHARI3_SPVOUPAGI[[#This Row],[PRODUK]],DATA_SPVOU[],5,FALSE),"")</f>
        <v/>
      </c>
      <c r="E152" s="374"/>
      <c r="F152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2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2" s="12"/>
      <c r="I152" s="384" t="str">
        <f>IFERROR(IF(TRANSHARI3_SPVOUPAGI[[#This Row],[NAMA REKENING]]="","",TRANSHARI3_SPVOUPAGI[[#This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IFERROR(VLOOKUP(TRANSHARI3_SPVOUMALAM[[#This Row],[PRODUK]],DATA_SPVOU[],5,FALSE),"")</f>
        <v/>
      </c>
      <c r="T152" s="374"/>
      <c r="U152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2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2" s="12"/>
      <c r="X152" s="384" t="str">
        <f>IFERROR(IF(TRANSHARI3_SPVOUMALAM[[#This Row],[NAMA REKENING]]="","",TRANSHARI3_SPVOUMALAM[[#This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IFERROR(VLOOKUP(TRANSHARI3_SPVOUPAGI[[#This Row],[PRODUK]],DATA_SPVOU[],5,FALSE),"")</f>
        <v/>
      </c>
      <c r="E153" s="374"/>
      <c r="F153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3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3" s="12"/>
      <c r="I153" s="386" t="str">
        <f>IFERROR(IF(TRANSHARI3_SPVOUPAGI[[#This Row],[NAMA REKENING]]="","",TRANSHARI3_SPVOUPAGI[[#This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IFERROR(VLOOKUP(TRANSHARI3_SPVOUMALAM[[#This Row],[PRODUK]],DATA_SPVOU[],5,FALSE),"")</f>
        <v/>
      </c>
      <c r="T153" s="374"/>
      <c r="U153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3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3" s="12"/>
      <c r="X153" s="386" t="str">
        <f>IFERROR(IF(TRANSHARI3_SPVOUMALAM[[#This Row],[NAMA REKENING]]="","",TRANSHARI3_SPVOUMALAM[[#This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IFERROR(VLOOKUP(TRANSHARI3_SPVOUPAGI[[#This Row],[PRODUK]],DATA_SPVOU[],5,FALSE),"")</f>
        <v/>
      </c>
      <c r="E154" s="374"/>
      <c r="F154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4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4" s="12"/>
      <c r="I154" s="384" t="str">
        <f>IFERROR(IF(TRANSHARI3_SPVOUPAGI[[#This Row],[NAMA REKENING]]="","",TRANSHARI3_SPVOUPAGI[[#This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IFERROR(VLOOKUP(TRANSHARI3_SPVOUMALAM[[#This Row],[PRODUK]],DATA_SPVOU[],5,FALSE),"")</f>
        <v/>
      </c>
      <c r="T154" s="374"/>
      <c r="U154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4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4" s="12"/>
      <c r="X154" s="384" t="str">
        <f>IFERROR(IF(TRANSHARI3_SPVOUMALAM[[#This Row],[NAMA REKENING]]="","",TRANSHARI3_SPVOUMALAM[[#This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IFERROR(VLOOKUP(TRANSHARI3_SPVOUPAGI[[#This Row],[PRODUK]],DATA_SPVOU[],5,FALSE),"")</f>
        <v/>
      </c>
      <c r="E155" s="374"/>
      <c r="F155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5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5" s="12"/>
      <c r="I155" s="386" t="str">
        <f>IFERROR(IF(TRANSHARI3_SPVOUPAGI[[#This Row],[NAMA REKENING]]="","",TRANSHARI3_SPVOUPAGI[[#This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IFERROR(VLOOKUP(TRANSHARI3_SPVOUMALAM[[#This Row],[PRODUK]],DATA_SPVOU[],5,FALSE),"")</f>
        <v/>
      </c>
      <c r="T155" s="374"/>
      <c r="U155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5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5" s="12"/>
      <c r="X155" s="386" t="str">
        <f>IFERROR(IF(TRANSHARI3_SPVOUMALAM[[#This Row],[NAMA REKENING]]="","",TRANSHARI3_SPVOUMALAM[[#This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IFERROR(VLOOKUP(TRANSHARI3_SPVOUPAGI[[#This Row],[PRODUK]],DATA_SPVOU[],5,FALSE),"")</f>
        <v/>
      </c>
      <c r="E156" s="374"/>
      <c r="F156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6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6" s="12"/>
      <c r="I156" s="384" t="str">
        <f>IFERROR(IF(TRANSHARI3_SPVOUPAGI[[#This Row],[NAMA REKENING]]="","",TRANSHARI3_SPVOUPAGI[[#This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IFERROR(VLOOKUP(TRANSHARI3_SPVOUMALAM[[#This Row],[PRODUK]],DATA_SPVOU[],5,FALSE),"")</f>
        <v/>
      </c>
      <c r="T156" s="374"/>
      <c r="U156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6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6" s="12"/>
      <c r="X156" s="384" t="str">
        <f>IFERROR(IF(TRANSHARI3_SPVOUMALAM[[#This Row],[NAMA REKENING]]="","",TRANSHARI3_SPVOUMALAM[[#This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IFERROR(VLOOKUP(TRANSHARI3_SPVOUPAGI[[#This Row],[PRODUK]],DATA_SPVOU[],5,FALSE),"")</f>
        <v/>
      </c>
      <c r="E157" s="374"/>
      <c r="F157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7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7" s="12"/>
      <c r="I157" s="386" t="str">
        <f>IFERROR(IF(TRANSHARI3_SPVOUPAGI[[#This Row],[NAMA REKENING]]="","",TRANSHARI3_SPVOUPAGI[[#This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IFERROR(VLOOKUP(TRANSHARI3_SPVOUMALAM[[#This Row],[PRODUK]],DATA_SPVOU[],5,FALSE),"")</f>
        <v/>
      </c>
      <c r="T157" s="374"/>
      <c r="U157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7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7" s="12"/>
      <c r="X157" s="386" t="str">
        <f>IFERROR(IF(TRANSHARI3_SPVOUMALAM[[#This Row],[NAMA REKENING]]="","",TRANSHARI3_SPVOUMALAM[[#This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IFERROR(VLOOKUP(TRANSHARI3_SPVOUPAGI[[#This Row],[PRODUK]],DATA_SPVOU[],5,FALSE),"")</f>
        <v/>
      </c>
      <c r="E158" s="374"/>
      <c r="F158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8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8" s="12"/>
      <c r="I158" s="384" t="str">
        <f>IFERROR(IF(TRANSHARI3_SPVOUPAGI[[#This Row],[NAMA REKENING]]="","",TRANSHARI3_SPVOUPAGI[[#This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IFERROR(VLOOKUP(TRANSHARI3_SPVOUMALAM[[#This Row],[PRODUK]],DATA_SPVOU[],5,FALSE),"")</f>
        <v/>
      </c>
      <c r="T158" s="374"/>
      <c r="U158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8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8" s="12"/>
      <c r="X158" s="384" t="str">
        <f>IFERROR(IF(TRANSHARI3_SPVOUMALAM[[#This Row],[NAMA REKENING]]="","",TRANSHARI3_SPVOUMALAM[[#This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IFERROR(VLOOKUP(TRANSHARI3_SPVOUPAGI[[#This Row],[PRODUK]],DATA_SPVOU[],5,FALSE),"")</f>
        <v/>
      </c>
      <c r="E159" s="374"/>
      <c r="F159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59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59" s="12"/>
      <c r="I159" s="386" t="str">
        <f>IFERROR(IF(TRANSHARI3_SPVOUPAGI[[#This Row],[NAMA REKENING]]="","",TRANSHARI3_SPVOUPAGI[[#This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IFERROR(VLOOKUP(TRANSHARI3_SPVOUMALAM[[#This Row],[PRODUK]],DATA_SPVOU[],5,FALSE),"")</f>
        <v/>
      </c>
      <c r="T159" s="374"/>
      <c r="U159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59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59" s="12"/>
      <c r="X159" s="386" t="str">
        <f>IFERROR(IF(TRANSHARI3_SPVOUMALAM[[#This Row],[NAMA REKENING]]="","",TRANSHARI3_SPVOUMALAM[[#This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IFERROR(VLOOKUP(TRANSHARI3_SPVOUPAGI[[#This Row],[PRODUK]],DATA_SPVOU[],5,FALSE),"")</f>
        <v/>
      </c>
      <c r="E160" s="374"/>
      <c r="F160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0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0" s="12"/>
      <c r="I160" s="384" t="str">
        <f>IFERROR(IF(TRANSHARI3_SPVOUPAGI[[#This Row],[NAMA REKENING]]="","",TRANSHARI3_SPVOUPAGI[[#This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IFERROR(VLOOKUP(TRANSHARI3_SPVOUMALAM[[#This Row],[PRODUK]],DATA_SPVOU[],5,FALSE),"")</f>
        <v/>
      </c>
      <c r="T160" s="374"/>
      <c r="U160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0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0" s="12"/>
      <c r="X160" s="384" t="str">
        <f>IFERROR(IF(TRANSHARI3_SPVOUMALAM[[#This Row],[NAMA REKENING]]="","",TRANSHARI3_SPVOUMALAM[[#This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IFERROR(VLOOKUP(TRANSHARI3_SPVOUPAGI[[#This Row],[PRODUK]],DATA_SPVOU[],5,FALSE),"")</f>
        <v/>
      </c>
      <c r="E161" s="374"/>
      <c r="F161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1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1" s="12"/>
      <c r="I161" s="386" t="str">
        <f>IFERROR(IF(TRANSHARI3_SPVOUPAGI[[#This Row],[NAMA REKENING]]="","",TRANSHARI3_SPVOUPAGI[[#This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IFERROR(VLOOKUP(TRANSHARI3_SPVOUMALAM[[#This Row],[PRODUK]],DATA_SPVOU[],5,FALSE),"")</f>
        <v/>
      </c>
      <c r="T161" s="374"/>
      <c r="U161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1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1" s="12"/>
      <c r="X161" s="386" t="str">
        <f>IFERROR(IF(TRANSHARI3_SPVOUMALAM[[#This Row],[NAMA REKENING]]="","",TRANSHARI3_SPVOUMALAM[[#This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IFERROR(VLOOKUP(TRANSHARI3_SPVOUPAGI[[#This Row],[PRODUK]],DATA_SPVOU[],5,FALSE),"")</f>
        <v/>
      </c>
      <c r="E162" s="374"/>
      <c r="F162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2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2" s="12"/>
      <c r="I162" s="384" t="str">
        <f>IFERROR(IF(TRANSHARI3_SPVOUPAGI[[#This Row],[NAMA REKENING]]="","",TRANSHARI3_SPVOUPAGI[[#This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IFERROR(VLOOKUP(TRANSHARI3_SPVOUMALAM[[#This Row],[PRODUK]],DATA_SPVOU[],5,FALSE),"")</f>
        <v/>
      </c>
      <c r="T162" s="374"/>
      <c r="U162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2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2" s="12"/>
      <c r="X162" s="384" t="str">
        <f>IFERROR(IF(TRANSHARI3_SPVOUMALAM[[#This Row],[NAMA REKENING]]="","",TRANSHARI3_SPVOUMALAM[[#This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IFERROR(VLOOKUP(TRANSHARI3_SPVOUPAGI[[#This Row],[PRODUK]],DATA_SPVOU[],5,FALSE),"")</f>
        <v/>
      </c>
      <c r="E163" s="374"/>
      <c r="F163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3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3" s="12"/>
      <c r="I163" s="386" t="str">
        <f>IFERROR(IF(TRANSHARI3_SPVOUPAGI[[#This Row],[NAMA REKENING]]="","",TRANSHARI3_SPVOUPAGI[[#This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IFERROR(VLOOKUP(TRANSHARI3_SPVOUMALAM[[#This Row],[PRODUK]],DATA_SPVOU[],5,FALSE),"")</f>
        <v/>
      </c>
      <c r="T163" s="374"/>
      <c r="U163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3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3" s="12"/>
      <c r="X163" s="386" t="str">
        <f>IFERROR(IF(TRANSHARI3_SPVOUMALAM[[#This Row],[NAMA REKENING]]="","",TRANSHARI3_SPVOUMALAM[[#This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IFERROR(VLOOKUP(TRANSHARI3_SPVOUPAGI[[#This Row],[PRODUK]],DATA_SPVOU[],5,FALSE),"")</f>
        <v/>
      </c>
      <c r="E164" s="374"/>
      <c r="F164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4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4" s="12"/>
      <c r="I164" s="384" t="str">
        <f>IFERROR(IF(TRANSHARI3_SPVOUPAGI[[#This Row],[NAMA REKENING]]="","",TRANSHARI3_SPVOUPAGI[[#This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IFERROR(VLOOKUP(TRANSHARI3_SPVOUMALAM[[#This Row],[PRODUK]],DATA_SPVOU[],5,FALSE),"")</f>
        <v/>
      </c>
      <c r="T164" s="374"/>
      <c r="U164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4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4" s="12"/>
      <c r="X164" s="384" t="str">
        <f>IFERROR(IF(TRANSHARI3_SPVOUMALAM[[#This Row],[NAMA REKENING]]="","",TRANSHARI3_SPVOUMALAM[[#This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IFERROR(VLOOKUP(TRANSHARI3_SPVOUPAGI[[#This Row],[PRODUK]],DATA_SPVOU[],5,FALSE),"")</f>
        <v/>
      </c>
      <c r="E165" s="374"/>
      <c r="F165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5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5" s="12"/>
      <c r="I165" s="386" t="str">
        <f>IFERROR(IF(TRANSHARI3_SPVOUPAGI[[#This Row],[NAMA REKENING]]="","",TRANSHARI3_SPVOUPAGI[[#This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IFERROR(VLOOKUP(TRANSHARI3_SPVOUMALAM[[#This Row],[PRODUK]],DATA_SPVOU[],5,FALSE),"")</f>
        <v/>
      </c>
      <c r="T165" s="374"/>
      <c r="U165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5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5" s="12"/>
      <c r="X165" s="386" t="str">
        <f>IFERROR(IF(TRANSHARI3_SPVOUMALAM[[#This Row],[NAMA REKENING]]="","",TRANSHARI3_SPVOUMALAM[[#This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IFERROR(VLOOKUP(TRANSHARI3_SPVOUPAGI[[#This Row],[PRODUK]],DATA_SPVOU[],5,FALSE),"")</f>
        <v/>
      </c>
      <c r="E166" s="374"/>
      <c r="F166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6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6" s="12"/>
      <c r="I166" s="384" t="str">
        <f>IFERROR(IF(TRANSHARI3_SPVOUPAGI[[#This Row],[NAMA REKENING]]="","",TRANSHARI3_SPVOUPAGI[[#This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IFERROR(VLOOKUP(TRANSHARI3_SPVOUMALAM[[#This Row],[PRODUK]],DATA_SPVOU[],5,FALSE),"")</f>
        <v/>
      </c>
      <c r="T166" s="374"/>
      <c r="U166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6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6" s="12"/>
      <c r="X166" s="384" t="str">
        <f>IFERROR(IF(TRANSHARI3_SPVOUMALAM[[#This Row],[NAMA REKENING]]="","",TRANSHARI3_SPVOUMALAM[[#This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IFERROR(VLOOKUP(TRANSHARI3_SPVOUPAGI[[#This Row],[PRODUK]],DATA_SPVOU[],5,FALSE),"")</f>
        <v/>
      </c>
      <c r="E167" s="376"/>
      <c r="F167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7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7" s="377"/>
      <c r="I167" s="386" t="str">
        <f>IFERROR(IF(TRANSHARI3_SPVOUPAGI[[#This Row],[NAMA REKENING]]="","",TRANSHARI3_SPVOUPAGI[[#This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IFERROR(VLOOKUP(TRANSHARI3_SPVOUMALAM[[#This Row],[PRODUK]],DATA_SPVOU[],5,FALSE),"")</f>
        <v/>
      </c>
      <c r="T167" s="376"/>
      <c r="U167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7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7" s="377"/>
      <c r="X167" s="386" t="str">
        <f>IFERROR(IF(TRANSHARI3_SPVOUMALAM[[#This Row],[NAMA REKENING]]="","",TRANSHARI3_SPVOUMALAM[[#This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IFERROR(VLOOKUP(TRANSHARI3_SPVOUPAGI[[#This Row],[PRODUK]],DATA_SPVOU[],5,FALSE),"")</f>
        <v/>
      </c>
      <c r="E168" s="374"/>
      <c r="F168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8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8" s="12"/>
      <c r="I168" s="384" t="str">
        <f>IFERROR(IF(TRANSHARI3_SPVOUPAGI[[#This Row],[NAMA REKENING]]="","",TRANSHARI3_SPVOUPAGI[[#This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IFERROR(VLOOKUP(TRANSHARI3_SPVOUMALAM[[#This Row],[PRODUK]],DATA_SPVOU[],5,FALSE),"")</f>
        <v/>
      </c>
      <c r="T168" s="374"/>
      <c r="U168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8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8" s="12"/>
      <c r="X168" s="384" t="str">
        <f>IFERROR(IF(TRANSHARI3_SPVOUMALAM[[#This Row],[NAMA REKENING]]="","",TRANSHARI3_SPVOUMALAM[[#This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IFERROR(VLOOKUP(TRANSHARI3_SPVOUPAGI[[#This Row],[PRODUK]],DATA_SPVOU[],5,FALSE),"")</f>
        <v/>
      </c>
      <c r="E169" s="374"/>
      <c r="F169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69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69" s="12"/>
      <c r="I169" s="386" t="str">
        <f>IFERROR(IF(TRANSHARI3_SPVOUPAGI[[#This Row],[NAMA REKENING]]="","",TRANSHARI3_SPVOUPAGI[[#This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IFERROR(VLOOKUP(TRANSHARI3_SPVOUMALAM[[#This Row],[PRODUK]],DATA_SPVOU[],5,FALSE),"")</f>
        <v/>
      </c>
      <c r="T169" s="374"/>
      <c r="U169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69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69" s="12"/>
      <c r="X169" s="386" t="str">
        <f>IFERROR(IF(TRANSHARI3_SPVOUMALAM[[#This Row],[NAMA REKENING]]="","",TRANSHARI3_SPVOUMALAM[[#This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IFERROR(VLOOKUP(TRANSHARI3_SPVOUPAGI[[#This Row],[PRODUK]],DATA_SPVOU[],5,FALSE),"")</f>
        <v/>
      </c>
      <c r="E170" s="374"/>
      <c r="F170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0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0" s="12"/>
      <c r="I170" s="384" t="str">
        <f>IFERROR(IF(TRANSHARI3_SPVOUPAGI[[#This Row],[NAMA REKENING]]="","",TRANSHARI3_SPVOUPAGI[[#This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IFERROR(VLOOKUP(TRANSHARI3_SPVOUMALAM[[#This Row],[PRODUK]],DATA_SPVOU[],5,FALSE),"")</f>
        <v/>
      </c>
      <c r="T170" s="374"/>
      <c r="U170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0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0" s="12"/>
      <c r="X170" s="384" t="str">
        <f>IFERROR(IF(TRANSHARI3_SPVOUMALAM[[#This Row],[NAMA REKENING]]="","",TRANSHARI3_SPVOUMALAM[[#This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IFERROR(VLOOKUP(TRANSHARI3_SPVOUPAGI[[#This Row],[PRODUK]],DATA_SPVOU[],5,FALSE),"")</f>
        <v/>
      </c>
      <c r="E171" s="374"/>
      <c r="F171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1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1" s="12"/>
      <c r="I171" s="386" t="str">
        <f>IFERROR(IF(TRANSHARI3_SPVOUPAGI[[#This Row],[NAMA REKENING]]="","",TRANSHARI3_SPVOUPAGI[[#This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IFERROR(VLOOKUP(TRANSHARI3_SPVOUMALAM[[#This Row],[PRODUK]],DATA_SPVOU[],5,FALSE),"")</f>
        <v/>
      </c>
      <c r="T171" s="374"/>
      <c r="U171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1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1" s="12"/>
      <c r="X171" s="386" t="str">
        <f>IFERROR(IF(TRANSHARI3_SPVOUMALAM[[#This Row],[NAMA REKENING]]="","",TRANSHARI3_SPVOUMALAM[[#This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IFERROR(VLOOKUP(TRANSHARI3_SPVOUPAGI[[#This Row],[PRODUK]],DATA_SPVOU[],5,FALSE),"")</f>
        <v/>
      </c>
      <c r="E172" s="374"/>
      <c r="F172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2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2" s="12"/>
      <c r="I172" s="384" t="str">
        <f>IFERROR(IF(TRANSHARI3_SPVOUPAGI[[#This Row],[NAMA REKENING]]="","",TRANSHARI3_SPVOUPAGI[[#This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IFERROR(VLOOKUP(TRANSHARI3_SPVOUMALAM[[#This Row],[PRODUK]],DATA_SPVOU[],5,FALSE),"")</f>
        <v/>
      </c>
      <c r="T172" s="374"/>
      <c r="U172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2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2" s="12"/>
      <c r="X172" s="384" t="str">
        <f>IFERROR(IF(TRANSHARI3_SPVOUMALAM[[#This Row],[NAMA REKENING]]="","",TRANSHARI3_SPVOUMALAM[[#This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IFERROR(VLOOKUP(TRANSHARI3_SPVOUPAGI[[#This Row],[PRODUK]],DATA_SPVOU[],5,FALSE),"")</f>
        <v/>
      </c>
      <c r="E173" s="374"/>
      <c r="F173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3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3" s="12"/>
      <c r="I173" s="386" t="str">
        <f>IFERROR(IF(TRANSHARI3_SPVOUPAGI[[#This Row],[NAMA REKENING]]="","",TRANSHARI3_SPVOUPAGI[[#This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IFERROR(VLOOKUP(TRANSHARI3_SPVOUMALAM[[#This Row],[PRODUK]],DATA_SPVOU[],5,FALSE),"")</f>
        <v/>
      </c>
      <c r="T173" s="374"/>
      <c r="U173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3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3" s="12"/>
      <c r="X173" s="386" t="str">
        <f>IFERROR(IF(TRANSHARI3_SPVOUMALAM[[#This Row],[NAMA REKENING]]="","",TRANSHARI3_SPVOUMALAM[[#This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IFERROR(VLOOKUP(TRANSHARI3_SPVOUPAGI[[#This Row],[PRODUK]],DATA_SPVOU[],5,FALSE),"")</f>
        <v/>
      </c>
      <c r="E174" s="374"/>
      <c r="F174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4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4" s="12"/>
      <c r="I174" s="384" t="str">
        <f>IFERROR(IF(TRANSHARI3_SPVOUPAGI[[#This Row],[NAMA REKENING]]="","",TRANSHARI3_SPVOUPAGI[[#This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IFERROR(VLOOKUP(TRANSHARI3_SPVOUMALAM[[#This Row],[PRODUK]],DATA_SPVOU[],5,FALSE),"")</f>
        <v/>
      </c>
      <c r="T174" s="374"/>
      <c r="U174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4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4" s="12"/>
      <c r="X174" s="384" t="str">
        <f>IFERROR(IF(TRANSHARI3_SPVOUMALAM[[#This Row],[NAMA REKENING]]="","",TRANSHARI3_SPVOUMALAM[[#This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IFERROR(VLOOKUP(TRANSHARI3_SPVOUPAGI[[#This Row],[PRODUK]],DATA_SPVOU[],5,FALSE),"")</f>
        <v/>
      </c>
      <c r="E175" s="374"/>
      <c r="F175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5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5" s="12"/>
      <c r="I175" s="386" t="str">
        <f>IFERROR(IF(TRANSHARI3_SPVOUPAGI[[#This Row],[NAMA REKENING]]="","",TRANSHARI3_SPVOUPAGI[[#This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IFERROR(VLOOKUP(TRANSHARI3_SPVOUMALAM[[#This Row],[PRODUK]],DATA_SPVOU[],5,FALSE),"")</f>
        <v/>
      </c>
      <c r="T175" s="374"/>
      <c r="U175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5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5" s="12"/>
      <c r="X175" s="386" t="str">
        <f>IFERROR(IF(TRANSHARI3_SPVOUMALAM[[#This Row],[NAMA REKENING]]="","",TRANSHARI3_SPVOUMALAM[[#This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IFERROR(VLOOKUP(TRANSHARI3_SPVOUPAGI[[#This Row],[PRODUK]],DATA_SPVOU[],5,FALSE),"")</f>
        <v/>
      </c>
      <c r="E176" s="374"/>
      <c r="F176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6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6" s="12"/>
      <c r="I176" s="384" t="str">
        <f>IFERROR(IF(TRANSHARI3_SPVOUPAGI[[#This Row],[NAMA REKENING]]="","",TRANSHARI3_SPVOUPAGI[[#This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IFERROR(VLOOKUP(TRANSHARI3_SPVOUMALAM[[#This Row],[PRODUK]],DATA_SPVOU[],5,FALSE),"")</f>
        <v/>
      </c>
      <c r="T176" s="374"/>
      <c r="U176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6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6" s="12"/>
      <c r="X176" s="384" t="str">
        <f>IFERROR(IF(TRANSHARI3_SPVOUMALAM[[#This Row],[NAMA REKENING]]="","",TRANSHARI3_SPVOUMALAM[[#This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IFERROR(VLOOKUP(TRANSHARI3_SPVOUPAGI[[#This Row],[PRODUK]],DATA_SPVOU[],5,FALSE),"")</f>
        <v/>
      </c>
      <c r="E177" s="374"/>
      <c r="F177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7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7" s="12"/>
      <c r="I177" s="386" t="str">
        <f>IFERROR(IF(TRANSHARI3_SPVOUPAGI[[#This Row],[NAMA REKENING]]="","",TRANSHARI3_SPVOUPAGI[[#This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IFERROR(VLOOKUP(TRANSHARI3_SPVOUMALAM[[#This Row],[PRODUK]],DATA_SPVOU[],5,FALSE),"")</f>
        <v/>
      </c>
      <c r="T177" s="374"/>
      <c r="U177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7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7" s="12"/>
      <c r="X177" s="386" t="str">
        <f>IFERROR(IF(TRANSHARI3_SPVOUMALAM[[#This Row],[NAMA REKENING]]="","",TRANSHARI3_SPVOUMALAM[[#This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IFERROR(VLOOKUP(TRANSHARI3_SPVOUPAGI[[#This Row],[PRODUK]],DATA_SPVOU[],5,FALSE),"")</f>
        <v/>
      </c>
      <c r="E178" s="374"/>
      <c r="F178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8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8" s="12"/>
      <c r="I178" s="384" t="str">
        <f>IFERROR(IF(TRANSHARI3_SPVOUPAGI[[#This Row],[NAMA REKENING]]="","",TRANSHARI3_SPVOUPAGI[[#This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IFERROR(VLOOKUP(TRANSHARI3_SPVOUMALAM[[#This Row],[PRODUK]],DATA_SPVOU[],5,FALSE),"")</f>
        <v/>
      </c>
      <c r="T178" s="374"/>
      <c r="U178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8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8" s="12"/>
      <c r="X178" s="384" t="str">
        <f>IFERROR(IF(TRANSHARI3_SPVOUMALAM[[#This Row],[NAMA REKENING]]="","",TRANSHARI3_SPVOUMALAM[[#This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IFERROR(VLOOKUP(TRANSHARI3_SPVOUPAGI[[#This Row],[PRODUK]],DATA_SPVOU[],5,FALSE),"")</f>
        <v/>
      </c>
      <c r="E179" s="374"/>
      <c r="F179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79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79" s="12"/>
      <c r="I179" s="386" t="str">
        <f>IFERROR(IF(TRANSHARI3_SPVOUPAGI[[#This Row],[NAMA REKENING]]="","",TRANSHARI3_SPVOUPAGI[[#This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IFERROR(VLOOKUP(TRANSHARI3_SPVOUMALAM[[#This Row],[PRODUK]],DATA_SPVOU[],5,FALSE),"")</f>
        <v/>
      </c>
      <c r="T179" s="374"/>
      <c r="U179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79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79" s="12"/>
      <c r="X179" s="386" t="str">
        <f>IFERROR(IF(TRANSHARI3_SPVOUMALAM[[#This Row],[NAMA REKENING]]="","",TRANSHARI3_SPVOUMALAM[[#This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IFERROR(VLOOKUP(TRANSHARI3_SPVOUPAGI[[#This Row],[PRODUK]],DATA_SPVOU[],5,FALSE),"")</f>
        <v/>
      </c>
      <c r="E180" s="374"/>
      <c r="F180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0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0" s="12"/>
      <c r="I180" s="384" t="str">
        <f>IFERROR(IF(TRANSHARI3_SPVOUPAGI[[#This Row],[NAMA REKENING]]="","",TRANSHARI3_SPVOUPAGI[[#This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IFERROR(VLOOKUP(TRANSHARI3_SPVOUMALAM[[#This Row],[PRODUK]],DATA_SPVOU[],5,FALSE),"")</f>
        <v/>
      </c>
      <c r="T180" s="374"/>
      <c r="U180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0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0" s="12"/>
      <c r="X180" s="384" t="str">
        <f>IFERROR(IF(TRANSHARI3_SPVOUMALAM[[#This Row],[NAMA REKENING]]="","",TRANSHARI3_SPVOUMALAM[[#This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IFERROR(VLOOKUP(TRANSHARI3_SPVOUPAGI[[#This Row],[PRODUK]],DATA_SPVOU[],5,FALSE),"")</f>
        <v/>
      </c>
      <c r="E181" s="374"/>
      <c r="F181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1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1" s="12"/>
      <c r="I181" s="386" t="str">
        <f>IFERROR(IF(TRANSHARI3_SPVOUPAGI[[#This Row],[NAMA REKENING]]="","",TRANSHARI3_SPVOUPAGI[[#This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IFERROR(VLOOKUP(TRANSHARI3_SPVOUMALAM[[#This Row],[PRODUK]],DATA_SPVOU[],5,FALSE),"")</f>
        <v/>
      </c>
      <c r="T181" s="374"/>
      <c r="U181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1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1" s="12"/>
      <c r="X181" s="386" t="str">
        <f>IFERROR(IF(TRANSHARI3_SPVOUMALAM[[#This Row],[NAMA REKENING]]="","",TRANSHARI3_SPVOUMALAM[[#This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IFERROR(VLOOKUP(TRANSHARI3_SPVOUPAGI[[#This Row],[PRODUK]],DATA_SPVOU[],5,FALSE),"")</f>
        <v/>
      </c>
      <c r="E182" s="374"/>
      <c r="F182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2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2" s="12"/>
      <c r="I182" s="384" t="str">
        <f>IFERROR(IF(TRANSHARI3_SPVOUPAGI[[#This Row],[NAMA REKENING]]="","",TRANSHARI3_SPVOUPAGI[[#This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IFERROR(VLOOKUP(TRANSHARI3_SPVOUMALAM[[#This Row],[PRODUK]],DATA_SPVOU[],5,FALSE),"")</f>
        <v/>
      </c>
      <c r="T182" s="374"/>
      <c r="U182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2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2" s="12"/>
      <c r="X182" s="384" t="str">
        <f>IFERROR(IF(TRANSHARI3_SPVOUMALAM[[#This Row],[NAMA REKENING]]="","",TRANSHARI3_SPVOUMALAM[[#This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IFERROR(VLOOKUP(TRANSHARI3_SPVOUPAGI[[#This Row],[PRODUK]],DATA_SPVOU[],5,FALSE),"")</f>
        <v/>
      </c>
      <c r="E183" s="374"/>
      <c r="F183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3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3" s="12"/>
      <c r="I183" s="386" t="str">
        <f>IFERROR(IF(TRANSHARI3_SPVOUPAGI[[#This Row],[NAMA REKENING]]="","",TRANSHARI3_SPVOUPAGI[[#This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IFERROR(VLOOKUP(TRANSHARI3_SPVOUMALAM[[#This Row],[PRODUK]],DATA_SPVOU[],5,FALSE),"")</f>
        <v/>
      </c>
      <c r="T183" s="374"/>
      <c r="U183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3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3" s="12"/>
      <c r="X183" s="386" t="str">
        <f>IFERROR(IF(TRANSHARI3_SPVOUMALAM[[#This Row],[NAMA REKENING]]="","",TRANSHARI3_SPVOUMALAM[[#This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IFERROR(VLOOKUP(TRANSHARI3_SPVOUPAGI[[#This Row],[PRODUK]],DATA_SPVOU[],5,FALSE),"")</f>
        <v/>
      </c>
      <c r="E184" s="374"/>
      <c r="F184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4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4" s="12"/>
      <c r="I184" s="384" t="str">
        <f>IFERROR(IF(TRANSHARI3_SPVOUPAGI[[#This Row],[NAMA REKENING]]="","",TRANSHARI3_SPVOUPAGI[[#This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IFERROR(VLOOKUP(TRANSHARI3_SPVOUMALAM[[#This Row],[PRODUK]],DATA_SPVOU[],5,FALSE),"")</f>
        <v/>
      </c>
      <c r="T184" s="374"/>
      <c r="U184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4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4" s="12"/>
      <c r="X184" s="384" t="str">
        <f>IFERROR(IF(TRANSHARI3_SPVOUMALAM[[#This Row],[NAMA REKENING]]="","",TRANSHARI3_SPVOUMALAM[[#This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IFERROR(VLOOKUP(TRANSHARI3_SPVOUPAGI[[#This Row],[PRODUK]],DATA_SPVOU[],5,FALSE),"")</f>
        <v/>
      </c>
      <c r="E185" s="374"/>
      <c r="F185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5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5" s="12"/>
      <c r="I185" s="386" t="str">
        <f>IFERROR(IF(TRANSHARI3_SPVOUPAGI[[#This Row],[NAMA REKENING]]="","",TRANSHARI3_SPVOUPAGI[[#This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IFERROR(VLOOKUP(TRANSHARI3_SPVOUMALAM[[#This Row],[PRODUK]],DATA_SPVOU[],5,FALSE),"")</f>
        <v/>
      </c>
      <c r="T185" s="374"/>
      <c r="U185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5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5" s="12"/>
      <c r="X185" s="386" t="str">
        <f>IFERROR(IF(TRANSHARI3_SPVOUMALAM[[#This Row],[NAMA REKENING]]="","",TRANSHARI3_SPVOUMALAM[[#This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IFERROR(VLOOKUP(TRANSHARI3_SPVOUPAGI[[#This Row],[PRODUK]],DATA_SPVOU[],5,FALSE),"")</f>
        <v/>
      </c>
      <c r="E186" s="374"/>
      <c r="F186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6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6" s="12"/>
      <c r="I186" s="384" t="str">
        <f>IFERROR(IF(TRANSHARI3_SPVOUPAGI[[#This Row],[NAMA REKENING]]="","",TRANSHARI3_SPVOUPAGI[[#This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IFERROR(VLOOKUP(TRANSHARI3_SPVOUMALAM[[#This Row],[PRODUK]],DATA_SPVOU[],5,FALSE),"")</f>
        <v/>
      </c>
      <c r="T186" s="374"/>
      <c r="U186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6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6" s="12"/>
      <c r="X186" s="384" t="str">
        <f>IFERROR(IF(TRANSHARI3_SPVOUMALAM[[#This Row],[NAMA REKENING]]="","",TRANSHARI3_SPVOUMALAM[[#This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IFERROR(VLOOKUP(TRANSHARI3_SPVOUPAGI[[#This Row],[PRODUK]],DATA_SPVOU[],5,FALSE),"")</f>
        <v/>
      </c>
      <c r="E187" s="374"/>
      <c r="F187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7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7" s="12"/>
      <c r="I187" s="386" t="str">
        <f>IFERROR(IF(TRANSHARI3_SPVOUPAGI[[#This Row],[NAMA REKENING]]="","",TRANSHARI3_SPVOUPAGI[[#This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IFERROR(VLOOKUP(TRANSHARI3_SPVOUMALAM[[#This Row],[PRODUK]],DATA_SPVOU[],5,FALSE),"")</f>
        <v/>
      </c>
      <c r="T187" s="374"/>
      <c r="U187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7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7" s="12"/>
      <c r="X187" s="386" t="str">
        <f>IFERROR(IF(TRANSHARI3_SPVOUMALAM[[#This Row],[NAMA REKENING]]="","",TRANSHARI3_SPVOUMALAM[[#This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IFERROR(VLOOKUP(TRANSHARI3_SPVOUPAGI[[#This Row],[PRODUK]],DATA_SPVOU[],5,FALSE),"")</f>
        <v/>
      </c>
      <c r="E188" s="374"/>
      <c r="F188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8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8" s="12"/>
      <c r="I188" s="384" t="str">
        <f>IFERROR(IF(TRANSHARI3_SPVOUPAGI[[#This Row],[NAMA REKENING]]="","",TRANSHARI3_SPVOUPAGI[[#This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IFERROR(VLOOKUP(TRANSHARI3_SPVOUMALAM[[#This Row],[PRODUK]],DATA_SPVOU[],5,FALSE),"")</f>
        <v/>
      </c>
      <c r="T188" s="374"/>
      <c r="U188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8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8" s="12"/>
      <c r="X188" s="384" t="str">
        <f>IFERROR(IF(TRANSHARI3_SPVOUMALAM[[#This Row],[NAMA REKENING]]="","",TRANSHARI3_SPVOUMALAM[[#This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IFERROR(VLOOKUP(TRANSHARI3_SPVOUPAGI[[#This Row],[PRODUK]],DATA_SPVOU[],5,FALSE),"")</f>
        <v/>
      </c>
      <c r="E189" s="374"/>
      <c r="F189" s="373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89" s="373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89" s="12"/>
      <c r="I189" s="386" t="str">
        <f>IFERROR(IF(TRANSHARI3_SPVOUPAGI[[#This Row],[NAMA REKENING]]="","",TRANSHARI3_SPVOUPAGI[[#This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IFERROR(VLOOKUP(TRANSHARI3_SPVOUMALAM[[#This Row],[PRODUK]],DATA_SPVOU[],5,FALSE),"")</f>
        <v/>
      </c>
      <c r="T189" s="374"/>
      <c r="U189" s="373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89" s="373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89" s="12"/>
      <c r="X189" s="386" t="str">
        <f>IFERROR(IF(TRANSHARI3_SPVOUMALAM[[#This Row],[NAMA REKENING]]="","",TRANSHARI3_SPVOUMALAM[[#This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IFERROR(VLOOKUP(TRANSHARI3_SPVOUPAGI[[#This Row],[PRODUK]],DATA_SPVOU[],5,FALSE),"")</f>
        <v/>
      </c>
      <c r="E190" s="374"/>
      <c r="F190" s="369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90" s="369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90" s="12"/>
      <c r="I190" s="384" t="str">
        <f>IFERROR(IF(TRANSHARI3_SPVOUPAGI[[#This Row],[NAMA REKENING]]="","",TRANSHARI3_SPVOUPAGI[[#This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IFERROR(VLOOKUP(TRANSHARI3_SPVOUMALAM[[#This Row],[PRODUK]],DATA_SPVOU[],5,FALSE),"")</f>
        <v/>
      </c>
      <c r="T190" s="374"/>
      <c r="U190" s="369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90" s="369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90" s="12"/>
      <c r="X190" s="384" t="str">
        <f>IFERROR(IF(TRANSHARI3_SPVOUMALAM[[#This Row],[NAMA REKENING]]="","",TRANSHARI3_SPVOUMALAM[[#This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IFERROR(VLOOKUP(TRANSHARI3_SPVOUPAGI[[#This Row],[PRODUK]],DATA_SPVOU[],5,FALSE),"")</f>
        <v/>
      </c>
      <c r="E191" s="376"/>
      <c r="F191" s="394" t="str">
        <f>IFERROR(IF(TRANSHARI3_SPVOUPAGI[[#This Row],[NAMA PENGHUTANG]]="",((TRANSHARI3_SPVOUPAGI[[#This Row],[HARGA]]*TRANSHARI3_SPVOUPAGI[[#This Row],[QUANTITY]])+TRANSHARI3_SPVOUPAGI[[#This Row],[PRICE TOLERANCE]]),""),"")</f>
        <v/>
      </c>
      <c r="G191" s="394" t="str">
        <f>IFERROR(IF(TRANSHARI3_SPVOUPAGI[[#This Row],[NAMA PENGHUTANG]]="","",((TRANSHARI3_SPVOUPAGI[[#This Row],[HARGA]]*TRANSHARI3_SPVOUPAGI[[#This Row],[QUANTITY]])+TRANSHARI3_SPVOUPAGI[[#This Row],[PRICE TOLERANCE]])),"")</f>
        <v/>
      </c>
      <c r="H191" s="377"/>
      <c r="I191" s="399" t="str">
        <f>IFERROR(IF(TRANSHARI3_SPVOUPAGI[[#This Row],[NAMA REKENING]]="","",TRANSHARI3_SPVOUPAGI[[#This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IFERROR(VLOOKUP(TRANSHARI3_SPVOUMALAM[[#This Row],[PRODUK]],DATA_SPVOU[],5,FALSE),"")</f>
        <v/>
      </c>
      <c r="T191" s="376"/>
      <c r="U191" s="394" t="str">
        <f>IFERROR(IF(TRANSHARI3_SPVOUMALAM[[#This Row],[NAMA PENGHUTANG]]="",((TRANSHARI3_SPVOUMALAM[[#This Row],[HARGA]]*TRANSHARI3_SPVOUMALAM[[#This Row],[QUANTITY]])+TRANSHARI3_SPVOUMALAM[[#This Row],[PRICE TOLERANCE]]),""),"")</f>
        <v/>
      </c>
      <c r="V191" s="394" t="str">
        <f>IFERROR(IF(TRANSHARI3_SPVOUMALAM[[#This Row],[NAMA PENGHUTANG]]="","",((TRANSHARI3_SPVOUMALAM[[#This Row],[HARGA]]*TRANSHARI3_SPVOUMALAM[[#This Row],[QUANTITY]])+TRANSHARI3_SPVOUMALAM[[#This Row],[PRICE TOLERANCE]])),"")</f>
        <v/>
      </c>
      <c r="W191" s="377"/>
      <c r="X191" s="399" t="str">
        <f>IFERROR(IF(TRANSHARI3_SPVOUMALAM[[#This Row],[NAMA REKENING]]="","",TRANSHARI3_SPVOUMALAM[[#This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SUM(TRANSHARI3_SPVOUPAGI[QUANTITY])</f>
        <v>0</v>
      </c>
      <c r="E192" s="398">
        <f>SUM(TRANSHARI3_SPVOUPAGI[PRICE TOLERANCE])</f>
        <v>0</v>
      </c>
      <c r="F192" s="396">
        <f>SUM(TRANSHARI3_SPVOUPAGI[DEBIT])</f>
        <v>0</v>
      </c>
      <c r="G192" s="396">
        <f>SUM(TRANSHARI3_SPVOUPAGI[KREDIT])</f>
        <v>0</v>
      </c>
      <c r="I192" s="396">
        <f>SUM(TRANSHARI3_SPVOUPAGI[NOMINAL TRANSFER])</f>
        <v>0</v>
      </c>
      <c r="O192" s="324"/>
      <c r="P192" s="303" t="s">
        <v>78</v>
      </c>
      <c r="Q192" s="316"/>
      <c r="R192" s="395">
        <f>SUM(TRANSHARI3_SPVOUMALAM[QUANTITY])</f>
        <v>0</v>
      </c>
      <c r="T192" s="398">
        <f>SUM(TRANSHARI3_SPVOUMALAM[PRICE TOLERANCE])</f>
        <v>0</v>
      </c>
      <c r="U192" s="396">
        <f>SUM(TRANSHARI3_SPVOUMALAM[DEBIT])</f>
        <v>0</v>
      </c>
      <c r="V192" s="396">
        <f>SUM(TRANSHARI3_SPVOUMALAM[KREDIT])</f>
        <v>0</v>
      </c>
      <c r="X192" s="396">
        <f>SUM(TRANSHARI3_SPVOUMALAM[NOMINAL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">
        <v>199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">
        <v>200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IFERROR(VLOOKUP(TRANSHARI3_SOFTDRINKPAGI[[#This Row],[PRODUK]],DATA_SOFTDRINK[],5,FALSE),"")</f>
        <v/>
      </c>
      <c r="E199" s="370"/>
      <c r="F199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199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199" s="371"/>
      <c r="I199" s="384" t="str">
        <f>IFERROR(IF(TRANSHARI3_SOFTDRINKPAGI[[#This Row],[NAMA REKENING]]="","",TRANSHARI3_SOFTDRINKPAGI[[#This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IFERROR(VLOOKUP(TRANSHARI3_SOFTDRINKMALAM[[#This Row],[PRODUK]],DATA_SOFTDRINK[],5,FALSE),"")</f>
        <v/>
      </c>
      <c r="T199" s="370"/>
      <c r="U199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199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199" s="371"/>
      <c r="X199" s="384" t="str">
        <f>IFERROR(IF(TRANSHARI3_SOFTDRINKMALAM[[#This Row],[NAMA REKENING]]="","",TRANSHARI3_SOFTDRINKMALAM[[#This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IFERROR(VLOOKUP(TRANSHARI3_SOFTDRINKPAGI[[#This Row],[PRODUK]],DATA_SOFTDRINK[],5,FALSE),"")</f>
        <v/>
      </c>
      <c r="E200" s="374"/>
      <c r="F200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0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0" s="12"/>
      <c r="I200" s="386" t="str">
        <f>IFERROR(IF(TRANSHARI3_SOFTDRINKPAGI[[#This Row],[NAMA REKENING]]="","",TRANSHARI3_SOFTDRINKPAGI[[#This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IFERROR(VLOOKUP(TRANSHARI3_SOFTDRINKMALAM[[#This Row],[PRODUK]],DATA_SOFTDRINK[],5,FALSE),"")</f>
        <v/>
      </c>
      <c r="T200" s="374"/>
      <c r="U200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0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0" s="12"/>
      <c r="X200" s="386" t="str">
        <f>IFERROR(IF(TRANSHARI3_SOFTDRINKMALAM[[#This Row],[NAMA REKENING]]="","",TRANSHARI3_SOFTDRINKMALAM[[#This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IFERROR(VLOOKUP(TRANSHARI3_SOFTDRINKPAGI[[#This Row],[PRODUK]],DATA_SOFTDRINK[],5,FALSE),"")</f>
        <v/>
      </c>
      <c r="E201" s="374"/>
      <c r="F201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1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1" s="12"/>
      <c r="I201" s="384" t="str">
        <f>IFERROR(IF(TRANSHARI3_SOFTDRINKPAGI[[#This Row],[NAMA REKENING]]="","",TRANSHARI3_SOFTDRINKPAGI[[#This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IFERROR(VLOOKUP(TRANSHARI3_SOFTDRINKMALAM[[#This Row],[PRODUK]],DATA_SOFTDRINK[],5,FALSE),"")</f>
        <v/>
      </c>
      <c r="T201" s="374"/>
      <c r="U201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1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1" s="12"/>
      <c r="X201" s="384" t="str">
        <f>IFERROR(IF(TRANSHARI3_SOFTDRINKMALAM[[#This Row],[NAMA REKENING]]="","",TRANSHARI3_SOFTDRINKMALAM[[#This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IFERROR(VLOOKUP(TRANSHARI3_SOFTDRINKPAGI[[#This Row],[PRODUK]],DATA_SOFTDRINK[],5,FALSE),"")</f>
        <v/>
      </c>
      <c r="E202" s="374"/>
      <c r="F202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2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2" s="12"/>
      <c r="I202" s="386" t="str">
        <f>IFERROR(IF(TRANSHARI3_SOFTDRINKPAGI[[#This Row],[NAMA REKENING]]="","",TRANSHARI3_SOFTDRINKPAGI[[#This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IFERROR(VLOOKUP(TRANSHARI3_SOFTDRINKMALAM[[#This Row],[PRODUK]],DATA_SOFTDRINK[],5,FALSE),"")</f>
        <v/>
      </c>
      <c r="T202" s="374"/>
      <c r="U202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2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2" s="12"/>
      <c r="X202" s="386" t="str">
        <f>IFERROR(IF(TRANSHARI3_SOFTDRINKMALAM[[#This Row],[NAMA REKENING]]="","",TRANSHARI3_SOFTDRINKMALAM[[#This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IFERROR(VLOOKUP(TRANSHARI3_SOFTDRINKPAGI[[#This Row],[PRODUK]],DATA_SOFTDRINK[],5,FALSE),"")</f>
        <v/>
      </c>
      <c r="E203" s="374"/>
      <c r="F203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3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3" s="12"/>
      <c r="I203" s="384" t="str">
        <f>IFERROR(IF(TRANSHARI3_SOFTDRINKPAGI[[#This Row],[NAMA REKENING]]="","",TRANSHARI3_SOFTDRINKPAGI[[#This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IFERROR(VLOOKUP(TRANSHARI3_SOFTDRINKMALAM[[#This Row],[PRODUK]],DATA_SOFTDRINK[],5,FALSE),"")</f>
        <v/>
      </c>
      <c r="T203" s="374"/>
      <c r="U203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3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3" s="12"/>
      <c r="X203" s="384" t="str">
        <f>IFERROR(IF(TRANSHARI3_SOFTDRINKMALAM[[#This Row],[NAMA REKENING]]="","",TRANSHARI3_SOFTDRINKMALAM[[#This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IFERROR(VLOOKUP(TRANSHARI3_SOFTDRINKPAGI[[#This Row],[PRODUK]],DATA_SOFTDRINK[],5,FALSE),"")</f>
        <v/>
      </c>
      <c r="E204" s="374"/>
      <c r="F204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4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4" s="12"/>
      <c r="I204" s="386" t="str">
        <f>IFERROR(IF(TRANSHARI3_SOFTDRINKPAGI[[#This Row],[NAMA REKENING]]="","",TRANSHARI3_SOFTDRINKPAGI[[#This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IFERROR(VLOOKUP(TRANSHARI3_SOFTDRINKMALAM[[#This Row],[PRODUK]],DATA_SOFTDRINK[],5,FALSE),"")</f>
        <v/>
      </c>
      <c r="T204" s="374"/>
      <c r="U204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4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4" s="12"/>
      <c r="X204" s="386" t="str">
        <f>IFERROR(IF(TRANSHARI3_SOFTDRINKMALAM[[#This Row],[NAMA REKENING]]="","",TRANSHARI3_SOFTDRINKMALAM[[#This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IFERROR(VLOOKUP(TRANSHARI3_SOFTDRINKPAGI[[#This Row],[PRODUK]],DATA_SOFTDRINK[],5,FALSE),"")</f>
        <v/>
      </c>
      <c r="E205" s="374"/>
      <c r="F205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5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5" s="12"/>
      <c r="I205" s="384" t="str">
        <f>IFERROR(IF(TRANSHARI3_SOFTDRINKPAGI[[#This Row],[NAMA REKENING]]="","",TRANSHARI3_SOFTDRINKPAGI[[#This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IFERROR(VLOOKUP(TRANSHARI3_SOFTDRINKMALAM[[#This Row],[PRODUK]],DATA_SOFTDRINK[],5,FALSE),"")</f>
        <v/>
      </c>
      <c r="T205" s="374"/>
      <c r="U205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5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5" s="12"/>
      <c r="X205" s="384" t="str">
        <f>IFERROR(IF(TRANSHARI3_SOFTDRINKMALAM[[#This Row],[NAMA REKENING]]="","",TRANSHARI3_SOFTDRINKMALAM[[#This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IFERROR(VLOOKUP(TRANSHARI3_SOFTDRINKPAGI[[#This Row],[PRODUK]],DATA_SOFTDRINK[],5,FALSE),"")</f>
        <v/>
      </c>
      <c r="E206" s="374"/>
      <c r="F206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6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6" s="12"/>
      <c r="I206" s="386" t="str">
        <f>IFERROR(IF(TRANSHARI3_SOFTDRINKPAGI[[#This Row],[NAMA REKENING]]="","",TRANSHARI3_SOFTDRINKPAGI[[#This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IFERROR(VLOOKUP(TRANSHARI3_SOFTDRINKMALAM[[#This Row],[PRODUK]],DATA_SOFTDRINK[],5,FALSE),"")</f>
        <v/>
      </c>
      <c r="T206" s="374"/>
      <c r="U206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6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6" s="12"/>
      <c r="X206" s="386" t="str">
        <f>IFERROR(IF(TRANSHARI3_SOFTDRINKMALAM[[#This Row],[NAMA REKENING]]="","",TRANSHARI3_SOFTDRINKMALAM[[#This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IFERROR(VLOOKUP(TRANSHARI3_SOFTDRINKPAGI[[#This Row],[PRODUK]],DATA_SOFTDRINK[],5,FALSE),"")</f>
        <v/>
      </c>
      <c r="E207" s="374"/>
      <c r="F207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7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7" s="12"/>
      <c r="I207" s="384" t="str">
        <f>IFERROR(IF(TRANSHARI3_SOFTDRINKPAGI[[#This Row],[NAMA REKENING]]="","",TRANSHARI3_SOFTDRINKPAGI[[#This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IFERROR(VLOOKUP(TRANSHARI3_SOFTDRINKMALAM[[#This Row],[PRODUK]],DATA_SOFTDRINK[],5,FALSE),"")</f>
        <v/>
      </c>
      <c r="T207" s="374"/>
      <c r="U207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7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7" s="12"/>
      <c r="X207" s="384" t="str">
        <f>IFERROR(IF(TRANSHARI3_SOFTDRINKMALAM[[#This Row],[NAMA REKENING]]="","",TRANSHARI3_SOFTDRINKMALAM[[#This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IFERROR(VLOOKUP(TRANSHARI3_SOFTDRINKPAGI[[#This Row],[PRODUK]],DATA_SOFTDRINK[],5,FALSE),"")</f>
        <v/>
      </c>
      <c r="E208" s="374"/>
      <c r="F208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8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8" s="12"/>
      <c r="I208" s="386" t="str">
        <f>IFERROR(IF(TRANSHARI3_SOFTDRINKPAGI[[#This Row],[NAMA REKENING]]="","",TRANSHARI3_SOFTDRINKPAGI[[#This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IFERROR(VLOOKUP(TRANSHARI3_SOFTDRINKMALAM[[#This Row],[PRODUK]],DATA_SOFTDRINK[],5,FALSE),"")</f>
        <v/>
      </c>
      <c r="T208" s="374"/>
      <c r="U208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8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8" s="12"/>
      <c r="X208" s="386" t="str">
        <f>IFERROR(IF(TRANSHARI3_SOFTDRINKMALAM[[#This Row],[NAMA REKENING]]="","",TRANSHARI3_SOFTDRINKMALAM[[#This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IFERROR(VLOOKUP(TRANSHARI3_SOFTDRINKPAGI[[#This Row],[PRODUK]],DATA_SOFTDRINK[],5,FALSE),"")</f>
        <v/>
      </c>
      <c r="E209" s="374"/>
      <c r="F209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09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09" s="12"/>
      <c r="I209" s="384" t="str">
        <f>IFERROR(IF(TRANSHARI3_SOFTDRINKPAGI[[#This Row],[NAMA REKENING]]="","",TRANSHARI3_SOFTDRINKPAGI[[#This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IFERROR(VLOOKUP(TRANSHARI3_SOFTDRINKMALAM[[#This Row],[PRODUK]],DATA_SOFTDRINK[],5,FALSE),"")</f>
        <v/>
      </c>
      <c r="T209" s="374"/>
      <c r="U209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09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09" s="12"/>
      <c r="X209" s="384" t="str">
        <f>IFERROR(IF(TRANSHARI3_SOFTDRINKMALAM[[#This Row],[NAMA REKENING]]="","",TRANSHARI3_SOFTDRINKMALAM[[#This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IFERROR(VLOOKUP(TRANSHARI3_SOFTDRINKPAGI[[#This Row],[PRODUK]],DATA_SOFTDRINK[],5,FALSE),"")</f>
        <v/>
      </c>
      <c r="E210" s="374"/>
      <c r="F210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0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0" s="12"/>
      <c r="I210" s="386" t="str">
        <f>IFERROR(IF(TRANSHARI3_SOFTDRINKPAGI[[#This Row],[NAMA REKENING]]="","",TRANSHARI3_SOFTDRINKPAGI[[#This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IFERROR(VLOOKUP(TRANSHARI3_SOFTDRINKMALAM[[#This Row],[PRODUK]],DATA_SOFTDRINK[],5,FALSE),"")</f>
        <v/>
      </c>
      <c r="T210" s="374"/>
      <c r="U210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0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0" s="12"/>
      <c r="X210" s="386" t="str">
        <f>IFERROR(IF(TRANSHARI3_SOFTDRINKMALAM[[#This Row],[NAMA REKENING]]="","",TRANSHARI3_SOFTDRINKMALAM[[#This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IFERROR(VLOOKUP(TRANSHARI3_SOFTDRINKPAGI[[#This Row],[PRODUK]],DATA_SOFTDRINK[],5,FALSE),"")</f>
        <v/>
      </c>
      <c r="E211" s="374"/>
      <c r="F211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1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1" s="12"/>
      <c r="I211" s="384" t="str">
        <f>IFERROR(IF(TRANSHARI3_SOFTDRINKPAGI[[#This Row],[NAMA REKENING]]="","",TRANSHARI3_SOFTDRINKPAGI[[#This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IFERROR(VLOOKUP(TRANSHARI3_SOFTDRINKMALAM[[#This Row],[PRODUK]],DATA_SOFTDRINK[],5,FALSE),"")</f>
        <v/>
      </c>
      <c r="T211" s="374"/>
      <c r="U211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1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1" s="12"/>
      <c r="X211" s="384" t="str">
        <f>IFERROR(IF(TRANSHARI3_SOFTDRINKMALAM[[#This Row],[NAMA REKENING]]="","",TRANSHARI3_SOFTDRINKMALAM[[#This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IFERROR(VLOOKUP(TRANSHARI3_SOFTDRINKPAGI[[#This Row],[PRODUK]],DATA_SOFTDRINK[],5,FALSE),"")</f>
        <v/>
      </c>
      <c r="E212" s="374"/>
      <c r="F212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2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2" s="12"/>
      <c r="I212" s="386" t="str">
        <f>IFERROR(IF(TRANSHARI3_SOFTDRINKPAGI[[#This Row],[NAMA REKENING]]="","",TRANSHARI3_SOFTDRINKPAGI[[#This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IFERROR(VLOOKUP(TRANSHARI3_SOFTDRINKMALAM[[#This Row],[PRODUK]],DATA_SOFTDRINK[],5,FALSE),"")</f>
        <v/>
      </c>
      <c r="T212" s="374"/>
      <c r="U212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2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2" s="12"/>
      <c r="X212" s="386" t="str">
        <f>IFERROR(IF(TRANSHARI3_SOFTDRINKMALAM[[#This Row],[NAMA REKENING]]="","",TRANSHARI3_SOFTDRINKMALAM[[#This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IFERROR(VLOOKUP(TRANSHARI3_SOFTDRINKPAGI[[#This Row],[PRODUK]],DATA_SOFTDRINK[],5,FALSE),"")</f>
        <v/>
      </c>
      <c r="E213" s="374"/>
      <c r="F213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3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3" s="12"/>
      <c r="I213" s="384" t="str">
        <f>IFERROR(IF(TRANSHARI3_SOFTDRINKPAGI[[#This Row],[NAMA REKENING]]="","",TRANSHARI3_SOFTDRINKPAGI[[#This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IFERROR(VLOOKUP(TRANSHARI3_SOFTDRINKMALAM[[#This Row],[PRODUK]],DATA_SOFTDRINK[],5,FALSE),"")</f>
        <v/>
      </c>
      <c r="T213" s="374"/>
      <c r="U213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3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3" s="12"/>
      <c r="X213" s="384" t="str">
        <f>IFERROR(IF(TRANSHARI3_SOFTDRINKMALAM[[#This Row],[NAMA REKENING]]="","",TRANSHARI3_SOFTDRINKMALAM[[#This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IFERROR(VLOOKUP(TRANSHARI3_SOFTDRINKPAGI[[#This Row],[PRODUK]],DATA_SOFTDRINK[],5,FALSE),"")</f>
        <v/>
      </c>
      <c r="E214" s="374"/>
      <c r="F214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4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4" s="12"/>
      <c r="I214" s="386" t="str">
        <f>IFERROR(IF(TRANSHARI3_SOFTDRINKPAGI[[#This Row],[NAMA REKENING]]="","",TRANSHARI3_SOFTDRINKPAGI[[#This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IFERROR(VLOOKUP(TRANSHARI3_SOFTDRINKMALAM[[#This Row],[PRODUK]],DATA_SOFTDRINK[],5,FALSE),"")</f>
        <v/>
      </c>
      <c r="T214" s="374"/>
      <c r="U214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4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4" s="12"/>
      <c r="X214" s="386" t="str">
        <f>IFERROR(IF(TRANSHARI3_SOFTDRINKMALAM[[#This Row],[NAMA REKENING]]="","",TRANSHARI3_SOFTDRINKMALAM[[#This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IFERROR(VLOOKUP(TRANSHARI3_SOFTDRINKPAGI[[#This Row],[PRODUK]],DATA_SOFTDRINK[],5,FALSE),"")</f>
        <v/>
      </c>
      <c r="E215" s="374"/>
      <c r="F215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5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5" s="12"/>
      <c r="I215" s="384" t="str">
        <f>IFERROR(IF(TRANSHARI3_SOFTDRINKPAGI[[#This Row],[NAMA REKENING]]="","",TRANSHARI3_SOFTDRINKPAGI[[#This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IFERROR(VLOOKUP(TRANSHARI3_SOFTDRINKMALAM[[#This Row],[PRODUK]],DATA_SOFTDRINK[],5,FALSE),"")</f>
        <v/>
      </c>
      <c r="T215" s="374"/>
      <c r="U215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5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5" s="12"/>
      <c r="X215" s="384" t="str">
        <f>IFERROR(IF(TRANSHARI3_SOFTDRINKMALAM[[#This Row],[NAMA REKENING]]="","",TRANSHARI3_SOFTDRINKMALAM[[#This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IFERROR(VLOOKUP(TRANSHARI3_SOFTDRINKPAGI[[#This Row],[PRODUK]],DATA_SOFTDRINK[],5,FALSE),"")</f>
        <v/>
      </c>
      <c r="E216" s="374"/>
      <c r="F216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6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6" s="12"/>
      <c r="I216" s="386" t="str">
        <f>IFERROR(IF(TRANSHARI3_SOFTDRINKPAGI[[#This Row],[NAMA REKENING]]="","",TRANSHARI3_SOFTDRINKPAGI[[#This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IFERROR(VLOOKUP(TRANSHARI3_SOFTDRINKMALAM[[#This Row],[PRODUK]],DATA_SOFTDRINK[],5,FALSE),"")</f>
        <v/>
      </c>
      <c r="T216" s="374"/>
      <c r="U216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6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6" s="12"/>
      <c r="X216" s="386" t="str">
        <f>IFERROR(IF(TRANSHARI3_SOFTDRINKMALAM[[#This Row],[NAMA REKENING]]="","",TRANSHARI3_SOFTDRINKMALAM[[#This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IFERROR(VLOOKUP(TRANSHARI3_SOFTDRINKPAGI[[#This Row],[PRODUK]],DATA_SOFTDRINK[],5,FALSE),"")</f>
        <v/>
      </c>
      <c r="E217" s="374"/>
      <c r="F217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7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7" s="12"/>
      <c r="I217" s="384" t="str">
        <f>IFERROR(IF(TRANSHARI3_SOFTDRINKPAGI[[#This Row],[NAMA REKENING]]="","",TRANSHARI3_SOFTDRINKPAGI[[#This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IFERROR(VLOOKUP(TRANSHARI3_SOFTDRINKMALAM[[#This Row],[PRODUK]],DATA_SOFTDRINK[],5,FALSE),"")</f>
        <v/>
      </c>
      <c r="T217" s="374"/>
      <c r="U217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7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7" s="12"/>
      <c r="X217" s="384" t="str">
        <f>IFERROR(IF(TRANSHARI3_SOFTDRINKMALAM[[#This Row],[NAMA REKENING]]="","",TRANSHARI3_SOFTDRINKMALAM[[#This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IFERROR(VLOOKUP(TRANSHARI3_SOFTDRINKPAGI[[#This Row],[PRODUK]],DATA_SOFTDRINK[],5,FALSE),"")</f>
        <v/>
      </c>
      <c r="E218" s="374"/>
      <c r="F218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8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8" s="12"/>
      <c r="I218" s="386" t="str">
        <f>IFERROR(IF(TRANSHARI3_SOFTDRINKPAGI[[#This Row],[NAMA REKENING]]="","",TRANSHARI3_SOFTDRINKPAGI[[#This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IFERROR(VLOOKUP(TRANSHARI3_SOFTDRINKMALAM[[#This Row],[PRODUK]],DATA_SOFTDRINK[],5,FALSE),"")</f>
        <v/>
      </c>
      <c r="T218" s="374"/>
      <c r="U218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8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8" s="12"/>
      <c r="X218" s="386" t="str">
        <f>IFERROR(IF(TRANSHARI3_SOFTDRINKMALAM[[#This Row],[NAMA REKENING]]="","",TRANSHARI3_SOFTDRINKMALAM[[#This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IFERROR(VLOOKUP(TRANSHARI3_SOFTDRINKPAGI[[#This Row],[PRODUK]],DATA_SOFTDRINK[],5,FALSE),"")</f>
        <v/>
      </c>
      <c r="E219" s="374"/>
      <c r="F219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19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19" s="12"/>
      <c r="I219" s="384" t="str">
        <f>IFERROR(IF(TRANSHARI3_SOFTDRINKPAGI[[#This Row],[NAMA REKENING]]="","",TRANSHARI3_SOFTDRINKPAGI[[#This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IFERROR(VLOOKUP(TRANSHARI3_SOFTDRINKMALAM[[#This Row],[PRODUK]],DATA_SOFTDRINK[],5,FALSE),"")</f>
        <v/>
      </c>
      <c r="T219" s="374"/>
      <c r="U219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19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19" s="12"/>
      <c r="X219" s="384" t="str">
        <f>IFERROR(IF(TRANSHARI3_SOFTDRINKMALAM[[#This Row],[NAMA REKENING]]="","",TRANSHARI3_SOFTDRINKMALAM[[#This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IFERROR(VLOOKUP(TRANSHARI3_SOFTDRINKPAGI[[#This Row],[PRODUK]],DATA_SOFTDRINK[],5,FALSE),"")</f>
        <v/>
      </c>
      <c r="E220" s="374"/>
      <c r="F220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0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0" s="12"/>
      <c r="I220" s="386" t="str">
        <f>IFERROR(IF(TRANSHARI3_SOFTDRINKPAGI[[#This Row],[NAMA REKENING]]="","",TRANSHARI3_SOFTDRINKPAGI[[#This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IFERROR(VLOOKUP(TRANSHARI3_SOFTDRINKMALAM[[#This Row],[PRODUK]],DATA_SOFTDRINK[],5,FALSE),"")</f>
        <v/>
      </c>
      <c r="T220" s="374"/>
      <c r="U220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0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0" s="12"/>
      <c r="X220" s="386" t="str">
        <f>IFERROR(IF(TRANSHARI3_SOFTDRINKMALAM[[#This Row],[NAMA REKENING]]="","",TRANSHARI3_SOFTDRINKMALAM[[#This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IFERROR(VLOOKUP(TRANSHARI3_SOFTDRINKPAGI[[#This Row],[PRODUK]],DATA_SOFTDRINK[],5,FALSE),"")</f>
        <v/>
      </c>
      <c r="E221" s="374"/>
      <c r="F221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1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1" s="12"/>
      <c r="I221" s="384" t="str">
        <f>IFERROR(IF(TRANSHARI3_SOFTDRINKPAGI[[#This Row],[NAMA REKENING]]="","",TRANSHARI3_SOFTDRINKPAGI[[#This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IFERROR(VLOOKUP(TRANSHARI3_SOFTDRINKMALAM[[#This Row],[PRODUK]],DATA_SOFTDRINK[],5,FALSE),"")</f>
        <v/>
      </c>
      <c r="T221" s="374"/>
      <c r="U221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1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1" s="12"/>
      <c r="X221" s="384" t="str">
        <f>IFERROR(IF(TRANSHARI3_SOFTDRINKMALAM[[#This Row],[NAMA REKENING]]="","",TRANSHARI3_SOFTDRINKMALAM[[#This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IFERROR(VLOOKUP(TRANSHARI3_SOFTDRINKPAGI[[#This Row],[PRODUK]],DATA_SOFTDRINK[],5,FALSE),"")</f>
        <v/>
      </c>
      <c r="E222" s="374"/>
      <c r="F222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2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2" s="12"/>
      <c r="I222" s="386" t="str">
        <f>IFERROR(IF(TRANSHARI3_SOFTDRINKPAGI[[#This Row],[NAMA REKENING]]="","",TRANSHARI3_SOFTDRINKPAGI[[#This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IFERROR(VLOOKUP(TRANSHARI3_SOFTDRINKMALAM[[#This Row],[PRODUK]],DATA_SOFTDRINK[],5,FALSE),"")</f>
        <v/>
      </c>
      <c r="T222" s="374"/>
      <c r="U222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2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2" s="12"/>
      <c r="X222" s="386" t="str">
        <f>IFERROR(IF(TRANSHARI3_SOFTDRINKMALAM[[#This Row],[NAMA REKENING]]="","",TRANSHARI3_SOFTDRINKMALAM[[#This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IFERROR(VLOOKUP(TRANSHARI3_SOFTDRINKPAGI[[#This Row],[PRODUK]],DATA_SOFTDRINK[],5,FALSE),"")</f>
        <v/>
      </c>
      <c r="E223" s="374"/>
      <c r="F223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3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3" s="12"/>
      <c r="I223" s="384" t="str">
        <f>IFERROR(IF(TRANSHARI3_SOFTDRINKPAGI[[#This Row],[NAMA REKENING]]="","",TRANSHARI3_SOFTDRINKPAGI[[#This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IFERROR(VLOOKUP(TRANSHARI3_SOFTDRINKMALAM[[#This Row],[PRODUK]],DATA_SOFTDRINK[],5,FALSE),"")</f>
        <v/>
      </c>
      <c r="T223" s="374"/>
      <c r="U223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3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3" s="12"/>
      <c r="X223" s="384" t="str">
        <f>IFERROR(IF(TRANSHARI3_SOFTDRINKMALAM[[#This Row],[NAMA REKENING]]="","",TRANSHARI3_SOFTDRINKMALAM[[#This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IFERROR(VLOOKUP(TRANSHARI3_SOFTDRINKPAGI[[#This Row],[PRODUK]],DATA_SOFTDRINK[],5,FALSE),"")</f>
        <v/>
      </c>
      <c r="E224" s="376"/>
      <c r="F224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4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4" s="377"/>
      <c r="I224" s="386" t="str">
        <f>IFERROR(IF(TRANSHARI3_SOFTDRINKPAGI[[#This Row],[NAMA REKENING]]="","",TRANSHARI3_SOFTDRINKPAGI[[#This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IFERROR(VLOOKUP(TRANSHARI3_SOFTDRINKMALAM[[#This Row],[PRODUK]],DATA_SOFTDRINK[],5,FALSE),"")</f>
        <v/>
      </c>
      <c r="T224" s="376"/>
      <c r="U224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4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4" s="377"/>
      <c r="X224" s="386" t="str">
        <f>IFERROR(IF(TRANSHARI3_SOFTDRINKMALAM[[#This Row],[NAMA REKENING]]="","",TRANSHARI3_SOFTDRINKMALAM[[#This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IFERROR(VLOOKUP(TRANSHARI3_SOFTDRINKPAGI[[#This Row],[PRODUK]],DATA_SOFTDRINK[],5,FALSE),"")</f>
        <v/>
      </c>
      <c r="E225" s="374"/>
      <c r="F225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5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5" s="12"/>
      <c r="I225" s="384" t="str">
        <f>IFERROR(IF(TRANSHARI3_SOFTDRINKPAGI[[#This Row],[NAMA REKENING]]="","",TRANSHARI3_SOFTDRINKPAGI[[#This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IFERROR(VLOOKUP(TRANSHARI3_SOFTDRINKMALAM[[#This Row],[PRODUK]],DATA_SOFTDRINK[],5,FALSE),"")</f>
        <v/>
      </c>
      <c r="T225" s="374"/>
      <c r="U225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5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5" s="12"/>
      <c r="X225" s="384" t="str">
        <f>IFERROR(IF(TRANSHARI3_SOFTDRINKMALAM[[#This Row],[NAMA REKENING]]="","",TRANSHARI3_SOFTDRINKMALAM[[#This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IFERROR(VLOOKUP(TRANSHARI3_SOFTDRINKPAGI[[#This Row],[PRODUK]],DATA_SOFTDRINK[],5,FALSE),"")</f>
        <v/>
      </c>
      <c r="E226" s="374"/>
      <c r="F226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6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6" s="12"/>
      <c r="I226" s="386" t="str">
        <f>IFERROR(IF(TRANSHARI3_SOFTDRINKPAGI[[#This Row],[NAMA REKENING]]="","",TRANSHARI3_SOFTDRINKPAGI[[#This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IFERROR(VLOOKUP(TRANSHARI3_SOFTDRINKMALAM[[#This Row],[PRODUK]],DATA_SOFTDRINK[],5,FALSE),"")</f>
        <v/>
      </c>
      <c r="T226" s="374"/>
      <c r="U226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6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6" s="12"/>
      <c r="X226" s="386" t="str">
        <f>IFERROR(IF(TRANSHARI3_SOFTDRINKMALAM[[#This Row],[NAMA REKENING]]="","",TRANSHARI3_SOFTDRINKMALAM[[#This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IFERROR(VLOOKUP(TRANSHARI3_SOFTDRINKPAGI[[#This Row],[PRODUK]],DATA_SOFTDRINK[],5,FALSE),"")</f>
        <v/>
      </c>
      <c r="E227" s="374"/>
      <c r="F227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7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7" s="12"/>
      <c r="I227" s="384" t="str">
        <f>IFERROR(IF(TRANSHARI3_SOFTDRINKPAGI[[#This Row],[NAMA REKENING]]="","",TRANSHARI3_SOFTDRINKPAGI[[#This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IFERROR(VLOOKUP(TRANSHARI3_SOFTDRINKMALAM[[#This Row],[PRODUK]],DATA_SOFTDRINK[],5,FALSE),"")</f>
        <v/>
      </c>
      <c r="T227" s="374"/>
      <c r="U227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7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7" s="12"/>
      <c r="X227" s="384" t="str">
        <f>IFERROR(IF(TRANSHARI3_SOFTDRINKMALAM[[#This Row],[NAMA REKENING]]="","",TRANSHARI3_SOFTDRINKMALAM[[#This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IFERROR(VLOOKUP(TRANSHARI3_SOFTDRINKPAGI[[#This Row],[PRODUK]],DATA_SOFTDRINK[],5,FALSE),"")</f>
        <v/>
      </c>
      <c r="E228" s="374"/>
      <c r="F228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8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8" s="12"/>
      <c r="I228" s="386" t="str">
        <f>IFERROR(IF(TRANSHARI3_SOFTDRINKPAGI[[#This Row],[NAMA REKENING]]="","",TRANSHARI3_SOFTDRINKPAGI[[#This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IFERROR(VLOOKUP(TRANSHARI3_SOFTDRINKMALAM[[#This Row],[PRODUK]],DATA_SOFTDRINK[],5,FALSE),"")</f>
        <v/>
      </c>
      <c r="T228" s="374"/>
      <c r="U228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8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8" s="12"/>
      <c r="X228" s="386" t="str">
        <f>IFERROR(IF(TRANSHARI3_SOFTDRINKMALAM[[#This Row],[NAMA REKENING]]="","",TRANSHARI3_SOFTDRINKMALAM[[#This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IFERROR(VLOOKUP(TRANSHARI3_SOFTDRINKPAGI[[#This Row],[PRODUK]],DATA_SOFTDRINK[],5,FALSE),"")</f>
        <v/>
      </c>
      <c r="E229" s="374"/>
      <c r="F229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29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29" s="12"/>
      <c r="I229" s="384" t="str">
        <f>IFERROR(IF(TRANSHARI3_SOFTDRINKPAGI[[#This Row],[NAMA REKENING]]="","",TRANSHARI3_SOFTDRINKPAGI[[#This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IFERROR(VLOOKUP(TRANSHARI3_SOFTDRINKMALAM[[#This Row],[PRODUK]],DATA_SOFTDRINK[],5,FALSE),"")</f>
        <v/>
      </c>
      <c r="T229" s="374"/>
      <c r="U229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29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29" s="12"/>
      <c r="X229" s="384" t="str">
        <f>IFERROR(IF(TRANSHARI3_SOFTDRINKMALAM[[#This Row],[NAMA REKENING]]="","",TRANSHARI3_SOFTDRINKMALAM[[#This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IFERROR(VLOOKUP(TRANSHARI3_SOFTDRINKPAGI[[#This Row],[PRODUK]],DATA_SOFTDRINK[],5,FALSE),"")</f>
        <v/>
      </c>
      <c r="E230" s="374"/>
      <c r="F230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0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0" s="12"/>
      <c r="I230" s="386" t="str">
        <f>IFERROR(IF(TRANSHARI3_SOFTDRINKPAGI[[#This Row],[NAMA REKENING]]="","",TRANSHARI3_SOFTDRINKPAGI[[#This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IFERROR(VLOOKUP(TRANSHARI3_SOFTDRINKMALAM[[#This Row],[PRODUK]],DATA_SOFTDRINK[],5,FALSE),"")</f>
        <v/>
      </c>
      <c r="T230" s="374"/>
      <c r="U230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0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0" s="12"/>
      <c r="X230" s="386" t="str">
        <f>IFERROR(IF(TRANSHARI3_SOFTDRINKMALAM[[#This Row],[NAMA REKENING]]="","",TRANSHARI3_SOFTDRINKMALAM[[#This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IFERROR(VLOOKUP(TRANSHARI3_SOFTDRINKPAGI[[#This Row],[PRODUK]],DATA_SOFTDRINK[],5,FALSE),"")</f>
        <v/>
      </c>
      <c r="E231" s="374"/>
      <c r="F231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1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1" s="12"/>
      <c r="I231" s="384" t="str">
        <f>IFERROR(IF(TRANSHARI3_SOFTDRINKPAGI[[#This Row],[NAMA REKENING]]="","",TRANSHARI3_SOFTDRINKPAGI[[#This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IFERROR(VLOOKUP(TRANSHARI3_SOFTDRINKMALAM[[#This Row],[PRODUK]],DATA_SOFTDRINK[],5,FALSE),"")</f>
        <v/>
      </c>
      <c r="T231" s="374"/>
      <c r="U231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1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1" s="12"/>
      <c r="X231" s="384" t="str">
        <f>IFERROR(IF(TRANSHARI3_SOFTDRINKMALAM[[#This Row],[NAMA REKENING]]="","",TRANSHARI3_SOFTDRINKMALAM[[#This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IFERROR(VLOOKUP(TRANSHARI3_SOFTDRINKPAGI[[#This Row],[PRODUK]],DATA_SOFTDRINK[],5,FALSE),"")</f>
        <v/>
      </c>
      <c r="E232" s="374"/>
      <c r="F232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2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2" s="12"/>
      <c r="I232" s="386" t="str">
        <f>IFERROR(IF(TRANSHARI3_SOFTDRINKPAGI[[#This Row],[NAMA REKENING]]="","",TRANSHARI3_SOFTDRINKPAGI[[#This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IFERROR(VLOOKUP(TRANSHARI3_SOFTDRINKMALAM[[#This Row],[PRODUK]],DATA_SOFTDRINK[],5,FALSE),"")</f>
        <v/>
      </c>
      <c r="T232" s="374"/>
      <c r="U232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2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2" s="12"/>
      <c r="X232" s="386" t="str">
        <f>IFERROR(IF(TRANSHARI3_SOFTDRINKMALAM[[#This Row],[NAMA REKENING]]="","",TRANSHARI3_SOFTDRINKMALAM[[#This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IFERROR(VLOOKUP(TRANSHARI3_SOFTDRINKPAGI[[#This Row],[PRODUK]],DATA_SOFTDRINK[],5,FALSE),"")</f>
        <v/>
      </c>
      <c r="E233" s="374"/>
      <c r="F233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3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3" s="12"/>
      <c r="I233" s="384" t="str">
        <f>IFERROR(IF(TRANSHARI3_SOFTDRINKPAGI[[#This Row],[NAMA REKENING]]="","",TRANSHARI3_SOFTDRINKPAGI[[#This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IFERROR(VLOOKUP(TRANSHARI3_SOFTDRINKMALAM[[#This Row],[PRODUK]],DATA_SOFTDRINK[],5,FALSE),"")</f>
        <v/>
      </c>
      <c r="T233" s="374"/>
      <c r="U233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3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3" s="12"/>
      <c r="X233" s="384" t="str">
        <f>IFERROR(IF(TRANSHARI3_SOFTDRINKMALAM[[#This Row],[NAMA REKENING]]="","",TRANSHARI3_SOFTDRINKMALAM[[#This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IFERROR(VLOOKUP(TRANSHARI3_SOFTDRINKPAGI[[#This Row],[PRODUK]],DATA_SOFTDRINK[],5,FALSE),"")</f>
        <v/>
      </c>
      <c r="E234" s="374"/>
      <c r="F234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4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4" s="12"/>
      <c r="I234" s="386" t="str">
        <f>IFERROR(IF(TRANSHARI3_SOFTDRINKPAGI[[#This Row],[NAMA REKENING]]="","",TRANSHARI3_SOFTDRINKPAGI[[#This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IFERROR(VLOOKUP(TRANSHARI3_SOFTDRINKMALAM[[#This Row],[PRODUK]],DATA_SOFTDRINK[],5,FALSE),"")</f>
        <v/>
      </c>
      <c r="T234" s="374"/>
      <c r="U234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4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4" s="12"/>
      <c r="X234" s="386" t="str">
        <f>IFERROR(IF(TRANSHARI3_SOFTDRINKMALAM[[#This Row],[NAMA REKENING]]="","",TRANSHARI3_SOFTDRINKMALAM[[#This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IFERROR(VLOOKUP(TRANSHARI3_SOFTDRINKPAGI[[#This Row],[PRODUK]],DATA_SOFTDRINK[],5,FALSE),"")</f>
        <v/>
      </c>
      <c r="E235" s="374"/>
      <c r="F235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5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5" s="12"/>
      <c r="I235" s="384" t="str">
        <f>IFERROR(IF(TRANSHARI3_SOFTDRINKPAGI[[#This Row],[NAMA REKENING]]="","",TRANSHARI3_SOFTDRINKPAGI[[#This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IFERROR(VLOOKUP(TRANSHARI3_SOFTDRINKMALAM[[#This Row],[PRODUK]],DATA_SOFTDRINK[],5,FALSE),"")</f>
        <v/>
      </c>
      <c r="T235" s="374"/>
      <c r="U235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5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5" s="12"/>
      <c r="X235" s="384" t="str">
        <f>IFERROR(IF(TRANSHARI3_SOFTDRINKMALAM[[#This Row],[NAMA REKENING]]="","",TRANSHARI3_SOFTDRINKMALAM[[#This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IFERROR(VLOOKUP(TRANSHARI3_SOFTDRINKPAGI[[#This Row],[PRODUK]],DATA_SOFTDRINK[],5,FALSE),"")</f>
        <v/>
      </c>
      <c r="E236" s="374"/>
      <c r="F236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6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6" s="12"/>
      <c r="I236" s="386" t="str">
        <f>IFERROR(IF(TRANSHARI3_SOFTDRINKPAGI[[#This Row],[NAMA REKENING]]="","",TRANSHARI3_SOFTDRINKPAGI[[#This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IFERROR(VLOOKUP(TRANSHARI3_SOFTDRINKMALAM[[#This Row],[PRODUK]],DATA_SOFTDRINK[],5,FALSE),"")</f>
        <v/>
      </c>
      <c r="T236" s="374"/>
      <c r="U236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6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6" s="12"/>
      <c r="X236" s="386" t="str">
        <f>IFERROR(IF(TRANSHARI3_SOFTDRINKMALAM[[#This Row],[NAMA REKENING]]="","",TRANSHARI3_SOFTDRINKMALAM[[#This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IFERROR(VLOOKUP(TRANSHARI3_SOFTDRINKPAGI[[#This Row],[PRODUK]],DATA_SOFTDRINK[],5,FALSE),"")</f>
        <v/>
      </c>
      <c r="E237" s="374"/>
      <c r="F237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7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7" s="12"/>
      <c r="I237" s="384" t="str">
        <f>IFERROR(IF(TRANSHARI3_SOFTDRINKPAGI[[#This Row],[NAMA REKENING]]="","",TRANSHARI3_SOFTDRINKPAGI[[#This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IFERROR(VLOOKUP(TRANSHARI3_SOFTDRINKMALAM[[#This Row],[PRODUK]],DATA_SOFTDRINK[],5,FALSE),"")</f>
        <v/>
      </c>
      <c r="T237" s="374"/>
      <c r="U237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7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7" s="12"/>
      <c r="X237" s="384" t="str">
        <f>IFERROR(IF(TRANSHARI3_SOFTDRINKMALAM[[#This Row],[NAMA REKENING]]="","",TRANSHARI3_SOFTDRINKMALAM[[#This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IFERROR(VLOOKUP(TRANSHARI3_SOFTDRINKPAGI[[#This Row],[PRODUK]],DATA_SOFTDRINK[],5,FALSE),"")</f>
        <v/>
      </c>
      <c r="E238" s="374"/>
      <c r="F238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8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8" s="12"/>
      <c r="I238" s="386" t="str">
        <f>IFERROR(IF(TRANSHARI3_SOFTDRINKPAGI[[#This Row],[NAMA REKENING]]="","",TRANSHARI3_SOFTDRINKPAGI[[#This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IFERROR(VLOOKUP(TRANSHARI3_SOFTDRINKMALAM[[#This Row],[PRODUK]],DATA_SOFTDRINK[],5,FALSE),"")</f>
        <v/>
      </c>
      <c r="T238" s="374"/>
      <c r="U238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8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8" s="12"/>
      <c r="X238" s="386" t="str">
        <f>IFERROR(IF(TRANSHARI3_SOFTDRINKMALAM[[#This Row],[NAMA REKENING]]="","",TRANSHARI3_SOFTDRINKMALAM[[#This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IFERROR(VLOOKUP(TRANSHARI3_SOFTDRINKPAGI[[#This Row],[PRODUK]],DATA_SOFTDRINK[],5,FALSE),"")</f>
        <v/>
      </c>
      <c r="E239" s="374"/>
      <c r="F239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39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39" s="12"/>
      <c r="I239" s="384" t="str">
        <f>IFERROR(IF(TRANSHARI3_SOFTDRINKPAGI[[#This Row],[NAMA REKENING]]="","",TRANSHARI3_SOFTDRINKPAGI[[#This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IFERROR(VLOOKUP(TRANSHARI3_SOFTDRINKMALAM[[#This Row],[PRODUK]],DATA_SOFTDRINK[],5,FALSE),"")</f>
        <v/>
      </c>
      <c r="T239" s="374"/>
      <c r="U239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39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39" s="12"/>
      <c r="X239" s="384" t="str">
        <f>IFERROR(IF(TRANSHARI3_SOFTDRINKMALAM[[#This Row],[NAMA REKENING]]="","",TRANSHARI3_SOFTDRINKMALAM[[#This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IFERROR(VLOOKUP(TRANSHARI3_SOFTDRINKPAGI[[#This Row],[PRODUK]],DATA_SOFTDRINK[],5,FALSE),"")</f>
        <v/>
      </c>
      <c r="E240" s="374"/>
      <c r="F240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0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0" s="12"/>
      <c r="I240" s="386" t="str">
        <f>IFERROR(IF(TRANSHARI3_SOFTDRINKPAGI[[#This Row],[NAMA REKENING]]="","",TRANSHARI3_SOFTDRINKPAGI[[#This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IFERROR(VLOOKUP(TRANSHARI3_SOFTDRINKMALAM[[#This Row],[PRODUK]],DATA_SOFTDRINK[],5,FALSE),"")</f>
        <v/>
      </c>
      <c r="T240" s="374"/>
      <c r="U240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0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0" s="12"/>
      <c r="X240" s="386" t="str">
        <f>IFERROR(IF(TRANSHARI3_SOFTDRINKMALAM[[#This Row],[NAMA REKENING]]="","",TRANSHARI3_SOFTDRINKMALAM[[#This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IFERROR(VLOOKUP(TRANSHARI3_SOFTDRINKPAGI[[#This Row],[PRODUK]],DATA_SOFTDRINK[],5,FALSE),"")</f>
        <v/>
      </c>
      <c r="E241" s="374"/>
      <c r="F241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1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1" s="12"/>
      <c r="I241" s="384" t="str">
        <f>IFERROR(IF(TRANSHARI3_SOFTDRINKPAGI[[#This Row],[NAMA REKENING]]="","",TRANSHARI3_SOFTDRINKPAGI[[#This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IFERROR(VLOOKUP(TRANSHARI3_SOFTDRINKMALAM[[#This Row],[PRODUK]],DATA_SOFTDRINK[],5,FALSE),"")</f>
        <v/>
      </c>
      <c r="T241" s="374"/>
      <c r="U241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1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1" s="12"/>
      <c r="X241" s="384" t="str">
        <f>IFERROR(IF(TRANSHARI3_SOFTDRINKMALAM[[#This Row],[NAMA REKENING]]="","",TRANSHARI3_SOFTDRINKMALAM[[#This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IFERROR(VLOOKUP(TRANSHARI3_SOFTDRINKPAGI[[#This Row],[PRODUK]],DATA_SOFTDRINK[],5,FALSE),"")</f>
        <v/>
      </c>
      <c r="E242" s="374"/>
      <c r="F242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2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2" s="12"/>
      <c r="I242" s="386" t="str">
        <f>IFERROR(IF(TRANSHARI3_SOFTDRINKPAGI[[#This Row],[NAMA REKENING]]="","",TRANSHARI3_SOFTDRINKPAGI[[#This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IFERROR(VLOOKUP(TRANSHARI3_SOFTDRINKMALAM[[#This Row],[PRODUK]],DATA_SOFTDRINK[],5,FALSE),"")</f>
        <v/>
      </c>
      <c r="T242" s="374"/>
      <c r="U242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2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2" s="12"/>
      <c r="X242" s="386" t="str">
        <f>IFERROR(IF(TRANSHARI3_SOFTDRINKMALAM[[#This Row],[NAMA REKENING]]="","",TRANSHARI3_SOFTDRINKMALAM[[#This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IFERROR(VLOOKUP(TRANSHARI3_SOFTDRINKPAGI[[#This Row],[PRODUK]],DATA_SOFTDRINK[],5,FALSE),"")</f>
        <v/>
      </c>
      <c r="E243" s="374"/>
      <c r="F243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3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3" s="12"/>
      <c r="I243" s="384" t="str">
        <f>IFERROR(IF(TRANSHARI3_SOFTDRINKPAGI[[#This Row],[NAMA REKENING]]="","",TRANSHARI3_SOFTDRINKPAGI[[#This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IFERROR(VLOOKUP(TRANSHARI3_SOFTDRINKMALAM[[#This Row],[PRODUK]],DATA_SOFTDRINK[],5,FALSE),"")</f>
        <v/>
      </c>
      <c r="T243" s="374"/>
      <c r="U243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3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3" s="12"/>
      <c r="X243" s="384" t="str">
        <f>IFERROR(IF(TRANSHARI3_SOFTDRINKMALAM[[#This Row],[NAMA REKENING]]="","",TRANSHARI3_SOFTDRINKMALAM[[#This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IFERROR(VLOOKUP(TRANSHARI3_SOFTDRINKPAGI[[#This Row],[PRODUK]],DATA_SOFTDRINK[],5,FALSE),"")</f>
        <v/>
      </c>
      <c r="E244" s="374"/>
      <c r="F244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4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4" s="12"/>
      <c r="I244" s="386" t="str">
        <f>IFERROR(IF(TRANSHARI3_SOFTDRINKPAGI[[#This Row],[NAMA REKENING]]="","",TRANSHARI3_SOFTDRINKPAGI[[#This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IFERROR(VLOOKUP(TRANSHARI3_SOFTDRINKMALAM[[#This Row],[PRODUK]],DATA_SOFTDRINK[],5,FALSE),"")</f>
        <v/>
      </c>
      <c r="T244" s="374"/>
      <c r="U244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4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4" s="12"/>
      <c r="X244" s="386" t="str">
        <f>IFERROR(IF(TRANSHARI3_SOFTDRINKMALAM[[#This Row],[NAMA REKENING]]="","",TRANSHARI3_SOFTDRINKMALAM[[#This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IFERROR(VLOOKUP(TRANSHARI3_SOFTDRINKPAGI[[#This Row],[PRODUK]],DATA_SOFTDRINK[],5,FALSE),"")</f>
        <v/>
      </c>
      <c r="E245" s="374"/>
      <c r="F245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5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5" s="12"/>
      <c r="I245" s="384" t="str">
        <f>IFERROR(IF(TRANSHARI3_SOFTDRINKPAGI[[#This Row],[NAMA REKENING]]="","",TRANSHARI3_SOFTDRINKPAGI[[#This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IFERROR(VLOOKUP(TRANSHARI3_SOFTDRINKMALAM[[#This Row],[PRODUK]],DATA_SOFTDRINK[],5,FALSE),"")</f>
        <v/>
      </c>
      <c r="T245" s="374"/>
      <c r="U245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5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5" s="12"/>
      <c r="X245" s="384" t="str">
        <f>IFERROR(IF(TRANSHARI3_SOFTDRINKMALAM[[#This Row],[NAMA REKENING]]="","",TRANSHARI3_SOFTDRINKMALAM[[#This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IFERROR(VLOOKUP(TRANSHARI3_SOFTDRINKPAGI[[#This Row],[PRODUK]],DATA_SOFTDRINK[],5,FALSE),"")</f>
        <v/>
      </c>
      <c r="E246" s="374"/>
      <c r="F246" s="373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6" s="373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6" s="12"/>
      <c r="I246" s="386" t="str">
        <f>IFERROR(IF(TRANSHARI3_SOFTDRINKPAGI[[#This Row],[NAMA REKENING]]="","",TRANSHARI3_SOFTDRINKPAGI[[#This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IFERROR(VLOOKUP(TRANSHARI3_SOFTDRINKMALAM[[#This Row],[PRODUK]],DATA_SOFTDRINK[],5,FALSE),"")</f>
        <v/>
      </c>
      <c r="T246" s="374"/>
      <c r="U246" s="373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6" s="373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6" s="12"/>
      <c r="X246" s="386" t="str">
        <f>IFERROR(IF(TRANSHARI3_SOFTDRINKMALAM[[#This Row],[NAMA REKENING]]="","",TRANSHARI3_SOFTDRINKMALAM[[#This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IFERROR(VLOOKUP(TRANSHARI3_SOFTDRINKPAGI[[#This Row],[PRODUK]],DATA_SOFTDRINK[],5,FALSE),"")</f>
        <v/>
      </c>
      <c r="E247" s="374"/>
      <c r="F247" s="369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7" s="369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7" s="12"/>
      <c r="I247" s="384" t="str">
        <f>IFERROR(IF(TRANSHARI3_SOFTDRINKPAGI[[#This Row],[NAMA REKENING]]="","",TRANSHARI3_SOFTDRINKPAGI[[#This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IFERROR(VLOOKUP(TRANSHARI3_SOFTDRINKMALAM[[#This Row],[PRODUK]],DATA_SOFTDRINK[],5,FALSE),"")</f>
        <v/>
      </c>
      <c r="T247" s="374"/>
      <c r="U247" s="369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7" s="369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7" s="12"/>
      <c r="X247" s="384" t="str">
        <f>IFERROR(IF(TRANSHARI3_SOFTDRINKMALAM[[#This Row],[NAMA REKENING]]="","",TRANSHARI3_SOFTDRINKMALAM[[#This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IFERROR(VLOOKUP(TRANSHARI3_SOFTDRINKPAGI[[#This Row],[PRODUK]],DATA_SOFTDRINK[],5,FALSE),"")</f>
        <v/>
      </c>
      <c r="E248" s="376"/>
      <c r="F248" s="394" t="str">
        <f>IFERROR(IF(TRANSHARI3_SOFTDRINKPAGI[[#This Row],[NAMA PENGHUTANG]]="",((TRANSHARI3_SOFTDRINKPAGI[[#This Row],[HARGA]]*TRANSHARI3_SOFTDRINKPAGI[[#This Row],[QUANTITY]])+TRANSHARI3_SOFTDRINKPAGI[[#This Row],[PRICE TOLERANCE]]),""),"")</f>
        <v/>
      </c>
      <c r="G248" s="394" t="str">
        <f>IFERROR(IF(TRANSHARI3_SOFTDRINKPAGI[[#This Row],[NAMA PENGHUTANG]]="","",((TRANSHARI3_SOFTDRINKPAGI[[#This Row],[HARGA]]*TRANSHARI3_SOFTDRINKPAGI[[#This Row],[QUANTITY]])+TRANSHARI3_SOFTDRINKPAGI[[#This Row],[PRICE TOLERANCE]])),"")</f>
        <v/>
      </c>
      <c r="H248" s="377"/>
      <c r="I248" s="399" t="str">
        <f>IFERROR(IF(TRANSHARI3_SOFTDRINKPAGI[[#This Row],[NAMA REKENING]]="","",TRANSHARI3_SOFTDRINKPAGI[[#This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IFERROR(VLOOKUP(TRANSHARI3_SOFTDRINKMALAM[[#This Row],[PRODUK]],DATA_SOFTDRINK[],5,FALSE),"")</f>
        <v/>
      </c>
      <c r="T248" s="376"/>
      <c r="U248" s="394" t="str">
        <f>IFERROR(IF(TRANSHARI3_SOFTDRINKMALAM[[#This Row],[NAMA PENGHUTANG]]="",((TRANSHARI3_SOFTDRINKMALAM[[#This Row],[HARGA]]*TRANSHARI3_SOFTDRINKMALAM[[#This Row],[QUANTITY]])+TRANSHARI3_SOFTDRINKMALAM[[#This Row],[PRICE TOLERANCE]]),""),"")</f>
        <v/>
      </c>
      <c r="V248" s="394" t="str">
        <f>IFERROR(IF(TRANSHARI3_SOFTDRINKMALAM[[#This Row],[NAMA PENGHUTANG]]="","",((TRANSHARI3_SOFTDRINKMALAM[[#This Row],[HARGA]]*TRANSHARI3_SOFTDRINKMALAM[[#This Row],[QUANTITY]])+TRANSHARI3_SOFTDRINKMALAM[[#This Row],[PRICE TOLERANCE]])),"")</f>
        <v/>
      </c>
      <c r="W248" s="377"/>
      <c r="X248" s="399" t="str">
        <f>IFERROR(IF(TRANSHARI3_SOFTDRINKMALAM[[#This Row],[NAMA REKENING]]="","",TRANSHARI3_SOFTDRINKMALAM[[#This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SUM(TRANSHARI3_SOFTDRINKPAGI[QUANTITY])</f>
        <v>0</v>
      </c>
      <c r="E249" s="398">
        <f>SUM(TRANSHARI3_SOFTDRINKPAGI[PRICE TOLERANCE])</f>
        <v>0</v>
      </c>
      <c r="F249" s="396">
        <f>SUM(TRANSHARI3_SOFTDRINKPAGI[DEBIT])</f>
        <v>0</v>
      </c>
      <c r="G249" s="396">
        <f>SUM(TRANSHARI3_SOFTDRINKPAGI[KREDIT])</f>
        <v>0</v>
      </c>
      <c r="I249" s="396">
        <f>SUM(TRANSHARI3_SOFTDRINKPAGI[NOMINAL TRANSFER])</f>
        <v>0</v>
      </c>
      <c r="O249" s="324"/>
      <c r="P249" s="303" t="s">
        <v>78</v>
      </c>
      <c r="Q249" s="316"/>
      <c r="R249" s="395">
        <f>SUM(TRANSHARI3_SOFTDRINKMALAM[QUANTITY])</f>
        <v>0</v>
      </c>
      <c r="T249" s="398">
        <f>SUM(TRANSHARI3_SOFTDRINKMALAM[PRICE TOLERANCE])</f>
        <v>0</v>
      </c>
      <c r="U249" s="396">
        <f>SUM(TRANSHARI3_SOFTDRINKMALAM[DEBIT])</f>
        <v>0</v>
      </c>
      <c r="V249" s="396">
        <f>SUM(TRANSHARI3_SOFTDRINKMALAM[KREDIT])</f>
        <v>0</v>
      </c>
      <c r="X249" s="396">
        <f>SUM(TRANSHARI3_SOFTDRINKMALAM[NOMINAL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">
        <v>199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">
        <v>200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IFERROR(VLOOKUP(TRANSHARI3_ICECREAMPAGI[[#This Row],[PRODUK]],DATA_ICECREAM[],5,FALSE),"")</f>
        <v/>
      </c>
      <c r="E256" s="370"/>
      <c r="F256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56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56" s="371"/>
      <c r="I256" s="384" t="str">
        <f>IFERROR(IF(TRANSHARI3_ICECREAMPAGI[[#This Row],[NAMA REKENING]]="","",TRANSHARI3_ICECREAMPAGI[[#This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IFERROR(VLOOKUP(TRANSHARI3_ICECREAMMALAM[[#This Row],[PRODUK]],DATA_ICECREAM[],5,FALSE),"")</f>
        <v/>
      </c>
      <c r="T256" s="370"/>
      <c r="U256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56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56" s="371"/>
      <c r="X256" s="384" t="str">
        <f>IFERROR(IF(TRANSHARI3_ICECREAMMALAM[[#This Row],[NAMA REKENING]]="","",TRANSHARI3_ICECREAMMALAM[[#This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IFERROR(VLOOKUP(TRANSHARI3_ICECREAMPAGI[[#This Row],[PRODUK]],DATA_ICECREAM[],5,FALSE),"")</f>
        <v/>
      </c>
      <c r="E257" s="374"/>
      <c r="F257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57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57" s="12"/>
      <c r="I257" s="386" t="str">
        <f>IFERROR(IF(TRANSHARI3_ICECREAMPAGI[[#This Row],[NAMA REKENING]]="","",TRANSHARI3_ICECREAMPAGI[[#This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IFERROR(VLOOKUP(TRANSHARI3_ICECREAMMALAM[[#This Row],[PRODUK]],DATA_ICECREAM[],5,FALSE),"")</f>
        <v/>
      </c>
      <c r="T257" s="374"/>
      <c r="U257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57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57" s="12"/>
      <c r="X257" s="386" t="str">
        <f>IFERROR(IF(TRANSHARI3_ICECREAMMALAM[[#This Row],[NAMA REKENING]]="","",TRANSHARI3_ICECREAMMALAM[[#This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IFERROR(VLOOKUP(TRANSHARI3_ICECREAMPAGI[[#This Row],[PRODUK]],DATA_ICECREAM[],5,FALSE),"")</f>
        <v/>
      </c>
      <c r="E258" s="374"/>
      <c r="F258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58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58" s="12"/>
      <c r="I258" s="384" t="str">
        <f>IFERROR(IF(TRANSHARI3_ICECREAMPAGI[[#This Row],[NAMA REKENING]]="","",TRANSHARI3_ICECREAMPAGI[[#This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IFERROR(VLOOKUP(TRANSHARI3_ICECREAMMALAM[[#This Row],[PRODUK]],DATA_ICECREAM[],5,FALSE),"")</f>
        <v/>
      </c>
      <c r="T258" s="374"/>
      <c r="U258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58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58" s="12"/>
      <c r="X258" s="384" t="str">
        <f>IFERROR(IF(TRANSHARI3_ICECREAMMALAM[[#This Row],[NAMA REKENING]]="","",TRANSHARI3_ICECREAMMALAM[[#This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IFERROR(VLOOKUP(TRANSHARI3_ICECREAMPAGI[[#This Row],[PRODUK]],DATA_ICECREAM[],5,FALSE),"")</f>
        <v/>
      </c>
      <c r="E259" s="374"/>
      <c r="F259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59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59" s="12"/>
      <c r="I259" s="386" t="str">
        <f>IFERROR(IF(TRANSHARI3_ICECREAMPAGI[[#This Row],[NAMA REKENING]]="","",TRANSHARI3_ICECREAMPAGI[[#This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IFERROR(VLOOKUP(TRANSHARI3_ICECREAMMALAM[[#This Row],[PRODUK]],DATA_ICECREAM[],5,FALSE),"")</f>
        <v/>
      </c>
      <c r="T259" s="374"/>
      <c r="U259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59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59" s="12"/>
      <c r="X259" s="386" t="str">
        <f>IFERROR(IF(TRANSHARI3_ICECREAMMALAM[[#This Row],[NAMA REKENING]]="","",TRANSHARI3_ICECREAMMALAM[[#This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IFERROR(VLOOKUP(TRANSHARI3_ICECREAMPAGI[[#This Row],[PRODUK]],DATA_ICECREAM[],5,FALSE),"")</f>
        <v/>
      </c>
      <c r="E260" s="374"/>
      <c r="F260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0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0" s="12"/>
      <c r="I260" s="384" t="str">
        <f>IFERROR(IF(TRANSHARI3_ICECREAMPAGI[[#This Row],[NAMA REKENING]]="","",TRANSHARI3_ICECREAMPAGI[[#This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IFERROR(VLOOKUP(TRANSHARI3_ICECREAMMALAM[[#This Row],[PRODUK]],DATA_ICECREAM[],5,FALSE),"")</f>
        <v/>
      </c>
      <c r="T260" s="374"/>
      <c r="U260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0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0" s="12"/>
      <c r="X260" s="384" t="str">
        <f>IFERROR(IF(TRANSHARI3_ICECREAMMALAM[[#This Row],[NAMA REKENING]]="","",TRANSHARI3_ICECREAMMALAM[[#This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IFERROR(VLOOKUP(TRANSHARI3_ICECREAMPAGI[[#This Row],[PRODUK]],DATA_ICECREAM[],5,FALSE),"")</f>
        <v/>
      </c>
      <c r="E261" s="374"/>
      <c r="F261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1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1" s="12"/>
      <c r="I261" s="386" t="str">
        <f>IFERROR(IF(TRANSHARI3_ICECREAMPAGI[[#This Row],[NAMA REKENING]]="","",TRANSHARI3_ICECREAMPAGI[[#This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IFERROR(VLOOKUP(TRANSHARI3_ICECREAMMALAM[[#This Row],[PRODUK]],DATA_ICECREAM[],5,FALSE),"")</f>
        <v/>
      </c>
      <c r="T261" s="374"/>
      <c r="U261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1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1" s="12"/>
      <c r="X261" s="386" t="str">
        <f>IFERROR(IF(TRANSHARI3_ICECREAMMALAM[[#This Row],[NAMA REKENING]]="","",TRANSHARI3_ICECREAMMALAM[[#This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IFERROR(VLOOKUP(TRANSHARI3_ICECREAMPAGI[[#This Row],[PRODUK]],DATA_ICECREAM[],5,FALSE),"")</f>
        <v/>
      </c>
      <c r="E262" s="374"/>
      <c r="F262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2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2" s="12"/>
      <c r="I262" s="384" t="str">
        <f>IFERROR(IF(TRANSHARI3_ICECREAMPAGI[[#This Row],[NAMA REKENING]]="","",TRANSHARI3_ICECREAMPAGI[[#This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IFERROR(VLOOKUP(TRANSHARI3_ICECREAMMALAM[[#This Row],[PRODUK]],DATA_ICECREAM[],5,FALSE),"")</f>
        <v/>
      </c>
      <c r="T262" s="374"/>
      <c r="U262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2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2" s="12"/>
      <c r="X262" s="384" t="str">
        <f>IFERROR(IF(TRANSHARI3_ICECREAMMALAM[[#This Row],[NAMA REKENING]]="","",TRANSHARI3_ICECREAMMALAM[[#This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IFERROR(VLOOKUP(TRANSHARI3_ICECREAMPAGI[[#This Row],[PRODUK]],DATA_ICECREAM[],5,FALSE),"")</f>
        <v/>
      </c>
      <c r="E263" s="374"/>
      <c r="F263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3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3" s="12"/>
      <c r="I263" s="386" t="str">
        <f>IFERROR(IF(TRANSHARI3_ICECREAMPAGI[[#This Row],[NAMA REKENING]]="","",TRANSHARI3_ICECREAMPAGI[[#This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IFERROR(VLOOKUP(TRANSHARI3_ICECREAMMALAM[[#This Row],[PRODUK]],DATA_ICECREAM[],5,FALSE),"")</f>
        <v/>
      </c>
      <c r="T263" s="374"/>
      <c r="U263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3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3" s="12"/>
      <c r="X263" s="386" t="str">
        <f>IFERROR(IF(TRANSHARI3_ICECREAMMALAM[[#This Row],[NAMA REKENING]]="","",TRANSHARI3_ICECREAMMALAM[[#This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IFERROR(VLOOKUP(TRANSHARI3_ICECREAMPAGI[[#This Row],[PRODUK]],DATA_ICECREAM[],5,FALSE),"")</f>
        <v/>
      </c>
      <c r="E264" s="374"/>
      <c r="F264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4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4" s="12"/>
      <c r="I264" s="384" t="str">
        <f>IFERROR(IF(TRANSHARI3_ICECREAMPAGI[[#This Row],[NAMA REKENING]]="","",TRANSHARI3_ICECREAMPAGI[[#This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IFERROR(VLOOKUP(TRANSHARI3_ICECREAMMALAM[[#This Row],[PRODUK]],DATA_ICECREAM[],5,FALSE),"")</f>
        <v/>
      </c>
      <c r="T264" s="374"/>
      <c r="U264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4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4" s="12"/>
      <c r="X264" s="384" t="str">
        <f>IFERROR(IF(TRANSHARI3_ICECREAMMALAM[[#This Row],[NAMA REKENING]]="","",TRANSHARI3_ICECREAMMALAM[[#This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IFERROR(VLOOKUP(TRANSHARI3_ICECREAMPAGI[[#This Row],[PRODUK]],DATA_ICECREAM[],5,FALSE),"")</f>
        <v/>
      </c>
      <c r="E265" s="374"/>
      <c r="F265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5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5" s="12"/>
      <c r="I265" s="386" t="str">
        <f>IFERROR(IF(TRANSHARI3_ICECREAMPAGI[[#This Row],[NAMA REKENING]]="","",TRANSHARI3_ICECREAMPAGI[[#This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IFERROR(VLOOKUP(TRANSHARI3_ICECREAMMALAM[[#This Row],[PRODUK]],DATA_ICECREAM[],5,FALSE),"")</f>
        <v/>
      </c>
      <c r="T265" s="374"/>
      <c r="U265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5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5" s="12"/>
      <c r="X265" s="386" t="str">
        <f>IFERROR(IF(TRANSHARI3_ICECREAMMALAM[[#This Row],[NAMA REKENING]]="","",TRANSHARI3_ICECREAMMALAM[[#This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IFERROR(VLOOKUP(TRANSHARI3_ICECREAMPAGI[[#This Row],[PRODUK]],DATA_ICECREAM[],5,FALSE),"")</f>
        <v/>
      </c>
      <c r="E266" s="374"/>
      <c r="F266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6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6" s="12"/>
      <c r="I266" s="384" t="str">
        <f>IFERROR(IF(TRANSHARI3_ICECREAMPAGI[[#This Row],[NAMA REKENING]]="","",TRANSHARI3_ICECREAMPAGI[[#This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IFERROR(VLOOKUP(TRANSHARI3_ICECREAMMALAM[[#This Row],[PRODUK]],DATA_ICECREAM[],5,FALSE),"")</f>
        <v/>
      </c>
      <c r="T266" s="374"/>
      <c r="U266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6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6" s="12"/>
      <c r="X266" s="384" t="str">
        <f>IFERROR(IF(TRANSHARI3_ICECREAMMALAM[[#This Row],[NAMA REKENING]]="","",TRANSHARI3_ICECREAMMALAM[[#This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IFERROR(VLOOKUP(TRANSHARI3_ICECREAMPAGI[[#This Row],[PRODUK]],DATA_ICECREAM[],5,FALSE),"")</f>
        <v/>
      </c>
      <c r="E267" s="374"/>
      <c r="F267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7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7" s="12"/>
      <c r="I267" s="386" t="str">
        <f>IFERROR(IF(TRANSHARI3_ICECREAMPAGI[[#This Row],[NAMA REKENING]]="","",TRANSHARI3_ICECREAMPAGI[[#This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IFERROR(VLOOKUP(TRANSHARI3_ICECREAMMALAM[[#This Row],[PRODUK]],DATA_ICECREAM[],5,FALSE),"")</f>
        <v/>
      </c>
      <c r="T267" s="374"/>
      <c r="U267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7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7" s="12"/>
      <c r="X267" s="386" t="str">
        <f>IFERROR(IF(TRANSHARI3_ICECREAMMALAM[[#This Row],[NAMA REKENING]]="","",TRANSHARI3_ICECREAMMALAM[[#This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IFERROR(VLOOKUP(TRANSHARI3_ICECREAMPAGI[[#This Row],[PRODUK]],DATA_ICECREAM[],5,FALSE),"")</f>
        <v/>
      </c>
      <c r="E268" s="374"/>
      <c r="F268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8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8" s="12"/>
      <c r="I268" s="384" t="str">
        <f>IFERROR(IF(TRANSHARI3_ICECREAMPAGI[[#This Row],[NAMA REKENING]]="","",TRANSHARI3_ICECREAMPAGI[[#This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IFERROR(VLOOKUP(TRANSHARI3_ICECREAMMALAM[[#This Row],[PRODUK]],DATA_ICECREAM[],5,FALSE),"")</f>
        <v/>
      </c>
      <c r="T268" s="374"/>
      <c r="U268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8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8" s="12"/>
      <c r="X268" s="384" t="str">
        <f>IFERROR(IF(TRANSHARI3_ICECREAMMALAM[[#This Row],[NAMA REKENING]]="","",TRANSHARI3_ICECREAMMALAM[[#This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IFERROR(VLOOKUP(TRANSHARI3_ICECREAMPAGI[[#This Row],[PRODUK]],DATA_ICECREAM[],5,FALSE),"")</f>
        <v/>
      </c>
      <c r="E269" s="374"/>
      <c r="F269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69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69" s="12"/>
      <c r="I269" s="386" t="str">
        <f>IFERROR(IF(TRANSHARI3_ICECREAMPAGI[[#This Row],[NAMA REKENING]]="","",TRANSHARI3_ICECREAMPAGI[[#This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IFERROR(VLOOKUP(TRANSHARI3_ICECREAMMALAM[[#This Row],[PRODUK]],DATA_ICECREAM[],5,FALSE),"")</f>
        <v/>
      </c>
      <c r="T269" s="374"/>
      <c r="U269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69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69" s="12"/>
      <c r="X269" s="386" t="str">
        <f>IFERROR(IF(TRANSHARI3_ICECREAMMALAM[[#This Row],[NAMA REKENING]]="","",TRANSHARI3_ICECREAMMALAM[[#This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IFERROR(VLOOKUP(TRANSHARI3_ICECREAMPAGI[[#This Row],[PRODUK]],DATA_ICECREAM[],5,FALSE),"")</f>
        <v/>
      </c>
      <c r="E270" s="374"/>
      <c r="F270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0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0" s="12"/>
      <c r="I270" s="384" t="str">
        <f>IFERROR(IF(TRANSHARI3_ICECREAMPAGI[[#This Row],[NAMA REKENING]]="","",TRANSHARI3_ICECREAMPAGI[[#This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IFERROR(VLOOKUP(TRANSHARI3_ICECREAMMALAM[[#This Row],[PRODUK]],DATA_ICECREAM[],5,FALSE),"")</f>
        <v/>
      </c>
      <c r="T270" s="374"/>
      <c r="U270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0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0" s="12"/>
      <c r="X270" s="384" t="str">
        <f>IFERROR(IF(TRANSHARI3_ICECREAMMALAM[[#This Row],[NAMA REKENING]]="","",TRANSHARI3_ICECREAMMALAM[[#This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IFERROR(VLOOKUP(TRANSHARI3_ICECREAMPAGI[[#This Row],[PRODUK]],DATA_ICECREAM[],5,FALSE),"")</f>
        <v/>
      </c>
      <c r="E271" s="374"/>
      <c r="F271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1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1" s="12"/>
      <c r="I271" s="386" t="str">
        <f>IFERROR(IF(TRANSHARI3_ICECREAMPAGI[[#This Row],[NAMA REKENING]]="","",TRANSHARI3_ICECREAMPAGI[[#This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IFERROR(VLOOKUP(TRANSHARI3_ICECREAMMALAM[[#This Row],[PRODUK]],DATA_ICECREAM[],5,FALSE),"")</f>
        <v/>
      </c>
      <c r="T271" s="374"/>
      <c r="U271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1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1" s="12"/>
      <c r="X271" s="386" t="str">
        <f>IFERROR(IF(TRANSHARI3_ICECREAMMALAM[[#This Row],[NAMA REKENING]]="","",TRANSHARI3_ICECREAMMALAM[[#This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IFERROR(VLOOKUP(TRANSHARI3_ICECREAMPAGI[[#This Row],[PRODUK]],DATA_ICECREAM[],5,FALSE),"")</f>
        <v/>
      </c>
      <c r="E272" s="374"/>
      <c r="F272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2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2" s="12"/>
      <c r="I272" s="384" t="str">
        <f>IFERROR(IF(TRANSHARI3_ICECREAMPAGI[[#This Row],[NAMA REKENING]]="","",TRANSHARI3_ICECREAMPAGI[[#This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IFERROR(VLOOKUP(TRANSHARI3_ICECREAMMALAM[[#This Row],[PRODUK]],DATA_ICECREAM[],5,FALSE),"")</f>
        <v/>
      </c>
      <c r="T272" s="374"/>
      <c r="U272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2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2" s="12"/>
      <c r="X272" s="384" t="str">
        <f>IFERROR(IF(TRANSHARI3_ICECREAMMALAM[[#This Row],[NAMA REKENING]]="","",TRANSHARI3_ICECREAMMALAM[[#This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IFERROR(VLOOKUP(TRANSHARI3_ICECREAMPAGI[[#This Row],[PRODUK]],DATA_ICECREAM[],5,FALSE),"")</f>
        <v/>
      </c>
      <c r="E273" s="374"/>
      <c r="F273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3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3" s="12"/>
      <c r="I273" s="386" t="str">
        <f>IFERROR(IF(TRANSHARI3_ICECREAMPAGI[[#This Row],[NAMA REKENING]]="","",TRANSHARI3_ICECREAMPAGI[[#This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IFERROR(VLOOKUP(TRANSHARI3_ICECREAMMALAM[[#This Row],[PRODUK]],DATA_ICECREAM[],5,FALSE),"")</f>
        <v/>
      </c>
      <c r="T273" s="374"/>
      <c r="U273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3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3" s="12"/>
      <c r="X273" s="386" t="str">
        <f>IFERROR(IF(TRANSHARI3_ICECREAMMALAM[[#This Row],[NAMA REKENING]]="","",TRANSHARI3_ICECREAMMALAM[[#This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IFERROR(VLOOKUP(TRANSHARI3_ICECREAMPAGI[[#This Row],[PRODUK]],DATA_ICECREAM[],5,FALSE),"")</f>
        <v/>
      </c>
      <c r="E274" s="374"/>
      <c r="F274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4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4" s="12"/>
      <c r="I274" s="384" t="str">
        <f>IFERROR(IF(TRANSHARI3_ICECREAMPAGI[[#This Row],[NAMA REKENING]]="","",TRANSHARI3_ICECREAMPAGI[[#This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IFERROR(VLOOKUP(TRANSHARI3_ICECREAMMALAM[[#This Row],[PRODUK]],DATA_ICECREAM[],5,FALSE),"")</f>
        <v/>
      </c>
      <c r="T274" s="374"/>
      <c r="U274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4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4" s="12"/>
      <c r="X274" s="384" t="str">
        <f>IFERROR(IF(TRANSHARI3_ICECREAMMALAM[[#This Row],[NAMA REKENING]]="","",TRANSHARI3_ICECREAMMALAM[[#This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IFERROR(VLOOKUP(TRANSHARI3_ICECREAMPAGI[[#This Row],[PRODUK]],DATA_ICECREAM[],5,FALSE),"")</f>
        <v/>
      </c>
      <c r="E275" s="374"/>
      <c r="F275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5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5" s="12"/>
      <c r="I275" s="386" t="str">
        <f>IFERROR(IF(TRANSHARI3_ICECREAMPAGI[[#This Row],[NAMA REKENING]]="","",TRANSHARI3_ICECREAMPAGI[[#This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IFERROR(VLOOKUP(TRANSHARI3_ICECREAMMALAM[[#This Row],[PRODUK]],DATA_ICECREAM[],5,FALSE),"")</f>
        <v/>
      </c>
      <c r="T275" s="374"/>
      <c r="U275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5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5" s="12"/>
      <c r="X275" s="386" t="str">
        <f>IFERROR(IF(TRANSHARI3_ICECREAMMALAM[[#This Row],[NAMA REKENING]]="","",TRANSHARI3_ICECREAMMALAM[[#This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IFERROR(VLOOKUP(TRANSHARI3_ICECREAMPAGI[[#This Row],[PRODUK]],DATA_ICECREAM[],5,FALSE),"")</f>
        <v/>
      </c>
      <c r="E276" s="374"/>
      <c r="F276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6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6" s="12"/>
      <c r="I276" s="384" t="str">
        <f>IFERROR(IF(TRANSHARI3_ICECREAMPAGI[[#This Row],[NAMA REKENING]]="","",TRANSHARI3_ICECREAMPAGI[[#This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IFERROR(VLOOKUP(TRANSHARI3_ICECREAMMALAM[[#This Row],[PRODUK]],DATA_ICECREAM[],5,FALSE),"")</f>
        <v/>
      </c>
      <c r="T276" s="374"/>
      <c r="U276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6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6" s="12"/>
      <c r="X276" s="384" t="str">
        <f>IFERROR(IF(TRANSHARI3_ICECREAMMALAM[[#This Row],[NAMA REKENING]]="","",TRANSHARI3_ICECREAMMALAM[[#This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IFERROR(VLOOKUP(TRANSHARI3_ICECREAMPAGI[[#This Row],[PRODUK]],DATA_ICECREAM[],5,FALSE),"")</f>
        <v/>
      </c>
      <c r="E277" s="374"/>
      <c r="F277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7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7" s="12"/>
      <c r="I277" s="386" t="str">
        <f>IFERROR(IF(TRANSHARI3_ICECREAMPAGI[[#This Row],[NAMA REKENING]]="","",TRANSHARI3_ICECREAMPAGI[[#This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IFERROR(VLOOKUP(TRANSHARI3_ICECREAMMALAM[[#This Row],[PRODUK]],DATA_ICECREAM[],5,FALSE),"")</f>
        <v/>
      </c>
      <c r="T277" s="374"/>
      <c r="U277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7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7" s="12"/>
      <c r="X277" s="386" t="str">
        <f>IFERROR(IF(TRANSHARI3_ICECREAMMALAM[[#This Row],[NAMA REKENING]]="","",TRANSHARI3_ICECREAMMALAM[[#This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IFERROR(VLOOKUP(TRANSHARI3_ICECREAMPAGI[[#This Row],[PRODUK]],DATA_ICECREAM[],5,FALSE),"")</f>
        <v/>
      </c>
      <c r="E278" s="374"/>
      <c r="F278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8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8" s="12"/>
      <c r="I278" s="384" t="str">
        <f>IFERROR(IF(TRANSHARI3_ICECREAMPAGI[[#This Row],[NAMA REKENING]]="","",TRANSHARI3_ICECREAMPAGI[[#This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IFERROR(VLOOKUP(TRANSHARI3_ICECREAMMALAM[[#This Row],[PRODUK]],DATA_ICECREAM[],5,FALSE),"")</f>
        <v/>
      </c>
      <c r="T278" s="374"/>
      <c r="U278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8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8" s="12"/>
      <c r="X278" s="384" t="str">
        <f>IFERROR(IF(TRANSHARI3_ICECREAMMALAM[[#This Row],[NAMA REKENING]]="","",TRANSHARI3_ICECREAMMALAM[[#This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IFERROR(VLOOKUP(TRANSHARI3_ICECREAMPAGI[[#This Row],[PRODUK]],DATA_ICECREAM[],5,FALSE),"")</f>
        <v/>
      </c>
      <c r="E279" s="374"/>
      <c r="F279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79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79" s="12"/>
      <c r="I279" s="386" t="str">
        <f>IFERROR(IF(TRANSHARI3_ICECREAMPAGI[[#This Row],[NAMA REKENING]]="","",TRANSHARI3_ICECREAMPAGI[[#This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IFERROR(VLOOKUP(TRANSHARI3_ICECREAMMALAM[[#This Row],[PRODUK]],DATA_ICECREAM[],5,FALSE),"")</f>
        <v/>
      </c>
      <c r="T279" s="374"/>
      <c r="U279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79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79" s="12"/>
      <c r="X279" s="386" t="str">
        <f>IFERROR(IF(TRANSHARI3_ICECREAMMALAM[[#This Row],[NAMA REKENING]]="","",TRANSHARI3_ICECREAMMALAM[[#This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IFERROR(VLOOKUP(TRANSHARI3_ICECREAMPAGI[[#This Row],[PRODUK]],DATA_ICECREAM[],5,FALSE),"")</f>
        <v/>
      </c>
      <c r="E280" s="374"/>
      <c r="F280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0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0" s="12"/>
      <c r="I280" s="384" t="str">
        <f>IFERROR(IF(TRANSHARI3_ICECREAMPAGI[[#This Row],[NAMA REKENING]]="","",TRANSHARI3_ICECREAMPAGI[[#This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IFERROR(VLOOKUP(TRANSHARI3_ICECREAMMALAM[[#This Row],[PRODUK]],DATA_ICECREAM[],5,FALSE),"")</f>
        <v/>
      </c>
      <c r="T280" s="374"/>
      <c r="U280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0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0" s="12"/>
      <c r="X280" s="384" t="str">
        <f>IFERROR(IF(TRANSHARI3_ICECREAMMALAM[[#This Row],[NAMA REKENING]]="","",TRANSHARI3_ICECREAMMALAM[[#This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IFERROR(VLOOKUP(TRANSHARI3_ICECREAMPAGI[[#This Row],[PRODUK]],DATA_ICECREAM[],5,FALSE),"")</f>
        <v/>
      </c>
      <c r="E281" s="376"/>
      <c r="F281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1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1" s="377"/>
      <c r="I281" s="386" t="str">
        <f>IFERROR(IF(TRANSHARI3_ICECREAMPAGI[[#This Row],[NAMA REKENING]]="","",TRANSHARI3_ICECREAMPAGI[[#This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IFERROR(VLOOKUP(TRANSHARI3_ICECREAMMALAM[[#This Row],[PRODUK]],DATA_ICECREAM[],5,FALSE),"")</f>
        <v/>
      </c>
      <c r="T281" s="376"/>
      <c r="U281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1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1" s="377"/>
      <c r="X281" s="386" t="str">
        <f>IFERROR(IF(TRANSHARI3_ICECREAMMALAM[[#This Row],[NAMA REKENING]]="","",TRANSHARI3_ICECREAMMALAM[[#This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IFERROR(VLOOKUP(TRANSHARI3_ICECREAMPAGI[[#This Row],[PRODUK]],DATA_ICECREAM[],5,FALSE),"")</f>
        <v/>
      </c>
      <c r="E282" s="374"/>
      <c r="F282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2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2" s="12"/>
      <c r="I282" s="384" t="str">
        <f>IFERROR(IF(TRANSHARI3_ICECREAMPAGI[[#This Row],[NAMA REKENING]]="","",TRANSHARI3_ICECREAMPAGI[[#This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IFERROR(VLOOKUP(TRANSHARI3_ICECREAMMALAM[[#This Row],[PRODUK]],DATA_ICECREAM[],5,FALSE),"")</f>
        <v/>
      </c>
      <c r="T282" s="374"/>
      <c r="U282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2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2" s="12"/>
      <c r="X282" s="384" t="str">
        <f>IFERROR(IF(TRANSHARI3_ICECREAMMALAM[[#This Row],[NAMA REKENING]]="","",TRANSHARI3_ICECREAMMALAM[[#This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IFERROR(VLOOKUP(TRANSHARI3_ICECREAMPAGI[[#This Row],[PRODUK]],DATA_ICECREAM[],5,FALSE),"")</f>
        <v/>
      </c>
      <c r="E283" s="374"/>
      <c r="F283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3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3" s="12"/>
      <c r="I283" s="386" t="str">
        <f>IFERROR(IF(TRANSHARI3_ICECREAMPAGI[[#This Row],[NAMA REKENING]]="","",TRANSHARI3_ICECREAMPAGI[[#This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IFERROR(VLOOKUP(TRANSHARI3_ICECREAMMALAM[[#This Row],[PRODUK]],DATA_ICECREAM[],5,FALSE),"")</f>
        <v/>
      </c>
      <c r="T283" s="374"/>
      <c r="U283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3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3" s="12"/>
      <c r="X283" s="386" t="str">
        <f>IFERROR(IF(TRANSHARI3_ICECREAMMALAM[[#This Row],[NAMA REKENING]]="","",TRANSHARI3_ICECREAMMALAM[[#This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IFERROR(VLOOKUP(TRANSHARI3_ICECREAMPAGI[[#This Row],[PRODUK]],DATA_ICECREAM[],5,FALSE),"")</f>
        <v/>
      </c>
      <c r="E284" s="374"/>
      <c r="F284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4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4" s="12"/>
      <c r="I284" s="384" t="str">
        <f>IFERROR(IF(TRANSHARI3_ICECREAMPAGI[[#This Row],[NAMA REKENING]]="","",TRANSHARI3_ICECREAMPAGI[[#This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IFERROR(VLOOKUP(TRANSHARI3_ICECREAMMALAM[[#This Row],[PRODUK]],DATA_ICECREAM[],5,FALSE),"")</f>
        <v/>
      </c>
      <c r="T284" s="374"/>
      <c r="U284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4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4" s="12"/>
      <c r="X284" s="384" t="str">
        <f>IFERROR(IF(TRANSHARI3_ICECREAMMALAM[[#This Row],[NAMA REKENING]]="","",TRANSHARI3_ICECREAMMALAM[[#This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IFERROR(VLOOKUP(TRANSHARI3_ICECREAMPAGI[[#This Row],[PRODUK]],DATA_ICECREAM[],5,FALSE),"")</f>
        <v/>
      </c>
      <c r="E285" s="374"/>
      <c r="F285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5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5" s="12"/>
      <c r="I285" s="386" t="str">
        <f>IFERROR(IF(TRANSHARI3_ICECREAMPAGI[[#This Row],[NAMA REKENING]]="","",TRANSHARI3_ICECREAMPAGI[[#This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IFERROR(VLOOKUP(TRANSHARI3_ICECREAMMALAM[[#This Row],[PRODUK]],DATA_ICECREAM[],5,FALSE),"")</f>
        <v/>
      </c>
      <c r="T285" s="374"/>
      <c r="U285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5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5" s="12"/>
      <c r="X285" s="386" t="str">
        <f>IFERROR(IF(TRANSHARI3_ICECREAMMALAM[[#This Row],[NAMA REKENING]]="","",TRANSHARI3_ICECREAMMALAM[[#This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IFERROR(VLOOKUP(TRANSHARI3_ICECREAMPAGI[[#This Row],[PRODUK]],DATA_ICECREAM[],5,FALSE),"")</f>
        <v/>
      </c>
      <c r="E286" s="374"/>
      <c r="F286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6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6" s="12"/>
      <c r="I286" s="384" t="str">
        <f>IFERROR(IF(TRANSHARI3_ICECREAMPAGI[[#This Row],[NAMA REKENING]]="","",TRANSHARI3_ICECREAMPAGI[[#This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IFERROR(VLOOKUP(TRANSHARI3_ICECREAMMALAM[[#This Row],[PRODUK]],DATA_ICECREAM[],5,FALSE),"")</f>
        <v/>
      </c>
      <c r="T286" s="374"/>
      <c r="U286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6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6" s="12"/>
      <c r="X286" s="384" t="str">
        <f>IFERROR(IF(TRANSHARI3_ICECREAMMALAM[[#This Row],[NAMA REKENING]]="","",TRANSHARI3_ICECREAMMALAM[[#This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IFERROR(VLOOKUP(TRANSHARI3_ICECREAMPAGI[[#This Row],[PRODUK]],DATA_ICECREAM[],5,FALSE),"")</f>
        <v/>
      </c>
      <c r="E287" s="374"/>
      <c r="F287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7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7" s="12"/>
      <c r="I287" s="386" t="str">
        <f>IFERROR(IF(TRANSHARI3_ICECREAMPAGI[[#This Row],[NAMA REKENING]]="","",TRANSHARI3_ICECREAMPAGI[[#This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IFERROR(VLOOKUP(TRANSHARI3_ICECREAMMALAM[[#This Row],[PRODUK]],DATA_ICECREAM[],5,FALSE),"")</f>
        <v/>
      </c>
      <c r="T287" s="374"/>
      <c r="U287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7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7" s="12"/>
      <c r="X287" s="386" t="str">
        <f>IFERROR(IF(TRANSHARI3_ICECREAMMALAM[[#This Row],[NAMA REKENING]]="","",TRANSHARI3_ICECREAMMALAM[[#This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IFERROR(VLOOKUP(TRANSHARI3_ICECREAMPAGI[[#This Row],[PRODUK]],DATA_ICECREAM[],5,FALSE),"")</f>
        <v/>
      </c>
      <c r="E288" s="374"/>
      <c r="F288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8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8" s="12"/>
      <c r="I288" s="384" t="str">
        <f>IFERROR(IF(TRANSHARI3_ICECREAMPAGI[[#This Row],[NAMA REKENING]]="","",TRANSHARI3_ICECREAMPAGI[[#This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IFERROR(VLOOKUP(TRANSHARI3_ICECREAMMALAM[[#This Row],[PRODUK]],DATA_ICECREAM[],5,FALSE),"")</f>
        <v/>
      </c>
      <c r="T288" s="374"/>
      <c r="U288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8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8" s="12"/>
      <c r="X288" s="384" t="str">
        <f>IFERROR(IF(TRANSHARI3_ICECREAMMALAM[[#This Row],[NAMA REKENING]]="","",TRANSHARI3_ICECREAMMALAM[[#This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IFERROR(VLOOKUP(TRANSHARI3_ICECREAMPAGI[[#This Row],[PRODUK]],DATA_ICECREAM[],5,FALSE),"")</f>
        <v/>
      </c>
      <c r="E289" s="374"/>
      <c r="F289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89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89" s="12"/>
      <c r="I289" s="386" t="str">
        <f>IFERROR(IF(TRANSHARI3_ICECREAMPAGI[[#This Row],[NAMA REKENING]]="","",TRANSHARI3_ICECREAMPAGI[[#This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IFERROR(VLOOKUP(TRANSHARI3_ICECREAMMALAM[[#This Row],[PRODUK]],DATA_ICECREAM[],5,FALSE),"")</f>
        <v/>
      </c>
      <c r="T289" s="374"/>
      <c r="U289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89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89" s="12"/>
      <c r="X289" s="386" t="str">
        <f>IFERROR(IF(TRANSHARI3_ICECREAMMALAM[[#This Row],[NAMA REKENING]]="","",TRANSHARI3_ICECREAMMALAM[[#This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IFERROR(VLOOKUP(TRANSHARI3_ICECREAMPAGI[[#This Row],[PRODUK]],DATA_ICECREAM[],5,FALSE),"")</f>
        <v/>
      </c>
      <c r="E290" s="374"/>
      <c r="F290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0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0" s="12"/>
      <c r="I290" s="384" t="str">
        <f>IFERROR(IF(TRANSHARI3_ICECREAMPAGI[[#This Row],[NAMA REKENING]]="","",TRANSHARI3_ICECREAMPAGI[[#This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IFERROR(VLOOKUP(TRANSHARI3_ICECREAMMALAM[[#This Row],[PRODUK]],DATA_ICECREAM[],5,FALSE),"")</f>
        <v/>
      </c>
      <c r="T290" s="374"/>
      <c r="U290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0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0" s="12"/>
      <c r="X290" s="384" t="str">
        <f>IFERROR(IF(TRANSHARI3_ICECREAMMALAM[[#This Row],[NAMA REKENING]]="","",TRANSHARI3_ICECREAMMALAM[[#This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IFERROR(VLOOKUP(TRANSHARI3_ICECREAMPAGI[[#This Row],[PRODUK]],DATA_ICECREAM[],5,FALSE),"")</f>
        <v/>
      </c>
      <c r="E291" s="374"/>
      <c r="F291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1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1" s="12"/>
      <c r="I291" s="386" t="str">
        <f>IFERROR(IF(TRANSHARI3_ICECREAMPAGI[[#This Row],[NAMA REKENING]]="","",TRANSHARI3_ICECREAMPAGI[[#This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IFERROR(VLOOKUP(TRANSHARI3_ICECREAMMALAM[[#This Row],[PRODUK]],DATA_ICECREAM[],5,FALSE),"")</f>
        <v/>
      </c>
      <c r="T291" s="374"/>
      <c r="U291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1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1" s="12"/>
      <c r="X291" s="386" t="str">
        <f>IFERROR(IF(TRANSHARI3_ICECREAMMALAM[[#This Row],[NAMA REKENING]]="","",TRANSHARI3_ICECREAMMALAM[[#This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IFERROR(VLOOKUP(TRANSHARI3_ICECREAMPAGI[[#This Row],[PRODUK]],DATA_ICECREAM[],5,FALSE),"")</f>
        <v/>
      </c>
      <c r="E292" s="374"/>
      <c r="F292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2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2" s="12"/>
      <c r="I292" s="384" t="str">
        <f>IFERROR(IF(TRANSHARI3_ICECREAMPAGI[[#This Row],[NAMA REKENING]]="","",TRANSHARI3_ICECREAMPAGI[[#This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IFERROR(VLOOKUP(TRANSHARI3_ICECREAMMALAM[[#This Row],[PRODUK]],DATA_ICECREAM[],5,FALSE),"")</f>
        <v/>
      </c>
      <c r="T292" s="374"/>
      <c r="U292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2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2" s="12"/>
      <c r="X292" s="384" t="str">
        <f>IFERROR(IF(TRANSHARI3_ICECREAMMALAM[[#This Row],[NAMA REKENING]]="","",TRANSHARI3_ICECREAMMALAM[[#This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IFERROR(VLOOKUP(TRANSHARI3_ICECREAMPAGI[[#This Row],[PRODUK]],DATA_ICECREAM[],5,FALSE),"")</f>
        <v/>
      </c>
      <c r="E293" s="374"/>
      <c r="F293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3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3" s="12"/>
      <c r="I293" s="386" t="str">
        <f>IFERROR(IF(TRANSHARI3_ICECREAMPAGI[[#This Row],[NAMA REKENING]]="","",TRANSHARI3_ICECREAMPAGI[[#This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IFERROR(VLOOKUP(TRANSHARI3_ICECREAMMALAM[[#This Row],[PRODUK]],DATA_ICECREAM[],5,FALSE),"")</f>
        <v/>
      </c>
      <c r="T293" s="374"/>
      <c r="U293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3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3" s="12"/>
      <c r="X293" s="386" t="str">
        <f>IFERROR(IF(TRANSHARI3_ICECREAMMALAM[[#This Row],[NAMA REKENING]]="","",TRANSHARI3_ICECREAMMALAM[[#This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IFERROR(VLOOKUP(TRANSHARI3_ICECREAMPAGI[[#This Row],[PRODUK]],DATA_ICECREAM[],5,FALSE),"")</f>
        <v/>
      </c>
      <c r="E294" s="374"/>
      <c r="F294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4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4" s="12"/>
      <c r="I294" s="384" t="str">
        <f>IFERROR(IF(TRANSHARI3_ICECREAMPAGI[[#This Row],[NAMA REKENING]]="","",TRANSHARI3_ICECREAMPAGI[[#This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IFERROR(VLOOKUP(TRANSHARI3_ICECREAMMALAM[[#This Row],[PRODUK]],DATA_ICECREAM[],5,FALSE),"")</f>
        <v/>
      </c>
      <c r="T294" s="374"/>
      <c r="U294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4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4" s="12"/>
      <c r="X294" s="384" t="str">
        <f>IFERROR(IF(TRANSHARI3_ICECREAMMALAM[[#This Row],[NAMA REKENING]]="","",TRANSHARI3_ICECREAMMALAM[[#This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IFERROR(VLOOKUP(TRANSHARI3_ICECREAMPAGI[[#This Row],[PRODUK]],DATA_ICECREAM[],5,FALSE),"")</f>
        <v/>
      </c>
      <c r="E295" s="374"/>
      <c r="F295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5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5" s="12"/>
      <c r="I295" s="386" t="str">
        <f>IFERROR(IF(TRANSHARI3_ICECREAMPAGI[[#This Row],[NAMA REKENING]]="","",TRANSHARI3_ICECREAMPAGI[[#This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IFERROR(VLOOKUP(TRANSHARI3_ICECREAMMALAM[[#This Row],[PRODUK]],DATA_ICECREAM[],5,FALSE),"")</f>
        <v/>
      </c>
      <c r="T295" s="374"/>
      <c r="U295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5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5" s="12"/>
      <c r="X295" s="386" t="str">
        <f>IFERROR(IF(TRANSHARI3_ICECREAMMALAM[[#This Row],[NAMA REKENING]]="","",TRANSHARI3_ICECREAMMALAM[[#This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IFERROR(VLOOKUP(TRANSHARI3_ICECREAMPAGI[[#This Row],[PRODUK]],DATA_ICECREAM[],5,FALSE),"")</f>
        <v/>
      </c>
      <c r="E296" s="374"/>
      <c r="F296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6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6" s="12"/>
      <c r="I296" s="384" t="str">
        <f>IFERROR(IF(TRANSHARI3_ICECREAMPAGI[[#This Row],[NAMA REKENING]]="","",TRANSHARI3_ICECREAMPAGI[[#This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IFERROR(VLOOKUP(TRANSHARI3_ICECREAMMALAM[[#This Row],[PRODUK]],DATA_ICECREAM[],5,FALSE),"")</f>
        <v/>
      </c>
      <c r="T296" s="374"/>
      <c r="U296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6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6" s="12"/>
      <c r="X296" s="384" t="str">
        <f>IFERROR(IF(TRANSHARI3_ICECREAMMALAM[[#This Row],[NAMA REKENING]]="","",TRANSHARI3_ICECREAMMALAM[[#This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IFERROR(VLOOKUP(TRANSHARI3_ICECREAMPAGI[[#This Row],[PRODUK]],DATA_ICECREAM[],5,FALSE),"")</f>
        <v/>
      </c>
      <c r="E297" s="374"/>
      <c r="F297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7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7" s="12"/>
      <c r="I297" s="386" t="str">
        <f>IFERROR(IF(TRANSHARI3_ICECREAMPAGI[[#This Row],[NAMA REKENING]]="","",TRANSHARI3_ICECREAMPAGI[[#This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IFERROR(VLOOKUP(TRANSHARI3_ICECREAMMALAM[[#This Row],[PRODUK]],DATA_ICECREAM[],5,FALSE),"")</f>
        <v/>
      </c>
      <c r="T297" s="374"/>
      <c r="U297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7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7" s="12"/>
      <c r="X297" s="386" t="str">
        <f>IFERROR(IF(TRANSHARI3_ICECREAMMALAM[[#This Row],[NAMA REKENING]]="","",TRANSHARI3_ICECREAMMALAM[[#This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IFERROR(VLOOKUP(TRANSHARI3_ICECREAMPAGI[[#This Row],[PRODUK]],DATA_ICECREAM[],5,FALSE),"")</f>
        <v/>
      </c>
      <c r="E298" s="374"/>
      <c r="F298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8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8" s="12"/>
      <c r="I298" s="384" t="str">
        <f>IFERROR(IF(TRANSHARI3_ICECREAMPAGI[[#This Row],[NAMA REKENING]]="","",TRANSHARI3_ICECREAMPAGI[[#This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IFERROR(VLOOKUP(TRANSHARI3_ICECREAMMALAM[[#This Row],[PRODUK]],DATA_ICECREAM[],5,FALSE),"")</f>
        <v/>
      </c>
      <c r="T298" s="374"/>
      <c r="U298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8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8" s="12"/>
      <c r="X298" s="384" t="str">
        <f>IFERROR(IF(TRANSHARI3_ICECREAMMALAM[[#This Row],[NAMA REKENING]]="","",TRANSHARI3_ICECREAMMALAM[[#This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IFERROR(VLOOKUP(TRANSHARI3_ICECREAMPAGI[[#This Row],[PRODUK]],DATA_ICECREAM[],5,FALSE),"")</f>
        <v/>
      </c>
      <c r="E299" s="374"/>
      <c r="F299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299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299" s="12"/>
      <c r="I299" s="386" t="str">
        <f>IFERROR(IF(TRANSHARI3_ICECREAMPAGI[[#This Row],[NAMA REKENING]]="","",TRANSHARI3_ICECREAMPAGI[[#This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IFERROR(VLOOKUP(TRANSHARI3_ICECREAMMALAM[[#This Row],[PRODUK]],DATA_ICECREAM[],5,FALSE),"")</f>
        <v/>
      </c>
      <c r="T299" s="374"/>
      <c r="U299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299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299" s="12"/>
      <c r="X299" s="386" t="str">
        <f>IFERROR(IF(TRANSHARI3_ICECREAMMALAM[[#This Row],[NAMA REKENING]]="","",TRANSHARI3_ICECREAMMALAM[[#This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IFERROR(VLOOKUP(TRANSHARI3_ICECREAMPAGI[[#This Row],[PRODUK]],DATA_ICECREAM[],5,FALSE),"")</f>
        <v/>
      </c>
      <c r="E300" s="374"/>
      <c r="F300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300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300" s="12"/>
      <c r="I300" s="384" t="str">
        <f>IFERROR(IF(TRANSHARI3_ICECREAMPAGI[[#This Row],[NAMA REKENING]]="","",TRANSHARI3_ICECREAMPAGI[[#This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IFERROR(VLOOKUP(TRANSHARI3_ICECREAMMALAM[[#This Row],[PRODUK]],DATA_ICECREAM[],5,FALSE),"")</f>
        <v/>
      </c>
      <c r="T300" s="374"/>
      <c r="U300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300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300" s="12"/>
      <c r="X300" s="384" t="str">
        <f>IFERROR(IF(TRANSHARI3_ICECREAMMALAM[[#This Row],[NAMA REKENING]]="","",TRANSHARI3_ICECREAMMALAM[[#This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IFERROR(VLOOKUP(TRANSHARI3_ICECREAMPAGI[[#This Row],[PRODUK]],DATA_ICECREAM[],5,FALSE),"")</f>
        <v/>
      </c>
      <c r="E301" s="374"/>
      <c r="F301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301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301" s="12"/>
      <c r="I301" s="386" t="str">
        <f>IFERROR(IF(TRANSHARI3_ICECREAMPAGI[[#This Row],[NAMA REKENING]]="","",TRANSHARI3_ICECREAMPAGI[[#This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IFERROR(VLOOKUP(TRANSHARI3_ICECREAMMALAM[[#This Row],[PRODUK]],DATA_ICECREAM[],5,FALSE),"")</f>
        <v/>
      </c>
      <c r="T301" s="374"/>
      <c r="U301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301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301" s="12"/>
      <c r="X301" s="386" t="str">
        <f>IFERROR(IF(TRANSHARI3_ICECREAMMALAM[[#This Row],[NAMA REKENING]]="","",TRANSHARI3_ICECREAMMALAM[[#This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IFERROR(VLOOKUP(TRANSHARI3_ICECREAMPAGI[[#This Row],[PRODUK]],DATA_ICECREAM[],5,FALSE),"")</f>
        <v/>
      </c>
      <c r="E302" s="374"/>
      <c r="F302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302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302" s="12"/>
      <c r="I302" s="384" t="str">
        <f>IFERROR(IF(TRANSHARI3_ICECREAMPAGI[[#This Row],[NAMA REKENING]]="","",TRANSHARI3_ICECREAMPAGI[[#This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IFERROR(VLOOKUP(TRANSHARI3_ICECREAMMALAM[[#This Row],[PRODUK]],DATA_ICECREAM[],5,FALSE),"")</f>
        <v/>
      </c>
      <c r="T302" s="374"/>
      <c r="U302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302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302" s="12"/>
      <c r="X302" s="384" t="str">
        <f>IFERROR(IF(TRANSHARI3_ICECREAMMALAM[[#This Row],[NAMA REKENING]]="","",TRANSHARI3_ICECREAMMALAM[[#This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IFERROR(VLOOKUP(TRANSHARI3_ICECREAMPAGI[[#This Row],[PRODUK]],DATA_ICECREAM[],5,FALSE),"")</f>
        <v/>
      </c>
      <c r="E303" s="374"/>
      <c r="F303" s="373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303" s="373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303" s="12"/>
      <c r="I303" s="386" t="str">
        <f>IFERROR(IF(TRANSHARI3_ICECREAMPAGI[[#This Row],[NAMA REKENING]]="","",TRANSHARI3_ICECREAMPAGI[[#This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IFERROR(VLOOKUP(TRANSHARI3_ICECREAMMALAM[[#This Row],[PRODUK]],DATA_ICECREAM[],5,FALSE),"")</f>
        <v/>
      </c>
      <c r="T303" s="374"/>
      <c r="U303" s="373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303" s="373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303" s="12"/>
      <c r="X303" s="386" t="str">
        <f>IFERROR(IF(TRANSHARI3_ICECREAMMALAM[[#This Row],[NAMA REKENING]]="","",TRANSHARI3_ICECREAMMALAM[[#This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IFERROR(VLOOKUP(TRANSHARI3_ICECREAMPAGI[[#This Row],[PRODUK]],DATA_ICECREAM[],5,FALSE),"")</f>
        <v/>
      </c>
      <c r="E304" s="374"/>
      <c r="F304" s="369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304" s="369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304" s="12"/>
      <c r="I304" s="384" t="str">
        <f>IFERROR(IF(TRANSHARI3_ICECREAMPAGI[[#This Row],[NAMA REKENING]]="","",TRANSHARI3_ICECREAMPAGI[[#This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IFERROR(VLOOKUP(TRANSHARI3_ICECREAMMALAM[[#This Row],[PRODUK]],DATA_ICECREAM[],5,FALSE),"")</f>
        <v/>
      </c>
      <c r="T304" s="374"/>
      <c r="U304" s="369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304" s="369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304" s="12"/>
      <c r="X304" s="384" t="str">
        <f>IFERROR(IF(TRANSHARI3_ICECREAMMALAM[[#This Row],[NAMA REKENING]]="","",TRANSHARI3_ICECREAMMALAM[[#This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IFERROR(VLOOKUP(TRANSHARI3_ICECREAMPAGI[[#This Row],[PRODUK]],DATA_ICECREAM[],5,FALSE),"")</f>
        <v/>
      </c>
      <c r="E305" s="376"/>
      <c r="F305" s="394" t="str">
        <f>IFERROR(IF(TRANSHARI3_ICECREAMPAGI[[#This Row],[NAMA PENGHUTANG]]="",((TRANSHARI3_ICECREAMPAGI[[#This Row],[HARGA]]*TRANSHARI3_ICECREAMPAGI[[#This Row],[QUANTITY]])+TRANSHARI3_ICECREAMPAGI[[#This Row],[PRICE TOLERANCE]]),""),"")</f>
        <v/>
      </c>
      <c r="G305" s="394" t="str">
        <f>IFERROR(IF(TRANSHARI3_ICECREAMPAGI[[#This Row],[NAMA PENGHUTANG]]="","",((TRANSHARI3_ICECREAMPAGI[[#This Row],[HARGA]]*TRANSHARI3_ICECREAMPAGI[[#This Row],[QUANTITY]])+TRANSHARI3_ICECREAMPAGI[[#This Row],[PRICE TOLERANCE]])),"")</f>
        <v/>
      </c>
      <c r="H305" s="377"/>
      <c r="I305" s="399" t="str">
        <f>IFERROR(IF(TRANSHARI3_ICECREAMPAGI[[#This Row],[NAMA REKENING]]="","",TRANSHARI3_ICECREAMPAGI[[#This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IFERROR(VLOOKUP(TRANSHARI3_ICECREAMMALAM[[#This Row],[PRODUK]],DATA_ICECREAM[],5,FALSE),"")</f>
        <v/>
      </c>
      <c r="T305" s="376"/>
      <c r="U305" s="394" t="str">
        <f>IFERROR(IF(TRANSHARI3_ICECREAMMALAM[[#This Row],[NAMA PENGHUTANG]]="",((TRANSHARI3_ICECREAMMALAM[[#This Row],[HARGA]]*TRANSHARI3_ICECREAMMALAM[[#This Row],[QUANTITY]])+TRANSHARI3_ICECREAMMALAM[[#This Row],[PRICE TOLERANCE]]),""),"")</f>
        <v/>
      </c>
      <c r="V305" s="394" t="str">
        <f>IFERROR(IF(TRANSHARI3_ICECREAMMALAM[[#This Row],[NAMA PENGHUTANG]]="","",((TRANSHARI3_ICECREAMMALAM[[#This Row],[HARGA]]*TRANSHARI3_ICECREAMMALAM[[#This Row],[QUANTITY]])+TRANSHARI3_ICECREAMMALAM[[#This Row],[PRICE TOLERANCE]])),"")</f>
        <v/>
      </c>
      <c r="W305" s="377"/>
      <c r="X305" s="399" t="str">
        <f>IFERROR(IF(TRANSHARI3_ICECREAMMALAM[[#This Row],[NAMA REKENING]]="","",TRANSHARI3_ICECREAMMALAM[[#This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SUM(TRANSHARI3_ICECREAMPAGI[QUANTITY])</f>
        <v>0</v>
      </c>
      <c r="E306" s="398">
        <f>SUM(TRANSHARI3_ICECREAMPAGI[PRICE TOLERANCE])</f>
        <v>0</v>
      </c>
      <c r="F306" s="396">
        <f>SUM(TRANSHARI3_ICECREAMPAGI[DEBIT])</f>
        <v>0</v>
      </c>
      <c r="G306" s="396">
        <f>SUM(TRANSHARI3_ICECREAMPAGI[KREDIT])</f>
        <v>0</v>
      </c>
      <c r="I306" s="396">
        <f>SUM(TRANSHARI3_ICECREAMPAGI[NOMINAL TRANSFER])</f>
        <v>0</v>
      </c>
      <c r="O306" s="324"/>
      <c r="P306" s="303" t="s">
        <v>78</v>
      </c>
      <c r="Q306" s="316"/>
      <c r="R306" s="395">
        <f>SUM(TRANSHARI3_ICECREAMMALAM[QUANTITY])</f>
        <v>0</v>
      </c>
      <c r="T306" s="398">
        <f>SUM(TRANSHARI3_ICECREAMMALAM[PRICE TOLERANCE])</f>
        <v>0</v>
      </c>
      <c r="U306" s="396">
        <f>SUM(TRANSHARI3_ICECREAMMALAM[DEBIT])</f>
        <v>0</v>
      </c>
      <c r="V306" s="396">
        <f>SUM(TRANSHARI3_ICECREAMMALAM[KREDIT])</f>
        <v>0</v>
      </c>
      <c r="X306" s="396">
        <f>SUM(TRANSHARI3_ICECREAMMALAM[NOMINAL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">
        <v>199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">
        <v>200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IFERROR(VLOOKUP(TRANSHARI3_ACCPAGI[[#This Row],[PRODUK]],DATA_ACC[],5,FALSE),"")</f>
        <v/>
      </c>
      <c r="E313" s="370"/>
      <c r="F313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13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13" s="371"/>
      <c r="I313" s="384" t="str">
        <f>IFERROR(IF(TRANSHARI3_ACCPAGI[[#This Row],[NAMA REKENING]]="","",TRANSHARI3_ACCPAGI[[#This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IFERROR(VLOOKUP(TRANSHARI3_ACCMALAM[[#This Row],[PRODUK]],DATA_ACC[],5,FALSE),"")</f>
        <v/>
      </c>
      <c r="T313" s="370"/>
      <c r="U313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13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13" s="371"/>
      <c r="X313" s="384" t="str">
        <f>IFERROR(IF(TRANSHARI3_ACCMALAM[[#This Row],[NAMA REKENING]]="","",TRANSHARI3_ACCMALAM[[#This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IFERROR(VLOOKUP(TRANSHARI3_ACCPAGI[[#This Row],[PRODUK]],DATA_ACC[],5,FALSE),"")</f>
        <v/>
      </c>
      <c r="E314" s="374"/>
      <c r="F314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14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14" s="12"/>
      <c r="I314" s="386" t="str">
        <f>IFERROR(IF(TRANSHARI3_ACCPAGI[[#This Row],[NAMA REKENING]]="","",TRANSHARI3_ACCPAGI[[#This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IFERROR(VLOOKUP(TRANSHARI3_ACCMALAM[[#This Row],[PRODUK]],DATA_ACC[],5,FALSE),"")</f>
        <v/>
      </c>
      <c r="T314" s="374"/>
      <c r="U314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14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14" s="12"/>
      <c r="X314" s="386" t="str">
        <f>IFERROR(IF(TRANSHARI3_ACCMALAM[[#This Row],[NAMA REKENING]]="","",TRANSHARI3_ACCMALAM[[#This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IFERROR(VLOOKUP(TRANSHARI3_ACCPAGI[[#This Row],[PRODUK]],DATA_ACC[],5,FALSE),"")</f>
        <v/>
      </c>
      <c r="E315" s="374"/>
      <c r="F315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15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15" s="12"/>
      <c r="I315" s="384" t="str">
        <f>IFERROR(IF(TRANSHARI3_ACCPAGI[[#This Row],[NAMA REKENING]]="","",TRANSHARI3_ACCPAGI[[#This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IFERROR(VLOOKUP(TRANSHARI3_ACCMALAM[[#This Row],[PRODUK]],DATA_ACC[],5,FALSE),"")</f>
        <v/>
      </c>
      <c r="T315" s="374"/>
      <c r="U315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15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15" s="12"/>
      <c r="X315" s="384" t="str">
        <f>IFERROR(IF(TRANSHARI3_ACCMALAM[[#This Row],[NAMA REKENING]]="","",TRANSHARI3_ACCMALAM[[#This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IFERROR(VLOOKUP(TRANSHARI3_ACCPAGI[[#This Row],[PRODUK]],DATA_ACC[],5,FALSE),"")</f>
        <v/>
      </c>
      <c r="E316" s="374"/>
      <c r="F316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16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16" s="12"/>
      <c r="I316" s="386" t="str">
        <f>IFERROR(IF(TRANSHARI3_ACCPAGI[[#This Row],[NAMA REKENING]]="","",TRANSHARI3_ACCPAGI[[#This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IFERROR(VLOOKUP(TRANSHARI3_ACCMALAM[[#This Row],[PRODUK]],DATA_ACC[],5,FALSE),"")</f>
        <v/>
      </c>
      <c r="T316" s="374"/>
      <c r="U316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16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16" s="12"/>
      <c r="X316" s="386" t="str">
        <f>IFERROR(IF(TRANSHARI3_ACCMALAM[[#This Row],[NAMA REKENING]]="","",TRANSHARI3_ACCMALAM[[#This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IFERROR(VLOOKUP(TRANSHARI3_ACCPAGI[[#This Row],[PRODUK]],DATA_ACC[],5,FALSE),"")</f>
        <v/>
      </c>
      <c r="E317" s="374"/>
      <c r="F317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17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17" s="12"/>
      <c r="I317" s="384" t="str">
        <f>IFERROR(IF(TRANSHARI3_ACCPAGI[[#This Row],[NAMA REKENING]]="","",TRANSHARI3_ACCPAGI[[#This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IFERROR(VLOOKUP(TRANSHARI3_ACCMALAM[[#This Row],[PRODUK]],DATA_ACC[],5,FALSE),"")</f>
        <v/>
      </c>
      <c r="T317" s="374"/>
      <c r="U317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17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17" s="12"/>
      <c r="X317" s="384" t="str">
        <f>IFERROR(IF(TRANSHARI3_ACCMALAM[[#This Row],[NAMA REKENING]]="","",TRANSHARI3_ACCMALAM[[#This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IFERROR(VLOOKUP(TRANSHARI3_ACCPAGI[[#This Row],[PRODUK]],DATA_ACC[],5,FALSE),"")</f>
        <v/>
      </c>
      <c r="E318" s="374"/>
      <c r="F318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18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18" s="12"/>
      <c r="I318" s="386" t="str">
        <f>IFERROR(IF(TRANSHARI3_ACCPAGI[[#This Row],[NAMA REKENING]]="","",TRANSHARI3_ACCPAGI[[#This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IFERROR(VLOOKUP(TRANSHARI3_ACCMALAM[[#This Row],[PRODUK]],DATA_ACC[],5,FALSE),"")</f>
        <v/>
      </c>
      <c r="T318" s="374"/>
      <c r="U318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18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18" s="12"/>
      <c r="X318" s="386" t="str">
        <f>IFERROR(IF(TRANSHARI3_ACCMALAM[[#This Row],[NAMA REKENING]]="","",TRANSHARI3_ACCMALAM[[#This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IFERROR(VLOOKUP(TRANSHARI3_ACCPAGI[[#This Row],[PRODUK]],DATA_ACC[],5,FALSE),"")</f>
        <v/>
      </c>
      <c r="E319" s="374"/>
      <c r="F319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19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19" s="12"/>
      <c r="I319" s="384" t="str">
        <f>IFERROR(IF(TRANSHARI3_ACCPAGI[[#This Row],[NAMA REKENING]]="","",TRANSHARI3_ACCPAGI[[#This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IFERROR(VLOOKUP(TRANSHARI3_ACCMALAM[[#This Row],[PRODUK]],DATA_ACC[],5,FALSE),"")</f>
        <v/>
      </c>
      <c r="T319" s="374"/>
      <c r="U319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19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19" s="12"/>
      <c r="X319" s="384" t="str">
        <f>IFERROR(IF(TRANSHARI3_ACCMALAM[[#This Row],[NAMA REKENING]]="","",TRANSHARI3_ACCMALAM[[#This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IFERROR(VLOOKUP(TRANSHARI3_ACCPAGI[[#This Row],[PRODUK]],DATA_ACC[],5,FALSE),"")</f>
        <v/>
      </c>
      <c r="E320" s="374"/>
      <c r="F320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20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20" s="12"/>
      <c r="I320" s="386" t="str">
        <f>IFERROR(IF(TRANSHARI3_ACCPAGI[[#This Row],[NAMA REKENING]]="","",TRANSHARI3_ACCPAGI[[#This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IFERROR(VLOOKUP(TRANSHARI3_ACCMALAM[[#This Row],[PRODUK]],DATA_ACC[],5,FALSE),"")</f>
        <v/>
      </c>
      <c r="T320" s="374"/>
      <c r="U320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20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20" s="12"/>
      <c r="X320" s="386" t="str">
        <f>IFERROR(IF(TRANSHARI3_ACCMALAM[[#This Row],[NAMA REKENING]]="","",TRANSHARI3_ACCMALAM[[#This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IFERROR(VLOOKUP(TRANSHARI3_ACCPAGI[[#This Row],[PRODUK]],DATA_ACC[],5,FALSE),"")</f>
        <v/>
      </c>
      <c r="E321" s="374"/>
      <c r="F321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21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21" s="12"/>
      <c r="I321" s="384" t="str">
        <f>IFERROR(IF(TRANSHARI3_ACCPAGI[[#This Row],[NAMA REKENING]]="","",TRANSHARI3_ACCPAGI[[#This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IFERROR(VLOOKUP(TRANSHARI3_ACCMALAM[[#This Row],[PRODUK]],DATA_ACC[],5,FALSE),"")</f>
        <v/>
      </c>
      <c r="T321" s="374"/>
      <c r="U321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21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21" s="12"/>
      <c r="X321" s="384" t="str">
        <f>IFERROR(IF(TRANSHARI3_ACCMALAM[[#This Row],[NAMA REKENING]]="","",TRANSHARI3_ACCMALAM[[#This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IFERROR(VLOOKUP(TRANSHARI3_ACCPAGI[[#This Row],[PRODUK]],DATA_ACC[],5,FALSE),"")</f>
        <v/>
      </c>
      <c r="E322" s="374"/>
      <c r="F322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22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22" s="12"/>
      <c r="I322" s="386" t="str">
        <f>IFERROR(IF(TRANSHARI3_ACCPAGI[[#This Row],[NAMA REKENING]]="","",TRANSHARI3_ACCPAGI[[#This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IFERROR(VLOOKUP(TRANSHARI3_ACCMALAM[[#This Row],[PRODUK]],DATA_ACC[],5,FALSE),"")</f>
        <v/>
      </c>
      <c r="T322" s="374"/>
      <c r="U322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22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22" s="12"/>
      <c r="X322" s="386" t="str">
        <f>IFERROR(IF(TRANSHARI3_ACCMALAM[[#This Row],[NAMA REKENING]]="","",TRANSHARI3_ACCMALAM[[#This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IFERROR(VLOOKUP(TRANSHARI3_ACCPAGI[[#This Row],[PRODUK]],DATA_ACC[],5,FALSE),"")</f>
        <v/>
      </c>
      <c r="E323" s="374"/>
      <c r="F323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23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23" s="12"/>
      <c r="I323" s="384" t="str">
        <f>IFERROR(IF(TRANSHARI3_ACCPAGI[[#This Row],[NAMA REKENING]]="","",TRANSHARI3_ACCPAGI[[#This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IFERROR(VLOOKUP(TRANSHARI3_ACCMALAM[[#This Row],[PRODUK]],DATA_ACC[],5,FALSE),"")</f>
        <v/>
      </c>
      <c r="T323" s="374"/>
      <c r="U323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23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23" s="12"/>
      <c r="X323" s="384" t="str">
        <f>IFERROR(IF(TRANSHARI3_ACCMALAM[[#This Row],[NAMA REKENING]]="","",TRANSHARI3_ACCMALAM[[#This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IFERROR(VLOOKUP(TRANSHARI3_ACCPAGI[[#This Row],[PRODUK]],DATA_ACC[],5,FALSE),"")</f>
        <v/>
      </c>
      <c r="E324" s="374"/>
      <c r="F324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24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24" s="12"/>
      <c r="I324" s="386" t="str">
        <f>IFERROR(IF(TRANSHARI3_ACCPAGI[[#This Row],[NAMA REKENING]]="","",TRANSHARI3_ACCPAGI[[#This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IFERROR(VLOOKUP(TRANSHARI3_ACCMALAM[[#This Row],[PRODUK]],DATA_ACC[],5,FALSE),"")</f>
        <v/>
      </c>
      <c r="T324" s="374"/>
      <c r="U324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24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24" s="12"/>
      <c r="X324" s="386" t="str">
        <f>IFERROR(IF(TRANSHARI3_ACCMALAM[[#This Row],[NAMA REKENING]]="","",TRANSHARI3_ACCMALAM[[#This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IFERROR(VLOOKUP(TRANSHARI3_ACCPAGI[[#This Row],[PRODUK]],DATA_ACC[],5,FALSE),"")</f>
        <v/>
      </c>
      <c r="E325" s="374"/>
      <c r="F325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25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25" s="12"/>
      <c r="I325" s="384" t="str">
        <f>IFERROR(IF(TRANSHARI3_ACCPAGI[[#This Row],[NAMA REKENING]]="","",TRANSHARI3_ACCPAGI[[#This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IFERROR(VLOOKUP(TRANSHARI3_ACCMALAM[[#This Row],[PRODUK]],DATA_ACC[],5,FALSE),"")</f>
        <v/>
      </c>
      <c r="T325" s="374"/>
      <c r="U325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25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25" s="12"/>
      <c r="X325" s="384" t="str">
        <f>IFERROR(IF(TRANSHARI3_ACCMALAM[[#This Row],[NAMA REKENING]]="","",TRANSHARI3_ACCMALAM[[#This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IFERROR(VLOOKUP(TRANSHARI3_ACCPAGI[[#This Row],[PRODUK]],DATA_ACC[],5,FALSE),"")</f>
        <v/>
      </c>
      <c r="E326" s="374"/>
      <c r="F326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26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26" s="12"/>
      <c r="I326" s="386" t="str">
        <f>IFERROR(IF(TRANSHARI3_ACCPAGI[[#This Row],[NAMA REKENING]]="","",TRANSHARI3_ACCPAGI[[#This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IFERROR(VLOOKUP(TRANSHARI3_ACCMALAM[[#This Row],[PRODUK]],DATA_ACC[],5,FALSE),"")</f>
        <v/>
      </c>
      <c r="T326" s="374"/>
      <c r="U326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26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26" s="12"/>
      <c r="X326" s="386" t="str">
        <f>IFERROR(IF(TRANSHARI3_ACCMALAM[[#This Row],[NAMA REKENING]]="","",TRANSHARI3_ACCMALAM[[#This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IFERROR(VLOOKUP(TRANSHARI3_ACCPAGI[[#This Row],[PRODUK]],DATA_ACC[],5,FALSE),"")</f>
        <v/>
      </c>
      <c r="E327" s="374"/>
      <c r="F327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27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27" s="12"/>
      <c r="I327" s="384" t="str">
        <f>IFERROR(IF(TRANSHARI3_ACCPAGI[[#This Row],[NAMA REKENING]]="","",TRANSHARI3_ACCPAGI[[#This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IFERROR(VLOOKUP(TRANSHARI3_ACCMALAM[[#This Row],[PRODUK]],DATA_ACC[],5,FALSE),"")</f>
        <v/>
      </c>
      <c r="T327" s="374"/>
      <c r="U327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27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27" s="12"/>
      <c r="X327" s="384" t="str">
        <f>IFERROR(IF(TRANSHARI3_ACCMALAM[[#This Row],[NAMA REKENING]]="","",TRANSHARI3_ACCMALAM[[#This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IFERROR(VLOOKUP(TRANSHARI3_ACCPAGI[[#This Row],[PRODUK]],DATA_ACC[],5,FALSE),"")</f>
        <v/>
      </c>
      <c r="E328" s="374"/>
      <c r="F328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28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28" s="12"/>
      <c r="I328" s="386" t="str">
        <f>IFERROR(IF(TRANSHARI3_ACCPAGI[[#This Row],[NAMA REKENING]]="","",TRANSHARI3_ACCPAGI[[#This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IFERROR(VLOOKUP(TRANSHARI3_ACCMALAM[[#This Row],[PRODUK]],DATA_ACC[],5,FALSE),"")</f>
        <v/>
      </c>
      <c r="T328" s="374"/>
      <c r="U328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28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28" s="12"/>
      <c r="X328" s="386" t="str">
        <f>IFERROR(IF(TRANSHARI3_ACCMALAM[[#This Row],[NAMA REKENING]]="","",TRANSHARI3_ACCMALAM[[#This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IFERROR(VLOOKUP(TRANSHARI3_ACCPAGI[[#This Row],[PRODUK]],DATA_ACC[],5,FALSE),"")</f>
        <v/>
      </c>
      <c r="E329" s="374"/>
      <c r="F329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29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29" s="12"/>
      <c r="I329" s="384" t="str">
        <f>IFERROR(IF(TRANSHARI3_ACCPAGI[[#This Row],[NAMA REKENING]]="","",TRANSHARI3_ACCPAGI[[#This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IFERROR(VLOOKUP(TRANSHARI3_ACCMALAM[[#This Row],[PRODUK]],DATA_ACC[],5,FALSE),"")</f>
        <v/>
      </c>
      <c r="T329" s="374"/>
      <c r="U329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29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29" s="12"/>
      <c r="X329" s="384" t="str">
        <f>IFERROR(IF(TRANSHARI3_ACCMALAM[[#This Row],[NAMA REKENING]]="","",TRANSHARI3_ACCMALAM[[#This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IFERROR(VLOOKUP(TRANSHARI3_ACCPAGI[[#This Row],[PRODUK]],DATA_ACC[],5,FALSE),"")</f>
        <v/>
      </c>
      <c r="E330" s="374"/>
      <c r="F330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30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30" s="12"/>
      <c r="I330" s="386" t="str">
        <f>IFERROR(IF(TRANSHARI3_ACCPAGI[[#This Row],[NAMA REKENING]]="","",TRANSHARI3_ACCPAGI[[#This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IFERROR(VLOOKUP(TRANSHARI3_ACCMALAM[[#This Row],[PRODUK]],DATA_ACC[],5,FALSE),"")</f>
        <v/>
      </c>
      <c r="T330" s="374"/>
      <c r="U330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30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30" s="12"/>
      <c r="X330" s="386" t="str">
        <f>IFERROR(IF(TRANSHARI3_ACCMALAM[[#This Row],[NAMA REKENING]]="","",TRANSHARI3_ACCMALAM[[#This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IFERROR(VLOOKUP(TRANSHARI3_ACCPAGI[[#This Row],[PRODUK]],DATA_ACC[],5,FALSE),"")</f>
        <v/>
      </c>
      <c r="E331" s="374"/>
      <c r="F331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31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31" s="12"/>
      <c r="I331" s="384" t="str">
        <f>IFERROR(IF(TRANSHARI3_ACCPAGI[[#This Row],[NAMA REKENING]]="","",TRANSHARI3_ACCPAGI[[#This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IFERROR(VLOOKUP(TRANSHARI3_ACCMALAM[[#This Row],[PRODUK]],DATA_ACC[],5,FALSE),"")</f>
        <v/>
      </c>
      <c r="T331" s="374"/>
      <c r="U331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31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31" s="12"/>
      <c r="X331" s="384" t="str">
        <f>IFERROR(IF(TRANSHARI3_ACCMALAM[[#This Row],[NAMA REKENING]]="","",TRANSHARI3_ACCMALAM[[#This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IFERROR(VLOOKUP(TRANSHARI3_ACCPAGI[[#This Row],[PRODUK]],DATA_ACC[],5,FALSE),"")</f>
        <v/>
      </c>
      <c r="E332" s="374"/>
      <c r="F332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32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32" s="12"/>
      <c r="I332" s="386" t="str">
        <f>IFERROR(IF(TRANSHARI3_ACCPAGI[[#This Row],[NAMA REKENING]]="","",TRANSHARI3_ACCPAGI[[#This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IFERROR(VLOOKUP(TRANSHARI3_ACCMALAM[[#This Row],[PRODUK]],DATA_ACC[],5,FALSE),"")</f>
        <v/>
      </c>
      <c r="T332" s="374"/>
      <c r="U332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32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32" s="12"/>
      <c r="X332" s="386" t="str">
        <f>IFERROR(IF(TRANSHARI3_ACCMALAM[[#This Row],[NAMA REKENING]]="","",TRANSHARI3_ACCMALAM[[#This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IFERROR(VLOOKUP(TRANSHARI3_ACCPAGI[[#This Row],[PRODUK]],DATA_ACC[],5,FALSE),"")</f>
        <v/>
      </c>
      <c r="E333" s="374"/>
      <c r="F333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33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33" s="12"/>
      <c r="I333" s="384" t="str">
        <f>IFERROR(IF(TRANSHARI3_ACCPAGI[[#This Row],[NAMA REKENING]]="","",TRANSHARI3_ACCPAGI[[#This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IFERROR(VLOOKUP(TRANSHARI3_ACCMALAM[[#This Row],[PRODUK]],DATA_ACC[],5,FALSE),"")</f>
        <v/>
      </c>
      <c r="T333" s="374"/>
      <c r="U333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33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33" s="12"/>
      <c r="X333" s="384" t="str">
        <f>IFERROR(IF(TRANSHARI3_ACCMALAM[[#This Row],[NAMA REKENING]]="","",TRANSHARI3_ACCMALAM[[#This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IFERROR(VLOOKUP(TRANSHARI3_ACCPAGI[[#This Row],[PRODUK]],DATA_ACC[],5,FALSE),"")</f>
        <v/>
      </c>
      <c r="E334" s="374"/>
      <c r="F334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34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34" s="12"/>
      <c r="I334" s="386" t="str">
        <f>IFERROR(IF(TRANSHARI3_ACCPAGI[[#This Row],[NAMA REKENING]]="","",TRANSHARI3_ACCPAGI[[#This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IFERROR(VLOOKUP(TRANSHARI3_ACCMALAM[[#This Row],[PRODUK]],DATA_ACC[],5,FALSE),"")</f>
        <v/>
      </c>
      <c r="T334" s="374"/>
      <c r="U334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34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34" s="12"/>
      <c r="X334" s="386" t="str">
        <f>IFERROR(IF(TRANSHARI3_ACCMALAM[[#This Row],[NAMA REKENING]]="","",TRANSHARI3_ACCMALAM[[#This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IFERROR(VLOOKUP(TRANSHARI3_ACCPAGI[[#This Row],[PRODUK]],DATA_ACC[],5,FALSE),"")</f>
        <v/>
      </c>
      <c r="E335" s="374"/>
      <c r="F335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35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35" s="12"/>
      <c r="I335" s="384" t="str">
        <f>IFERROR(IF(TRANSHARI3_ACCPAGI[[#This Row],[NAMA REKENING]]="","",TRANSHARI3_ACCPAGI[[#This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IFERROR(VLOOKUP(TRANSHARI3_ACCMALAM[[#This Row],[PRODUK]],DATA_ACC[],5,FALSE),"")</f>
        <v/>
      </c>
      <c r="T335" s="374"/>
      <c r="U335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35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35" s="12"/>
      <c r="X335" s="384" t="str">
        <f>IFERROR(IF(TRANSHARI3_ACCMALAM[[#This Row],[NAMA REKENING]]="","",TRANSHARI3_ACCMALAM[[#This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IFERROR(VLOOKUP(TRANSHARI3_ACCPAGI[[#This Row],[PRODUK]],DATA_ACC[],5,FALSE),"")</f>
        <v/>
      </c>
      <c r="E336" s="374"/>
      <c r="F336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36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36" s="12"/>
      <c r="I336" s="386" t="str">
        <f>IFERROR(IF(TRANSHARI3_ACCPAGI[[#This Row],[NAMA REKENING]]="","",TRANSHARI3_ACCPAGI[[#This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IFERROR(VLOOKUP(TRANSHARI3_ACCMALAM[[#This Row],[PRODUK]],DATA_ACC[],5,FALSE),"")</f>
        <v/>
      </c>
      <c r="T336" s="374"/>
      <c r="U336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36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36" s="12"/>
      <c r="X336" s="386" t="str">
        <f>IFERROR(IF(TRANSHARI3_ACCMALAM[[#This Row],[NAMA REKENING]]="","",TRANSHARI3_ACCMALAM[[#This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IFERROR(VLOOKUP(TRANSHARI3_ACCPAGI[[#This Row],[PRODUK]],DATA_ACC[],5,FALSE),"")</f>
        <v/>
      </c>
      <c r="E337" s="374"/>
      <c r="F337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37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37" s="12"/>
      <c r="I337" s="384" t="str">
        <f>IFERROR(IF(TRANSHARI3_ACCPAGI[[#This Row],[NAMA REKENING]]="","",TRANSHARI3_ACCPAGI[[#This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IFERROR(VLOOKUP(TRANSHARI3_ACCMALAM[[#This Row],[PRODUK]],DATA_ACC[],5,FALSE),"")</f>
        <v/>
      </c>
      <c r="T337" s="374"/>
      <c r="U337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37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37" s="12"/>
      <c r="X337" s="384" t="str">
        <f>IFERROR(IF(TRANSHARI3_ACCMALAM[[#This Row],[NAMA REKENING]]="","",TRANSHARI3_ACCMALAM[[#This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IFERROR(VLOOKUP(TRANSHARI3_ACCPAGI[[#This Row],[PRODUK]],DATA_ACC[],5,FALSE),"")</f>
        <v/>
      </c>
      <c r="E338" s="376"/>
      <c r="F338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38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38" s="377"/>
      <c r="I338" s="386" t="str">
        <f>IFERROR(IF(TRANSHARI3_ACCPAGI[[#This Row],[NAMA REKENING]]="","",TRANSHARI3_ACCPAGI[[#This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IFERROR(VLOOKUP(TRANSHARI3_ACCMALAM[[#This Row],[PRODUK]],DATA_ACC[],5,FALSE),"")</f>
        <v/>
      </c>
      <c r="T338" s="376"/>
      <c r="U338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38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38" s="377"/>
      <c r="X338" s="386" t="str">
        <f>IFERROR(IF(TRANSHARI3_ACCMALAM[[#This Row],[NAMA REKENING]]="","",TRANSHARI3_ACCMALAM[[#This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IFERROR(VLOOKUP(TRANSHARI3_ACCPAGI[[#This Row],[PRODUK]],DATA_ACC[],5,FALSE),"")</f>
        <v/>
      </c>
      <c r="E339" s="374"/>
      <c r="F339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39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39" s="12"/>
      <c r="I339" s="384" t="str">
        <f>IFERROR(IF(TRANSHARI3_ACCPAGI[[#This Row],[NAMA REKENING]]="","",TRANSHARI3_ACCPAGI[[#This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IFERROR(VLOOKUP(TRANSHARI3_ACCMALAM[[#This Row],[PRODUK]],DATA_ACC[],5,FALSE),"")</f>
        <v/>
      </c>
      <c r="T339" s="374"/>
      <c r="U339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39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39" s="12"/>
      <c r="X339" s="384" t="str">
        <f>IFERROR(IF(TRANSHARI3_ACCMALAM[[#This Row],[NAMA REKENING]]="","",TRANSHARI3_ACCMALAM[[#This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IFERROR(VLOOKUP(TRANSHARI3_ACCPAGI[[#This Row],[PRODUK]],DATA_ACC[],5,FALSE),"")</f>
        <v/>
      </c>
      <c r="E340" s="374"/>
      <c r="F340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40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40" s="12"/>
      <c r="I340" s="386" t="str">
        <f>IFERROR(IF(TRANSHARI3_ACCPAGI[[#This Row],[NAMA REKENING]]="","",TRANSHARI3_ACCPAGI[[#This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IFERROR(VLOOKUP(TRANSHARI3_ACCMALAM[[#This Row],[PRODUK]],DATA_ACC[],5,FALSE),"")</f>
        <v/>
      </c>
      <c r="T340" s="374"/>
      <c r="U340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40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40" s="12"/>
      <c r="X340" s="386" t="str">
        <f>IFERROR(IF(TRANSHARI3_ACCMALAM[[#This Row],[NAMA REKENING]]="","",TRANSHARI3_ACCMALAM[[#This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IFERROR(VLOOKUP(TRANSHARI3_ACCPAGI[[#This Row],[PRODUK]],DATA_ACC[],5,FALSE),"")</f>
        <v/>
      </c>
      <c r="E341" s="374"/>
      <c r="F341" s="369" t="str">
        <f>IFERROR(IF(TRANSHARI3_ACCPAGI[[#This Row],[NAMA PENGHUTANG]]="",((TRANSHARI3_ACCPAGI[[#This Row],[HARGA]]*TRANSHARI3_ACCPAGI[[#This Row],[QUANTITY]])+TRANSHARI3_ACCPAGI[[#This Row],[PRICE TOLERANCE]]),""),"")</f>
        <v/>
      </c>
      <c r="G341" s="369" t="str">
        <f>IFERROR(IF(TRANSHARI3_ACCPAGI[[#This Row],[NAMA PENGHUTANG]]="","",((TRANSHARI3_ACCPAGI[[#This Row],[HARGA]]*TRANSHARI3_ACCPAGI[[#This Row],[QUANTITY]])+TRANSHARI3_ACCPAGI[[#This Row],[PRICE TOLERANCE]])),"")</f>
        <v/>
      </c>
      <c r="H341" s="12"/>
      <c r="I341" s="384" t="str">
        <f>IFERROR(IF(TRANSHARI3_ACCPAGI[[#This Row],[NAMA REKENING]]="","",TRANSHARI3_ACCPAGI[[#This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IFERROR(VLOOKUP(TRANSHARI3_ACCMALAM[[#This Row],[PRODUK]],DATA_ACC[],5,FALSE),"")</f>
        <v/>
      </c>
      <c r="T341" s="374"/>
      <c r="U341" s="369" t="str">
        <f>IFERROR(IF(TRANSHARI3_ACCMALAM[[#This Row],[NAMA PENGHUTANG]]="",((TRANSHARI3_ACCMALAM[[#This Row],[HARGA]]*TRANSHARI3_ACCMALAM[[#This Row],[QUANTITY]])+TRANSHARI3_ACCMALAM[[#This Row],[PRICE TOLERANCE]]),""),"")</f>
        <v/>
      </c>
      <c r="V341" s="369" t="str">
        <f>IFERROR(IF(TRANSHARI3_ACCMALAM[[#This Row],[NAMA PENGHUTANG]]="","",((TRANSHARI3_ACCMALAM[[#This Row],[HARGA]]*TRANSHARI3_ACCMALAM[[#This Row],[QUANTITY]])+TRANSHARI3_ACCMALAM[[#This Row],[PRICE TOLERANCE]])),"")</f>
        <v/>
      </c>
      <c r="W341" s="12"/>
      <c r="X341" s="384" t="str">
        <f>IFERROR(IF(TRANSHARI3_ACCMALAM[[#This Row],[NAMA REKENING]]="","",TRANSHARI3_ACCMALAM[[#This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IFERROR(VLOOKUP(TRANSHARI3_ACCPAGI[[#This Row],[PRODUK]],DATA_ACC[],5,FALSE),"")</f>
        <v/>
      </c>
      <c r="E342" s="374"/>
      <c r="F342" s="373" t="str">
        <f>IFERROR(IF(TRANSHARI3_ACCPAGI[[#This Row],[NAMA PENGHUTANG]]="",((TRANSHARI3_ACCPAGI[[#This Row],[HARGA]]*TRANSHARI3_ACCPAGI[[#This Row],[QUANTITY]])+TRANSHARI3_ACCPAGI[[#This Row],[PRICE TOLERANCE]]),""),"")</f>
        <v/>
      </c>
      <c r="G342" s="373" t="str">
        <f>IFERROR(IF(TRANSHARI3_ACCPAGI[[#This Row],[NAMA PENGHUTANG]]="","",((TRANSHARI3_ACCPAGI[[#This Row],[HARGA]]*TRANSHARI3_ACCPAGI[[#This Row],[QUANTITY]])+TRANSHARI3_ACCPAGI[[#This Row],[PRICE TOLERANCE]])),"")</f>
        <v/>
      </c>
      <c r="H342" s="12"/>
      <c r="I342" s="386" t="str">
        <f>IFERROR(IF(TRANSHARI3_ACCPAGI[[#This Row],[NAMA REKENING]]="","",TRANSHARI3_ACCPAGI[[#This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IFERROR(VLOOKUP(TRANSHARI3_ACCMALAM[[#This Row],[PRODUK]],DATA_ACC[],5,FALSE),"")</f>
        <v/>
      </c>
      <c r="T342" s="374"/>
      <c r="U342" s="373" t="str">
        <f>IFERROR(IF(TRANSHARI3_ACCMALAM[[#This Row],[NAMA PENGHUTANG]]="",((TRANSHARI3_ACCMALAM[[#This Row],[HARGA]]*TRANSHARI3_ACCMALAM[[#This Row],[QUANTITY]])+TRANSHARI3_ACCMALAM[[#This Row],[PRICE TOLERANCE]]),""),"")</f>
        <v/>
      </c>
      <c r="V342" s="373" t="str">
        <f>IFERROR(IF(TRANSHARI3_ACCMALAM[[#This Row],[NAMA PENGHUTANG]]="","",((TRANSHARI3_ACCMALAM[[#This Row],[HARGA]]*TRANSHARI3_ACCMALAM[[#This Row],[QUANTITY]])+TRANSHARI3_ACCMALAM[[#This Row],[PRICE TOLERANCE]])),"")</f>
        <v/>
      </c>
      <c r="W342" s="12"/>
      <c r="X342" s="386" t="str">
        <f>IFERROR(IF(TRANSHARI3_ACCMALAM[[#This Row],[NAMA REKENING]]="","",TRANSHARI3_ACCMALAM[[#This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SUM(TRANSHARI3_ACCPAGI[QUANTITY])</f>
        <v>0</v>
      </c>
      <c r="E343" s="398">
        <f>SUM(TRANSHARI3_ACCPAGI[PRICE TOLERANCE])</f>
        <v>0</v>
      </c>
      <c r="F343" s="396">
        <f>SUM(TRANSHARI3_ACCPAGI[DEBIT])</f>
        <v>0</v>
      </c>
      <c r="G343" s="396">
        <f>SUM(TRANSHARI3_ACCPAGI[KREDIT])</f>
        <v>0</v>
      </c>
      <c r="I343" s="396">
        <f>SUM(TRANSHARI3_ACCPAGI[NOMINAL TRANSFER])</f>
        <v>0</v>
      </c>
      <c r="O343" s="324"/>
      <c r="P343" s="303" t="s">
        <v>78</v>
      </c>
      <c r="Q343" s="316"/>
      <c r="R343" s="395">
        <f>SUM(TRANSHARI3_ACCMALAM[QUANTITY])</f>
        <v>0</v>
      </c>
      <c r="T343" s="398">
        <f>SUM(TRANSHARI3_ACCMALAM[PRICE TOLERANCE])</f>
        <v>0</v>
      </c>
      <c r="U343" s="396">
        <f>SUM(TRANSHARI3_ACCMALAM[DEBIT])</f>
        <v>0</v>
      </c>
      <c r="V343" s="396">
        <f>SUM(TRANSHARI3_ACCMALAM[KREDIT])</f>
        <v>0</v>
      </c>
      <c r="X343" s="396">
        <f>SUM(TRANSHARI3_ACCMALAM[NOMINAL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">
        <v>199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">
        <v>200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IFERROR(VLOOKUP(TRANSHARI3_HYDROPAGI[[#This Row],[PRODUK]],DATA_HYDRO[],5,FALSE),"")</f>
        <v/>
      </c>
      <c r="E350" s="370"/>
      <c r="F350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0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0" s="371"/>
      <c r="I350" s="384" t="str">
        <f>IFERROR(IF(TRANSHARI3_HYDROPAGI[[#This Row],[NAMA REKENING]]="","",TRANSHARI3_HYDROPAGI[[#This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IFERROR(VLOOKUP(TRANSHARI3_HYDROMALAM[[#This Row],[PRODUK]],DATA_HYDRO[],5,FALSE),"")</f>
        <v/>
      </c>
      <c r="T350" s="370"/>
      <c r="U350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0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0" s="371"/>
      <c r="X350" s="384" t="str">
        <f>IFERROR(IF(TRANSHARI3_HYDROMALAM[[#This Row],[NAMA REKENING]]="","",TRANSHARI3_HYDROMALAM[[#This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IFERROR(VLOOKUP(TRANSHARI3_HYDROPAGI[[#This Row],[PRODUK]],DATA_HYDRO[],5,FALSE),"")</f>
        <v/>
      </c>
      <c r="E351" s="374"/>
      <c r="F351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1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1" s="12"/>
      <c r="I351" s="386" t="str">
        <f>IFERROR(IF(TRANSHARI3_HYDROPAGI[[#This Row],[NAMA REKENING]]="","",TRANSHARI3_HYDROPAGI[[#This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IFERROR(VLOOKUP(TRANSHARI3_HYDROMALAM[[#This Row],[PRODUK]],DATA_HYDRO[],5,FALSE),"")</f>
        <v/>
      </c>
      <c r="T351" s="374"/>
      <c r="U351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1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1" s="12"/>
      <c r="X351" s="386" t="str">
        <f>IFERROR(IF(TRANSHARI3_HYDROMALAM[[#This Row],[NAMA REKENING]]="","",TRANSHARI3_HYDROMALAM[[#This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IFERROR(VLOOKUP(TRANSHARI3_HYDROPAGI[[#This Row],[PRODUK]],DATA_HYDRO[],5,FALSE),"")</f>
        <v/>
      </c>
      <c r="E352" s="374"/>
      <c r="F352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2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2" s="12"/>
      <c r="I352" s="384" t="str">
        <f>IFERROR(IF(TRANSHARI3_HYDROPAGI[[#This Row],[NAMA REKENING]]="","",TRANSHARI3_HYDROPAGI[[#This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IFERROR(VLOOKUP(TRANSHARI3_HYDROMALAM[[#This Row],[PRODUK]],DATA_HYDRO[],5,FALSE),"")</f>
        <v/>
      </c>
      <c r="T352" s="374"/>
      <c r="U352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2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2" s="12"/>
      <c r="X352" s="384" t="str">
        <f>IFERROR(IF(TRANSHARI3_HYDROMALAM[[#This Row],[NAMA REKENING]]="","",TRANSHARI3_HYDROMALAM[[#This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IFERROR(VLOOKUP(TRANSHARI3_HYDROPAGI[[#This Row],[PRODUK]],DATA_HYDRO[],5,FALSE),"")</f>
        <v/>
      </c>
      <c r="E353" s="374"/>
      <c r="F353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3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3" s="12"/>
      <c r="I353" s="386" t="str">
        <f>IFERROR(IF(TRANSHARI3_HYDROPAGI[[#This Row],[NAMA REKENING]]="","",TRANSHARI3_HYDROPAGI[[#This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IFERROR(VLOOKUP(TRANSHARI3_HYDROMALAM[[#This Row],[PRODUK]],DATA_HYDRO[],5,FALSE),"")</f>
        <v/>
      </c>
      <c r="T353" s="374"/>
      <c r="U353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3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3" s="12"/>
      <c r="X353" s="386" t="str">
        <f>IFERROR(IF(TRANSHARI3_HYDROMALAM[[#This Row],[NAMA REKENING]]="","",TRANSHARI3_HYDROMALAM[[#This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IFERROR(VLOOKUP(TRANSHARI3_HYDROPAGI[[#This Row],[PRODUK]],DATA_HYDRO[],5,FALSE),"")</f>
        <v/>
      </c>
      <c r="E354" s="374"/>
      <c r="F354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4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4" s="12"/>
      <c r="I354" s="384" t="str">
        <f>IFERROR(IF(TRANSHARI3_HYDROPAGI[[#This Row],[NAMA REKENING]]="","",TRANSHARI3_HYDROPAGI[[#This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IFERROR(VLOOKUP(TRANSHARI3_HYDROMALAM[[#This Row],[PRODUK]],DATA_HYDRO[],5,FALSE),"")</f>
        <v/>
      </c>
      <c r="T354" s="374"/>
      <c r="U354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4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4" s="12"/>
      <c r="X354" s="384" t="str">
        <f>IFERROR(IF(TRANSHARI3_HYDROMALAM[[#This Row],[NAMA REKENING]]="","",TRANSHARI3_HYDROMALAM[[#This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IFERROR(VLOOKUP(TRANSHARI3_HYDROPAGI[[#This Row],[PRODUK]],DATA_HYDRO[],5,FALSE),"")</f>
        <v/>
      </c>
      <c r="E355" s="374"/>
      <c r="F355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5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5" s="12"/>
      <c r="I355" s="386" t="str">
        <f>IFERROR(IF(TRANSHARI3_HYDROPAGI[[#This Row],[NAMA REKENING]]="","",TRANSHARI3_HYDROPAGI[[#This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IFERROR(VLOOKUP(TRANSHARI3_HYDROMALAM[[#This Row],[PRODUK]],DATA_HYDRO[],5,FALSE),"")</f>
        <v/>
      </c>
      <c r="T355" s="374"/>
      <c r="U355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5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5" s="12"/>
      <c r="X355" s="386" t="str">
        <f>IFERROR(IF(TRANSHARI3_HYDROMALAM[[#This Row],[NAMA REKENING]]="","",TRANSHARI3_HYDROMALAM[[#This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IFERROR(VLOOKUP(TRANSHARI3_HYDROPAGI[[#This Row],[PRODUK]],DATA_HYDRO[],5,FALSE),"")</f>
        <v/>
      </c>
      <c r="E356" s="374"/>
      <c r="F356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6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6" s="12"/>
      <c r="I356" s="384" t="str">
        <f>IFERROR(IF(TRANSHARI3_HYDROPAGI[[#This Row],[NAMA REKENING]]="","",TRANSHARI3_HYDROPAGI[[#This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IFERROR(VLOOKUP(TRANSHARI3_HYDROMALAM[[#This Row],[PRODUK]],DATA_HYDRO[],5,FALSE),"")</f>
        <v/>
      </c>
      <c r="T356" s="374"/>
      <c r="U356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6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6" s="12"/>
      <c r="X356" s="384" t="str">
        <f>IFERROR(IF(TRANSHARI3_HYDROMALAM[[#This Row],[NAMA REKENING]]="","",TRANSHARI3_HYDROMALAM[[#This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IFERROR(VLOOKUP(TRANSHARI3_HYDROPAGI[[#This Row],[PRODUK]],DATA_HYDRO[],5,FALSE),"")</f>
        <v/>
      </c>
      <c r="E357" s="374"/>
      <c r="F357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7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7" s="12"/>
      <c r="I357" s="386" t="str">
        <f>IFERROR(IF(TRANSHARI3_HYDROPAGI[[#This Row],[NAMA REKENING]]="","",TRANSHARI3_HYDROPAGI[[#This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IFERROR(VLOOKUP(TRANSHARI3_HYDROMALAM[[#This Row],[PRODUK]],DATA_HYDRO[],5,FALSE),"")</f>
        <v/>
      </c>
      <c r="T357" s="374"/>
      <c r="U357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7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7" s="12"/>
      <c r="X357" s="386" t="str">
        <f>IFERROR(IF(TRANSHARI3_HYDROMALAM[[#This Row],[NAMA REKENING]]="","",TRANSHARI3_HYDROMALAM[[#This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IFERROR(VLOOKUP(TRANSHARI3_HYDROPAGI[[#This Row],[PRODUK]],DATA_HYDRO[],5,FALSE),"")</f>
        <v/>
      </c>
      <c r="E358" s="374"/>
      <c r="F358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8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8" s="12"/>
      <c r="I358" s="384" t="str">
        <f>IFERROR(IF(TRANSHARI3_HYDROPAGI[[#This Row],[NAMA REKENING]]="","",TRANSHARI3_HYDROPAGI[[#This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IFERROR(VLOOKUP(TRANSHARI3_HYDROMALAM[[#This Row],[PRODUK]],DATA_HYDRO[],5,FALSE),"")</f>
        <v/>
      </c>
      <c r="T358" s="374"/>
      <c r="U358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8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8" s="12"/>
      <c r="X358" s="384" t="str">
        <f>IFERROR(IF(TRANSHARI3_HYDROMALAM[[#This Row],[NAMA REKENING]]="","",TRANSHARI3_HYDROMALAM[[#This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IFERROR(VLOOKUP(TRANSHARI3_HYDROPAGI[[#This Row],[PRODUK]],DATA_HYDRO[],5,FALSE),"")</f>
        <v/>
      </c>
      <c r="E359" s="374"/>
      <c r="F359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59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59" s="12"/>
      <c r="I359" s="386" t="str">
        <f>IFERROR(IF(TRANSHARI3_HYDROPAGI[[#This Row],[NAMA REKENING]]="","",TRANSHARI3_HYDROPAGI[[#This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IFERROR(VLOOKUP(TRANSHARI3_HYDROMALAM[[#This Row],[PRODUK]],DATA_HYDRO[],5,FALSE),"")</f>
        <v/>
      </c>
      <c r="T359" s="374"/>
      <c r="U359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59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59" s="12"/>
      <c r="X359" s="386" t="str">
        <f>IFERROR(IF(TRANSHARI3_HYDROMALAM[[#This Row],[NAMA REKENING]]="","",TRANSHARI3_HYDROMALAM[[#This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IFERROR(VLOOKUP(TRANSHARI3_HYDROPAGI[[#This Row],[PRODUK]],DATA_HYDRO[],5,FALSE),"")</f>
        <v/>
      </c>
      <c r="E360" s="374"/>
      <c r="F360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0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0" s="12"/>
      <c r="I360" s="384" t="str">
        <f>IFERROR(IF(TRANSHARI3_HYDROPAGI[[#This Row],[NAMA REKENING]]="","",TRANSHARI3_HYDROPAGI[[#This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IFERROR(VLOOKUP(TRANSHARI3_HYDROMALAM[[#This Row],[PRODUK]],DATA_HYDRO[],5,FALSE),"")</f>
        <v/>
      </c>
      <c r="T360" s="374"/>
      <c r="U360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0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0" s="12"/>
      <c r="X360" s="384" t="str">
        <f>IFERROR(IF(TRANSHARI3_HYDROMALAM[[#This Row],[NAMA REKENING]]="","",TRANSHARI3_HYDROMALAM[[#This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IFERROR(VLOOKUP(TRANSHARI3_HYDROPAGI[[#This Row],[PRODUK]],DATA_HYDRO[],5,FALSE),"")</f>
        <v/>
      </c>
      <c r="E361" s="374"/>
      <c r="F361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1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1" s="12"/>
      <c r="I361" s="386" t="str">
        <f>IFERROR(IF(TRANSHARI3_HYDROPAGI[[#This Row],[NAMA REKENING]]="","",TRANSHARI3_HYDROPAGI[[#This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IFERROR(VLOOKUP(TRANSHARI3_HYDROMALAM[[#This Row],[PRODUK]],DATA_HYDRO[],5,FALSE),"")</f>
        <v/>
      </c>
      <c r="T361" s="374"/>
      <c r="U361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1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1" s="12"/>
      <c r="X361" s="386" t="str">
        <f>IFERROR(IF(TRANSHARI3_HYDROMALAM[[#This Row],[NAMA REKENING]]="","",TRANSHARI3_HYDROMALAM[[#This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IFERROR(VLOOKUP(TRANSHARI3_HYDROPAGI[[#This Row],[PRODUK]],DATA_HYDRO[],5,FALSE),"")</f>
        <v/>
      </c>
      <c r="E362" s="374"/>
      <c r="F362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2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2" s="12"/>
      <c r="I362" s="384" t="str">
        <f>IFERROR(IF(TRANSHARI3_HYDROPAGI[[#This Row],[NAMA REKENING]]="","",TRANSHARI3_HYDROPAGI[[#This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IFERROR(VLOOKUP(TRANSHARI3_HYDROMALAM[[#This Row],[PRODUK]],DATA_HYDRO[],5,FALSE),"")</f>
        <v/>
      </c>
      <c r="T362" s="374"/>
      <c r="U362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2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2" s="12"/>
      <c r="X362" s="384" t="str">
        <f>IFERROR(IF(TRANSHARI3_HYDROMALAM[[#This Row],[NAMA REKENING]]="","",TRANSHARI3_HYDROMALAM[[#This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IFERROR(VLOOKUP(TRANSHARI3_HYDROPAGI[[#This Row],[PRODUK]],DATA_HYDRO[],5,FALSE),"")</f>
        <v/>
      </c>
      <c r="E363" s="374"/>
      <c r="F363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3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3" s="12"/>
      <c r="I363" s="386" t="str">
        <f>IFERROR(IF(TRANSHARI3_HYDROPAGI[[#This Row],[NAMA REKENING]]="","",TRANSHARI3_HYDROPAGI[[#This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IFERROR(VLOOKUP(TRANSHARI3_HYDROMALAM[[#This Row],[PRODUK]],DATA_HYDRO[],5,FALSE),"")</f>
        <v/>
      </c>
      <c r="T363" s="374"/>
      <c r="U363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3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3" s="12"/>
      <c r="X363" s="386" t="str">
        <f>IFERROR(IF(TRANSHARI3_HYDROMALAM[[#This Row],[NAMA REKENING]]="","",TRANSHARI3_HYDROMALAM[[#This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IFERROR(VLOOKUP(TRANSHARI3_HYDROPAGI[[#This Row],[PRODUK]],DATA_HYDRO[],5,FALSE),"")</f>
        <v/>
      </c>
      <c r="E364" s="374"/>
      <c r="F364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4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4" s="12"/>
      <c r="I364" s="384" t="str">
        <f>IFERROR(IF(TRANSHARI3_HYDROPAGI[[#This Row],[NAMA REKENING]]="","",TRANSHARI3_HYDROPAGI[[#This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IFERROR(VLOOKUP(TRANSHARI3_HYDROMALAM[[#This Row],[PRODUK]],DATA_HYDRO[],5,FALSE),"")</f>
        <v/>
      </c>
      <c r="T364" s="374"/>
      <c r="U364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4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4" s="12"/>
      <c r="X364" s="384" t="str">
        <f>IFERROR(IF(TRANSHARI3_HYDROMALAM[[#This Row],[NAMA REKENING]]="","",TRANSHARI3_HYDROMALAM[[#This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IFERROR(VLOOKUP(TRANSHARI3_HYDROPAGI[[#This Row],[PRODUK]],DATA_HYDRO[],5,FALSE),"")</f>
        <v/>
      </c>
      <c r="E365" s="374"/>
      <c r="F365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5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5" s="12"/>
      <c r="I365" s="386" t="str">
        <f>IFERROR(IF(TRANSHARI3_HYDROPAGI[[#This Row],[NAMA REKENING]]="","",TRANSHARI3_HYDROPAGI[[#This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IFERROR(VLOOKUP(TRANSHARI3_HYDROMALAM[[#This Row],[PRODUK]],DATA_HYDRO[],5,FALSE),"")</f>
        <v/>
      </c>
      <c r="T365" s="374"/>
      <c r="U365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5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5" s="12"/>
      <c r="X365" s="386" t="str">
        <f>IFERROR(IF(TRANSHARI3_HYDROMALAM[[#This Row],[NAMA REKENING]]="","",TRANSHARI3_HYDROMALAM[[#This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IFERROR(VLOOKUP(TRANSHARI3_HYDROPAGI[[#This Row],[PRODUK]],DATA_HYDRO[],5,FALSE),"")</f>
        <v/>
      </c>
      <c r="E366" s="374"/>
      <c r="F366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6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6" s="12"/>
      <c r="I366" s="384" t="str">
        <f>IFERROR(IF(TRANSHARI3_HYDROPAGI[[#This Row],[NAMA REKENING]]="","",TRANSHARI3_HYDROPAGI[[#This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IFERROR(VLOOKUP(TRANSHARI3_HYDROMALAM[[#This Row],[PRODUK]],DATA_HYDRO[],5,FALSE),"")</f>
        <v/>
      </c>
      <c r="T366" s="374"/>
      <c r="U366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6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6" s="12"/>
      <c r="X366" s="384" t="str">
        <f>IFERROR(IF(TRANSHARI3_HYDROMALAM[[#This Row],[NAMA REKENING]]="","",TRANSHARI3_HYDROMALAM[[#This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IFERROR(VLOOKUP(TRANSHARI3_HYDROPAGI[[#This Row],[PRODUK]],DATA_HYDRO[],5,FALSE),"")</f>
        <v/>
      </c>
      <c r="E367" s="374"/>
      <c r="F367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7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7" s="12"/>
      <c r="I367" s="386" t="str">
        <f>IFERROR(IF(TRANSHARI3_HYDROPAGI[[#This Row],[NAMA REKENING]]="","",TRANSHARI3_HYDROPAGI[[#This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IFERROR(VLOOKUP(TRANSHARI3_HYDROMALAM[[#This Row],[PRODUK]],DATA_HYDRO[],5,FALSE),"")</f>
        <v/>
      </c>
      <c r="T367" s="374"/>
      <c r="U367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7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7" s="12"/>
      <c r="X367" s="386" t="str">
        <f>IFERROR(IF(TRANSHARI3_HYDROMALAM[[#This Row],[NAMA REKENING]]="","",TRANSHARI3_HYDROMALAM[[#This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IFERROR(VLOOKUP(TRANSHARI3_HYDROPAGI[[#This Row],[PRODUK]],DATA_HYDRO[],5,FALSE),"")</f>
        <v/>
      </c>
      <c r="E368" s="374"/>
      <c r="F368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8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8" s="12"/>
      <c r="I368" s="384" t="str">
        <f>IFERROR(IF(TRANSHARI3_HYDROPAGI[[#This Row],[NAMA REKENING]]="","",TRANSHARI3_HYDROPAGI[[#This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IFERROR(VLOOKUP(TRANSHARI3_HYDROMALAM[[#This Row],[PRODUK]],DATA_HYDRO[],5,FALSE),"")</f>
        <v/>
      </c>
      <c r="T368" s="374"/>
      <c r="U368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8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8" s="12"/>
      <c r="X368" s="384" t="str">
        <f>IFERROR(IF(TRANSHARI3_HYDROMALAM[[#This Row],[NAMA REKENING]]="","",TRANSHARI3_HYDROMALAM[[#This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IFERROR(VLOOKUP(TRANSHARI3_HYDROPAGI[[#This Row],[PRODUK]],DATA_HYDRO[],5,FALSE),"")</f>
        <v/>
      </c>
      <c r="E369" s="374"/>
      <c r="F369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69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69" s="12"/>
      <c r="I369" s="386" t="str">
        <f>IFERROR(IF(TRANSHARI3_HYDROPAGI[[#This Row],[NAMA REKENING]]="","",TRANSHARI3_HYDROPAGI[[#This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IFERROR(VLOOKUP(TRANSHARI3_HYDROMALAM[[#This Row],[PRODUK]],DATA_HYDRO[],5,FALSE),"")</f>
        <v/>
      </c>
      <c r="T369" s="374"/>
      <c r="U369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69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69" s="12"/>
      <c r="X369" s="386" t="str">
        <f>IFERROR(IF(TRANSHARI3_HYDROMALAM[[#This Row],[NAMA REKENING]]="","",TRANSHARI3_HYDROMALAM[[#This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IFERROR(VLOOKUP(TRANSHARI3_HYDROPAGI[[#This Row],[PRODUK]],DATA_HYDRO[],5,FALSE),"")</f>
        <v/>
      </c>
      <c r="E370" s="374"/>
      <c r="F370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0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0" s="12"/>
      <c r="I370" s="384" t="str">
        <f>IFERROR(IF(TRANSHARI3_HYDROPAGI[[#This Row],[NAMA REKENING]]="","",TRANSHARI3_HYDROPAGI[[#This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IFERROR(VLOOKUP(TRANSHARI3_HYDROMALAM[[#This Row],[PRODUK]],DATA_HYDRO[],5,FALSE),"")</f>
        <v/>
      </c>
      <c r="T370" s="374"/>
      <c r="U370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0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0" s="12"/>
      <c r="X370" s="384" t="str">
        <f>IFERROR(IF(TRANSHARI3_HYDROMALAM[[#This Row],[NAMA REKENING]]="","",TRANSHARI3_HYDROMALAM[[#This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IFERROR(VLOOKUP(TRANSHARI3_HYDROPAGI[[#This Row],[PRODUK]],DATA_HYDRO[],5,FALSE),"")</f>
        <v/>
      </c>
      <c r="E371" s="374"/>
      <c r="F371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1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1" s="12"/>
      <c r="I371" s="386" t="str">
        <f>IFERROR(IF(TRANSHARI3_HYDROPAGI[[#This Row],[NAMA REKENING]]="","",TRANSHARI3_HYDROPAGI[[#This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IFERROR(VLOOKUP(TRANSHARI3_HYDROMALAM[[#This Row],[PRODUK]],DATA_HYDRO[],5,FALSE),"")</f>
        <v/>
      </c>
      <c r="T371" s="374"/>
      <c r="U371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1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1" s="12"/>
      <c r="X371" s="386" t="str">
        <f>IFERROR(IF(TRANSHARI3_HYDROMALAM[[#This Row],[NAMA REKENING]]="","",TRANSHARI3_HYDROMALAM[[#This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IFERROR(VLOOKUP(TRANSHARI3_HYDROPAGI[[#This Row],[PRODUK]],DATA_HYDRO[],5,FALSE),"")</f>
        <v/>
      </c>
      <c r="E372" s="374"/>
      <c r="F372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2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2" s="12"/>
      <c r="I372" s="384" t="str">
        <f>IFERROR(IF(TRANSHARI3_HYDROPAGI[[#This Row],[NAMA REKENING]]="","",TRANSHARI3_HYDROPAGI[[#This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IFERROR(VLOOKUP(TRANSHARI3_HYDROMALAM[[#This Row],[PRODUK]],DATA_HYDRO[],5,FALSE),"")</f>
        <v/>
      </c>
      <c r="T372" s="374"/>
      <c r="U372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2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2" s="12"/>
      <c r="X372" s="384" t="str">
        <f>IFERROR(IF(TRANSHARI3_HYDROMALAM[[#This Row],[NAMA REKENING]]="","",TRANSHARI3_HYDROMALAM[[#This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IFERROR(VLOOKUP(TRANSHARI3_HYDROPAGI[[#This Row],[PRODUK]],DATA_HYDRO[],5,FALSE),"")</f>
        <v/>
      </c>
      <c r="E373" s="374"/>
      <c r="F373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3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3" s="12"/>
      <c r="I373" s="386" t="str">
        <f>IFERROR(IF(TRANSHARI3_HYDROPAGI[[#This Row],[NAMA REKENING]]="","",TRANSHARI3_HYDROPAGI[[#This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IFERROR(VLOOKUP(TRANSHARI3_HYDROMALAM[[#This Row],[PRODUK]],DATA_HYDRO[],5,FALSE),"")</f>
        <v/>
      </c>
      <c r="T373" s="374"/>
      <c r="U373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3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3" s="12"/>
      <c r="X373" s="386" t="str">
        <f>IFERROR(IF(TRANSHARI3_HYDROMALAM[[#This Row],[NAMA REKENING]]="","",TRANSHARI3_HYDROMALAM[[#This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IFERROR(VLOOKUP(TRANSHARI3_HYDROPAGI[[#This Row],[PRODUK]],DATA_HYDRO[],5,FALSE),"")</f>
        <v/>
      </c>
      <c r="E374" s="374"/>
      <c r="F374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4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4" s="12"/>
      <c r="I374" s="384" t="str">
        <f>IFERROR(IF(TRANSHARI3_HYDROPAGI[[#This Row],[NAMA REKENING]]="","",TRANSHARI3_HYDROPAGI[[#This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IFERROR(VLOOKUP(TRANSHARI3_HYDROMALAM[[#This Row],[PRODUK]],DATA_HYDRO[],5,FALSE),"")</f>
        <v/>
      </c>
      <c r="T374" s="374"/>
      <c r="U374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4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4" s="12"/>
      <c r="X374" s="384" t="str">
        <f>IFERROR(IF(TRANSHARI3_HYDROMALAM[[#This Row],[NAMA REKENING]]="","",TRANSHARI3_HYDROMALAM[[#This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IFERROR(VLOOKUP(TRANSHARI3_HYDROPAGI[[#This Row],[PRODUK]],DATA_HYDRO[],5,FALSE),"")</f>
        <v/>
      </c>
      <c r="E375" s="376"/>
      <c r="F375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5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5" s="377"/>
      <c r="I375" s="386" t="str">
        <f>IFERROR(IF(TRANSHARI3_HYDROPAGI[[#This Row],[NAMA REKENING]]="","",TRANSHARI3_HYDROPAGI[[#This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IFERROR(VLOOKUP(TRANSHARI3_HYDROMALAM[[#This Row],[PRODUK]],DATA_HYDRO[],5,FALSE),"")</f>
        <v/>
      </c>
      <c r="T375" s="376"/>
      <c r="U375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5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5" s="377"/>
      <c r="X375" s="386" t="str">
        <f>IFERROR(IF(TRANSHARI3_HYDROMALAM[[#This Row],[NAMA REKENING]]="","",TRANSHARI3_HYDROMALAM[[#This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IFERROR(VLOOKUP(TRANSHARI3_HYDROPAGI[[#This Row],[PRODUK]],DATA_HYDRO[],5,FALSE),"")</f>
        <v/>
      </c>
      <c r="E376" s="374"/>
      <c r="F376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6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6" s="12"/>
      <c r="I376" s="384" t="str">
        <f>IFERROR(IF(TRANSHARI3_HYDROPAGI[[#This Row],[NAMA REKENING]]="","",TRANSHARI3_HYDROPAGI[[#This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IFERROR(VLOOKUP(TRANSHARI3_HYDROMALAM[[#This Row],[PRODUK]],DATA_HYDRO[],5,FALSE),"")</f>
        <v/>
      </c>
      <c r="T376" s="374"/>
      <c r="U376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6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6" s="12"/>
      <c r="X376" s="384" t="str">
        <f>IFERROR(IF(TRANSHARI3_HYDROMALAM[[#This Row],[NAMA REKENING]]="","",TRANSHARI3_HYDROMALAM[[#This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IFERROR(VLOOKUP(TRANSHARI3_HYDROPAGI[[#This Row],[PRODUK]],DATA_HYDRO[],5,FALSE),"")</f>
        <v/>
      </c>
      <c r="E377" s="374"/>
      <c r="F377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7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7" s="12"/>
      <c r="I377" s="386" t="str">
        <f>IFERROR(IF(TRANSHARI3_HYDROPAGI[[#This Row],[NAMA REKENING]]="","",TRANSHARI3_HYDROPAGI[[#This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IFERROR(VLOOKUP(TRANSHARI3_HYDROMALAM[[#This Row],[PRODUK]],DATA_HYDRO[],5,FALSE),"")</f>
        <v/>
      </c>
      <c r="T377" s="374"/>
      <c r="U377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7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7" s="12"/>
      <c r="X377" s="386" t="str">
        <f>IFERROR(IF(TRANSHARI3_HYDROMALAM[[#This Row],[NAMA REKENING]]="","",TRANSHARI3_HYDROMALAM[[#This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IFERROR(VLOOKUP(TRANSHARI3_HYDROPAGI[[#This Row],[PRODUK]],DATA_HYDRO[],5,FALSE),"")</f>
        <v/>
      </c>
      <c r="E378" s="374"/>
      <c r="F378" s="369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8" s="369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8" s="12"/>
      <c r="I378" s="384" t="str">
        <f>IFERROR(IF(TRANSHARI3_HYDROPAGI[[#This Row],[NAMA REKENING]]="","",TRANSHARI3_HYDROPAGI[[#This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IFERROR(VLOOKUP(TRANSHARI3_HYDROMALAM[[#This Row],[PRODUK]],DATA_HYDRO[],5,FALSE),"")</f>
        <v/>
      </c>
      <c r="T378" s="374"/>
      <c r="U378" s="369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8" s="369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8" s="12"/>
      <c r="X378" s="384" t="str">
        <f>IFERROR(IF(TRANSHARI3_HYDROMALAM[[#This Row],[NAMA REKENING]]="","",TRANSHARI3_HYDROMALAM[[#This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IFERROR(VLOOKUP(TRANSHARI3_HYDROPAGI[[#This Row],[PRODUK]],DATA_HYDRO[],5,FALSE),"")</f>
        <v/>
      </c>
      <c r="E379" s="374"/>
      <c r="F379" s="373" t="str">
        <f>IFERROR(IF(TRANSHARI3_HYDROPAGI[[#This Row],[NAMA PENGHUTANG]]="",((TRANSHARI3_HYDROPAGI[[#This Row],[HARGA]]*TRANSHARI3_HYDROPAGI[[#This Row],[QUANTITY]])+TRANSHARI3_HYDROPAGI[[#This Row],[PRICE TOLERANCE]]),""),"")</f>
        <v/>
      </c>
      <c r="G379" s="373" t="str">
        <f>IFERROR(IF(TRANSHARI3_HYDROPAGI[[#This Row],[NAMA PENGHUTANG]]="","",((TRANSHARI3_HYDROPAGI[[#This Row],[HARGA]]*TRANSHARI3_HYDROPAGI[[#This Row],[QUANTITY]])+TRANSHARI3_HYDROPAGI[[#This Row],[PRICE TOLERANCE]])),"")</f>
        <v/>
      </c>
      <c r="H379" s="12"/>
      <c r="I379" s="386" t="str">
        <f>IFERROR(IF(TRANSHARI3_HYDROPAGI[[#This Row],[NAMA REKENING]]="","",TRANSHARI3_HYDROPAGI[[#This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IFERROR(VLOOKUP(TRANSHARI3_HYDROMALAM[[#This Row],[PRODUK]],DATA_HYDRO[],5,FALSE),"")</f>
        <v/>
      </c>
      <c r="T379" s="374"/>
      <c r="U379" s="373" t="str">
        <f>IFERROR(IF(TRANSHARI3_HYDROMALAM[[#This Row],[NAMA PENGHUTANG]]="",((TRANSHARI3_HYDROMALAM[[#This Row],[HARGA]]*TRANSHARI3_HYDROMALAM[[#This Row],[QUANTITY]])+TRANSHARI3_HYDROMALAM[[#This Row],[PRICE TOLERANCE]]),""),"")</f>
        <v/>
      </c>
      <c r="V379" s="373" t="str">
        <f>IFERROR(IF(TRANSHARI3_HYDROMALAM[[#This Row],[NAMA PENGHUTANG]]="","",((TRANSHARI3_HYDROMALAM[[#This Row],[HARGA]]*TRANSHARI3_HYDROMALAM[[#This Row],[QUANTITY]])+TRANSHARI3_HYDROMALAM[[#This Row],[PRICE TOLERANCE]])),"")</f>
        <v/>
      </c>
      <c r="W379" s="12"/>
      <c r="X379" s="386" t="str">
        <f>IFERROR(IF(TRANSHARI3_HYDROMALAM[[#This Row],[NAMA REKENING]]="","",TRANSHARI3_HYDROMALAM[[#This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SUM(TRANSHARI3_HYDROPAGI[QUANTITY])</f>
        <v>0</v>
      </c>
      <c r="E380" s="398">
        <f>SUM(TRANSHARI3_HYDROPAGI[PRICE TOLERANCE])</f>
        <v>0</v>
      </c>
      <c r="F380" s="396">
        <f>SUM(TRANSHARI3_HYDROPAGI[DEBIT])</f>
        <v>0</v>
      </c>
      <c r="G380" s="396">
        <f>SUM(TRANSHARI3_HYDROPAGI[KREDIT])</f>
        <v>0</v>
      </c>
      <c r="I380" s="396">
        <f>SUM(TRANSHARI3_HYDROPAGI[NOMINAL TRANSFER])</f>
        <v>0</v>
      </c>
      <c r="O380" s="324"/>
      <c r="P380" s="303" t="s">
        <v>78</v>
      </c>
      <c r="Q380" s="316"/>
      <c r="R380" s="395">
        <f>SUM(TRANSHARI3_HYDROMALAM[QUANTITY])</f>
        <v>0</v>
      </c>
      <c r="T380" s="398">
        <f>SUM(TRANSHARI3_HYDROMALAM[PRICE TOLERANCE])</f>
        <v>0</v>
      </c>
      <c r="U380" s="396">
        <f>SUM(TRANSHARI3_HYDROMALAM[DEBIT])</f>
        <v>0</v>
      </c>
      <c r="V380" s="396">
        <f>SUM(TRANSHARI3_HYDROMALAM[KREDIT])</f>
        <v>0</v>
      </c>
      <c r="X380" s="396">
        <f>SUM(TRANSHARI3_HYDROMALAM[NOMINAL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201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202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SUM(TRANSHARI3_PULSAPAGI[DEBIT])</f>
        <v>0</v>
      </c>
      <c r="D390" s="431">
        <f>SUM(TRANSHARI3_PULSAPAGI[KREDIT])</f>
        <v>0</v>
      </c>
      <c r="E390" s="432">
        <f>SUM(TRANSHARI3_PULSAPAGI[NOMINAL TRANSFER])</f>
        <v>0</v>
      </c>
      <c r="F390" s="433">
        <f>0</f>
        <v>0</v>
      </c>
      <c r="G390" s="434">
        <f>COUNTA(TRANSHARI3_PULSAPAGI[[DEBIT]:[KREDIT]])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SUM(TRANSHARI3_PULSAMALAM[DEBIT])</f>
        <v>0</v>
      </c>
      <c r="S390" s="431">
        <f>SUM(TRANSHARI3_PULSAMALAM[KREDIT])</f>
        <v>0</v>
      </c>
      <c r="T390" s="432">
        <f>SUM(TRANSHARI3_PULSAMALAM[NOMINAL TRANSFER])</f>
        <v>0</v>
      </c>
      <c r="U390" s="433">
        <f>0</f>
        <v>0</v>
      </c>
      <c r="V390" s="434">
        <f>COUNTA(TRANSHARI3_PULSAMALAM[[DEBIT]:[KREDIT]])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SUM(TRANSHARI3_ROKOKPAGI[DEBIT])</f>
        <v>0</v>
      </c>
      <c r="D391" s="431">
        <f>SUM(TRANSHARI3_ROKOKPAGI[KREDIT])</f>
        <v>0</v>
      </c>
      <c r="E391" s="432">
        <f>SUM(TRANSHARI3_ROKOKPAGI[NOMINAL TRANSFER])</f>
        <v>0</v>
      </c>
      <c r="F391" s="433">
        <f>SUM(TRANSHARI3_ROKOKPAGI[PRICE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SUM(TRANSHARI3_ROKOKMALAM[DEBIT])</f>
        <v>0</v>
      </c>
      <c r="S391" s="431">
        <f>SUM(TRANSHARI3_ROKOKMALAM[KREDIT])</f>
        <v>0</v>
      </c>
      <c r="T391" s="432">
        <f>SUM(TRANSHARI3_ROKOKMALAM[NOMINAL TRANSFER])</f>
        <v>0</v>
      </c>
      <c r="U391" s="433">
        <f>SUM(TRANSHARI3_ROKOKMALAM[PRICE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SUM(TRANSHARI3_SPVOUPAGI[DEBIT])</f>
        <v>0</v>
      </c>
      <c r="D392" s="431">
        <f>SUM(TRANSHARI3_SPVOUPAGI[KREDIT])</f>
        <v>0</v>
      </c>
      <c r="E392" s="432">
        <f>SUM(TRANSHARI3_SPVOUPAGI[NOMINAL TRANSFER])</f>
        <v>0</v>
      </c>
      <c r="F392" s="433">
        <f>SUM(TRANSHARI3_SPVOUPAGI[PRICE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SUM(TRANSHARI3_SPVOUMALAM[DEBIT])</f>
        <v>0</v>
      </c>
      <c r="S392" s="431">
        <f>SUM(TRANSHARI3_SPVOUMALAM[KREDIT])</f>
        <v>0</v>
      </c>
      <c r="T392" s="432">
        <f>SUM(TRANSHARI3_SPVOUMALAM[NOMINAL TRANSFER])</f>
        <v>0</v>
      </c>
      <c r="U392" s="433">
        <f>SUM(TRANSHARI3_SPVOUMALAM[PRICE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SUM(TRANSHARI3_SOFTDRINKPAGI[DEBIT])</f>
        <v>0</v>
      </c>
      <c r="D393" s="431">
        <f>SUM(TRANSHARI3_SOFTDRINKPAGI[KREDIT])</f>
        <v>0</v>
      </c>
      <c r="E393" s="432">
        <f>SUM(TRANSHARI3_SOFTDRINKPAGI[NOMINAL TRANSFER])</f>
        <v>0</v>
      </c>
      <c r="F393" s="433">
        <f>SUM(TRANSHARI3_SOFTDRINKPAGI[PRICE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SUM(TRANSHARI3_SOFTDRINKMALAM[DEBIT])</f>
        <v>0</v>
      </c>
      <c r="S393" s="431">
        <f>SUM(TRANSHARI3_SOFTDRINKMALAM[KREDIT])</f>
        <v>0</v>
      </c>
      <c r="T393" s="432">
        <f>SUM(TRANSHARI3_SOFTDRINKMALAM[NOMINAL TRANSFER])</f>
        <v>0</v>
      </c>
      <c r="U393" s="433">
        <f>SUM(TRANSHARI3_SOFTDRINKMALAM[PRICE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SUM(TRANSHARI3_ICECREAMPAGI[DEBIT])</f>
        <v>0</v>
      </c>
      <c r="D394" s="431">
        <f>SUM(TRANSHARI3_ICECREAMPAGI[KREDIT])</f>
        <v>0</v>
      </c>
      <c r="E394" s="432">
        <f>SUM(TRANSHARI3_ICECREAMPAGI[NOMINAL TRANSFER])</f>
        <v>0</v>
      </c>
      <c r="F394" s="433">
        <f>SUM(TRANSHARI3_ICECREAMPAGI[PRICE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SUM(TRANSHARI3_ICECREAMMALAM[DEBIT])</f>
        <v>0</v>
      </c>
      <c r="S394" s="431">
        <f>SUM(TRANSHARI3_ICECREAMMALAM[KREDIT])</f>
        <v>0</v>
      </c>
      <c r="T394" s="432">
        <f>SUM(TRANSHARI3_ICECREAMMALAM[NOMINAL TRANSFER])</f>
        <v>0</v>
      </c>
      <c r="U394" s="433">
        <f>SUM(TRANSHARI3_ICECREAMMALAM[PRICE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SUM(TRANSHARI3_ACCPAGI[DEBIT])</f>
        <v>0</v>
      </c>
      <c r="D395" s="431">
        <f>SUM(TRANSHARI3_ACCPAGI[KREDIT])</f>
        <v>0</v>
      </c>
      <c r="E395" s="432">
        <f>SUM(TRANSHARI3_ACCPAGI[NOMINAL TRANSFER])</f>
        <v>0</v>
      </c>
      <c r="F395" s="433">
        <f>SUM(TRANSHARI3_ACCPAGI[PRICE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SUM(TRANSHARI3_ACCMALAM[DEBIT])</f>
        <v>0</v>
      </c>
      <c r="S395" s="431">
        <f>SUM(TRANSHARI3_ACCMALAM[KREDIT])</f>
        <v>0</v>
      </c>
      <c r="T395" s="432">
        <f>SUM(TRANSHARI3_ACCMALAM[NOMINAL TRANSFER])</f>
        <v>0</v>
      </c>
      <c r="U395" s="433">
        <f>SUM(TRANSHARI3_ACCMALAM[PRICE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SUM(TRANSHARI3_HYDROPAGI[DEBIT])</f>
        <v>0</v>
      </c>
      <c r="D396" s="437">
        <f>SUM(TRANSHARI3_HYDROPAGI[KREDIT])</f>
        <v>0</v>
      </c>
      <c r="E396" s="438">
        <f>SUM(TRANSHARI3_HYDROPAGI[NOMINAL TRANSFER])</f>
        <v>0</v>
      </c>
      <c r="F396" s="439">
        <f>SUM(TRANSHARI3_HYDROPAGI[PRICE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SUM(TRANSHARI3_HYDROMALAM[DEBIT])</f>
        <v>0</v>
      </c>
      <c r="S396" s="437">
        <f>SUM(TRANSHARI3_HYDROMALAM[KREDIT])</f>
        <v>0</v>
      </c>
      <c r="T396" s="438">
        <f>SUM(TRANSHARI3_HYDROMALAM[NOMINAL TRANSFER])</f>
        <v>0</v>
      </c>
      <c r="U396" s="439">
        <f>SUM(TRANSHARI3_HYDROMALAM[PRICE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 t="shared" ref="V405:V411" si="1"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si="1"/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2'!T430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bXbrVOEmh2C7V7sFR8jgzGgZMMlCHSfarAlvTxD2rS20A5P23wsJj0JrEdHMNqtYaSfsx8zqXLh6s+0d07cwuA==" saltValue="7zfS6ZxR0X7DAbk7BPaQ8A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24:AC447"/>
  <sheetViews>
    <sheetView showGridLines="0" zoomScale="75" zoomScaleNormal="75" topLeftCell="S404" workbookViewId="0">
      <selection activeCell="S384" sqref="S384:S385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203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204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IFERROR(IF(TRANSHARI4_PULSAPAGI[[#This Row],[NAMA REKENING]]="","",TRANSHARI4_PULSAPAGI[[#This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IFERROR(IF(TRANSHARI4_PULSAMALAM[[#This Row],[NAMA REKENING]]="","",TRANSHARI4_PULSAMALAM[[#This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IFERROR(IF(TRANSHARI4_PULSAPAGI[[#This Row],[NAMA REKENING]]="","",TRANSHARI4_PULSAPAGI[[#This Row],[DEBIT]]),"")</f>
        <v/>
      </c>
      <c r="I29" s="311"/>
      <c r="J29" s="326"/>
      <c r="K29" s="330" t="s">
        <v>27</v>
      </c>
      <c r="L29" s="331">
        <f>'HARI 3'!AA33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IFERROR(IF(TRANSHARI4_PULSAMALAM[[#This Row],[NAMA REKENING]]="","",TRANSHARI4_PULSAMALAM[[#This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IFERROR(IF(TRANSHARI4_PULSAPAGI[[#This Row],[NAMA REKENING]]="","",TRANSHARI4_PULSAPAGI[[#This Row],[DEBIT]]),"")</f>
        <v/>
      </c>
      <c r="I30" s="311"/>
      <c r="J30" s="326"/>
      <c r="K30" s="332" t="s">
        <v>30</v>
      </c>
      <c r="L30" s="333">
        <f>SUMIF(TRANSHARI4_PULSAPAGI[APLIKASI],K28,TRANSHARI4_PULSAPAGI[SALDO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IFERROR(IF(TRANSHARI4_PULSAMALAM[[#This Row],[NAMA REKENING]]="","",TRANSHARI4_PULSAMALAM[[#This Row],[DEBIT]]),"")</f>
        <v/>
      </c>
      <c r="X30" s="311"/>
      <c r="Y30" s="326"/>
      <c r="Z30" s="332" t="s">
        <v>30</v>
      </c>
      <c r="AA30" s="333">
        <f>SUMIF(TRANSHARI4_PULSAMALAM[APLIKASI],Z28,TRANSHARI4_PULSAMALAM[SALDO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IFERROR(IF(TRANSHARI4_PULSAPAGI[[#This Row],[NAMA REKENING]]="","",TRANSHARI4_PULSAPAGI[[#This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IFERROR(IF(TRANSHARI4_PULSAMALAM[[#This Row],[NAMA REKENING]]="","",TRANSHARI4_PULSAMALAM[[#This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IFERROR(IF(TRANSHARI4_PULSAPAGI[[#This Row],[NAMA REKENING]]="","",TRANSHARI4_PULSAPAGI[[#This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IFERROR(IF(TRANSHARI4_PULSAMALAM[[#This Row],[NAMA REKENING]]="","",TRANSHARI4_PULSAMALAM[[#This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IFERROR(IF(TRANSHARI4_PULSAPAGI[[#This Row],[NAMA REKENING]]="","",TRANSHARI4_PULSAPAGI[[#This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IFERROR(IF(TRANSHARI4_PULSAMALAM[[#This Row],[NAMA REKENING]]="","",TRANSHARI4_PULSAMALAM[[#This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IFERROR(IF(TRANSHARI4_PULSAPAGI[[#This Row],[NAMA REKENING]]="","",TRANSHARI4_PULSAPAGI[[#This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IFERROR(IF(TRANSHARI4_PULSAMALAM[[#This Row],[NAMA REKENING]]="","",TRANSHARI4_PULSAMALAM[[#This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IFERROR(IF(TRANSHARI4_PULSAPAGI[[#This Row],[NAMA REKENING]]="","",TRANSHARI4_PULSAPAGI[[#This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IFERROR(IF(TRANSHARI4_PULSAMALAM[[#This Row],[NAMA REKENING]]="","",TRANSHARI4_PULSAMALAM[[#This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IFERROR(IF(TRANSHARI4_PULSAPAGI[[#This Row],[NAMA REKENING]]="","",TRANSHARI4_PULSAPAGI[[#This Row],[DEBIT]]),"")</f>
        <v/>
      </c>
      <c r="I36" s="311"/>
      <c r="J36" s="326"/>
      <c r="K36" s="330" t="s">
        <v>27</v>
      </c>
      <c r="L36" s="331">
        <f>'HARI 3'!AA40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IFERROR(IF(TRANSHARI4_PULSAMALAM[[#This Row],[NAMA REKENING]]="","",TRANSHARI4_PULSAMALAM[[#This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IFERROR(IF(TRANSHARI4_PULSAPAGI[[#This Row],[NAMA REKENING]]="","",TRANSHARI4_PULSAPAGI[[#This Row],[DEBIT]]),"")</f>
        <v/>
      </c>
      <c r="I37" s="311"/>
      <c r="J37" s="326"/>
      <c r="K37" s="332" t="s">
        <v>30</v>
      </c>
      <c r="L37" s="333">
        <f>SUMIF(TRANSHARI4_PULSAPAGI[APLIKASI],K35,TRANSHARI4_PULSAPAGI[SALDO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IFERROR(IF(TRANSHARI4_PULSAMALAM[[#This Row],[NAMA REKENING]]="","",TRANSHARI4_PULSAMALAM[[#This Row],[DEBIT]]),"")</f>
        <v/>
      </c>
      <c r="X37" s="311"/>
      <c r="Y37" s="326"/>
      <c r="Z37" s="332" t="s">
        <v>30</v>
      </c>
      <c r="AA37" s="333">
        <f>SUMIF(TRANSHARI4_PULSAMALAM[APLIKASI],Z35,TRANSHARI4_PULSAMALAM[SALDO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IFERROR(IF(TRANSHARI4_PULSAPAGI[[#This Row],[NAMA REKENING]]="","",TRANSHARI4_PULSAPAGI[[#This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IFERROR(IF(TRANSHARI4_PULSAMALAM[[#This Row],[NAMA REKENING]]="","",TRANSHARI4_PULSAMALAM[[#This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IFERROR(IF(TRANSHARI4_PULSAPAGI[[#This Row],[NAMA REKENING]]="","",TRANSHARI4_PULSAPAGI[[#This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IFERROR(IF(TRANSHARI4_PULSAMALAM[[#This Row],[NAMA REKENING]]="","",TRANSHARI4_PULSAMALAM[[#This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IFERROR(IF(TRANSHARI4_PULSAPAGI[[#This Row],[NAMA REKENING]]="","",TRANSHARI4_PULSAPAGI[[#This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IFERROR(IF(TRANSHARI4_PULSAMALAM[[#This Row],[NAMA REKENING]]="","",TRANSHARI4_PULSAMALAM[[#This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IFERROR(IF(TRANSHARI4_PULSAPAGI[[#This Row],[NAMA REKENING]]="","",TRANSHARI4_PULSAPAGI[[#This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IFERROR(IF(TRANSHARI4_PULSAMALAM[[#This Row],[NAMA REKENING]]="","",TRANSHARI4_PULSAMALAM[[#This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IFERROR(IF(TRANSHARI4_PULSAPAGI[[#This Row],[NAMA REKENING]]="","",TRANSHARI4_PULSAPAGI[[#This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IFERROR(IF(TRANSHARI4_PULSAMALAM[[#This Row],[NAMA REKENING]]="","",TRANSHARI4_PULSAMALAM[[#This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IFERROR(IF(TRANSHARI4_PULSAPAGI[[#This Row],[NAMA REKENING]]="","",TRANSHARI4_PULSAPAGI[[#This Row],[DEBIT]]),"")</f>
        <v/>
      </c>
      <c r="I43" s="311"/>
      <c r="J43" s="326"/>
      <c r="K43" s="330" t="s">
        <v>27</v>
      </c>
      <c r="L43" s="331">
        <f>'HARI 3'!AA47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IFERROR(IF(TRANSHARI4_PULSAMALAM[[#This Row],[NAMA REKENING]]="","",TRANSHARI4_PULSAMALAM[[#This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IFERROR(IF(TRANSHARI4_PULSAPAGI[[#This Row],[NAMA REKENING]]="","",TRANSHARI4_PULSAPAGI[[#This Row],[DEBIT]]),"")</f>
        <v/>
      </c>
      <c r="I44" s="311"/>
      <c r="J44" s="326"/>
      <c r="K44" s="332" t="s">
        <v>30</v>
      </c>
      <c r="L44" s="333">
        <f>SUMIF(TRANSHARI4_PULSAPAGI[APLIKASI],K42,TRANSHARI4_PULSAPAGI[SALDO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IFERROR(IF(TRANSHARI4_PULSAMALAM[[#This Row],[NAMA REKENING]]="","",TRANSHARI4_PULSAMALAM[[#This Row],[DEBIT]]),"")</f>
        <v/>
      </c>
      <c r="X44" s="311"/>
      <c r="Y44" s="326"/>
      <c r="Z44" s="332" t="s">
        <v>30</v>
      </c>
      <c r="AA44" s="333">
        <f>SUMIF(TRANSHARI4_PULSAMALAM[APLIKASI],Z42,TRANSHARI4_PULSAMALAM[SALDO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IFERROR(IF(TRANSHARI4_PULSAPAGI[[#This Row],[NAMA REKENING]]="","",TRANSHARI4_PULSAPAGI[[#This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IFERROR(IF(TRANSHARI4_PULSAMALAM[[#This Row],[NAMA REKENING]]="","",TRANSHARI4_PULSAMALAM[[#This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IFERROR(IF(TRANSHARI4_PULSAPAGI[[#This Row],[NAMA REKENING]]="","",TRANSHARI4_PULSAPAGI[[#This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IFERROR(IF(TRANSHARI4_PULSAMALAM[[#This Row],[NAMA REKENING]]="","",TRANSHARI4_PULSAMALAM[[#This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IFERROR(IF(TRANSHARI4_PULSAPAGI[[#This Row],[NAMA REKENING]]="","",TRANSHARI4_PULSAPAGI[[#This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IFERROR(IF(TRANSHARI4_PULSAMALAM[[#This Row],[NAMA REKENING]]="","",TRANSHARI4_PULSAMALAM[[#This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IFERROR(IF(TRANSHARI4_PULSAPAGI[[#This Row],[NAMA REKENING]]="","",TRANSHARI4_PULSAPAGI[[#This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IFERROR(IF(TRANSHARI4_PULSAMALAM[[#This Row],[NAMA REKENING]]="","",TRANSHARI4_PULSAMALAM[[#This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IFERROR(IF(TRANSHARI4_PULSAPAGI[[#This Row],[NAMA REKENING]]="","",TRANSHARI4_PULSAPAGI[[#This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IFERROR(IF(TRANSHARI4_PULSAMALAM[[#This Row],[NAMA REKENING]]="","",TRANSHARI4_PULSAMALAM[[#This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IFERROR(IF(TRANSHARI4_PULSAPAGI[[#This Row],[NAMA REKENING]]="","",TRANSHARI4_PULSAPAGI[[#This Row],[DEBIT]]),"")</f>
        <v/>
      </c>
      <c r="I50" s="311"/>
      <c r="J50" s="326"/>
      <c r="K50" s="330" t="s">
        <v>27</v>
      </c>
      <c r="L50" s="331">
        <f>'HARI 3'!AA54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IFERROR(IF(TRANSHARI4_PULSAMALAM[[#This Row],[NAMA REKENING]]="","",TRANSHARI4_PULSAMALAM[[#This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IFERROR(IF(TRANSHARI4_PULSAPAGI[[#This Row],[NAMA REKENING]]="","",TRANSHARI4_PULSAPAGI[[#This Row],[DEBIT]]),"")</f>
        <v/>
      </c>
      <c r="I51" s="311"/>
      <c r="J51" s="326"/>
      <c r="K51" s="332" t="s">
        <v>30</v>
      </c>
      <c r="L51" s="333">
        <f>SUMIF(TRANSHARI4_PULSAPAGI[APLIKASI],K49,TRANSHARI4_PULSAPAGI[SALDO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IFERROR(IF(TRANSHARI4_PULSAMALAM[[#This Row],[NAMA REKENING]]="","",TRANSHARI4_PULSAMALAM[[#This Row],[DEBIT]]),"")</f>
        <v/>
      </c>
      <c r="X51" s="311"/>
      <c r="Y51" s="326"/>
      <c r="Z51" s="332" t="s">
        <v>30</v>
      </c>
      <c r="AA51" s="333">
        <f>SUMIF(TRANSHARI4_PULSAMALAM[APLIKASI],Z49,TRANSHARI4_PULSAMALAM[SALDO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IFERROR(IF(TRANSHARI4_PULSAPAGI[[#This Row],[NAMA REKENING]]="","",TRANSHARI4_PULSAPAGI[[#This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IFERROR(IF(TRANSHARI4_PULSAMALAM[[#This Row],[NAMA REKENING]]="","",TRANSHARI4_PULSAMALAM[[#This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IFERROR(IF(TRANSHARI4_PULSAPAGI[[#This Row],[NAMA REKENING]]="","",TRANSHARI4_PULSAPAGI[[#This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IFERROR(IF(TRANSHARI4_PULSAMALAM[[#This Row],[NAMA REKENING]]="","",TRANSHARI4_PULSAMALAM[[#This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IFERROR(IF(TRANSHARI4_PULSAPAGI[[#This Row],[NAMA REKENING]]="","",TRANSHARI4_PULSAPAGI[[#This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IFERROR(IF(TRANSHARI4_PULSAMALAM[[#This Row],[NAMA REKENING]]="","",TRANSHARI4_PULSAMALAM[[#This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IFERROR(IF(TRANSHARI4_PULSAPAGI[[#This Row],[NAMA REKENING]]="","",TRANSHARI4_PULSAPAGI[[#This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IFERROR(IF(TRANSHARI4_PULSAMALAM[[#This Row],[NAMA REKENING]]="","",TRANSHARI4_PULSAMALAM[[#This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IFERROR(IF(TRANSHARI4_PULSAPAGI[[#This Row],[NAMA REKENING]]="","",TRANSHARI4_PULSAPAGI[[#This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IFERROR(IF(TRANSHARI4_PULSAMALAM[[#This Row],[NAMA REKENING]]="","",TRANSHARI4_PULSAMALAM[[#This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IFERROR(IF(TRANSHARI4_PULSAPAGI[[#This Row],[NAMA REKENING]]="","",TRANSHARI4_PULSAPAGI[[#This Row],[DEBIT]]),"")</f>
        <v/>
      </c>
      <c r="I57" s="311"/>
      <c r="J57" s="326"/>
      <c r="K57" s="330" t="s">
        <v>27</v>
      </c>
      <c r="L57" s="331">
        <f>'HARI 3'!AA61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IFERROR(IF(TRANSHARI4_PULSAMALAM[[#This Row],[NAMA REKENING]]="","",TRANSHARI4_PULSAMALAM[[#This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IFERROR(IF(TRANSHARI4_PULSAPAGI[[#This Row],[NAMA REKENING]]="","",TRANSHARI4_PULSAPAGI[[#This Row],[DEBIT]]),"")</f>
        <v/>
      </c>
      <c r="I58" s="311"/>
      <c r="J58" s="326"/>
      <c r="K58" s="332" t="s">
        <v>30</v>
      </c>
      <c r="L58" s="333">
        <f>SUMIF(TRANSHARI4_PULSAPAGI[APLIKASI],K56,TRANSHARI4_PULSAPAGI[SALDO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IFERROR(IF(TRANSHARI4_PULSAMALAM[[#This Row],[NAMA REKENING]]="","",TRANSHARI4_PULSAMALAM[[#This Row],[DEBIT]]),"")</f>
        <v/>
      </c>
      <c r="X58" s="311"/>
      <c r="Y58" s="326"/>
      <c r="Z58" s="332" t="s">
        <v>30</v>
      </c>
      <c r="AA58" s="333">
        <f>SUMIF(TRANSHARI4_PULSAMALAM[APLIKASI],Z56,TRANSHARI4_PULSAMALAM[SALDO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IFERROR(IF(TRANSHARI4_PULSAPAGI[[#This Row],[NAMA REKENING]]="","",TRANSHARI4_PULSAPAGI[[#This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IFERROR(IF(TRANSHARI4_PULSAMALAM[[#This Row],[NAMA REKENING]]="","",TRANSHARI4_PULSAMALAM[[#This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IFERROR(IF(TRANSHARI4_PULSAPAGI[[#This Row],[NAMA REKENING]]="","",TRANSHARI4_PULSAPAGI[[#This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IFERROR(IF(TRANSHARI4_PULSAMALAM[[#This Row],[NAMA REKENING]]="","",TRANSHARI4_PULSAMALAM[[#This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IFERROR(IF(TRANSHARI4_PULSAPAGI[[#This Row],[NAMA REKENING]]="","",TRANSHARI4_PULSAPAGI[[#This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IFERROR(IF(TRANSHARI4_PULSAMALAM[[#This Row],[NAMA REKENING]]="","",TRANSHARI4_PULSAMALAM[[#This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IFERROR(IF(TRANSHARI4_PULSAPAGI[[#This Row],[NAMA REKENING]]="","",TRANSHARI4_PULSAPAGI[[#This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IFERROR(IF(TRANSHARI4_PULSAMALAM[[#This Row],[NAMA REKENING]]="","",TRANSHARI4_PULSAMALAM[[#This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IFERROR(IF(TRANSHARI4_PULSAPAGI[[#This Row],[NAMA REKENING]]="","",TRANSHARI4_PULSAPAGI[[#This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IFERROR(IF(TRANSHARI4_PULSAMALAM[[#This Row],[NAMA REKENING]]="","",TRANSHARI4_PULSAMALAM[[#This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IFERROR(IF(TRANSHARI4_PULSAPAGI[[#This Row],[NAMA REKENING]]="","",TRANSHARI4_PULSAPAGI[[#This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IFERROR(IF(TRANSHARI4_PULSAMALAM[[#This Row],[NAMA REKENING]]="","",TRANSHARI4_PULSAMALAM[[#This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IFERROR(IF(TRANSHARI4_PULSAPAGI[[#This Row],[NAMA REKENING]]="","",TRANSHARI4_PULSAPAGI[[#This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IFERROR(IF(TRANSHARI4_PULSAMALAM[[#This Row],[NAMA REKENING]]="","",TRANSHARI4_PULSAMALAM[[#This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IFERROR(IF(TRANSHARI4_PULSAPAGI[[#This Row],[NAMA REKENING]]="","",TRANSHARI4_PULSAPAGI[[#This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IFERROR(IF(TRANSHARI4_PULSAMALAM[[#This Row],[NAMA REKENING]]="","",TRANSHARI4_PULSAMALAM[[#This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IFERROR(IF(TRANSHARI4_PULSAPAGI[[#This Row],[NAMA REKENING]]="","",TRANSHARI4_PULSAPAGI[[#This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IFERROR(IF(TRANSHARI4_PULSAMALAM[[#This Row],[NAMA REKENING]]="","",TRANSHARI4_PULSAMALAM[[#This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IFERROR(IF(TRANSHARI4_PULSAPAGI[[#This Row],[NAMA REKENING]]="","",TRANSHARI4_PULSAPAGI[[#This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IFERROR(IF(TRANSHARI4_PULSAMALAM[[#This Row],[NAMA REKENING]]="","",TRANSHARI4_PULSAMALAM[[#This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IFERROR(IF(TRANSHARI4_PULSAPAGI[[#This Row],[NAMA REKENING]]="","",TRANSHARI4_PULSAPAGI[[#This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IFERROR(IF(TRANSHARI4_PULSAMALAM[[#This Row],[NAMA REKENING]]="","",TRANSHARI4_PULSAMALAM[[#This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IFERROR(IF(TRANSHARI4_PULSAPAGI[[#This Row],[NAMA REKENING]]="","",TRANSHARI4_PULSAPAGI[[#This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IFERROR(IF(TRANSHARI4_PULSAMALAM[[#This Row],[NAMA REKENING]]="","",TRANSHARI4_PULSAMALAM[[#This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IFERROR(IF(TRANSHARI4_PULSAPAGI[[#This Row],[NAMA REKENING]]="","",TRANSHARI4_PULSAPAGI[[#This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IFERROR(IF(TRANSHARI4_PULSAMALAM[[#This Row],[NAMA REKENING]]="","",TRANSHARI4_PULSAMALAM[[#This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IFERROR(IF(TRANSHARI4_PULSAPAGI[[#This Row],[NAMA REKENING]]="","",TRANSHARI4_PULSAPAGI[[#This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IFERROR(IF(TRANSHARI4_PULSAMALAM[[#This Row],[NAMA REKENING]]="","",TRANSHARI4_PULSAMALAM[[#This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IFERROR(IF(TRANSHARI4_PULSAPAGI[[#This Row],[NAMA REKENING]]="","",TRANSHARI4_PULSAPAGI[[#This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IFERROR(IF(TRANSHARI4_PULSAMALAM[[#This Row],[NAMA REKENING]]="","",TRANSHARI4_PULSAMALAM[[#This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IFERROR(IF(TRANSHARI4_PULSAPAGI[[#This Row],[NAMA REKENING]]="","",TRANSHARI4_PULSAPAGI[[#This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IFERROR(IF(TRANSHARI4_PULSAMALAM[[#This Row],[NAMA REKENING]]="","",TRANSHARI4_PULSAMALAM[[#This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IFERROR(IF(TRANSHARI4_PULSAPAGI[[#This Row],[NAMA REKENING]]="","",TRANSHARI4_PULSAPAGI[[#This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IFERROR(IF(TRANSHARI4_PULSAMALAM[[#This Row],[NAMA REKENING]]="","",TRANSHARI4_PULSAMALAM[[#This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IFERROR(IF(TRANSHARI4_PULSAPAGI[[#This Row],[NAMA REKENING]]="","",TRANSHARI4_PULSAPAGI[[#This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IFERROR(IF(TRANSHARI4_PULSAMALAM[[#This Row],[NAMA REKENING]]="","",TRANSHARI4_PULSAMALAM[[#This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IFERROR(IF(TRANSHARI4_PULSAPAGI[[#This Row],[NAMA REKENING]]="","",TRANSHARI4_PULSAPAGI[[#This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IFERROR(IF(TRANSHARI4_PULSAMALAM[[#This Row],[NAMA REKENING]]="","",TRANSHARI4_PULSAMALAM[[#This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SUM(TRANSHARI4_PULSAPAGI[DEBIT])</f>
        <v>0</v>
      </c>
      <c r="D78" s="353">
        <f>SUM(TRANSHARI4_PULSAPAGI[KREDIT])</f>
        <v>0</v>
      </c>
      <c r="E78" s="167"/>
      <c r="F78" s="354">
        <f>SUM(TRANSHARI4_PULSAPAGI[SALDO MINUS])</f>
        <v>0</v>
      </c>
      <c r="G78" s="167"/>
      <c r="H78" s="355">
        <f>SUM(TRANSHARI4_PULSAPAGI[NOMINAL TRANSFER])</f>
        <v>0</v>
      </c>
      <c r="I78" s="167"/>
      <c r="O78" s="324"/>
      <c r="P78" s="379" t="s">
        <v>64</v>
      </c>
      <c r="Q78" s="352"/>
      <c r="R78" s="353">
        <f>SUM(TRANSHARI4_PULSAMALAM[DEBIT])</f>
        <v>0</v>
      </c>
      <c r="S78" s="353">
        <f>SUM(TRANSHARI4_PULSAMALAM[KREDIT])</f>
        <v>0</v>
      </c>
      <c r="T78" s="167"/>
      <c r="U78" s="354">
        <f>SUM(TRANSHARI4_PULSAMALAM[SALDO MINUS])</f>
        <v>0</v>
      </c>
      <c r="V78" s="167"/>
      <c r="W78" s="355">
        <f>SUM(TRANSHARI4_PULSAMALAM[NOMINAL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">
        <v>203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">
        <v>204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IFERROR(VLOOKUP(TRANSHARI4_ROKOKPAGI[[#This Row],[PRODUK]],DATA_ROKOK[],6,FALSE),"")</f>
        <v/>
      </c>
      <c r="E85" s="370"/>
      <c r="F85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85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85" s="371"/>
      <c r="I85" s="384" t="str">
        <f>IFERROR(IF(TRANSHARI4_ROKOKPAGI[[#This Row],[NAMA REKENING]]="","",TRANSHARI4_ROKOKPAGI[[#This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IFERROR(VLOOKUP(TRANSHARI4_ROKOKMALAM[[#This Row],[PRODUK]],DATA_ROKOK[],6,FALSE),"")</f>
        <v/>
      </c>
      <c r="T85" s="370"/>
      <c r="U85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85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85" s="371"/>
      <c r="X85" s="384" t="str">
        <f>IFERROR(IF(TRANSHARI4_ROKOKMALAM[[#This Row],[NAMA REKENING]]="","",TRANSHARI4_ROKOKMALAM[[#This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IFERROR(VLOOKUP(TRANSHARI4_ROKOKPAGI[[#This Row],[PRODUK]],DATA_ROKOK[],6,FALSE),"")</f>
        <v/>
      </c>
      <c r="E86" s="374"/>
      <c r="F86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86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86" s="12"/>
      <c r="I86" s="386" t="str">
        <f>IFERROR(IF(TRANSHARI4_ROKOKPAGI[[#This Row],[NAMA REKENING]]="","",TRANSHARI4_ROKOKPAGI[[#This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IFERROR(VLOOKUP(TRANSHARI4_ROKOKMALAM[[#This Row],[PRODUK]],DATA_ROKOK[],6,FALSE),"")</f>
        <v/>
      </c>
      <c r="T86" s="374"/>
      <c r="U86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86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86" s="12"/>
      <c r="X86" s="386" t="str">
        <f>IFERROR(IF(TRANSHARI4_ROKOKMALAM[[#This Row],[NAMA REKENING]]="","",TRANSHARI4_ROKOKMALAM[[#This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IFERROR(VLOOKUP(TRANSHARI4_ROKOKPAGI[[#This Row],[PRODUK]],DATA_ROKOK[],6,FALSE),"")</f>
        <v/>
      </c>
      <c r="E87" s="374"/>
      <c r="F87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87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87" s="12"/>
      <c r="I87" s="384" t="str">
        <f>IFERROR(IF(TRANSHARI4_ROKOKPAGI[[#This Row],[NAMA REKENING]]="","",TRANSHARI4_ROKOKPAGI[[#This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IFERROR(VLOOKUP(TRANSHARI4_ROKOKMALAM[[#This Row],[PRODUK]],DATA_ROKOK[],6,FALSE),"")</f>
        <v/>
      </c>
      <c r="T87" s="374"/>
      <c r="U87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87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87" s="12"/>
      <c r="X87" s="384" t="str">
        <f>IFERROR(IF(TRANSHARI4_ROKOKMALAM[[#This Row],[NAMA REKENING]]="","",TRANSHARI4_ROKOKMALAM[[#This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IFERROR(VLOOKUP(TRANSHARI4_ROKOKPAGI[[#This Row],[PRODUK]],DATA_ROKOK[],6,FALSE),"")</f>
        <v/>
      </c>
      <c r="E88" s="374"/>
      <c r="F88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88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88" s="12"/>
      <c r="I88" s="386" t="str">
        <f>IFERROR(IF(TRANSHARI4_ROKOKPAGI[[#This Row],[NAMA REKENING]]="","",TRANSHARI4_ROKOKPAGI[[#This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IFERROR(VLOOKUP(TRANSHARI4_ROKOKMALAM[[#This Row],[PRODUK]],DATA_ROKOK[],6,FALSE),"")</f>
        <v/>
      </c>
      <c r="T88" s="374"/>
      <c r="U88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88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88" s="12"/>
      <c r="X88" s="386" t="str">
        <f>IFERROR(IF(TRANSHARI4_ROKOKMALAM[[#This Row],[NAMA REKENING]]="","",TRANSHARI4_ROKOKMALAM[[#This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IFERROR(VLOOKUP(TRANSHARI4_ROKOKPAGI[[#This Row],[PRODUK]],DATA_ROKOK[],6,FALSE),"")</f>
        <v/>
      </c>
      <c r="E89" s="374"/>
      <c r="F89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89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89" s="12"/>
      <c r="I89" s="384" t="str">
        <f>IFERROR(IF(TRANSHARI4_ROKOKPAGI[[#This Row],[NAMA REKENING]]="","",TRANSHARI4_ROKOKPAGI[[#This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IFERROR(VLOOKUP(TRANSHARI4_ROKOKMALAM[[#This Row],[PRODUK]],DATA_ROKOK[],6,FALSE),"")</f>
        <v/>
      </c>
      <c r="T89" s="374"/>
      <c r="U89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89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89" s="12"/>
      <c r="X89" s="384" t="str">
        <f>IFERROR(IF(TRANSHARI4_ROKOKMALAM[[#This Row],[NAMA REKENING]]="","",TRANSHARI4_ROKOKMALAM[[#This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IFERROR(VLOOKUP(TRANSHARI4_ROKOKPAGI[[#This Row],[PRODUK]],DATA_ROKOK[],6,FALSE),"")</f>
        <v/>
      </c>
      <c r="E90" s="374"/>
      <c r="F90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0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0" s="12"/>
      <c r="I90" s="386" t="str">
        <f>IFERROR(IF(TRANSHARI4_ROKOKPAGI[[#This Row],[NAMA REKENING]]="","",TRANSHARI4_ROKOKPAGI[[#This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IFERROR(VLOOKUP(TRANSHARI4_ROKOKMALAM[[#This Row],[PRODUK]],DATA_ROKOK[],6,FALSE),"")</f>
        <v/>
      </c>
      <c r="T90" s="374"/>
      <c r="U90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0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0" s="12"/>
      <c r="X90" s="386" t="str">
        <f>IFERROR(IF(TRANSHARI4_ROKOKMALAM[[#This Row],[NAMA REKENING]]="","",TRANSHARI4_ROKOKMALAM[[#This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IFERROR(VLOOKUP(TRANSHARI4_ROKOKPAGI[[#This Row],[PRODUK]],DATA_ROKOK[],6,FALSE),"")</f>
        <v/>
      </c>
      <c r="E91" s="374"/>
      <c r="F91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1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1" s="12"/>
      <c r="I91" s="384" t="str">
        <f>IFERROR(IF(TRANSHARI4_ROKOKPAGI[[#This Row],[NAMA REKENING]]="","",TRANSHARI4_ROKOKPAGI[[#This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IFERROR(VLOOKUP(TRANSHARI4_ROKOKMALAM[[#This Row],[PRODUK]],DATA_ROKOK[],6,FALSE),"")</f>
        <v/>
      </c>
      <c r="T91" s="374"/>
      <c r="U91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1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1" s="12"/>
      <c r="X91" s="384" t="str">
        <f>IFERROR(IF(TRANSHARI4_ROKOKMALAM[[#This Row],[NAMA REKENING]]="","",TRANSHARI4_ROKOKMALAM[[#This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IFERROR(VLOOKUP(TRANSHARI4_ROKOKPAGI[[#This Row],[PRODUK]],DATA_ROKOK[],6,FALSE),"")</f>
        <v/>
      </c>
      <c r="E92" s="374"/>
      <c r="F92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2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2" s="12"/>
      <c r="I92" s="386" t="str">
        <f>IFERROR(IF(TRANSHARI4_ROKOKPAGI[[#This Row],[NAMA REKENING]]="","",TRANSHARI4_ROKOKPAGI[[#This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IFERROR(VLOOKUP(TRANSHARI4_ROKOKMALAM[[#This Row],[PRODUK]],DATA_ROKOK[],6,FALSE),"")</f>
        <v/>
      </c>
      <c r="T92" s="374"/>
      <c r="U92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2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2" s="12"/>
      <c r="X92" s="386" t="str">
        <f>IFERROR(IF(TRANSHARI4_ROKOKMALAM[[#This Row],[NAMA REKENING]]="","",TRANSHARI4_ROKOKMALAM[[#This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IFERROR(VLOOKUP(TRANSHARI4_ROKOKPAGI[[#This Row],[PRODUK]],DATA_ROKOK[],6,FALSE),"")</f>
        <v/>
      </c>
      <c r="E93" s="374"/>
      <c r="F93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3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3" s="12"/>
      <c r="I93" s="384" t="str">
        <f>IFERROR(IF(TRANSHARI4_ROKOKPAGI[[#This Row],[NAMA REKENING]]="","",TRANSHARI4_ROKOKPAGI[[#This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IFERROR(VLOOKUP(TRANSHARI4_ROKOKMALAM[[#This Row],[PRODUK]],DATA_ROKOK[],6,FALSE),"")</f>
        <v/>
      </c>
      <c r="T93" s="374"/>
      <c r="U93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3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3" s="12"/>
      <c r="X93" s="384" t="str">
        <f>IFERROR(IF(TRANSHARI4_ROKOKMALAM[[#This Row],[NAMA REKENING]]="","",TRANSHARI4_ROKOKMALAM[[#This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IFERROR(VLOOKUP(TRANSHARI4_ROKOKPAGI[[#This Row],[PRODUK]],DATA_ROKOK[],6,FALSE),"")</f>
        <v/>
      </c>
      <c r="E94" s="374"/>
      <c r="F94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4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4" s="12"/>
      <c r="I94" s="386" t="str">
        <f>IFERROR(IF(TRANSHARI4_ROKOKPAGI[[#This Row],[NAMA REKENING]]="","",TRANSHARI4_ROKOKPAGI[[#This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IFERROR(VLOOKUP(TRANSHARI4_ROKOKMALAM[[#This Row],[PRODUK]],DATA_ROKOK[],6,FALSE),"")</f>
        <v/>
      </c>
      <c r="T94" s="374"/>
      <c r="U94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4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4" s="12"/>
      <c r="X94" s="386" t="str">
        <f>IFERROR(IF(TRANSHARI4_ROKOKMALAM[[#This Row],[NAMA REKENING]]="","",TRANSHARI4_ROKOKMALAM[[#This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IFERROR(VLOOKUP(TRANSHARI4_ROKOKPAGI[[#This Row],[PRODUK]],DATA_ROKOK[],6,FALSE),"")</f>
        <v/>
      </c>
      <c r="E95" s="374"/>
      <c r="F95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5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5" s="12"/>
      <c r="I95" s="384" t="str">
        <f>IFERROR(IF(TRANSHARI4_ROKOKPAGI[[#This Row],[NAMA REKENING]]="","",TRANSHARI4_ROKOKPAGI[[#This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IFERROR(VLOOKUP(TRANSHARI4_ROKOKMALAM[[#This Row],[PRODUK]],DATA_ROKOK[],6,FALSE),"")</f>
        <v/>
      </c>
      <c r="T95" s="374"/>
      <c r="U95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5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5" s="12"/>
      <c r="X95" s="384" t="str">
        <f>IFERROR(IF(TRANSHARI4_ROKOKMALAM[[#This Row],[NAMA REKENING]]="","",TRANSHARI4_ROKOKMALAM[[#This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IFERROR(VLOOKUP(TRANSHARI4_ROKOKPAGI[[#This Row],[PRODUK]],DATA_ROKOK[],6,FALSE),"")</f>
        <v/>
      </c>
      <c r="E96" s="374"/>
      <c r="F96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6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6" s="12"/>
      <c r="I96" s="386" t="str">
        <f>IFERROR(IF(TRANSHARI4_ROKOKPAGI[[#This Row],[NAMA REKENING]]="","",TRANSHARI4_ROKOKPAGI[[#This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IFERROR(VLOOKUP(TRANSHARI4_ROKOKMALAM[[#This Row],[PRODUK]],DATA_ROKOK[],6,FALSE),"")</f>
        <v/>
      </c>
      <c r="T96" s="374"/>
      <c r="U96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6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6" s="12"/>
      <c r="X96" s="386" t="str">
        <f>IFERROR(IF(TRANSHARI4_ROKOKMALAM[[#This Row],[NAMA REKENING]]="","",TRANSHARI4_ROKOKMALAM[[#This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IFERROR(VLOOKUP(TRANSHARI4_ROKOKPAGI[[#This Row],[PRODUK]],DATA_ROKOK[],6,FALSE),"")</f>
        <v/>
      </c>
      <c r="E97" s="374"/>
      <c r="F97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7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7" s="12"/>
      <c r="I97" s="384" t="str">
        <f>IFERROR(IF(TRANSHARI4_ROKOKPAGI[[#This Row],[NAMA REKENING]]="","",TRANSHARI4_ROKOKPAGI[[#This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IFERROR(VLOOKUP(TRANSHARI4_ROKOKMALAM[[#This Row],[PRODUK]],DATA_ROKOK[],6,FALSE),"")</f>
        <v/>
      </c>
      <c r="T97" s="374"/>
      <c r="U97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7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7" s="12"/>
      <c r="X97" s="384" t="str">
        <f>IFERROR(IF(TRANSHARI4_ROKOKMALAM[[#This Row],[NAMA REKENING]]="","",TRANSHARI4_ROKOKMALAM[[#This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IFERROR(VLOOKUP(TRANSHARI4_ROKOKPAGI[[#This Row],[PRODUK]],DATA_ROKOK[],6,FALSE),"")</f>
        <v/>
      </c>
      <c r="E98" s="374"/>
      <c r="F98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8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8" s="12"/>
      <c r="I98" s="386" t="str">
        <f>IFERROR(IF(TRANSHARI4_ROKOKPAGI[[#This Row],[NAMA REKENING]]="","",TRANSHARI4_ROKOKPAGI[[#This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IFERROR(VLOOKUP(TRANSHARI4_ROKOKMALAM[[#This Row],[PRODUK]],DATA_ROKOK[],6,FALSE),"")</f>
        <v/>
      </c>
      <c r="T98" s="374"/>
      <c r="U98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8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8" s="12"/>
      <c r="X98" s="386" t="str">
        <f>IFERROR(IF(TRANSHARI4_ROKOKMALAM[[#This Row],[NAMA REKENING]]="","",TRANSHARI4_ROKOKMALAM[[#This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IFERROR(VLOOKUP(TRANSHARI4_ROKOKPAGI[[#This Row],[PRODUK]],DATA_ROKOK[],6,FALSE),"")</f>
        <v/>
      </c>
      <c r="E99" s="374"/>
      <c r="F99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99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99" s="12"/>
      <c r="I99" s="384" t="str">
        <f>IFERROR(IF(TRANSHARI4_ROKOKPAGI[[#This Row],[NAMA REKENING]]="","",TRANSHARI4_ROKOKPAGI[[#This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IFERROR(VLOOKUP(TRANSHARI4_ROKOKMALAM[[#This Row],[PRODUK]],DATA_ROKOK[],6,FALSE),"")</f>
        <v/>
      </c>
      <c r="T99" s="374"/>
      <c r="U99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99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99" s="12"/>
      <c r="X99" s="384" t="str">
        <f>IFERROR(IF(TRANSHARI4_ROKOKMALAM[[#This Row],[NAMA REKENING]]="","",TRANSHARI4_ROKOKMALAM[[#This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IFERROR(VLOOKUP(TRANSHARI4_ROKOKPAGI[[#This Row],[PRODUK]],DATA_ROKOK[],6,FALSE),"")</f>
        <v/>
      </c>
      <c r="E100" s="374"/>
      <c r="F100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0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0" s="12"/>
      <c r="I100" s="386" t="str">
        <f>IFERROR(IF(TRANSHARI4_ROKOKPAGI[[#This Row],[NAMA REKENING]]="","",TRANSHARI4_ROKOKPAGI[[#This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IFERROR(VLOOKUP(TRANSHARI4_ROKOKMALAM[[#This Row],[PRODUK]],DATA_ROKOK[],6,FALSE),"")</f>
        <v/>
      </c>
      <c r="T100" s="374"/>
      <c r="U100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0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0" s="12"/>
      <c r="X100" s="386" t="str">
        <f>IFERROR(IF(TRANSHARI4_ROKOKMALAM[[#This Row],[NAMA REKENING]]="","",TRANSHARI4_ROKOKMALAM[[#This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IFERROR(VLOOKUP(TRANSHARI4_ROKOKPAGI[[#This Row],[PRODUK]],DATA_ROKOK[],6,FALSE),"")</f>
        <v/>
      </c>
      <c r="E101" s="374"/>
      <c r="F101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1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1" s="12"/>
      <c r="I101" s="384" t="str">
        <f>IFERROR(IF(TRANSHARI4_ROKOKPAGI[[#This Row],[NAMA REKENING]]="","",TRANSHARI4_ROKOKPAGI[[#This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IFERROR(VLOOKUP(TRANSHARI4_ROKOKMALAM[[#This Row],[PRODUK]],DATA_ROKOK[],6,FALSE),"")</f>
        <v/>
      </c>
      <c r="T101" s="374"/>
      <c r="U101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1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1" s="12"/>
      <c r="X101" s="384" t="str">
        <f>IFERROR(IF(TRANSHARI4_ROKOKMALAM[[#This Row],[NAMA REKENING]]="","",TRANSHARI4_ROKOKMALAM[[#This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IFERROR(VLOOKUP(TRANSHARI4_ROKOKPAGI[[#This Row],[PRODUK]],DATA_ROKOK[],6,FALSE),"")</f>
        <v/>
      </c>
      <c r="E102" s="374"/>
      <c r="F102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2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2" s="12"/>
      <c r="I102" s="386" t="str">
        <f>IFERROR(IF(TRANSHARI4_ROKOKPAGI[[#This Row],[NAMA REKENING]]="","",TRANSHARI4_ROKOKPAGI[[#This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IFERROR(VLOOKUP(TRANSHARI4_ROKOKMALAM[[#This Row],[PRODUK]],DATA_ROKOK[],6,FALSE),"")</f>
        <v/>
      </c>
      <c r="T102" s="374"/>
      <c r="U102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2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2" s="12"/>
      <c r="X102" s="386" t="str">
        <f>IFERROR(IF(TRANSHARI4_ROKOKMALAM[[#This Row],[NAMA REKENING]]="","",TRANSHARI4_ROKOKMALAM[[#This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IFERROR(VLOOKUP(TRANSHARI4_ROKOKPAGI[[#This Row],[PRODUK]],DATA_ROKOK[],6,FALSE),"")</f>
        <v/>
      </c>
      <c r="E103" s="374"/>
      <c r="F103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3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3" s="12"/>
      <c r="I103" s="384" t="str">
        <f>IFERROR(IF(TRANSHARI4_ROKOKPAGI[[#This Row],[NAMA REKENING]]="","",TRANSHARI4_ROKOKPAGI[[#This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IFERROR(VLOOKUP(TRANSHARI4_ROKOKMALAM[[#This Row],[PRODUK]],DATA_ROKOK[],6,FALSE),"")</f>
        <v/>
      </c>
      <c r="T103" s="374"/>
      <c r="U103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3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3" s="12"/>
      <c r="X103" s="384" t="str">
        <f>IFERROR(IF(TRANSHARI4_ROKOKMALAM[[#This Row],[NAMA REKENING]]="","",TRANSHARI4_ROKOKMALAM[[#This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IFERROR(VLOOKUP(TRANSHARI4_ROKOKPAGI[[#This Row],[PRODUK]],DATA_ROKOK[],6,FALSE),"")</f>
        <v/>
      </c>
      <c r="E104" s="374"/>
      <c r="F104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4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4" s="12"/>
      <c r="I104" s="386" t="str">
        <f>IFERROR(IF(TRANSHARI4_ROKOKPAGI[[#This Row],[NAMA REKENING]]="","",TRANSHARI4_ROKOKPAGI[[#This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IFERROR(VLOOKUP(TRANSHARI4_ROKOKMALAM[[#This Row],[PRODUK]],DATA_ROKOK[],6,FALSE),"")</f>
        <v/>
      </c>
      <c r="T104" s="374"/>
      <c r="U104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4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4" s="12"/>
      <c r="X104" s="386" t="str">
        <f>IFERROR(IF(TRANSHARI4_ROKOKMALAM[[#This Row],[NAMA REKENING]]="","",TRANSHARI4_ROKOKMALAM[[#This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IFERROR(VLOOKUP(TRANSHARI4_ROKOKPAGI[[#This Row],[PRODUK]],DATA_ROKOK[],6,FALSE),"")</f>
        <v/>
      </c>
      <c r="E105" s="374"/>
      <c r="F105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5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5" s="12"/>
      <c r="I105" s="384" t="str">
        <f>IFERROR(IF(TRANSHARI4_ROKOKPAGI[[#This Row],[NAMA REKENING]]="","",TRANSHARI4_ROKOKPAGI[[#This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IFERROR(VLOOKUP(TRANSHARI4_ROKOKMALAM[[#This Row],[PRODUK]],DATA_ROKOK[],6,FALSE),"")</f>
        <v/>
      </c>
      <c r="T105" s="374"/>
      <c r="U105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5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5" s="12"/>
      <c r="X105" s="384" t="str">
        <f>IFERROR(IF(TRANSHARI4_ROKOKMALAM[[#This Row],[NAMA REKENING]]="","",TRANSHARI4_ROKOKMALAM[[#This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IFERROR(VLOOKUP(TRANSHARI4_ROKOKPAGI[[#This Row],[PRODUK]],DATA_ROKOK[],6,FALSE),"")</f>
        <v/>
      </c>
      <c r="E106" s="374"/>
      <c r="F106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6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6" s="12"/>
      <c r="I106" s="386" t="str">
        <f>IFERROR(IF(TRANSHARI4_ROKOKPAGI[[#This Row],[NAMA REKENING]]="","",TRANSHARI4_ROKOKPAGI[[#This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IFERROR(VLOOKUP(TRANSHARI4_ROKOKMALAM[[#This Row],[PRODUK]],DATA_ROKOK[],6,FALSE),"")</f>
        <v/>
      </c>
      <c r="T106" s="374"/>
      <c r="U106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6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6" s="12"/>
      <c r="X106" s="386" t="str">
        <f>IFERROR(IF(TRANSHARI4_ROKOKMALAM[[#This Row],[NAMA REKENING]]="","",TRANSHARI4_ROKOKMALAM[[#This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IFERROR(VLOOKUP(TRANSHARI4_ROKOKPAGI[[#This Row],[PRODUK]],DATA_ROKOK[],6,FALSE),"")</f>
        <v/>
      </c>
      <c r="E107" s="374"/>
      <c r="F107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7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7" s="12"/>
      <c r="I107" s="384" t="str">
        <f>IFERROR(IF(TRANSHARI4_ROKOKPAGI[[#This Row],[NAMA REKENING]]="","",TRANSHARI4_ROKOKPAGI[[#This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IFERROR(VLOOKUP(TRANSHARI4_ROKOKMALAM[[#This Row],[PRODUK]],DATA_ROKOK[],6,FALSE),"")</f>
        <v/>
      </c>
      <c r="T107" s="374"/>
      <c r="U107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7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7" s="12"/>
      <c r="X107" s="384" t="str">
        <f>IFERROR(IF(TRANSHARI4_ROKOKMALAM[[#This Row],[NAMA REKENING]]="","",TRANSHARI4_ROKOKMALAM[[#This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IFERROR(VLOOKUP(TRANSHARI4_ROKOKPAGI[[#This Row],[PRODUK]],DATA_ROKOK[],6,FALSE),"")</f>
        <v/>
      </c>
      <c r="E108" s="374"/>
      <c r="F108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8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8" s="12"/>
      <c r="I108" s="386" t="str">
        <f>IFERROR(IF(TRANSHARI4_ROKOKPAGI[[#This Row],[NAMA REKENING]]="","",TRANSHARI4_ROKOKPAGI[[#This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IFERROR(VLOOKUP(TRANSHARI4_ROKOKMALAM[[#This Row],[PRODUK]],DATA_ROKOK[],6,FALSE),"")</f>
        <v/>
      </c>
      <c r="T108" s="374"/>
      <c r="U108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8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8" s="12"/>
      <c r="X108" s="386" t="str">
        <f>IFERROR(IF(TRANSHARI4_ROKOKMALAM[[#This Row],[NAMA REKENING]]="","",TRANSHARI4_ROKOKMALAM[[#This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IFERROR(VLOOKUP(TRANSHARI4_ROKOKPAGI[[#This Row],[PRODUK]],DATA_ROKOK[],6,FALSE),"")</f>
        <v/>
      </c>
      <c r="E109" s="374"/>
      <c r="F109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09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09" s="12"/>
      <c r="I109" s="384" t="str">
        <f>IFERROR(IF(TRANSHARI4_ROKOKPAGI[[#This Row],[NAMA REKENING]]="","",TRANSHARI4_ROKOKPAGI[[#This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IFERROR(VLOOKUP(TRANSHARI4_ROKOKMALAM[[#This Row],[PRODUK]],DATA_ROKOK[],6,FALSE),"")</f>
        <v/>
      </c>
      <c r="T109" s="374"/>
      <c r="U109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09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09" s="12"/>
      <c r="X109" s="384" t="str">
        <f>IFERROR(IF(TRANSHARI4_ROKOKMALAM[[#This Row],[NAMA REKENING]]="","",TRANSHARI4_ROKOKMALAM[[#This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IFERROR(VLOOKUP(TRANSHARI4_ROKOKPAGI[[#This Row],[PRODUK]],DATA_ROKOK[],6,FALSE),"")</f>
        <v/>
      </c>
      <c r="E110" s="376"/>
      <c r="F110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0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0" s="377"/>
      <c r="I110" s="386" t="str">
        <f>IFERROR(IF(TRANSHARI4_ROKOKPAGI[[#This Row],[NAMA REKENING]]="","",TRANSHARI4_ROKOKPAGI[[#This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IFERROR(VLOOKUP(TRANSHARI4_ROKOKMALAM[[#This Row],[PRODUK]],DATA_ROKOK[],6,FALSE),"")</f>
        <v/>
      </c>
      <c r="T110" s="376"/>
      <c r="U110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0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0" s="377"/>
      <c r="X110" s="386" t="str">
        <f>IFERROR(IF(TRANSHARI4_ROKOKMALAM[[#This Row],[NAMA REKENING]]="","",TRANSHARI4_ROKOKMALAM[[#This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IFERROR(VLOOKUP(TRANSHARI4_ROKOKPAGI[[#This Row],[PRODUK]],DATA_ROKOK[],6,FALSE),"")</f>
        <v/>
      </c>
      <c r="E111" s="374"/>
      <c r="F111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1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1" s="12"/>
      <c r="I111" s="384" t="str">
        <f>IFERROR(IF(TRANSHARI4_ROKOKPAGI[[#This Row],[NAMA REKENING]]="","",TRANSHARI4_ROKOKPAGI[[#This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IFERROR(VLOOKUP(TRANSHARI4_ROKOKMALAM[[#This Row],[PRODUK]],DATA_ROKOK[],6,FALSE),"")</f>
        <v/>
      </c>
      <c r="T111" s="374"/>
      <c r="U111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1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1" s="12"/>
      <c r="X111" s="384" t="str">
        <f>IFERROR(IF(TRANSHARI4_ROKOKMALAM[[#This Row],[NAMA REKENING]]="","",TRANSHARI4_ROKOKMALAM[[#This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IFERROR(VLOOKUP(TRANSHARI4_ROKOKPAGI[[#This Row],[PRODUK]],DATA_ROKOK[],6,FALSE),"")</f>
        <v/>
      </c>
      <c r="E112" s="374"/>
      <c r="F112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2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2" s="12"/>
      <c r="I112" s="386" t="str">
        <f>IFERROR(IF(TRANSHARI4_ROKOKPAGI[[#This Row],[NAMA REKENING]]="","",TRANSHARI4_ROKOKPAGI[[#This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IFERROR(VLOOKUP(TRANSHARI4_ROKOKMALAM[[#This Row],[PRODUK]],DATA_ROKOK[],6,FALSE),"")</f>
        <v/>
      </c>
      <c r="T112" s="374"/>
      <c r="U112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2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2" s="12"/>
      <c r="X112" s="386" t="str">
        <f>IFERROR(IF(TRANSHARI4_ROKOKMALAM[[#This Row],[NAMA REKENING]]="","",TRANSHARI4_ROKOKMALAM[[#This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IFERROR(VLOOKUP(TRANSHARI4_ROKOKPAGI[[#This Row],[PRODUK]],DATA_ROKOK[],6,FALSE),"")</f>
        <v/>
      </c>
      <c r="E113" s="374"/>
      <c r="F113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3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3" s="12"/>
      <c r="I113" s="384" t="str">
        <f>IFERROR(IF(TRANSHARI4_ROKOKPAGI[[#This Row],[NAMA REKENING]]="","",TRANSHARI4_ROKOKPAGI[[#This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IFERROR(VLOOKUP(TRANSHARI4_ROKOKMALAM[[#This Row],[PRODUK]],DATA_ROKOK[],6,FALSE),"")</f>
        <v/>
      </c>
      <c r="T113" s="374"/>
      <c r="U113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3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3" s="12"/>
      <c r="X113" s="384" t="str">
        <f>IFERROR(IF(TRANSHARI4_ROKOKMALAM[[#This Row],[NAMA REKENING]]="","",TRANSHARI4_ROKOKMALAM[[#This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IFERROR(VLOOKUP(TRANSHARI4_ROKOKPAGI[[#This Row],[PRODUK]],DATA_ROKOK[],6,FALSE),"")</f>
        <v/>
      </c>
      <c r="E114" s="374"/>
      <c r="F114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4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4" s="12"/>
      <c r="I114" s="386" t="str">
        <f>IFERROR(IF(TRANSHARI4_ROKOKPAGI[[#This Row],[NAMA REKENING]]="","",TRANSHARI4_ROKOKPAGI[[#This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IFERROR(VLOOKUP(TRANSHARI4_ROKOKMALAM[[#This Row],[PRODUK]],DATA_ROKOK[],6,FALSE),"")</f>
        <v/>
      </c>
      <c r="T114" s="374"/>
      <c r="U114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4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4" s="12"/>
      <c r="X114" s="386" t="str">
        <f>IFERROR(IF(TRANSHARI4_ROKOKMALAM[[#This Row],[NAMA REKENING]]="","",TRANSHARI4_ROKOKMALAM[[#This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IFERROR(VLOOKUP(TRANSHARI4_ROKOKPAGI[[#This Row],[PRODUK]],DATA_ROKOK[],6,FALSE),"")</f>
        <v/>
      </c>
      <c r="E115" s="374"/>
      <c r="F115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5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5" s="12"/>
      <c r="I115" s="384" t="str">
        <f>IFERROR(IF(TRANSHARI4_ROKOKPAGI[[#This Row],[NAMA REKENING]]="","",TRANSHARI4_ROKOKPAGI[[#This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IFERROR(VLOOKUP(TRANSHARI4_ROKOKMALAM[[#This Row],[PRODUK]],DATA_ROKOK[],6,FALSE),"")</f>
        <v/>
      </c>
      <c r="T115" s="374"/>
      <c r="U115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5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5" s="12"/>
      <c r="X115" s="384" t="str">
        <f>IFERROR(IF(TRANSHARI4_ROKOKMALAM[[#This Row],[NAMA REKENING]]="","",TRANSHARI4_ROKOKMALAM[[#This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IFERROR(VLOOKUP(TRANSHARI4_ROKOKPAGI[[#This Row],[PRODUK]],DATA_ROKOK[],6,FALSE),"")</f>
        <v/>
      </c>
      <c r="E116" s="374"/>
      <c r="F116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6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6" s="12"/>
      <c r="I116" s="386" t="str">
        <f>IFERROR(IF(TRANSHARI4_ROKOKPAGI[[#This Row],[NAMA REKENING]]="","",TRANSHARI4_ROKOKPAGI[[#This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IFERROR(VLOOKUP(TRANSHARI4_ROKOKMALAM[[#This Row],[PRODUK]],DATA_ROKOK[],6,FALSE),"")</f>
        <v/>
      </c>
      <c r="T116" s="374"/>
      <c r="U116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6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6" s="12"/>
      <c r="X116" s="386" t="str">
        <f>IFERROR(IF(TRANSHARI4_ROKOKMALAM[[#This Row],[NAMA REKENING]]="","",TRANSHARI4_ROKOKMALAM[[#This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IFERROR(VLOOKUP(TRANSHARI4_ROKOKPAGI[[#This Row],[PRODUK]],DATA_ROKOK[],6,FALSE),"")</f>
        <v/>
      </c>
      <c r="E117" s="374"/>
      <c r="F117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7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7" s="12"/>
      <c r="I117" s="384" t="str">
        <f>IFERROR(IF(TRANSHARI4_ROKOKPAGI[[#This Row],[NAMA REKENING]]="","",TRANSHARI4_ROKOKPAGI[[#This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IFERROR(VLOOKUP(TRANSHARI4_ROKOKMALAM[[#This Row],[PRODUK]],DATA_ROKOK[],6,FALSE),"")</f>
        <v/>
      </c>
      <c r="T117" s="374"/>
      <c r="U117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7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7" s="12"/>
      <c r="X117" s="384" t="str">
        <f>IFERROR(IF(TRANSHARI4_ROKOKMALAM[[#This Row],[NAMA REKENING]]="","",TRANSHARI4_ROKOKMALAM[[#This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IFERROR(VLOOKUP(TRANSHARI4_ROKOKPAGI[[#This Row],[PRODUK]],DATA_ROKOK[],6,FALSE),"")</f>
        <v/>
      </c>
      <c r="E118" s="374"/>
      <c r="F118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8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8" s="12"/>
      <c r="I118" s="386" t="str">
        <f>IFERROR(IF(TRANSHARI4_ROKOKPAGI[[#This Row],[NAMA REKENING]]="","",TRANSHARI4_ROKOKPAGI[[#This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IFERROR(VLOOKUP(TRANSHARI4_ROKOKMALAM[[#This Row],[PRODUK]],DATA_ROKOK[],6,FALSE),"")</f>
        <v/>
      </c>
      <c r="T118" s="374"/>
      <c r="U118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8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8" s="12"/>
      <c r="X118" s="386" t="str">
        <f>IFERROR(IF(TRANSHARI4_ROKOKMALAM[[#This Row],[NAMA REKENING]]="","",TRANSHARI4_ROKOKMALAM[[#This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IFERROR(VLOOKUP(TRANSHARI4_ROKOKPAGI[[#This Row],[PRODUK]],DATA_ROKOK[],6,FALSE),"")</f>
        <v/>
      </c>
      <c r="E119" s="374"/>
      <c r="F119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19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19" s="12"/>
      <c r="I119" s="384" t="str">
        <f>IFERROR(IF(TRANSHARI4_ROKOKPAGI[[#This Row],[NAMA REKENING]]="","",TRANSHARI4_ROKOKPAGI[[#This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IFERROR(VLOOKUP(TRANSHARI4_ROKOKMALAM[[#This Row],[PRODUK]],DATA_ROKOK[],6,FALSE),"")</f>
        <v/>
      </c>
      <c r="T119" s="374"/>
      <c r="U119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19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19" s="12"/>
      <c r="X119" s="384" t="str">
        <f>IFERROR(IF(TRANSHARI4_ROKOKMALAM[[#This Row],[NAMA REKENING]]="","",TRANSHARI4_ROKOKMALAM[[#This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IFERROR(VLOOKUP(TRANSHARI4_ROKOKPAGI[[#This Row],[PRODUK]],DATA_ROKOK[],6,FALSE),"")</f>
        <v/>
      </c>
      <c r="E120" s="374"/>
      <c r="F120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0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0" s="12"/>
      <c r="I120" s="386" t="str">
        <f>IFERROR(IF(TRANSHARI4_ROKOKPAGI[[#This Row],[NAMA REKENING]]="","",TRANSHARI4_ROKOKPAGI[[#This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IFERROR(VLOOKUP(TRANSHARI4_ROKOKMALAM[[#This Row],[PRODUK]],DATA_ROKOK[],6,FALSE),"")</f>
        <v/>
      </c>
      <c r="T120" s="374"/>
      <c r="U120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0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0" s="12"/>
      <c r="X120" s="386" t="str">
        <f>IFERROR(IF(TRANSHARI4_ROKOKMALAM[[#This Row],[NAMA REKENING]]="","",TRANSHARI4_ROKOKMALAM[[#This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IFERROR(VLOOKUP(TRANSHARI4_ROKOKPAGI[[#This Row],[PRODUK]],DATA_ROKOK[],6,FALSE),"")</f>
        <v/>
      </c>
      <c r="E121" s="374"/>
      <c r="F121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1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1" s="12"/>
      <c r="I121" s="384" t="str">
        <f>IFERROR(IF(TRANSHARI4_ROKOKPAGI[[#This Row],[NAMA REKENING]]="","",TRANSHARI4_ROKOKPAGI[[#This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IFERROR(VLOOKUP(TRANSHARI4_ROKOKMALAM[[#This Row],[PRODUK]],DATA_ROKOK[],6,FALSE),"")</f>
        <v/>
      </c>
      <c r="T121" s="374"/>
      <c r="U121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1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1" s="12"/>
      <c r="X121" s="384" t="str">
        <f>IFERROR(IF(TRANSHARI4_ROKOKMALAM[[#This Row],[NAMA REKENING]]="","",TRANSHARI4_ROKOKMALAM[[#This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IFERROR(VLOOKUP(TRANSHARI4_ROKOKPAGI[[#This Row],[PRODUK]],DATA_ROKOK[],6,FALSE),"")</f>
        <v/>
      </c>
      <c r="E122" s="374"/>
      <c r="F122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2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2" s="12"/>
      <c r="I122" s="386" t="str">
        <f>IFERROR(IF(TRANSHARI4_ROKOKPAGI[[#This Row],[NAMA REKENING]]="","",TRANSHARI4_ROKOKPAGI[[#This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IFERROR(VLOOKUP(TRANSHARI4_ROKOKMALAM[[#This Row],[PRODUK]],DATA_ROKOK[],6,FALSE),"")</f>
        <v/>
      </c>
      <c r="T122" s="374"/>
      <c r="U122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2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2" s="12"/>
      <c r="X122" s="386" t="str">
        <f>IFERROR(IF(TRANSHARI4_ROKOKMALAM[[#This Row],[NAMA REKENING]]="","",TRANSHARI4_ROKOKMALAM[[#This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IFERROR(VLOOKUP(TRANSHARI4_ROKOKPAGI[[#This Row],[PRODUK]],DATA_ROKOK[],6,FALSE),"")</f>
        <v/>
      </c>
      <c r="E123" s="374"/>
      <c r="F123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3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3" s="12"/>
      <c r="I123" s="384" t="str">
        <f>IFERROR(IF(TRANSHARI4_ROKOKPAGI[[#This Row],[NAMA REKENING]]="","",TRANSHARI4_ROKOKPAGI[[#This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IFERROR(VLOOKUP(TRANSHARI4_ROKOKMALAM[[#This Row],[PRODUK]],DATA_ROKOK[],6,FALSE),"")</f>
        <v/>
      </c>
      <c r="T123" s="374"/>
      <c r="U123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3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3" s="12"/>
      <c r="X123" s="384" t="str">
        <f>IFERROR(IF(TRANSHARI4_ROKOKMALAM[[#This Row],[NAMA REKENING]]="","",TRANSHARI4_ROKOKMALAM[[#This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IFERROR(VLOOKUP(TRANSHARI4_ROKOKPAGI[[#This Row],[PRODUK]],DATA_ROKOK[],6,FALSE),"")</f>
        <v/>
      </c>
      <c r="E124" s="374"/>
      <c r="F124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4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4" s="12"/>
      <c r="I124" s="386" t="str">
        <f>IFERROR(IF(TRANSHARI4_ROKOKPAGI[[#This Row],[NAMA REKENING]]="","",TRANSHARI4_ROKOKPAGI[[#This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IFERROR(VLOOKUP(TRANSHARI4_ROKOKMALAM[[#This Row],[PRODUK]],DATA_ROKOK[],6,FALSE),"")</f>
        <v/>
      </c>
      <c r="T124" s="374"/>
      <c r="U124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4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4" s="12"/>
      <c r="X124" s="386" t="str">
        <f>IFERROR(IF(TRANSHARI4_ROKOKMALAM[[#This Row],[NAMA REKENING]]="","",TRANSHARI4_ROKOKMALAM[[#This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IFERROR(VLOOKUP(TRANSHARI4_ROKOKPAGI[[#This Row],[PRODUK]],DATA_ROKOK[],6,FALSE),"")</f>
        <v/>
      </c>
      <c r="E125" s="374"/>
      <c r="F125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5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5" s="12"/>
      <c r="I125" s="384" t="str">
        <f>IFERROR(IF(TRANSHARI4_ROKOKPAGI[[#This Row],[NAMA REKENING]]="","",TRANSHARI4_ROKOKPAGI[[#This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IFERROR(VLOOKUP(TRANSHARI4_ROKOKMALAM[[#This Row],[PRODUK]],DATA_ROKOK[],6,FALSE),"")</f>
        <v/>
      </c>
      <c r="T125" s="374"/>
      <c r="U125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5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5" s="12"/>
      <c r="X125" s="384" t="str">
        <f>IFERROR(IF(TRANSHARI4_ROKOKMALAM[[#This Row],[NAMA REKENING]]="","",TRANSHARI4_ROKOKMALAM[[#This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IFERROR(VLOOKUP(TRANSHARI4_ROKOKPAGI[[#This Row],[PRODUK]],DATA_ROKOK[],6,FALSE),"")</f>
        <v/>
      </c>
      <c r="E126" s="374"/>
      <c r="F126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6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6" s="12"/>
      <c r="I126" s="386" t="str">
        <f>IFERROR(IF(TRANSHARI4_ROKOKPAGI[[#This Row],[NAMA REKENING]]="","",TRANSHARI4_ROKOKPAGI[[#This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IFERROR(VLOOKUP(TRANSHARI4_ROKOKMALAM[[#This Row],[PRODUK]],DATA_ROKOK[],6,FALSE),"")</f>
        <v/>
      </c>
      <c r="T126" s="374"/>
      <c r="U126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6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6" s="12"/>
      <c r="X126" s="386" t="str">
        <f>IFERROR(IF(TRANSHARI4_ROKOKMALAM[[#This Row],[NAMA REKENING]]="","",TRANSHARI4_ROKOKMALAM[[#This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IFERROR(VLOOKUP(TRANSHARI4_ROKOKPAGI[[#This Row],[PRODUK]],DATA_ROKOK[],6,FALSE),"")</f>
        <v/>
      </c>
      <c r="E127" s="374"/>
      <c r="F127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7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7" s="12"/>
      <c r="I127" s="384" t="str">
        <f>IFERROR(IF(TRANSHARI4_ROKOKPAGI[[#This Row],[NAMA REKENING]]="","",TRANSHARI4_ROKOKPAGI[[#This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IFERROR(VLOOKUP(TRANSHARI4_ROKOKMALAM[[#This Row],[PRODUK]],DATA_ROKOK[],6,FALSE),"")</f>
        <v/>
      </c>
      <c r="T127" s="374"/>
      <c r="U127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7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7" s="12"/>
      <c r="X127" s="384" t="str">
        <f>IFERROR(IF(TRANSHARI4_ROKOKMALAM[[#This Row],[NAMA REKENING]]="","",TRANSHARI4_ROKOKMALAM[[#This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IFERROR(VLOOKUP(TRANSHARI4_ROKOKPAGI[[#This Row],[PRODUK]],DATA_ROKOK[],6,FALSE),"")</f>
        <v/>
      </c>
      <c r="E128" s="374"/>
      <c r="F128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8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8" s="12"/>
      <c r="I128" s="386" t="str">
        <f>IFERROR(IF(TRANSHARI4_ROKOKPAGI[[#This Row],[NAMA REKENING]]="","",TRANSHARI4_ROKOKPAGI[[#This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IFERROR(VLOOKUP(TRANSHARI4_ROKOKMALAM[[#This Row],[PRODUK]],DATA_ROKOK[],6,FALSE),"")</f>
        <v/>
      </c>
      <c r="T128" s="374"/>
      <c r="U128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8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8" s="12"/>
      <c r="X128" s="386" t="str">
        <f>IFERROR(IF(TRANSHARI4_ROKOKMALAM[[#This Row],[NAMA REKENING]]="","",TRANSHARI4_ROKOKMALAM[[#This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IFERROR(VLOOKUP(TRANSHARI4_ROKOKPAGI[[#This Row],[PRODUK]],DATA_ROKOK[],6,FALSE),"")</f>
        <v/>
      </c>
      <c r="E129" s="374"/>
      <c r="F129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29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29" s="12"/>
      <c r="I129" s="384" t="str">
        <f>IFERROR(IF(TRANSHARI4_ROKOKPAGI[[#This Row],[NAMA REKENING]]="","",TRANSHARI4_ROKOKPAGI[[#This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IFERROR(VLOOKUP(TRANSHARI4_ROKOKMALAM[[#This Row],[PRODUK]],DATA_ROKOK[],6,FALSE),"")</f>
        <v/>
      </c>
      <c r="T129" s="374"/>
      <c r="U129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29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29" s="12"/>
      <c r="X129" s="384" t="str">
        <f>IFERROR(IF(TRANSHARI4_ROKOKMALAM[[#This Row],[NAMA REKENING]]="","",TRANSHARI4_ROKOKMALAM[[#This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IFERROR(VLOOKUP(TRANSHARI4_ROKOKPAGI[[#This Row],[PRODUK]],DATA_ROKOK[],6,FALSE),"")</f>
        <v/>
      </c>
      <c r="E130" s="374"/>
      <c r="F130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30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30" s="12"/>
      <c r="I130" s="386" t="str">
        <f>IFERROR(IF(TRANSHARI4_ROKOKPAGI[[#This Row],[NAMA REKENING]]="","",TRANSHARI4_ROKOKPAGI[[#This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IFERROR(VLOOKUP(TRANSHARI4_ROKOKMALAM[[#This Row],[PRODUK]],DATA_ROKOK[],6,FALSE),"")</f>
        <v/>
      </c>
      <c r="T130" s="374"/>
      <c r="U130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30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30" s="12"/>
      <c r="X130" s="386" t="str">
        <f>IFERROR(IF(TRANSHARI4_ROKOKMALAM[[#This Row],[NAMA REKENING]]="","",TRANSHARI4_ROKOKMALAM[[#This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IFERROR(VLOOKUP(TRANSHARI4_ROKOKPAGI[[#This Row],[PRODUK]],DATA_ROKOK[],6,FALSE),"")</f>
        <v/>
      </c>
      <c r="E131" s="374"/>
      <c r="F131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31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31" s="12"/>
      <c r="I131" s="384" t="str">
        <f>IFERROR(IF(TRANSHARI4_ROKOKPAGI[[#This Row],[NAMA REKENING]]="","",TRANSHARI4_ROKOKPAGI[[#This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IFERROR(VLOOKUP(TRANSHARI4_ROKOKMALAM[[#This Row],[PRODUK]],DATA_ROKOK[],6,FALSE),"")</f>
        <v/>
      </c>
      <c r="T131" s="374"/>
      <c r="U131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31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31" s="12"/>
      <c r="X131" s="384" t="str">
        <f>IFERROR(IF(TRANSHARI4_ROKOKMALAM[[#This Row],[NAMA REKENING]]="","",TRANSHARI4_ROKOKMALAM[[#This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IFERROR(VLOOKUP(TRANSHARI4_ROKOKPAGI[[#This Row],[PRODUK]],DATA_ROKOK[],6,FALSE),"")</f>
        <v/>
      </c>
      <c r="E132" s="374"/>
      <c r="F132" s="373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32" s="373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32" s="12"/>
      <c r="I132" s="386" t="str">
        <f>IFERROR(IF(TRANSHARI4_ROKOKPAGI[[#This Row],[NAMA REKENING]]="","",TRANSHARI4_ROKOKPAGI[[#This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IFERROR(VLOOKUP(TRANSHARI4_ROKOKMALAM[[#This Row],[PRODUK]],DATA_ROKOK[],6,FALSE),"")</f>
        <v/>
      </c>
      <c r="T132" s="374"/>
      <c r="U132" s="373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32" s="373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32" s="12"/>
      <c r="X132" s="386" t="str">
        <f>IFERROR(IF(TRANSHARI4_ROKOKMALAM[[#This Row],[NAMA REKENING]]="","",TRANSHARI4_ROKOKMALAM[[#This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IFERROR(VLOOKUP(TRANSHARI4_ROKOKPAGI[[#This Row],[PRODUK]],DATA_ROKOK[],6,FALSE),"")</f>
        <v/>
      </c>
      <c r="E133" s="374"/>
      <c r="F133" s="369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33" s="369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33" s="12"/>
      <c r="I133" s="384" t="str">
        <f>IFERROR(IF(TRANSHARI4_ROKOKPAGI[[#This Row],[NAMA REKENING]]="","",TRANSHARI4_ROKOKPAGI[[#This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IFERROR(VLOOKUP(TRANSHARI4_ROKOKMALAM[[#This Row],[PRODUK]],DATA_ROKOK[],6,FALSE),"")</f>
        <v/>
      </c>
      <c r="T133" s="374"/>
      <c r="U133" s="369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33" s="369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33" s="12"/>
      <c r="X133" s="384" t="str">
        <f>IFERROR(IF(TRANSHARI4_ROKOKMALAM[[#This Row],[NAMA REKENING]]="","",TRANSHARI4_ROKOKMALAM[[#This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IFERROR(VLOOKUP(TRANSHARI4_ROKOKPAGI[[#This Row],[PRODUK]],DATA_ROKOK[],6,FALSE),"")</f>
        <v/>
      </c>
      <c r="E134" s="376"/>
      <c r="F134" s="394" t="str">
        <f>IFERROR(IF(TRANSHARI4_ROKOKPAGI[[#This Row],[NAMA PENGHUTANG]]="",((TRANSHARI4_ROKOKPAGI[[#This Row],[HARGA]]*TRANSHARI4_ROKOKPAGI[[#This Row],[QUANTITY]])+TRANSHARI4_ROKOKPAGI[[#This Row],[PRICE TOLERANCE]]),""),"")</f>
        <v/>
      </c>
      <c r="G134" s="394" t="str">
        <f>IFERROR(IF(TRANSHARI4_ROKOKPAGI[[#This Row],[NAMA PENGHUTANG]]="","",((TRANSHARI4_ROKOKPAGI[[#This Row],[HARGA]]*TRANSHARI4_ROKOKPAGI[[#This Row],[QUANTITY]])+TRANSHARI4_ROKOKPAGI[[#This Row],[PRICE TOLERANCE]])),"")</f>
        <v/>
      </c>
      <c r="H134" s="377"/>
      <c r="I134" s="399" t="str">
        <f>IFERROR(IF(TRANSHARI4_ROKOKPAGI[[#This Row],[NAMA REKENING]]="","",TRANSHARI4_ROKOKPAGI[[#This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IFERROR(VLOOKUP(TRANSHARI4_ROKOKMALAM[[#This Row],[PRODUK]],DATA_ROKOK[],6,FALSE),"")</f>
        <v/>
      </c>
      <c r="T134" s="376"/>
      <c r="U134" s="394" t="str">
        <f>IFERROR(IF(TRANSHARI4_ROKOKMALAM[[#This Row],[NAMA PENGHUTANG]]="",((TRANSHARI4_ROKOKMALAM[[#This Row],[HARGA]]*TRANSHARI4_ROKOKMALAM[[#This Row],[QUANTITY]])+TRANSHARI4_ROKOKMALAM[[#This Row],[PRICE TOLERANCE]]),""),"")</f>
        <v/>
      </c>
      <c r="V134" s="394" t="str">
        <f>IFERROR(IF(TRANSHARI4_ROKOKMALAM[[#This Row],[NAMA PENGHUTANG]]="","",((TRANSHARI4_ROKOKMALAM[[#This Row],[HARGA]]*TRANSHARI4_ROKOKMALAM[[#This Row],[QUANTITY]])+TRANSHARI4_ROKOKMALAM[[#This Row],[PRICE TOLERANCE]])),"")</f>
        <v/>
      </c>
      <c r="W134" s="377"/>
      <c r="X134" s="399" t="str">
        <f>IFERROR(IF(TRANSHARI4_ROKOKMALAM[[#This Row],[NAMA REKENING]]="","",TRANSHARI4_ROKOKMALAM[[#This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SUM(TRANSHARI4_ROKOKPAGI[QUANTITY])</f>
        <v>0</v>
      </c>
      <c r="E135" s="396">
        <f>SUM(TRANSHARI4_ROKOKPAGI[PRICE TOLERANCE])</f>
        <v>0</v>
      </c>
      <c r="F135" s="396">
        <f>SUM(TRANSHARI4_ROKOKPAGI[DEBIT])</f>
        <v>0</v>
      </c>
      <c r="G135" s="396">
        <f>SUM(TRANSHARI4_ROKOKPAGI[KREDIT])</f>
        <v>0</v>
      </c>
      <c r="I135" s="396">
        <f>SUM(TRANSHARI4_ROKOKPAGI[NOMINAL TRANSFER])</f>
        <v>0</v>
      </c>
      <c r="O135" s="324"/>
      <c r="P135" s="303" t="s">
        <v>78</v>
      </c>
      <c r="Q135" s="316"/>
      <c r="R135" s="395">
        <f>SUM(TRANSHARI4_ROKOKMALAM[QUANTITY])</f>
        <v>0</v>
      </c>
      <c r="T135" s="396">
        <f>SUM(TRANSHARI4_ROKOKMALAM[PRICE TOLERANCE])</f>
        <v>0</v>
      </c>
      <c r="U135" s="396">
        <f>SUM(TRANSHARI4_ROKOKMALAM[DEBIT])</f>
        <v>0</v>
      </c>
      <c r="V135" s="396">
        <f>SUM(TRANSHARI4_ROKOKMALAM[KREDIT])</f>
        <v>0</v>
      </c>
      <c r="X135" s="396">
        <f>SUM(TRANSHARI4_ROKOKMALAM[NOMINAL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">
        <v>203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">
        <v>204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IFERROR(VLOOKUP(TRANSHARI4_SPVOUPAGI[[#This Row],[PRODUK]],DATA_SPVOU[],6,FALSE),"")</f>
        <v/>
      </c>
      <c r="E142" s="370"/>
      <c r="F142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2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2" s="371"/>
      <c r="I142" s="384" t="str">
        <f>IFERROR(IF(TRANSHARI4_SPVOUPAGI[[#This Row],[NAMA REKENING]]="","",TRANSHARI4_SPVOUPAGI[[#This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IFERROR(VLOOKUP(TRANSHARI4_SPVOUMALAM[[#This Row],[PRODUK]],DATA_SPVOU[],6,FALSE),"")</f>
        <v/>
      </c>
      <c r="T142" s="370"/>
      <c r="U142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2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2" s="371"/>
      <c r="X142" s="384" t="str">
        <f>IFERROR(IF(TRANSHARI4_SPVOUMALAM[[#This Row],[NAMA REKENING]]="","",TRANSHARI4_SPVOUMALAM[[#This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IFERROR(VLOOKUP(TRANSHARI4_SPVOUPAGI[[#This Row],[PRODUK]],DATA_SPVOU[],6,FALSE),"")</f>
        <v/>
      </c>
      <c r="E143" s="374"/>
      <c r="F143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3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3" s="12"/>
      <c r="I143" s="386" t="str">
        <f>IFERROR(IF(TRANSHARI4_SPVOUPAGI[[#This Row],[NAMA REKENING]]="","",TRANSHARI4_SPVOUPAGI[[#This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IFERROR(VLOOKUP(TRANSHARI4_SPVOUMALAM[[#This Row],[PRODUK]],DATA_SPVOU[],6,FALSE),"")</f>
        <v/>
      </c>
      <c r="T143" s="374"/>
      <c r="U143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3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3" s="12"/>
      <c r="X143" s="386" t="str">
        <f>IFERROR(IF(TRANSHARI4_SPVOUMALAM[[#This Row],[NAMA REKENING]]="","",TRANSHARI4_SPVOUMALAM[[#This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IFERROR(VLOOKUP(TRANSHARI4_SPVOUPAGI[[#This Row],[PRODUK]],DATA_SPVOU[],6,FALSE),"")</f>
        <v/>
      </c>
      <c r="E144" s="374"/>
      <c r="F144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4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4" s="12"/>
      <c r="I144" s="384" t="str">
        <f>IFERROR(IF(TRANSHARI4_SPVOUPAGI[[#This Row],[NAMA REKENING]]="","",TRANSHARI4_SPVOUPAGI[[#This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IFERROR(VLOOKUP(TRANSHARI4_SPVOUMALAM[[#This Row],[PRODUK]],DATA_SPVOU[],6,FALSE),"")</f>
        <v/>
      </c>
      <c r="T144" s="374"/>
      <c r="U144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4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4" s="12"/>
      <c r="X144" s="384" t="str">
        <f>IFERROR(IF(TRANSHARI4_SPVOUMALAM[[#This Row],[NAMA REKENING]]="","",TRANSHARI4_SPVOUMALAM[[#This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IFERROR(VLOOKUP(TRANSHARI4_SPVOUPAGI[[#This Row],[PRODUK]],DATA_SPVOU[],6,FALSE),"")</f>
        <v/>
      </c>
      <c r="E145" s="374"/>
      <c r="F145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5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5" s="12"/>
      <c r="I145" s="386" t="str">
        <f>IFERROR(IF(TRANSHARI4_SPVOUPAGI[[#This Row],[NAMA REKENING]]="","",TRANSHARI4_SPVOUPAGI[[#This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IFERROR(VLOOKUP(TRANSHARI4_SPVOUMALAM[[#This Row],[PRODUK]],DATA_SPVOU[],6,FALSE),"")</f>
        <v/>
      </c>
      <c r="T145" s="374"/>
      <c r="U145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5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5" s="12"/>
      <c r="X145" s="386" t="str">
        <f>IFERROR(IF(TRANSHARI4_SPVOUMALAM[[#This Row],[NAMA REKENING]]="","",TRANSHARI4_SPVOUMALAM[[#This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IFERROR(VLOOKUP(TRANSHARI4_SPVOUPAGI[[#This Row],[PRODUK]],DATA_SPVOU[],6,FALSE),"")</f>
        <v/>
      </c>
      <c r="E146" s="374"/>
      <c r="F146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6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6" s="12"/>
      <c r="I146" s="384" t="str">
        <f>IFERROR(IF(TRANSHARI4_SPVOUPAGI[[#This Row],[NAMA REKENING]]="","",TRANSHARI4_SPVOUPAGI[[#This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IFERROR(VLOOKUP(TRANSHARI4_SPVOUMALAM[[#This Row],[PRODUK]],DATA_SPVOU[],6,FALSE),"")</f>
        <v/>
      </c>
      <c r="T146" s="374"/>
      <c r="U146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6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6" s="12"/>
      <c r="X146" s="384" t="str">
        <f>IFERROR(IF(TRANSHARI4_SPVOUMALAM[[#This Row],[NAMA REKENING]]="","",TRANSHARI4_SPVOUMALAM[[#This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IFERROR(VLOOKUP(TRANSHARI4_SPVOUPAGI[[#This Row],[PRODUK]],DATA_SPVOU[],6,FALSE),"")</f>
        <v/>
      </c>
      <c r="E147" s="374"/>
      <c r="F147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7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7" s="12"/>
      <c r="I147" s="386" t="str">
        <f>IFERROR(IF(TRANSHARI4_SPVOUPAGI[[#This Row],[NAMA REKENING]]="","",TRANSHARI4_SPVOUPAGI[[#This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IFERROR(VLOOKUP(TRANSHARI4_SPVOUMALAM[[#This Row],[PRODUK]],DATA_SPVOU[],6,FALSE),"")</f>
        <v/>
      </c>
      <c r="T147" s="374"/>
      <c r="U147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7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7" s="12"/>
      <c r="X147" s="386" t="str">
        <f>IFERROR(IF(TRANSHARI4_SPVOUMALAM[[#This Row],[NAMA REKENING]]="","",TRANSHARI4_SPVOUMALAM[[#This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IFERROR(VLOOKUP(TRANSHARI4_SPVOUPAGI[[#This Row],[PRODUK]],DATA_SPVOU[],6,FALSE),"")</f>
        <v/>
      </c>
      <c r="E148" s="374"/>
      <c r="F148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8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8" s="12"/>
      <c r="I148" s="384" t="str">
        <f>IFERROR(IF(TRANSHARI4_SPVOUPAGI[[#This Row],[NAMA REKENING]]="","",TRANSHARI4_SPVOUPAGI[[#This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IFERROR(VLOOKUP(TRANSHARI4_SPVOUMALAM[[#This Row],[PRODUK]],DATA_SPVOU[],6,FALSE),"")</f>
        <v/>
      </c>
      <c r="T148" s="374"/>
      <c r="U148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8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8" s="12"/>
      <c r="X148" s="384" t="str">
        <f>IFERROR(IF(TRANSHARI4_SPVOUMALAM[[#This Row],[NAMA REKENING]]="","",TRANSHARI4_SPVOUMALAM[[#This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IFERROR(VLOOKUP(TRANSHARI4_SPVOUPAGI[[#This Row],[PRODUK]],DATA_SPVOU[],6,FALSE),"")</f>
        <v/>
      </c>
      <c r="E149" s="374"/>
      <c r="F149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49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49" s="12"/>
      <c r="I149" s="386" t="str">
        <f>IFERROR(IF(TRANSHARI4_SPVOUPAGI[[#This Row],[NAMA REKENING]]="","",TRANSHARI4_SPVOUPAGI[[#This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IFERROR(VLOOKUP(TRANSHARI4_SPVOUMALAM[[#This Row],[PRODUK]],DATA_SPVOU[],6,FALSE),"")</f>
        <v/>
      </c>
      <c r="T149" s="374"/>
      <c r="U149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49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49" s="12"/>
      <c r="X149" s="386" t="str">
        <f>IFERROR(IF(TRANSHARI4_SPVOUMALAM[[#This Row],[NAMA REKENING]]="","",TRANSHARI4_SPVOUMALAM[[#This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IFERROR(VLOOKUP(TRANSHARI4_SPVOUPAGI[[#This Row],[PRODUK]],DATA_SPVOU[],6,FALSE),"")</f>
        <v/>
      </c>
      <c r="E150" s="374"/>
      <c r="F150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0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0" s="12"/>
      <c r="I150" s="384" t="str">
        <f>IFERROR(IF(TRANSHARI4_SPVOUPAGI[[#This Row],[NAMA REKENING]]="","",TRANSHARI4_SPVOUPAGI[[#This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IFERROR(VLOOKUP(TRANSHARI4_SPVOUMALAM[[#This Row],[PRODUK]],DATA_SPVOU[],6,FALSE),"")</f>
        <v/>
      </c>
      <c r="T150" s="374"/>
      <c r="U150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0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0" s="12"/>
      <c r="X150" s="384" t="str">
        <f>IFERROR(IF(TRANSHARI4_SPVOUMALAM[[#This Row],[NAMA REKENING]]="","",TRANSHARI4_SPVOUMALAM[[#This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IFERROR(VLOOKUP(TRANSHARI4_SPVOUPAGI[[#This Row],[PRODUK]],DATA_SPVOU[],6,FALSE),"")</f>
        <v/>
      </c>
      <c r="E151" s="374"/>
      <c r="F151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1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1" s="12"/>
      <c r="I151" s="386" t="str">
        <f>IFERROR(IF(TRANSHARI4_SPVOUPAGI[[#This Row],[NAMA REKENING]]="","",TRANSHARI4_SPVOUPAGI[[#This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IFERROR(VLOOKUP(TRANSHARI4_SPVOUMALAM[[#This Row],[PRODUK]],DATA_SPVOU[],6,FALSE),"")</f>
        <v/>
      </c>
      <c r="T151" s="374"/>
      <c r="U151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1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1" s="12"/>
      <c r="X151" s="386" t="str">
        <f>IFERROR(IF(TRANSHARI4_SPVOUMALAM[[#This Row],[NAMA REKENING]]="","",TRANSHARI4_SPVOUMALAM[[#This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IFERROR(VLOOKUP(TRANSHARI4_SPVOUPAGI[[#This Row],[PRODUK]],DATA_SPVOU[],6,FALSE),"")</f>
        <v/>
      </c>
      <c r="E152" s="374"/>
      <c r="F152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2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2" s="12"/>
      <c r="I152" s="384" t="str">
        <f>IFERROR(IF(TRANSHARI4_SPVOUPAGI[[#This Row],[NAMA REKENING]]="","",TRANSHARI4_SPVOUPAGI[[#This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IFERROR(VLOOKUP(TRANSHARI4_SPVOUMALAM[[#This Row],[PRODUK]],DATA_SPVOU[],6,FALSE),"")</f>
        <v/>
      </c>
      <c r="T152" s="374"/>
      <c r="U152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2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2" s="12"/>
      <c r="X152" s="384" t="str">
        <f>IFERROR(IF(TRANSHARI4_SPVOUMALAM[[#This Row],[NAMA REKENING]]="","",TRANSHARI4_SPVOUMALAM[[#This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IFERROR(VLOOKUP(TRANSHARI4_SPVOUPAGI[[#This Row],[PRODUK]],DATA_SPVOU[],6,FALSE),"")</f>
        <v/>
      </c>
      <c r="E153" s="374"/>
      <c r="F153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3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3" s="12"/>
      <c r="I153" s="386" t="str">
        <f>IFERROR(IF(TRANSHARI4_SPVOUPAGI[[#This Row],[NAMA REKENING]]="","",TRANSHARI4_SPVOUPAGI[[#This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IFERROR(VLOOKUP(TRANSHARI4_SPVOUMALAM[[#This Row],[PRODUK]],DATA_SPVOU[],6,FALSE),"")</f>
        <v/>
      </c>
      <c r="T153" s="374"/>
      <c r="U153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3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3" s="12"/>
      <c r="X153" s="386" t="str">
        <f>IFERROR(IF(TRANSHARI4_SPVOUMALAM[[#This Row],[NAMA REKENING]]="","",TRANSHARI4_SPVOUMALAM[[#This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IFERROR(VLOOKUP(TRANSHARI4_SPVOUPAGI[[#This Row],[PRODUK]],DATA_SPVOU[],6,FALSE),"")</f>
        <v/>
      </c>
      <c r="E154" s="374"/>
      <c r="F154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4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4" s="12"/>
      <c r="I154" s="384" t="str">
        <f>IFERROR(IF(TRANSHARI4_SPVOUPAGI[[#This Row],[NAMA REKENING]]="","",TRANSHARI4_SPVOUPAGI[[#This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IFERROR(VLOOKUP(TRANSHARI4_SPVOUMALAM[[#This Row],[PRODUK]],DATA_SPVOU[],6,FALSE),"")</f>
        <v/>
      </c>
      <c r="T154" s="374"/>
      <c r="U154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4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4" s="12"/>
      <c r="X154" s="384" t="str">
        <f>IFERROR(IF(TRANSHARI4_SPVOUMALAM[[#This Row],[NAMA REKENING]]="","",TRANSHARI4_SPVOUMALAM[[#This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IFERROR(VLOOKUP(TRANSHARI4_SPVOUPAGI[[#This Row],[PRODUK]],DATA_SPVOU[],6,FALSE),"")</f>
        <v/>
      </c>
      <c r="E155" s="374"/>
      <c r="F155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5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5" s="12"/>
      <c r="I155" s="386" t="str">
        <f>IFERROR(IF(TRANSHARI4_SPVOUPAGI[[#This Row],[NAMA REKENING]]="","",TRANSHARI4_SPVOUPAGI[[#This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IFERROR(VLOOKUP(TRANSHARI4_SPVOUMALAM[[#This Row],[PRODUK]],DATA_SPVOU[],6,FALSE),"")</f>
        <v/>
      </c>
      <c r="T155" s="374"/>
      <c r="U155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5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5" s="12"/>
      <c r="X155" s="386" t="str">
        <f>IFERROR(IF(TRANSHARI4_SPVOUMALAM[[#This Row],[NAMA REKENING]]="","",TRANSHARI4_SPVOUMALAM[[#This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IFERROR(VLOOKUP(TRANSHARI4_SPVOUPAGI[[#This Row],[PRODUK]],DATA_SPVOU[],6,FALSE),"")</f>
        <v/>
      </c>
      <c r="E156" s="374"/>
      <c r="F156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6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6" s="12"/>
      <c r="I156" s="384" t="str">
        <f>IFERROR(IF(TRANSHARI4_SPVOUPAGI[[#This Row],[NAMA REKENING]]="","",TRANSHARI4_SPVOUPAGI[[#This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IFERROR(VLOOKUP(TRANSHARI4_SPVOUMALAM[[#This Row],[PRODUK]],DATA_SPVOU[],6,FALSE),"")</f>
        <v/>
      </c>
      <c r="T156" s="374"/>
      <c r="U156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6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6" s="12"/>
      <c r="X156" s="384" t="str">
        <f>IFERROR(IF(TRANSHARI4_SPVOUMALAM[[#This Row],[NAMA REKENING]]="","",TRANSHARI4_SPVOUMALAM[[#This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IFERROR(VLOOKUP(TRANSHARI4_SPVOUPAGI[[#This Row],[PRODUK]],DATA_SPVOU[],6,FALSE),"")</f>
        <v/>
      </c>
      <c r="E157" s="374"/>
      <c r="F157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7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7" s="12"/>
      <c r="I157" s="386" t="str">
        <f>IFERROR(IF(TRANSHARI4_SPVOUPAGI[[#This Row],[NAMA REKENING]]="","",TRANSHARI4_SPVOUPAGI[[#This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IFERROR(VLOOKUP(TRANSHARI4_SPVOUMALAM[[#This Row],[PRODUK]],DATA_SPVOU[],6,FALSE),"")</f>
        <v/>
      </c>
      <c r="T157" s="374"/>
      <c r="U157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7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7" s="12"/>
      <c r="X157" s="386" t="str">
        <f>IFERROR(IF(TRANSHARI4_SPVOUMALAM[[#This Row],[NAMA REKENING]]="","",TRANSHARI4_SPVOUMALAM[[#This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IFERROR(VLOOKUP(TRANSHARI4_SPVOUPAGI[[#This Row],[PRODUK]],DATA_SPVOU[],6,FALSE),"")</f>
        <v/>
      </c>
      <c r="E158" s="374"/>
      <c r="F158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8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8" s="12"/>
      <c r="I158" s="384" t="str">
        <f>IFERROR(IF(TRANSHARI4_SPVOUPAGI[[#This Row],[NAMA REKENING]]="","",TRANSHARI4_SPVOUPAGI[[#This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IFERROR(VLOOKUP(TRANSHARI4_SPVOUMALAM[[#This Row],[PRODUK]],DATA_SPVOU[],6,FALSE),"")</f>
        <v/>
      </c>
      <c r="T158" s="374"/>
      <c r="U158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8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8" s="12"/>
      <c r="X158" s="384" t="str">
        <f>IFERROR(IF(TRANSHARI4_SPVOUMALAM[[#This Row],[NAMA REKENING]]="","",TRANSHARI4_SPVOUMALAM[[#This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IFERROR(VLOOKUP(TRANSHARI4_SPVOUPAGI[[#This Row],[PRODUK]],DATA_SPVOU[],6,FALSE),"")</f>
        <v/>
      </c>
      <c r="E159" s="374"/>
      <c r="F159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59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59" s="12"/>
      <c r="I159" s="386" t="str">
        <f>IFERROR(IF(TRANSHARI4_SPVOUPAGI[[#This Row],[NAMA REKENING]]="","",TRANSHARI4_SPVOUPAGI[[#This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IFERROR(VLOOKUP(TRANSHARI4_SPVOUMALAM[[#This Row],[PRODUK]],DATA_SPVOU[],6,FALSE),"")</f>
        <v/>
      </c>
      <c r="T159" s="374"/>
      <c r="U159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59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59" s="12"/>
      <c r="X159" s="386" t="str">
        <f>IFERROR(IF(TRANSHARI4_SPVOUMALAM[[#This Row],[NAMA REKENING]]="","",TRANSHARI4_SPVOUMALAM[[#This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IFERROR(VLOOKUP(TRANSHARI4_SPVOUPAGI[[#This Row],[PRODUK]],DATA_SPVOU[],6,FALSE),"")</f>
        <v/>
      </c>
      <c r="E160" s="374"/>
      <c r="F160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0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0" s="12"/>
      <c r="I160" s="384" t="str">
        <f>IFERROR(IF(TRANSHARI4_SPVOUPAGI[[#This Row],[NAMA REKENING]]="","",TRANSHARI4_SPVOUPAGI[[#This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IFERROR(VLOOKUP(TRANSHARI4_SPVOUMALAM[[#This Row],[PRODUK]],DATA_SPVOU[],6,FALSE),"")</f>
        <v/>
      </c>
      <c r="T160" s="374"/>
      <c r="U160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0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0" s="12"/>
      <c r="X160" s="384" t="str">
        <f>IFERROR(IF(TRANSHARI4_SPVOUMALAM[[#This Row],[NAMA REKENING]]="","",TRANSHARI4_SPVOUMALAM[[#This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IFERROR(VLOOKUP(TRANSHARI4_SPVOUPAGI[[#This Row],[PRODUK]],DATA_SPVOU[],6,FALSE),"")</f>
        <v/>
      </c>
      <c r="E161" s="374"/>
      <c r="F161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1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1" s="12"/>
      <c r="I161" s="386" t="str">
        <f>IFERROR(IF(TRANSHARI4_SPVOUPAGI[[#This Row],[NAMA REKENING]]="","",TRANSHARI4_SPVOUPAGI[[#This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IFERROR(VLOOKUP(TRANSHARI4_SPVOUMALAM[[#This Row],[PRODUK]],DATA_SPVOU[],6,FALSE),"")</f>
        <v/>
      </c>
      <c r="T161" s="374"/>
      <c r="U161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1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1" s="12"/>
      <c r="X161" s="386" t="str">
        <f>IFERROR(IF(TRANSHARI4_SPVOUMALAM[[#This Row],[NAMA REKENING]]="","",TRANSHARI4_SPVOUMALAM[[#This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IFERROR(VLOOKUP(TRANSHARI4_SPVOUPAGI[[#This Row],[PRODUK]],DATA_SPVOU[],6,FALSE),"")</f>
        <v/>
      </c>
      <c r="E162" s="374"/>
      <c r="F162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2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2" s="12"/>
      <c r="I162" s="384" t="str">
        <f>IFERROR(IF(TRANSHARI4_SPVOUPAGI[[#This Row],[NAMA REKENING]]="","",TRANSHARI4_SPVOUPAGI[[#This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IFERROR(VLOOKUP(TRANSHARI4_SPVOUMALAM[[#This Row],[PRODUK]],DATA_SPVOU[],6,FALSE),"")</f>
        <v/>
      </c>
      <c r="T162" s="374"/>
      <c r="U162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2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2" s="12"/>
      <c r="X162" s="384" t="str">
        <f>IFERROR(IF(TRANSHARI4_SPVOUMALAM[[#This Row],[NAMA REKENING]]="","",TRANSHARI4_SPVOUMALAM[[#This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IFERROR(VLOOKUP(TRANSHARI4_SPVOUPAGI[[#This Row],[PRODUK]],DATA_SPVOU[],6,FALSE),"")</f>
        <v/>
      </c>
      <c r="E163" s="374"/>
      <c r="F163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3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3" s="12"/>
      <c r="I163" s="386" t="str">
        <f>IFERROR(IF(TRANSHARI4_SPVOUPAGI[[#This Row],[NAMA REKENING]]="","",TRANSHARI4_SPVOUPAGI[[#This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IFERROR(VLOOKUP(TRANSHARI4_SPVOUMALAM[[#This Row],[PRODUK]],DATA_SPVOU[],6,FALSE),"")</f>
        <v/>
      </c>
      <c r="T163" s="374"/>
      <c r="U163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3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3" s="12"/>
      <c r="X163" s="386" t="str">
        <f>IFERROR(IF(TRANSHARI4_SPVOUMALAM[[#This Row],[NAMA REKENING]]="","",TRANSHARI4_SPVOUMALAM[[#This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IFERROR(VLOOKUP(TRANSHARI4_SPVOUPAGI[[#This Row],[PRODUK]],DATA_SPVOU[],6,FALSE),"")</f>
        <v/>
      </c>
      <c r="E164" s="374"/>
      <c r="F164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4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4" s="12"/>
      <c r="I164" s="384" t="str">
        <f>IFERROR(IF(TRANSHARI4_SPVOUPAGI[[#This Row],[NAMA REKENING]]="","",TRANSHARI4_SPVOUPAGI[[#This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IFERROR(VLOOKUP(TRANSHARI4_SPVOUMALAM[[#This Row],[PRODUK]],DATA_SPVOU[],6,FALSE),"")</f>
        <v/>
      </c>
      <c r="T164" s="374"/>
      <c r="U164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4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4" s="12"/>
      <c r="X164" s="384" t="str">
        <f>IFERROR(IF(TRANSHARI4_SPVOUMALAM[[#This Row],[NAMA REKENING]]="","",TRANSHARI4_SPVOUMALAM[[#This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IFERROR(VLOOKUP(TRANSHARI4_SPVOUPAGI[[#This Row],[PRODUK]],DATA_SPVOU[],6,FALSE),"")</f>
        <v/>
      </c>
      <c r="E165" s="374"/>
      <c r="F165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5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5" s="12"/>
      <c r="I165" s="386" t="str">
        <f>IFERROR(IF(TRANSHARI4_SPVOUPAGI[[#This Row],[NAMA REKENING]]="","",TRANSHARI4_SPVOUPAGI[[#This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IFERROR(VLOOKUP(TRANSHARI4_SPVOUMALAM[[#This Row],[PRODUK]],DATA_SPVOU[],6,FALSE),"")</f>
        <v/>
      </c>
      <c r="T165" s="374"/>
      <c r="U165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5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5" s="12"/>
      <c r="X165" s="386" t="str">
        <f>IFERROR(IF(TRANSHARI4_SPVOUMALAM[[#This Row],[NAMA REKENING]]="","",TRANSHARI4_SPVOUMALAM[[#This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IFERROR(VLOOKUP(TRANSHARI4_SPVOUPAGI[[#This Row],[PRODUK]],DATA_SPVOU[],6,FALSE),"")</f>
        <v/>
      </c>
      <c r="E166" s="374"/>
      <c r="F166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6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6" s="12"/>
      <c r="I166" s="384" t="str">
        <f>IFERROR(IF(TRANSHARI4_SPVOUPAGI[[#This Row],[NAMA REKENING]]="","",TRANSHARI4_SPVOUPAGI[[#This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IFERROR(VLOOKUP(TRANSHARI4_SPVOUMALAM[[#This Row],[PRODUK]],DATA_SPVOU[],6,FALSE),"")</f>
        <v/>
      </c>
      <c r="T166" s="374"/>
      <c r="U166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6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6" s="12"/>
      <c r="X166" s="384" t="str">
        <f>IFERROR(IF(TRANSHARI4_SPVOUMALAM[[#This Row],[NAMA REKENING]]="","",TRANSHARI4_SPVOUMALAM[[#This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IFERROR(VLOOKUP(TRANSHARI4_SPVOUPAGI[[#This Row],[PRODUK]],DATA_SPVOU[],6,FALSE),"")</f>
        <v/>
      </c>
      <c r="E167" s="376"/>
      <c r="F167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7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7" s="377"/>
      <c r="I167" s="386" t="str">
        <f>IFERROR(IF(TRANSHARI4_SPVOUPAGI[[#This Row],[NAMA REKENING]]="","",TRANSHARI4_SPVOUPAGI[[#This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IFERROR(VLOOKUP(TRANSHARI4_SPVOUMALAM[[#This Row],[PRODUK]],DATA_SPVOU[],6,FALSE),"")</f>
        <v/>
      </c>
      <c r="T167" s="376"/>
      <c r="U167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7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7" s="377"/>
      <c r="X167" s="386" t="str">
        <f>IFERROR(IF(TRANSHARI4_SPVOUMALAM[[#This Row],[NAMA REKENING]]="","",TRANSHARI4_SPVOUMALAM[[#This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IFERROR(VLOOKUP(TRANSHARI4_SPVOUPAGI[[#This Row],[PRODUK]],DATA_SPVOU[],6,FALSE),"")</f>
        <v/>
      </c>
      <c r="E168" s="374"/>
      <c r="F168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8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8" s="12"/>
      <c r="I168" s="384" t="str">
        <f>IFERROR(IF(TRANSHARI4_SPVOUPAGI[[#This Row],[NAMA REKENING]]="","",TRANSHARI4_SPVOUPAGI[[#This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IFERROR(VLOOKUP(TRANSHARI4_SPVOUMALAM[[#This Row],[PRODUK]],DATA_SPVOU[],6,FALSE),"")</f>
        <v/>
      </c>
      <c r="T168" s="374"/>
      <c r="U168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8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8" s="12"/>
      <c r="X168" s="384" t="str">
        <f>IFERROR(IF(TRANSHARI4_SPVOUMALAM[[#This Row],[NAMA REKENING]]="","",TRANSHARI4_SPVOUMALAM[[#This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IFERROR(VLOOKUP(TRANSHARI4_SPVOUPAGI[[#This Row],[PRODUK]],DATA_SPVOU[],6,FALSE),"")</f>
        <v/>
      </c>
      <c r="E169" s="374"/>
      <c r="F169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69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69" s="12"/>
      <c r="I169" s="386" t="str">
        <f>IFERROR(IF(TRANSHARI4_SPVOUPAGI[[#This Row],[NAMA REKENING]]="","",TRANSHARI4_SPVOUPAGI[[#This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IFERROR(VLOOKUP(TRANSHARI4_SPVOUMALAM[[#This Row],[PRODUK]],DATA_SPVOU[],6,FALSE),"")</f>
        <v/>
      </c>
      <c r="T169" s="374"/>
      <c r="U169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69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69" s="12"/>
      <c r="X169" s="386" t="str">
        <f>IFERROR(IF(TRANSHARI4_SPVOUMALAM[[#This Row],[NAMA REKENING]]="","",TRANSHARI4_SPVOUMALAM[[#This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IFERROR(VLOOKUP(TRANSHARI4_SPVOUPAGI[[#This Row],[PRODUK]],DATA_SPVOU[],6,FALSE),"")</f>
        <v/>
      </c>
      <c r="E170" s="374"/>
      <c r="F170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0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0" s="12"/>
      <c r="I170" s="384" t="str">
        <f>IFERROR(IF(TRANSHARI4_SPVOUPAGI[[#This Row],[NAMA REKENING]]="","",TRANSHARI4_SPVOUPAGI[[#This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IFERROR(VLOOKUP(TRANSHARI4_SPVOUMALAM[[#This Row],[PRODUK]],DATA_SPVOU[],6,FALSE),"")</f>
        <v/>
      </c>
      <c r="T170" s="374"/>
      <c r="U170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0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0" s="12"/>
      <c r="X170" s="384" t="str">
        <f>IFERROR(IF(TRANSHARI4_SPVOUMALAM[[#This Row],[NAMA REKENING]]="","",TRANSHARI4_SPVOUMALAM[[#This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IFERROR(VLOOKUP(TRANSHARI4_SPVOUPAGI[[#This Row],[PRODUK]],DATA_SPVOU[],6,FALSE),"")</f>
        <v/>
      </c>
      <c r="E171" s="374"/>
      <c r="F171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1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1" s="12"/>
      <c r="I171" s="386" t="str">
        <f>IFERROR(IF(TRANSHARI4_SPVOUPAGI[[#This Row],[NAMA REKENING]]="","",TRANSHARI4_SPVOUPAGI[[#This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IFERROR(VLOOKUP(TRANSHARI4_SPVOUMALAM[[#This Row],[PRODUK]],DATA_SPVOU[],6,FALSE),"")</f>
        <v/>
      </c>
      <c r="T171" s="374"/>
      <c r="U171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1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1" s="12"/>
      <c r="X171" s="386" t="str">
        <f>IFERROR(IF(TRANSHARI4_SPVOUMALAM[[#This Row],[NAMA REKENING]]="","",TRANSHARI4_SPVOUMALAM[[#This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IFERROR(VLOOKUP(TRANSHARI4_SPVOUPAGI[[#This Row],[PRODUK]],DATA_SPVOU[],6,FALSE),"")</f>
        <v/>
      </c>
      <c r="E172" s="374"/>
      <c r="F172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2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2" s="12"/>
      <c r="I172" s="384" t="str">
        <f>IFERROR(IF(TRANSHARI4_SPVOUPAGI[[#This Row],[NAMA REKENING]]="","",TRANSHARI4_SPVOUPAGI[[#This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IFERROR(VLOOKUP(TRANSHARI4_SPVOUMALAM[[#This Row],[PRODUK]],DATA_SPVOU[],6,FALSE),"")</f>
        <v/>
      </c>
      <c r="T172" s="374"/>
      <c r="U172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2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2" s="12"/>
      <c r="X172" s="384" t="str">
        <f>IFERROR(IF(TRANSHARI4_SPVOUMALAM[[#This Row],[NAMA REKENING]]="","",TRANSHARI4_SPVOUMALAM[[#This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IFERROR(VLOOKUP(TRANSHARI4_SPVOUPAGI[[#This Row],[PRODUK]],DATA_SPVOU[],6,FALSE),"")</f>
        <v/>
      </c>
      <c r="E173" s="374"/>
      <c r="F173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3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3" s="12"/>
      <c r="I173" s="386" t="str">
        <f>IFERROR(IF(TRANSHARI4_SPVOUPAGI[[#This Row],[NAMA REKENING]]="","",TRANSHARI4_SPVOUPAGI[[#This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IFERROR(VLOOKUP(TRANSHARI4_SPVOUMALAM[[#This Row],[PRODUK]],DATA_SPVOU[],6,FALSE),"")</f>
        <v/>
      </c>
      <c r="T173" s="374"/>
      <c r="U173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3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3" s="12"/>
      <c r="X173" s="386" t="str">
        <f>IFERROR(IF(TRANSHARI4_SPVOUMALAM[[#This Row],[NAMA REKENING]]="","",TRANSHARI4_SPVOUMALAM[[#This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IFERROR(VLOOKUP(TRANSHARI4_SPVOUPAGI[[#This Row],[PRODUK]],DATA_SPVOU[],6,FALSE),"")</f>
        <v/>
      </c>
      <c r="E174" s="374"/>
      <c r="F174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4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4" s="12"/>
      <c r="I174" s="384" t="str">
        <f>IFERROR(IF(TRANSHARI4_SPVOUPAGI[[#This Row],[NAMA REKENING]]="","",TRANSHARI4_SPVOUPAGI[[#This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IFERROR(VLOOKUP(TRANSHARI4_SPVOUMALAM[[#This Row],[PRODUK]],DATA_SPVOU[],6,FALSE),"")</f>
        <v/>
      </c>
      <c r="T174" s="374"/>
      <c r="U174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4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4" s="12"/>
      <c r="X174" s="384" t="str">
        <f>IFERROR(IF(TRANSHARI4_SPVOUMALAM[[#This Row],[NAMA REKENING]]="","",TRANSHARI4_SPVOUMALAM[[#This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IFERROR(VLOOKUP(TRANSHARI4_SPVOUPAGI[[#This Row],[PRODUK]],DATA_SPVOU[],6,FALSE),"")</f>
        <v/>
      </c>
      <c r="E175" s="374"/>
      <c r="F175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5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5" s="12"/>
      <c r="I175" s="386" t="str">
        <f>IFERROR(IF(TRANSHARI4_SPVOUPAGI[[#This Row],[NAMA REKENING]]="","",TRANSHARI4_SPVOUPAGI[[#This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IFERROR(VLOOKUP(TRANSHARI4_SPVOUMALAM[[#This Row],[PRODUK]],DATA_SPVOU[],6,FALSE),"")</f>
        <v/>
      </c>
      <c r="T175" s="374"/>
      <c r="U175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5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5" s="12"/>
      <c r="X175" s="386" t="str">
        <f>IFERROR(IF(TRANSHARI4_SPVOUMALAM[[#This Row],[NAMA REKENING]]="","",TRANSHARI4_SPVOUMALAM[[#This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IFERROR(VLOOKUP(TRANSHARI4_SPVOUPAGI[[#This Row],[PRODUK]],DATA_SPVOU[],6,FALSE),"")</f>
        <v/>
      </c>
      <c r="E176" s="374"/>
      <c r="F176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6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6" s="12"/>
      <c r="I176" s="384" t="str">
        <f>IFERROR(IF(TRANSHARI4_SPVOUPAGI[[#This Row],[NAMA REKENING]]="","",TRANSHARI4_SPVOUPAGI[[#This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IFERROR(VLOOKUP(TRANSHARI4_SPVOUMALAM[[#This Row],[PRODUK]],DATA_SPVOU[],6,FALSE),"")</f>
        <v/>
      </c>
      <c r="T176" s="374"/>
      <c r="U176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6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6" s="12"/>
      <c r="X176" s="384" t="str">
        <f>IFERROR(IF(TRANSHARI4_SPVOUMALAM[[#This Row],[NAMA REKENING]]="","",TRANSHARI4_SPVOUMALAM[[#This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IFERROR(VLOOKUP(TRANSHARI4_SPVOUPAGI[[#This Row],[PRODUK]],DATA_SPVOU[],6,FALSE),"")</f>
        <v/>
      </c>
      <c r="E177" s="374"/>
      <c r="F177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7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7" s="12"/>
      <c r="I177" s="386" t="str">
        <f>IFERROR(IF(TRANSHARI4_SPVOUPAGI[[#This Row],[NAMA REKENING]]="","",TRANSHARI4_SPVOUPAGI[[#This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IFERROR(VLOOKUP(TRANSHARI4_SPVOUMALAM[[#This Row],[PRODUK]],DATA_SPVOU[],6,FALSE),"")</f>
        <v/>
      </c>
      <c r="T177" s="374"/>
      <c r="U177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7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7" s="12"/>
      <c r="X177" s="386" t="str">
        <f>IFERROR(IF(TRANSHARI4_SPVOUMALAM[[#This Row],[NAMA REKENING]]="","",TRANSHARI4_SPVOUMALAM[[#This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IFERROR(VLOOKUP(TRANSHARI4_SPVOUPAGI[[#This Row],[PRODUK]],DATA_SPVOU[],6,FALSE),"")</f>
        <v/>
      </c>
      <c r="E178" s="374"/>
      <c r="F178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8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8" s="12"/>
      <c r="I178" s="384" t="str">
        <f>IFERROR(IF(TRANSHARI4_SPVOUPAGI[[#This Row],[NAMA REKENING]]="","",TRANSHARI4_SPVOUPAGI[[#This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IFERROR(VLOOKUP(TRANSHARI4_SPVOUMALAM[[#This Row],[PRODUK]],DATA_SPVOU[],6,FALSE),"")</f>
        <v/>
      </c>
      <c r="T178" s="374"/>
      <c r="U178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8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8" s="12"/>
      <c r="X178" s="384" t="str">
        <f>IFERROR(IF(TRANSHARI4_SPVOUMALAM[[#This Row],[NAMA REKENING]]="","",TRANSHARI4_SPVOUMALAM[[#This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IFERROR(VLOOKUP(TRANSHARI4_SPVOUPAGI[[#This Row],[PRODUK]],DATA_SPVOU[],6,FALSE),"")</f>
        <v/>
      </c>
      <c r="E179" s="374"/>
      <c r="F179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79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79" s="12"/>
      <c r="I179" s="386" t="str">
        <f>IFERROR(IF(TRANSHARI4_SPVOUPAGI[[#This Row],[NAMA REKENING]]="","",TRANSHARI4_SPVOUPAGI[[#This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IFERROR(VLOOKUP(TRANSHARI4_SPVOUMALAM[[#This Row],[PRODUK]],DATA_SPVOU[],6,FALSE),"")</f>
        <v/>
      </c>
      <c r="T179" s="374"/>
      <c r="U179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79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79" s="12"/>
      <c r="X179" s="386" t="str">
        <f>IFERROR(IF(TRANSHARI4_SPVOUMALAM[[#This Row],[NAMA REKENING]]="","",TRANSHARI4_SPVOUMALAM[[#This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IFERROR(VLOOKUP(TRANSHARI4_SPVOUPAGI[[#This Row],[PRODUK]],DATA_SPVOU[],6,FALSE),"")</f>
        <v/>
      </c>
      <c r="E180" s="374"/>
      <c r="F180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0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0" s="12"/>
      <c r="I180" s="384" t="str">
        <f>IFERROR(IF(TRANSHARI4_SPVOUPAGI[[#This Row],[NAMA REKENING]]="","",TRANSHARI4_SPVOUPAGI[[#This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IFERROR(VLOOKUP(TRANSHARI4_SPVOUMALAM[[#This Row],[PRODUK]],DATA_SPVOU[],6,FALSE),"")</f>
        <v/>
      </c>
      <c r="T180" s="374"/>
      <c r="U180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0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0" s="12"/>
      <c r="X180" s="384" t="str">
        <f>IFERROR(IF(TRANSHARI4_SPVOUMALAM[[#This Row],[NAMA REKENING]]="","",TRANSHARI4_SPVOUMALAM[[#This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IFERROR(VLOOKUP(TRANSHARI4_SPVOUPAGI[[#This Row],[PRODUK]],DATA_SPVOU[],6,FALSE),"")</f>
        <v/>
      </c>
      <c r="E181" s="374"/>
      <c r="F181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1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1" s="12"/>
      <c r="I181" s="386" t="str">
        <f>IFERROR(IF(TRANSHARI4_SPVOUPAGI[[#This Row],[NAMA REKENING]]="","",TRANSHARI4_SPVOUPAGI[[#This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IFERROR(VLOOKUP(TRANSHARI4_SPVOUMALAM[[#This Row],[PRODUK]],DATA_SPVOU[],6,FALSE),"")</f>
        <v/>
      </c>
      <c r="T181" s="374"/>
      <c r="U181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1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1" s="12"/>
      <c r="X181" s="386" t="str">
        <f>IFERROR(IF(TRANSHARI4_SPVOUMALAM[[#This Row],[NAMA REKENING]]="","",TRANSHARI4_SPVOUMALAM[[#This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IFERROR(VLOOKUP(TRANSHARI4_SPVOUPAGI[[#This Row],[PRODUK]],DATA_SPVOU[],6,FALSE),"")</f>
        <v/>
      </c>
      <c r="E182" s="374"/>
      <c r="F182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2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2" s="12"/>
      <c r="I182" s="384" t="str">
        <f>IFERROR(IF(TRANSHARI4_SPVOUPAGI[[#This Row],[NAMA REKENING]]="","",TRANSHARI4_SPVOUPAGI[[#This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IFERROR(VLOOKUP(TRANSHARI4_SPVOUMALAM[[#This Row],[PRODUK]],DATA_SPVOU[],6,FALSE),"")</f>
        <v/>
      </c>
      <c r="T182" s="374"/>
      <c r="U182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2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2" s="12"/>
      <c r="X182" s="384" t="str">
        <f>IFERROR(IF(TRANSHARI4_SPVOUMALAM[[#This Row],[NAMA REKENING]]="","",TRANSHARI4_SPVOUMALAM[[#This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IFERROR(VLOOKUP(TRANSHARI4_SPVOUPAGI[[#This Row],[PRODUK]],DATA_SPVOU[],6,FALSE),"")</f>
        <v/>
      </c>
      <c r="E183" s="374"/>
      <c r="F183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3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3" s="12"/>
      <c r="I183" s="386" t="str">
        <f>IFERROR(IF(TRANSHARI4_SPVOUPAGI[[#This Row],[NAMA REKENING]]="","",TRANSHARI4_SPVOUPAGI[[#This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IFERROR(VLOOKUP(TRANSHARI4_SPVOUMALAM[[#This Row],[PRODUK]],DATA_SPVOU[],6,FALSE),"")</f>
        <v/>
      </c>
      <c r="T183" s="374"/>
      <c r="U183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3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3" s="12"/>
      <c r="X183" s="386" t="str">
        <f>IFERROR(IF(TRANSHARI4_SPVOUMALAM[[#This Row],[NAMA REKENING]]="","",TRANSHARI4_SPVOUMALAM[[#This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IFERROR(VLOOKUP(TRANSHARI4_SPVOUPAGI[[#This Row],[PRODUK]],DATA_SPVOU[],6,FALSE),"")</f>
        <v/>
      </c>
      <c r="E184" s="374"/>
      <c r="F184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4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4" s="12"/>
      <c r="I184" s="384" t="str">
        <f>IFERROR(IF(TRANSHARI4_SPVOUPAGI[[#This Row],[NAMA REKENING]]="","",TRANSHARI4_SPVOUPAGI[[#This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IFERROR(VLOOKUP(TRANSHARI4_SPVOUMALAM[[#This Row],[PRODUK]],DATA_SPVOU[],6,FALSE),"")</f>
        <v/>
      </c>
      <c r="T184" s="374"/>
      <c r="U184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4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4" s="12"/>
      <c r="X184" s="384" t="str">
        <f>IFERROR(IF(TRANSHARI4_SPVOUMALAM[[#This Row],[NAMA REKENING]]="","",TRANSHARI4_SPVOUMALAM[[#This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IFERROR(VLOOKUP(TRANSHARI4_SPVOUPAGI[[#This Row],[PRODUK]],DATA_SPVOU[],6,FALSE),"")</f>
        <v/>
      </c>
      <c r="E185" s="374"/>
      <c r="F185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5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5" s="12"/>
      <c r="I185" s="386" t="str">
        <f>IFERROR(IF(TRANSHARI4_SPVOUPAGI[[#This Row],[NAMA REKENING]]="","",TRANSHARI4_SPVOUPAGI[[#This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IFERROR(VLOOKUP(TRANSHARI4_SPVOUMALAM[[#This Row],[PRODUK]],DATA_SPVOU[],6,FALSE),"")</f>
        <v/>
      </c>
      <c r="T185" s="374"/>
      <c r="U185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5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5" s="12"/>
      <c r="X185" s="386" t="str">
        <f>IFERROR(IF(TRANSHARI4_SPVOUMALAM[[#This Row],[NAMA REKENING]]="","",TRANSHARI4_SPVOUMALAM[[#This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IFERROR(VLOOKUP(TRANSHARI4_SPVOUPAGI[[#This Row],[PRODUK]],DATA_SPVOU[],6,FALSE),"")</f>
        <v/>
      </c>
      <c r="E186" s="374"/>
      <c r="F186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6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6" s="12"/>
      <c r="I186" s="384" t="str">
        <f>IFERROR(IF(TRANSHARI4_SPVOUPAGI[[#This Row],[NAMA REKENING]]="","",TRANSHARI4_SPVOUPAGI[[#This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IFERROR(VLOOKUP(TRANSHARI4_SPVOUMALAM[[#This Row],[PRODUK]],DATA_SPVOU[],6,FALSE),"")</f>
        <v/>
      </c>
      <c r="T186" s="374"/>
      <c r="U186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6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6" s="12"/>
      <c r="X186" s="384" t="str">
        <f>IFERROR(IF(TRANSHARI4_SPVOUMALAM[[#This Row],[NAMA REKENING]]="","",TRANSHARI4_SPVOUMALAM[[#This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IFERROR(VLOOKUP(TRANSHARI4_SPVOUPAGI[[#This Row],[PRODUK]],DATA_SPVOU[],6,FALSE),"")</f>
        <v/>
      </c>
      <c r="E187" s="374"/>
      <c r="F187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7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7" s="12"/>
      <c r="I187" s="386" t="str">
        <f>IFERROR(IF(TRANSHARI4_SPVOUPAGI[[#This Row],[NAMA REKENING]]="","",TRANSHARI4_SPVOUPAGI[[#This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IFERROR(VLOOKUP(TRANSHARI4_SPVOUMALAM[[#This Row],[PRODUK]],DATA_SPVOU[],6,FALSE),"")</f>
        <v/>
      </c>
      <c r="T187" s="374"/>
      <c r="U187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7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7" s="12"/>
      <c r="X187" s="386" t="str">
        <f>IFERROR(IF(TRANSHARI4_SPVOUMALAM[[#This Row],[NAMA REKENING]]="","",TRANSHARI4_SPVOUMALAM[[#This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IFERROR(VLOOKUP(TRANSHARI4_SPVOUPAGI[[#This Row],[PRODUK]],DATA_SPVOU[],6,FALSE),"")</f>
        <v/>
      </c>
      <c r="E188" s="374"/>
      <c r="F188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8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8" s="12"/>
      <c r="I188" s="384" t="str">
        <f>IFERROR(IF(TRANSHARI4_SPVOUPAGI[[#This Row],[NAMA REKENING]]="","",TRANSHARI4_SPVOUPAGI[[#This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IFERROR(VLOOKUP(TRANSHARI4_SPVOUMALAM[[#This Row],[PRODUK]],DATA_SPVOU[],6,FALSE),"")</f>
        <v/>
      </c>
      <c r="T188" s="374"/>
      <c r="U188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8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8" s="12"/>
      <c r="X188" s="384" t="str">
        <f>IFERROR(IF(TRANSHARI4_SPVOUMALAM[[#This Row],[NAMA REKENING]]="","",TRANSHARI4_SPVOUMALAM[[#This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IFERROR(VLOOKUP(TRANSHARI4_SPVOUPAGI[[#This Row],[PRODUK]],DATA_SPVOU[],6,FALSE),"")</f>
        <v/>
      </c>
      <c r="E189" s="374"/>
      <c r="F189" s="373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89" s="373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89" s="12"/>
      <c r="I189" s="386" t="str">
        <f>IFERROR(IF(TRANSHARI4_SPVOUPAGI[[#This Row],[NAMA REKENING]]="","",TRANSHARI4_SPVOUPAGI[[#This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IFERROR(VLOOKUP(TRANSHARI4_SPVOUMALAM[[#This Row],[PRODUK]],DATA_SPVOU[],6,FALSE),"")</f>
        <v/>
      </c>
      <c r="T189" s="374"/>
      <c r="U189" s="373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89" s="373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89" s="12"/>
      <c r="X189" s="386" t="str">
        <f>IFERROR(IF(TRANSHARI4_SPVOUMALAM[[#This Row],[NAMA REKENING]]="","",TRANSHARI4_SPVOUMALAM[[#This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IFERROR(VLOOKUP(TRANSHARI4_SPVOUPAGI[[#This Row],[PRODUK]],DATA_SPVOU[],6,FALSE),"")</f>
        <v/>
      </c>
      <c r="E190" s="374"/>
      <c r="F190" s="369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90" s="369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90" s="12"/>
      <c r="I190" s="384" t="str">
        <f>IFERROR(IF(TRANSHARI4_SPVOUPAGI[[#This Row],[NAMA REKENING]]="","",TRANSHARI4_SPVOUPAGI[[#This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IFERROR(VLOOKUP(TRANSHARI4_SPVOUMALAM[[#This Row],[PRODUK]],DATA_SPVOU[],6,FALSE),"")</f>
        <v/>
      </c>
      <c r="T190" s="374"/>
      <c r="U190" s="369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90" s="369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90" s="12"/>
      <c r="X190" s="384" t="str">
        <f>IFERROR(IF(TRANSHARI4_SPVOUMALAM[[#This Row],[NAMA REKENING]]="","",TRANSHARI4_SPVOUMALAM[[#This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IFERROR(VLOOKUP(TRANSHARI4_SPVOUPAGI[[#This Row],[PRODUK]],DATA_SPVOU[],6,FALSE),"")</f>
        <v/>
      </c>
      <c r="E191" s="376"/>
      <c r="F191" s="394" t="str">
        <f>IFERROR(IF(TRANSHARI4_SPVOUPAGI[[#This Row],[NAMA PENGHUTANG]]="",((TRANSHARI4_SPVOUPAGI[[#This Row],[HARGA]]*TRANSHARI4_SPVOUPAGI[[#This Row],[QUANTITY]])+TRANSHARI4_SPVOUPAGI[[#This Row],[PRICE TOLERANCE]]),""),"")</f>
        <v/>
      </c>
      <c r="G191" s="394" t="str">
        <f>IFERROR(IF(TRANSHARI4_SPVOUPAGI[[#This Row],[NAMA PENGHUTANG]]="","",((TRANSHARI4_SPVOUPAGI[[#This Row],[HARGA]]*TRANSHARI4_SPVOUPAGI[[#This Row],[QUANTITY]])+TRANSHARI4_SPVOUPAGI[[#This Row],[PRICE TOLERANCE]])),"")</f>
        <v/>
      </c>
      <c r="H191" s="377"/>
      <c r="I191" s="399" t="str">
        <f>IFERROR(IF(TRANSHARI4_SPVOUPAGI[[#This Row],[NAMA REKENING]]="","",TRANSHARI4_SPVOUPAGI[[#This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IFERROR(VLOOKUP(TRANSHARI4_SPVOUMALAM[[#This Row],[PRODUK]],DATA_SPVOU[],6,FALSE),"")</f>
        <v/>
      </c>
      <c r="T191" s="376"/>
      <c r="U191" s="394" t="str">
        <f>IFERROR(IF(TRANSHARI4_SPVOUMALAM[[#This Row],[NAMA PENGHUTANG]]="",((TRANSHARI4_SPVOUMALAM[[#This Row],[HARGA]]*TRANSHARI4_SPVOUMALAM[[#This Row],[QUANTITY]])+TRANSHARI4_SPVOUMALAM[[#This Row],[PRICE TOLERANCE]]),""),"")</f>
        <v/>
      </c>
      <c r="V191" s="394" t="str">
        <f>IFERROR(IF(TRANSHARI4_SPVOUMALAM[[#This Row],[NAMA PENGHUTANG]]="","",((TRANSHARI4_SPVOUMALAM[[#This Row],[HARGA]]*TRANSHARI4_SPVOUMALAM[[#This Row],[QUANTITY]])+TRANSHARI4_SPVOUMALAM[[#This Row],[PRICE TOLERANCE]])),"")</f>
        <v/>
      </c>
      <c r="W191" s="377"/>
      <c r="X191" s="399" t="str">
        <f>IFERROR(IF(TRANSHARI4_SPVOUMALAM[[#This Row],[NAMA REKENING]]="","",TRANSHARI4_SPVOUMALAM[[#This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SUM(TRANSHARI4_SPVOUPAGI[QUANTITY])</f>
        <v>0</v>
      </c>
      <c r="E192" s="398">
        <f>SUM(TRANSHARI4_SPVOUPAGI[PRICE TOLERANCE])</f>
        <v>0</v>
      </c>
      <c r="F192" s="396">
        <f>SUM(TRANSHARI4_SPVOUPAGI[DEBIT])</f>
        <v>0</v>
      </c>
      <c r="G192" s="396">
        <f>SUM(TRANSHARI4_SPVOUPAGI[KREDIT])</f>
        <v>0</v>
      </c>
      <c r="I192" s="396">
        <f>SUM(TRANSHARI4_SPVOUPAGI[NOMINAL TRANSFER])</f>
        <v>0</v>
      </c>
      <c r="O192" s="324"/>
      <c r="P192" s="303" t="s">
        <v>78</v>
      </c>
      <c r="Q192" s="316"/>
      <c r="R192" s="395">
        <f>SUM(TRANSHARI4_SPVOUMALAM[QUANTITY])</f>
        <v>0</v>
      </c>
      <c r="T192" s="398">
        <f>SUM(TRANSHARI4_SPVOUMALAM[PRICE TOLERANCE])</f>
        <v>0</v>
      </c>
      <c r="U192" s="396">
        <f>SUM(TRANSHARI4_SPVOUMALAM[DEBIT])</f>
        <v>0</v>
      </c>
      <c r="V192" s="396">
        <f>SUM(TRANSHARI4_SPVOUMALAM[KREDIT])</f>
        <v>0</v>
      </c>
      <c r="X192" s="396">
        <f>SUM(TRANSHARI4_SPVOUMALAM[NOMINAL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">
        <v>203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">
        <v>205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IFERROR(VLOOKUP(TRANSHARI4_SOFTDRINKPAGI[[#This Row],[PRODUK]],DATA_SOFTDRINK[],6,FALSE),"")</f>
        <v/>
      </c>
      <c r="E199" s="370"/>
      <c r="F199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199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199" s="371"/>
      <c r="I199" s="384" t="str">
        <f>IFERROR(IF(TRANSHARI4_SOFTDRINKPAGI[[#This Row],[NAMA REKENING]]="","",TRANSHARI4_SOFTDRINKPAGI[[#This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IFERROR(VLOOKUP(TRANSHARI4_SOFTDRINKMALAM[[#This Row],[PRODUK]],DATA_SOFTDRINK[],6,FALSE),"")</f>
        <v/>
      </c>
      <c r="T199" s="370"/>
      <c r="U199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199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199" s="371"/>
      <c r="X199" s="384" t="str">
        <f>IFERROR(IF(TRANSHARI4_SOFTDRINKMALAM[[#This Row],[NAMA REKENING]]="","",TRANSHARI4_SOFTDRINKMALAM[[#This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IFERROR(VLOOKUP(TRANSHARI4_SOFTDRINKPAGI[[#This Row],[PRODUK]],DATA_SOFTDRINK[],6,FALSE),"")</f>
        <v/>
      </c>
      <c r="E200" s="374"/>
      <c r="F200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0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0" s="12"/>
      <c r="I200" s="386" t="str">
        <f>IFERROR(IF(TRANSHARI4_SOFTDRINKPAGI[[#This Row],[NAMA REKENING]]="","",TRANSHARI4_SOFTDRINKPAGI[[#This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IFERROR(VLOOKUP(TRANSHARI4_SOFTDRINKMALAM[[#This Row],[PRODUK]],DATA_SOFTDRINK[],6,FALSE),"")</f>
        <v/>
      </c>
      <c r="T200" s="374"/>
      <c r="U200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0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0" s="12"/>
      <c r="X200" s="386" t="str">
        <f>IFERROR(IF(TRANSHARI4_SOFTDRINKMALAM[[#This Row],[NAMA REKENING]]="","",TRANSHARI4_SOFTDRINKMALAM[[#This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IFERROR(VLOOKUP(TRANSHARI4_SOFTDRINKPAGI[[#This Row],[PRODUK]],DATA_SOFTDRINK[],6,FALSE),"")</f>
        <v/>
      </c>
      <c r="E201" s="374"/>
      <c r="F201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1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1" s="12"/>
      <c r="I201" s="384" t="str">
        <f>IFERROR(IF(TRANSHARI4_SOFTDRINKPAGI[[#This Row],[NAMA REKENING]]="","",TRANSHARI4_SOFTDRINKPAGI[[#This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IFERROR(VLOOKUP(TRANSHARI4_SOFTDRINKMALAM[[#This Row],[PRODUK]],DATA_SOFTDRINK[],6,FALSE),"")</f>
        <v/>
      </c>
      <c r="T201" s="374"/>
      <c r="U201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1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1" s="12"/>
      <c r="X201" s="384" t="str">
        <f>IFERROR(IF(TRANSHARI4_SOFTDRINKMALAM[[#This Row],[NAMA REKENING]]="","",TRANSHARI4_SOFTDRINKMALAM[[#This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IFERROR(VLOOKUP(TRANSHARI4_SOFTDRINKPAGI[[#This Row],[PRODUK]],DATA_SOFTDRINK[],6,FALSE),"")</f>
        <v/>
      </c>
      <c r="E202" s="374"/>
      <c r="F202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2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2" s="12"/>
      <c r="I202" s="386" t="str">
        <f>IFERROR(IF(TRANSHARI4_SOFTDRINKPAGI[[#This Row],[NAMA REKENING]]="","",TRANSHARI4_SOFTDRINKPAGI[[#This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IFERROR(VLOOKUP(TRANSHARI4_SOFTDRINKMALAM[[#This Row],[PRODUK]],DATA_SOFTDRINK[],6,FALSE),"")</f>
        <v/>
      </c>
      <c r="T202" s="374"/>
      <c r="U202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2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2" s="12"/>
      <c r="X202" s="386" t="str">
        <f>IFERROR(IF(TRANSHARI4_SOFTDRINKMALAM[[#This Row],[NAMA REKENING]]="","",TRANSHARI4_SOFTDRINKMALAM[[#This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IFERROR(VLOOKUP(TRANSHARI4_SOFTDRINKPAGI[[#This Row],[PRODUK]],DATA_SOFTDRINK[],6,FALSE),"")</f>
        <v/>
      </c>
      <c r="E203" s="374"/>
      <c r="F203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3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3" s="12"/>
      <c r="I203" s="384" t="str">
        <f>IFERROR(IF(TRANSHARI4_SOFTDRINKPAGI[[#This Row],[NAMA REKENING]]="","",TRANSHARI4_SOFTDRINKPAGI[[#This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IFERROR(VLOOKUP(TRANSHARI4_SOFTDRINKMALAM[[#This Row],[PRODUK]],DATA_SOFTDRINK[],6,FALSE),"")</f>
        <v/>
      </c>
      <c r="T203" s="374"/>
      <c r="U203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3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3" s="12"/>
      <c r="X203" s="384" t="str">
        <f>IFERROR(IF(TRANSHARI4_SOFTDRINKMALAM[[#This Row],[NAMA REKENING]]="","",TRANSHARI4_SOFTDRINKMALAM[[#This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IFERROR(VLOOKUP(TRANSHARI4_SOFTDRINKPAGI[[#This Row],[PRODUK]],DATA_SOFTDRINK[],6,FALSE),"")</f>
        <v/>
      </c>
      <c r="E204" s="374"/>
      <c r="F204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4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4" s="12"/>
      <c r="I204" s="386" t="str">
        <f>IFERROR(IF(TRANSHARI4_SOFTDRINKPAGI[[#This Row],[NAMA REKENING]]="","",TRANSHARI4_SOFTDRINKPAGI[[#This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IFERROR(VLOOKUP(TRANSHARI4_SOFTDRINKMALAM[[#This Row],[PRODUK]],DATA_SOFTDRINK[],6,FALSE),"")</f>
        <v/>
      </c>
      <c r="T204" s="374"/>
      <c r="U204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4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4" s="12"/>
      <c r="X204" s="386" t="str">
        <f>IFERROR(IF(TRANSHARI4_SOFTDRINKMALAM[[#This Row],[NAMA REKENING]]="","",TRANSHARI4_SOFTDRINKMALAM[[#This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IFERROR(VLOOKUP(TRANSHARI4_SOFTDRINKPAGI[[#This Row],[PRODUK]],DATA_SOFTDRINK[],6,FALSE),"")</f>
        <v/>
      </c>
      <c r="E205" s="374"/>
      <c r="F205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5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5" s="12"/>
      <c r="I205" s="384" t="str">
        <f>IFERROR(IF(TRANSHARI4_SOFTDRINKPAGI[[#This Row],[NAMA REKENING]]="","",TRANSHARI4_SOFTDRINKPAGI[[#This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IFERROR(VLOOKUP(TRANSHARI4_SOFTDRINKMALAM[[#This Row],[PRODUK]],DATA_SOFTDRINK[],6,FALSE),"")</f>
        <v/>
      </c>
      <c r="T205" s="374"/>
      <c r="U205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5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5" s="12"/>
      <c r="X205" s="384" t="str">
        <f>IFERROR(IF(TRANSHARI4_SOFTDRINKMALAM[[#This Row],[NAMA REKENING]]="","",TRANSHARI4_SOFTDRINKMALAM[[#This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IFERROR(VLOOKUP(TRANSHARI4_SOFTDRINKPAGI[[#This Row],[PRODUK]],DATA_SOFTDRINK[],6,FALSE),"")</f>
        <v/>
      </c>
      <c r="E206" s="374"/>
      <c r="F206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6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6" s="12"/>
      <c r="I206" s="386" t="str">
        <f>IFERROR(IF(TRANSHARI4_SOFTDRINKPAGI[[#This Row],[NAMA REKENING]]="","",TRANSHARI4_SOFTDRINKPAGI[[#This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IFERROR(VLOOKUP(TRANSHARI4_SOFTDRINKMALAM[[#This Row],[PRODUK]],DATA_SOFTDRINK[],6,FALSE),"")</f>
        <v/>
      </c>
      <c r="T206" s="374"/>
      <c r="U206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6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6" s="12"/>
      <c r="X206" s="386" t="str">
        <f>IFERROR(IF(TRANSHARI4_SOFTDRINKMALAM[[#This Row],[NAMA REKENING]]="","",TRANSHARI4_SOFTDRINKMALAM[[#This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IFERROR(VLOOKUP(TRANSHARI4_SOFTDRINKPAGI[[#This Row],[PRODUK]],DATA_SOFTDRINK[],6,FALSE),"")</f>
        <v/>
      </c>
      <c r="E207" s="374"/>
      <c r="F207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7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7" s="12"/>
      <c r="I207" s="384" t="str">
        <f>IFERROR(IF(TRANSHARI4_SOFTDRINKPAGI[[#This Row],[NAMA REKENING]]="","",TRANSHARI4_SOFTDRINKPAGI[[#This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IFERROR(VLOOKUP(TRANSHARI4_SOFTDRINKMALAM[[#This Row],[PRODUK]],DATA_SOFTDRINK[],6,FALSE),"")</f>
        <v/>
      </c>
      <c r="T207" s="374"/>
      <c r="U207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7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7" s="12"/>
      <c r="X207" s="384" t="str">
        <f>IFERROR(IF(TRANSHARI4_SOFTDRINKMALAM[[#This Row],[NAMA REKENING]]="","",TRANSHARI4_SOFTDRINKMALAM[[#This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IFERROR(VLOOKUP(TRANSHARI4_SOFTDRINKPAGI[[#This Row],[PRODUK]],DATA_SOFTDRINK[],6,FALSE),"")</f>
        <v/>
      </c>
      <c r="E208" s="374"/>
      <c r="F208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8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8" s="12"/>
      <c r="I208" s="386" t="str">
        <f>IFERROR(IF(TRANSHARI4_SOFTDRINKPAGI[[#This Row],[NAMA REKENING]]="","",TRANSHARI4_SOFTDRINKPAGI[[#This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IFERROR(VLOOKUP(TRANSHARI4_SOFTDRINKMALAM[[#This Row],[PRODUK]],DATA_SOFTDRINK[],6,FALSE),"")</f>
        <v/>
      </c>
      <c r="T208" s="374"/>
      <c r="U208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8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8" s="12"/>
      <c r="X208" s="386" t="str">
        <f>IFERROR(IF(TRANSHARI4_SOFTDRINKMALAM[[#This Row],[NAMA REKENING]]="","",TRANSHARI4_SOFTDRINKMALAM[[#This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IFERROR(VLOOKUP(TRANSHARI4_SOFTDRINKPAGI[[#This Row],[PRODUK]],DATA_SOFTDRINK[],6,FALSE),"")</f>
        <v/>
      </c>
      <c r="E209" s="374"/>
      <c r="F209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09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09" s="12"/>
      <c r="I209" s="384" t="str">
        <f>IFERROR(IF(TRANSHARI4_SOFTDRINKPAGI[[#This Row],[NAMA REKENING]]="","",TRANSHARI4_SOFTDRINKPAGI[[#This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IFERROR(VLOOKUP(TRANSHARI4_SOFTDRINKMALAM[[#This Row],[PRODUK]],DATA_SOFTDRINK[],6,FALSE),"")</f>
        <v/>
      </c>
      <c r="T209" s="374"/>
      <c r="U209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09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09" s="12"/>
      <c r="X209" s="384" t="str">
        <f>IFERROR(IF(TRANSHARI4_SOFTDRINKMALAM[[#This Row],[NAMA REKENING]]="","",TRANSHARI4_SOFTDRINKMALAM[[#This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IFERROR(VLOOKUP(TRANSHARI4_SOFTDRINKPAGI[[#This Row],[PRODUK]],DATA_SOFTDRINK[],6,FALSE),"")</f>
        <v/>
      </c>
      <c r="E210" s="374"/>
      <c r="F210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0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0" s="12"/>
      <c r="I210" s="386" t="str">
        <f>IFERROR(IF(TRANSHARI4_SOFTDRINKPAGI[[#This Row],[NAMA REKENING]]="","",TRANSHARI4_SOFTDRINKPAGI[[#This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IFERROR(VLOOKUP(TRANSHARI4_SOFTDRINKMALAM[[#This Row],[PRODUK]],DATA_SOFTDRINK[],6,FALSE),"")</f>
        <v/>
      </c>
      <c r="T210" s="374"/>
      <c r="U210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0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0" s="12"/>
      <c r="X210" s="386" t="str">
        <f>IFERROR(IF(TRANSHARI4_SOFTDRINKMALAM[[#This Row],[NAMA REKENING]]="","",TRANSHARI4_SOFTDRINKMALAM[[#This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IFERROR(VLOOKUP(TRANSHARI4_SOFTDRINKPAGI[[#This Row],[PRODUK]],DATA_SOFTDRINK[],6,FALSE),"")</f>
        <v/>
      </c>
      <c r="E211" s="374"/>
      <c r="F211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1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1" s="12"/>
      <c r="I211" s="384" t="str">
        <f>IFERROR(IF(TRANSHARI4_SOFTDRINKPAGI[[#This Row],[NAMA REKENING]]="","",TRANSHARI4_SOFTDRINKPAGI[[#This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IFERROR(VLOOKUP(TRANSHARI4_SOFTDRINKMALAM[[#This Row],[PRODUK]],DATA_SOFTDRINK[],6,FALSE),"")</f>
        <v/>
      </c>
      <c r="T211" s="374"/>
      <c r="U211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1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1" s="12"/>
      <c r="X211" s="384" t="str">
        <f>IFERROR(IF(TRANSHARI4_SOFTDRINKMALAM[[#This Row],[NAMA REKENING]]="","",TRANSHARI4_SOFTDRINKMALAM[[#This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IFERROR(VLOOKUP(TRANSHARI4_SOFTDRINKPAGI[[#This Row],[PRODUK]],DATA_SOFTDRINK[],6,FALSE),"")</f>
        <v/>
      </c>
      <c r="E212" s="374"/>
      <c r="F212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2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2" s="12"/>
      <c r="I212" s="386" t="str">
        <f>IFERROR(IF(TRANSHARI4_SOFTDRINKPAGI[[#This Row],[NAMA REKENING]]="","",TRANSHARI4_SOFTDRINKPAGI[[#This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IFERROR(VLOOKUP(TRANSHARI4_SOFTDRINKMALAM[[#This Row],[PRODUK]],DATA_SOFTDRINK[],6,FALSE),"")</f>
        <v/>
      </c>
      <c r="T212" s="374"/>
      <c r="U212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2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2" s="12"/>
      <c r="X212" s="386" t="str">
        <f>IFERROR(IF(TRANSHARI4_SOFTDRINKMALAM[[#This Row],[NAMA REKENING]]="","",TRANSHARI4_SOFTDRINKMALAM[[#This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IFERROR(VLOOKUP(TRANSHARI4_SOFTDRINKPAGI[[#This Row],[PRODUK]],DATA_SOFTDRINK[],6,FALSE),"")</f>
        <v/>
      </c>
      <c r="E213" s="374"/>
      <c r="F213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3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3" s="12"/>
      <c r="I213" s="384" t="str">
        <f>IFERROR(IF(TRANSHARI4_SOFTDRINKPAGI[[#This Row],[NAMA REKENING]]="","",TRANSHARI4_SOFTDRINKPAGI[[#This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IFERROR(VLOOKUP(TRANSHARI4_SOFTDRINKMALAM[[#This Row],[PRODUK]],DATA_SOFTDRINK[],6,FALSE),"")</f>
        <v/>
      </c>
      <c r="T213" s="374"/>
      <c r="U213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3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3" s="12"/>
      <c r="X213" s="384" t="str">
        <f>IFERROR(IF(TRANSHARI4_SOFTDRINKMALAM[[#This Row],[NAMA REKENING]]="","",TRANSHARI4_SOFTDRINKMALAM[[#This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IFERROR(VLOOKUP(TRANSHARI4_SOFTDRINKPAGI[[#This Row],[PRODUK]],DATA_SOFTDRINK[],6,FALSE),"")</f>
        <v/>
      </c>
      <c r="E214" s="374"/>
      <c r="F214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4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4" s="12"/>
      <c r="I214" s="386" t="str">
        <f>IFERROR(IF(TRANSHARI4_SOFTDRINKPAGI[[#This Row],[NAMA REKENING]]="","",TRANSHARI4_SOFTDRINKPAGI[[#This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IFERROR(VLOOKUP(TRANSHARI4_SOFTDRINKMALAM[[#This Row],[PRODUK]],DATA_SOFTDRINK[],6,FALSE),"")</f>
        <v/>
      </c>
      <c r="T214" s="374"/>
      <c r="U214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4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4" s="12"/>
      <c r="X214" s="386" t="str">
        <f>IFERROR(IF(TRANSHARI4_SOFTDRINKMALAM[[#This Row],[NAMA REKENING]]="","",TRANSHARI4_SOFTDRINKMALAM[[#This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IFERROR(VLOOKUP(TRANSHARI4_SOFTDRINKPAGI[[#This Row],[PRODUK]],DATA_SOFTDRINK[],6,FALSE),"")</f>
        <v/>
      </c>
      <c r="E215" s="374"/>
      <c r="F215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5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5" s="12"/>
      <c r="I215" s="384" t="str">
        <f>IFERROR(IF(TRANSHARI4_SOFTDRINKPAGI[[#This Row],[NAMA REKENING]]="","",TRANSHARI4_SOFTDRINKPAGI[[#This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IFERROR(VLOOKUP(TRANSHARI4_SOFTDRINKMALAM[[#This Row],[PRODUK]],DATA_SOFTDRINK[],6,FALSE),"")</f>
        <v/>
      </c>
      <c r="T215" s="374"/>
      <c r="U215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5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5" s="12"/>
      <c r="X215" s="384" t="str">
        <f>IFERROR(IF(TRANSHARI4_SOFTDRINKMALAM[[#This Row],[NAMA REKENING]]="","",TRANSHARI4_SOFTDRINKMALAM[[#This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IFERROR(VLOOKUP(TRANSHARI4_SOFTDRINKPAGI[[#This Row],[PRODUK]],DATA_SOFTDRINK[],6,FALSE),"")</f>
        <v/>
      </c>
      <c r="E216" s="374"/>
      <c r="F216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6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6" s="12"/>
      <c r="I216" s="386" t="str">
        <f>IFERROR(IF(TRANSHARI4_SOFTDRINKPAGI[[#This Row],[NAMA REKENING]]="","",TRANSHARI4_SOFTDRINKPAGI[[#This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IFERROR(VLOOKUP(TRANSHARI4_SOFTDRINKMALAM[[#This Row],[PRODUK]],DATA_SOFTDRINK[],6,FALSE),"")</f>
        <v/>
      </c>
      <c r="T216" s="374"/>
      <c r="U216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6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6" s="12"/>
      <c r="X216" s="386" t="str">
        <f>IFERROR(IF(TRANSHARI4_SOFTDRINKMALAM[[#This Row],[NAMA REKENING]]="","",TRANSHARI4_SOFTDRINKMALAM[[#This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IFERROR(VLOOKUP(TRANSHARI4_SOFTDRINKPAGI[[#This Row],[PRODUK]],DATA_SOFTDRINK[],6,FALSE),"")</f>
        <v/>
      </c>
      <c r="E217" s="374"/>
      <c r="F217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7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7" s="12"/>
      <c r="I217" s="384" t="str">
        <f>IFERROR(IF(TRANSHARI4_SOFTDRINKPAGI[[#This Row],[NAMA REKENING]]="","",TRANSHARI4_SOFTDRINKPAGI[[#This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IFERROR(VLOOKUP(TRANSHARI4_SOFTDRINKMALAM[[#This Row],[PRODUK]],DATA_SOFTDRINK[],6,FALSE),"")</f>
        <v/>
      </c>
      <c r="T217" s="374"/>
      <c r="U217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7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7" s="12"/>
      <c r="X217" s="384" t="str">
        <f>IFERROR(IF(TRANSHARI4_SOFTDRINKMALAM[[#This Row],[NAMA REKENING]]="","",TRANSHARI4_SOFTDRINKMALAM[[#This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IFERROR(VLOOKUP(TRANSHARI4_SOFTDRINKPAGI[[#This Row],[PRODUK]],DATA_SOFTDRINK[],6,FALSE),"")</f>
        <v/>
      </c>
      <c r="E218" s="374"/>
      <c r="F218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8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8" s="12"/>
      <c r="I218" s="386" t="str">
        <f>IFERROR(IF(TRANSHARI4_SOFTDRINKPAGI[[#This Row],[NAMA REKENING]]="","",TRANSHARI4_SOFTDRINKPAGI[[#This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IFERROR(VLOOKUP(TRANSHARI4_SOFTDRINKMALAM[[#This Row],[PRODUK]],DATA_SOFTDRINK[],6,FALSE),"")</f>
        <v/>
      </c>
      <c r="T218" s="374"/>
      <c r="U218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8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8" s="12"/>
      <c r="X218" s="386" t="str">
        <f>IFERROR(IF(TRANSHARI4_SOFTDRINKMALAM[[#This Row],[NAMA REKENING]]="","",TRANSHARI4_SOFTDRINKMALAM[[#This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IFERROR(VLOOKUP(TRANSHARI4_SOFTDRINKPAGI[[#This Row],[PRODUK]],DATA_SOFTDRINK[],6,FALSE),"")</f>
        <v/>
      </c>
      <c r="E219" s="374"/>
      <c r="F219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19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19" s="12"/>
      <c r="I219" s="384" t="str">
        <f>IFERROR(IF(TRANSHARI4_SOFTDRINKPAGI[[#This Row],[NAMA REKENING]]="","",TRANSHARI4_SOFTDRINKPAGI[[#This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IFERROR(VLOOKUP(TRANSHARI4_SOFTDRINKMALAM[[#This Row],[PRODUK]],DATA_SOFTDRINK[],6,FALSE),"")</f>
        <v/>
      </c>
      <c r="T219" s="374"/>
      <c r="U219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19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19" s="12"/>
      <c r="X219" s="384" t="str">
        <f>IFERROR(IF(TRANSHARI4_SOFTDRINKMALAM[[#This Row],[NAMA REKENING]]="","",TRANSHARI4_SOFTDRINKMALAM[[#This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IFERROR(VLOOKUP(TRANSHARI4_SOFTDRINKPAGI[[#This Row],[PRODUK]],DATA_SOFTDRINK[],6,FALSE),"")</f>
        <v/>
      </c>
      <c r="E220" s="374"/>
      <c r="F220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0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0" s="12"/>
      <c r="I220" s="386" t="str">
        <f>IFERROR(IF(TRANSHARI4_SOFTDRINKPAGI[[#This Row],[NAMA REKENING]]="","",TRANSHARI4_SOFTDRINKPAGI[[#This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IFERROR(VLOOKUP(TRANSHARI4_SOFTDRINKMALAM[[#This Row],[PRODUK]],DATA_SOFTDRINK[],6,FALSE),"")</f>
        <v/>
      </c>
      <c r="T220" s="374"/>
      <c r="U220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0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0" s="12"/>
      <c r="X220" s="386" t="str">
        <f>IFERROR(IF(TRANSHARI4_SOFTDRINKMALAM[[#This Row],[NAMA REKENING]]="","",TRANSHARI4_SOFTDRINKMALAM[[#This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IFERROR(VLOOKUP(TRANSHARI4_SOFTDRINKPAGI[[#This Row],[PRODUK]],DATA_SOFTDRINK[],6,FALSE),"")</f>
        <v/>
      </c>
      <c r="E221" s="374"/>
      <c r="F221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1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1" s="12"/>
      <c r="I221" s="384" t="str">
        <f>IFERROR(IF(TRANSHARI4_SOFTDRINKPAGI[[#This Row],[NAMA REKENING]]="","",TRANSHARI4_SOFTDRINKPAGI[[#This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IFERROR(VLOOKUP(TRANSHARI4_SOFTDRINKMALAM[[#This Row],[PRODUK]],DATA_SOFTDRINK[],6,FALSE),"")</f>
        <v/>
      </c>
      <c r="T221" s="374"/>
      <c r="U221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1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1" s="12"/>
      <c r="X221" s="384" t="str">
        <f>IFERROR(IF(TRANSHARI4_SOFTDRINKMALAM[[#This Row],[NAMA REKENING]]="","",TRANSHARI4_SOFTDRINKMALAM[[#This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IFERROR(VLOOKUP(TRANSHARI4_SOFTDRINKPAGI[[#This Row],[PRODUK]],DATA_SOFTDRINK[],6,FALSE),"")</f>
        <v/>
      </c>
      <c r="E222" s="374"/>
      <c r="F222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2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2" s="12"/>
      <c r="I222" s="386" t="str">
        <f>IFERROR(IF(TRANSHARI4_SOFTDRINKPAGI[[#This Row],[NAMA REKENING]]="","",TRANSHARI4_SOFTDRINKPAGI[[#This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IFERROR(VLOOKUP(TRANSHARI4_SOFTDRINKMALAM[[#This Row],[PRODUK]],DATA_SOFTDRINK[],6,FALSE),"")</f>
        <v/>
      </c>
      <c r="T222" s="374"/>
      <c r="U222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2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2" s="12"/>
      <c r="X222" s="386" t="str">
        <f>IFERROR(IF(TRANSHARI4_SOFTDRINKMALAM[[#This Row],[NAMA REKENING]]="","",TRANSHARI4_SOFTDRINKMALAM[[#This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IFERROR(VLOOKUP(TRANSHARI4_SOFTDRINKPAGI[[#This Row],[PRODUK]],DATA_SOFTDRINK[],6,FALSE),"")</f>
        <v/>
      </c>
      <c r="E223" s="374"/>
      <c r="F223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3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3" s="12"/>
      <c r="I223" s="384" t="str">
        <f>IFERROR(IF(TRANSHARI4_SOFTDRINKPAGI[[#This Row],[NAMA REKENING]]="","",TRANSHARI4_SOFTDRINKPAGI[[#This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IFERROR(VLOOKUP(TRANSHARI4_SOFTDRINKMALAM[[#This Row],[PRODUK]],DATA_SOFTDRINK[],6,FALSE),"")</f>
        <v/>
      </c>
      <c r="T223" s="374"/>
      <c r="U223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3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3" s="12"/>
      <c r="X223" s="384" t="str">
        <f>IFERROR(IF(TRANSHARI4_SOFTDRINKMALAM[[#This Row],[NAMA REKENING]]="","",TRANSHARI4_SOFTDRINKMALAM[[#This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IFERROR(VLOOKUP(TRANSHARI4_SOFTDRINKPAGI[[#This Row],[PRODUK]],DATA_SOFTDRINK[],6,FALSE),"")</f>
        <v/>
      </c>
      <c r="E224" s="376"/>
      <c r="F224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4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4" s="377"/>
      <c r="I224" s="386" t="str">
        <f>IFERROR(IF(TRANSHARI4_SOFTDRINKPAGI[[#This Row],[NAMA REKENING]]="","",TRANSHARI4_SOFTDRINKPAGI[[#This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IFERROR(VLOOKUP(TRANSHARI4_SOFTDRINKMALAM[[#This Row],[PRODUK]],DATA_SOFTDRINK[],6,FALSE),"")</f>
        <v/>
      </c>
      <c r="T224" s="376"/>
      <c r="U224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4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4" s="377"/>
      <c r="X224" s="386" t="str">
        <f>IFERROR(IF(TRANSHARI4_SOFTDRINKMALAM[[#This Row],[NAMA REKENING]]="","",TRANSHARI4_SOFTDRINKMALAM[[#This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IFERROR(VLOOKUP(TRANSHARI4_SOFTDRINKPAGI[[#This Row],[PRODUK]],DATA_SOFTDRINK[],6,FALSE),"")</f>
        <v/>
      </c>
      <c r="E225" s="374"/>
      <c r="F225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5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5" s="12"/>
      <c r="I225" s="384" t="str">
        <f>IFERROR(IF(TRANSHARI4_SOFTDRINKPAGI[[#This Row],[NAMA REKENING]]="","",TRANSHARI4_SOFTDRINKPAGI[[#This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IFERROR(VLOOKUP(TRANSHARI4_SOFTDRINKMALAM[[#This Row],[PRODUK]],DATA_SOFTDRINK[],6,FALSE),"")</f>
        <v/>
      </c>
      <c r="T225" s="374"/>
      <c r="U225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5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5" s="12"/>
      <c r="X225" s="384" t="str">
        <f>IFERROR(IF(TRANSHARI4_SOFTDRINKMALAM[[#This Row],[NAMA REKENING]]="","",TRANSHARI4_SOFTDRINKMALAM[[#This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IFERROR(VLOOKUP(TRANSHARI4_SOFTDRINKPAGI[[#This Row],[PRODUK]],DATA_SOFTDRINK[],6,FALSE),"")</f>
        <v/>
      </c>
      <c r="E226" s="374"/>
      <c r="F226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6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6" s="12"/>
      <c r="I226" s="386" t="str">
        <f>IFERROR(IF(TRANSHARI4_SOFTDRINKPAGI[[#This Row],[NAMA REKENING]]="","",TRANSHARI4_SOFTDRINKPAGI[[#This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IFERROR(VLOOKUP(TRANSHARI4_SOFTDRINKMALAM[[#This Row],[PRODUK]],DATA_SOFTDRINK[],6,FALSE),"")</f>
        <v/>
      </c>
      <c r="T226" s="374"/>
      <c r="U226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6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6" s="12"/>
      <c r="X226" s="386" t="str">
        <f>IFERROR(IF(TRANSHARI4_SOFTDRINKMALAM[[#This Row],[NAMA REKENING]]="","",TRANSHARI4_SOFTDRINKMALAM[[#This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IFERROR(VLOOKUP(TRANSHARI4_SOFTDRINKPAGI[[#This Row],[PRODUK]],DATA_SOFTDRINK[],6,FALSE),"")</f>
        <v/>
      </c>
      <c r="E227" s="374"/>
      <c r="F227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7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7" s="12"/>
      <c r="I227" s="384" t="str">
        <f>IFERROR(IF(TRANSHARI4_SOFTDRINKPAGI[[#This Row],[NAMA REKENING]]="","",TRANSHARI4_SOFTDRINKPAGI[[#This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IFERROR(VLOOKUP(TRANSHARI4_SOFTDRINKMALAM[[#This Row],[PRODUK]],DATA_SOFTDRINK[],6,FALSE),"")</f>
        <v/>
      </c>
      <c r="T227" s="374"/>
      <c r="U227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7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7" s="12"/>
      <c r="X227" s="384" t="str">
        <f>IFERROR(IF(TRANSHARI4_SOFTDRINKMALAM[[#This Row],[NAMA REKENING]]="","",TRANSHARI4_SOFTDRINKMALAM[[#This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IFERROR(VLOOKUP(TRANSHARI4_SOFTDRINKPAGI[[#This Row],[PRODUK]],DATA_SOFTDRINK[],6,FALSE),"")</f>
        <v/>
      </c>
      <c r="E228" s="374"/>
      <c r="F228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8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8" s="12"/>
      <c r="I228" s="386" t="str">
        <f>IFERROR(IF(TRANSHARI4_SOFTDRINKPAGI[[#This Row],[NAMA REKENING]]="","",TRANSHARI4_SOFTDRINKPAGI[[#This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IFERROR(VLOOKUP(TRANSHARI4_SOFTDRINKMALAM[[#This Row],[PRODUK]],DATA_SOFTDRINK[],6,FALSE),"")</f>
        <v/>
      </c>
      <c r="T228" s="374"/>
      <c r="U228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8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8" s="12"/>
      <c r="X228" s="386" t="str">
        <f>IFERROR(IF(TRANSHARI4_SOFTDRINKMALAM[[#This Row],[NAMA REKENING]]="","",TRANSHARI4_SOFTDRINKMALAM[[#This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IFERROR(VLOOKUP(TRANSHARI4_SOFTDRINKPAGI[[#This Row],[PRODUK]],DATA_SOFTDRINK[],6,FALSE),"")</f>
        <v/>
      </c>
      <c r="E229" s="374"/>
      <c r="F229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29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29" s="12"/>
      <c r="I229" s="384" t="str">
        <f>IFERROR(IF(TRANSHARI4_SOFTDRINKPAGI[[#This Row],[NAMA REKENING]]="","",TRANSHARI4_SOFTDRINKPAGI[[#This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IFERROR(VLOOKUP(TRANSHARI4_SOFTDRINKMALAM[[#This Row],[PRODUK]],DATA_SOFTDRINK[],6,FALSE),"")</f>
        <v/>
      </c>
      <c r="T229" s="374"/>
      <c r="U229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29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29" s="12"/>
      <c r="X229" s="384" t="str">
        <f>IFERROR(IF(TRANSHARI4_SOFTDRINKMALAM[[#This Row],[NAMA REKENING]]="","",TRANSHARI4_SOFTDRINKMALAM[[#This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IFERROR(VLOOKUP(TRANSHARI4_SOFTDRINKPAGI[[#This Row],[PRODUK]],DATA_SOFTDRINK[],6,FALSE),"")</f>
        <v/>
      </c>
      <c r="E230" s="374"/>
      <c r="F230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0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0" s="12"/>
      <c r="I230" s="386" t="str">
        <f>IFERROR(IF(TRANSHARI4_SOFTDRINKPAGI[[#This Row],[NAMA REKENING]]="","",TRANSHARI4_SOFTDRINKPAGI[[#This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IFERROR(VLOOKUP(TRANSHARI4_SOFTDRINKMALAM[[#This Row],[PRODUK]],DATA_SOFTDRINK[],6,FALSE),"")</f>
        <v/>
      </c>
      <c r="T230" s="374"/>
      <c r="U230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0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0" s="12"/>
      <c r="X230" s="386" t="str">
        <f>IFERROR(IF(TRANSHARI4_SOFTDRINKMALAM[[#This Row],[NAMA REKENING]]="","",TRANSHARI4_SOFTDRINKMALAM[[#This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IFERROR(VLOOKUP(TRANSHARI4_SOFTDRINKPAGI[[#This Row],[PRODUK]],DATA_SOFTDRINK[],6,FALSE),"")</f>
        <v/>
      </c>
      <c r="E231" s="374"/>
      <c r="F231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1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1" s="12"/>
      <c r="I231" s="384" t="str">
        <f>IFERROR(IF(TRANSHARI4_SOFTDRINKPAGI[[#This Row],[NAMA REKENING]]="","",TRANSHARI4_SOFTDRINKPAGI[[#This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IFERROR(VLOOKUP(TRANSHARI4_SOFTDRINKMALAM[[#This Row],[PRODUK]],DATA_SOFTDRINK[],6,FALSE),"")</f>
        <v/>
      </c>
      <c r="T231" s="374"/>
      <c r="U231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1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1" s="12"/>
      <c r="X231" s="384" t="str">
        <f>IFERROR(IF(TRANSHARI4_SOFTDRINKMALAM[[#This Row],[NAMA REKENING]]="","",TRANSHARI4_SOFTDRINKMALAM[[#This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IFERROR(VLOOKUP(TRANSHARI4_SOFTDRINKPAGI[[#This Row],[PRODUK]],DATA_SOFTDRINK[],6,FALSE),"")</f>
        <v/>
      </c>
      <c r="E232" s="374"/>
      <c r="F232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2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2" s="12"/>
      <c r="I232" s="386" t="str">
        <f>IFERROR(IF(TRANSHARI4_SOFTDRINKPAGI[[#This Row],[NAMA REKENING]]="","",TRANSHARI4_SOFTDRINKPAGI[[#This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IFERROR(VLOOKUP(TRANSHARI4_SOFTDRINKMALAM[[#This Row],[PRODUK]],DATA_SOFTDRINK[],6,FALSE),"")</f>
        <v/>
      </c>
      <c r="T232" s="374"/>
      <c r="U232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2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2" s="12"/>
      <c r="X232" s="386" t="str">
        <f>IFERROR(IF(TRANSHARI4_SOFTDRINKMALAM[[#This Row],[NAMA REKENING]]="","",TRANSHARI4_SOFTDRINKMALAM[[#This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IFERROR(VLOOKUP(TRANSHARI4_SOFTDRINKPAGI[[#This Row],[PRODUK]],DATA_SOFTDRINK[],6,FALSE),"")</f>
        <v/>
      </c>
      <c r="E233" s="374"/>
      <c r="F233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3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3" s="12"/>
      <c r="I233" s="384" t="str">
        <f>IFERROR(IF(TRANSHARI4_SOFTDRINKPAGI[[#This Row],[NAMA REKENING]]="","",TRANSHARI4_SOFTDRINKPAGI[[#This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IFERROR(VLOOKUP(TRANSHARI4_SOFTDRINKMALAM[[#This Row],[PRODUK]],DATA_SOFTDRINK[],6,FALSE),"")</f>
        <v/>
      </c>
      <c r="T233" s="374"/>
      <c r="U233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3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3" s="12"/>
      <c r="X233" s="384" t="str">
        <f>IFERROR(IF(TRANSHARI4_SOFTDRINKMALAM[[#This Row],[NAMA REKENING]]="","",TRANSHARI4_SOFTDRINKMALAM[[#This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IFERROR(VLOOKUP(TRANSHARI4_SOFTDRINKPAGI[[#This Row],[PRODUK]],DATA_SOFTDRINK[],6,FALSE),"")</f>
        <v/>
      </c>
      <c r="E234" s="374"/>
      <c r="F234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4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4" s="12"/>
      <c r="I234" s="386" t="str">
        <f>IFERROR(IF(TRANSHARI4_SOFTDRINKPAGI[[#This Row],[NAMA REKENING]]="","",TRANSHARI4_SOFTDRINKPAGI[[#This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IFERROR(VLOOKUP(TRANSHARI4_SOFTDRINKMALAM[[#This Row],[PRODUK]],DATA_SOFTDRINK[],6,FALSE),"")</f>
        <v/>
      </c>
      <c r="T234" s="374"/>
      <c r="U234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4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4" s="12"/>
      <c r="X234" s="386" t="str">
        <f>IFERROR(IF(TRANSHARI4_SOFTDRINKMALAM[[#This Row],[NAMA REKENING]]="","",TRANSHARI4_SOFTDRINKMALAM[[#This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IFERROR(VLOOKUP(TRANSHARI4_SOFTDRINKPAGI[[#This Row],[PRODUK]],DATA_SOFTDRINK[],6,FALSE),"")</f>
        <v/>
      </c>
      <c r="E235" s="374"/>
      <c r="F235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5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5" s="12"/>
      <c r="I235" s="384" t="str">
        <f>IFERROR(IF(TRANSHARI4_SOFTDRINKPAGI[[#This Row],[NAMA REKENING]]="","",TRANSHARI4_SOFTDRINKPAGI[[#This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IFERROR(VLOOKUP(TRANSHARI4_SOFTDRINKMALAM[[#This Row],[PRODUK]],DATA_SOFTDRINK[],6,FALSE),"")</f>
        <v/>
      </c>
      <c r="T235" s="374"/>
      <c r="U235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5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5" s="12"/>
      <c r="X235" s="384" t="str">
        <f>IFERROR(IF(TRANSHARI4_SOFTDRINKMALAM[[#This Row],[NAMA REKENING]]="","",TRANSHARI4_SOFTDRINKMALAM[[#This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IFERROR(VLOOKUP(TRANSHARI4_SOFTDRINKPAGI[[#This Row],[PRODUK]],DATA_SOFTDRINK[],6,FALSE),"")</f>
        <v/>
      </c>
      <c r="E236" s="374"/>
      <c r="F236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6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6" s="12"/>
      <c r="I236" s="386" t="str">
        <f>IFERROR(IF(TRANSHARI4_SOFTDRINKPAGI[[#This Row],[NAMA REKENING]]="","",TRANSHARI4_SOFTDRINKPAGI[[#This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IFERROR(VLOOKUP(TRANSHARI4_SOFTDRINKMALAM[[#This Row],[PRODUK]],DATA_SOFTDRINK[],6,FALSE),"")</f>
        <v/>
      </c>
      <c r="T236" s="374"/>
      <c r="U236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6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6" s="12"/>
      <c r="X236" s="386" t="str">
        <f>IFERROR(IF(TRANSHARI4_SOFTDRINKMALAM[[#This Row],[NAMA REKENING]]="","",TRANSHARI4_SOFTDRINKMALAM[[#This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IFERROR(VLOOKUP(TRANSHARI4_SOFTDRINKPAGI[[#This Row],[PRODUK]],DATA_SOFTDRINK[],6,FALSE),"")</f>
        <v/>
      </c>
      <c r="E237" s="374"/>
      <c r="F237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7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7" s="12"/>
      <c r="I237" s="384" t="str">
        <f>IFERROR(IF(TRANSHARI4_SOFTDRINKPAGI[[#This Row],[NAMA REKENING]]="","",TRANSHARI4_SOFTDRINKPAGI[[#This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IFERROR(VLOOKUP(TRANSHARI4_SOFTDRINKMALAM[[#This Row],[PRODUK]],DATA_SOFTDRINK[],6,FALSE),"")</f>
        <v/>
      </c>
      <c r="T237" s="374"/>
      <c r="U237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7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7" s="12"/>
      <c r="X237" s="384" t="str">
        <f>IFERROR(IF(TRANSHARI4_SOFTDRINKMALAM[[#This Row],[NAMA REKENING]]="","",TRANSHARI4_SOFTDRINKMALAM[[#This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IFERROR(VLOOKUP(TRANSHARI4_SOFTDRINKPAGI[[#This Row],[PRODUK]],DATA_SOFTDRINK[],6,FALSE),"")</f>
        <v/>
      </c>
      <c r="E238" s="374"/>
      <c r="F238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8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8" s="12"/>
      <c r="I238" s="386" t="str">
        <f>IFERROR(IF(TRANSHARI4_SOFTDRINKPAGI[[#This Row],[NAMA REKENING]]="","",TRANSHARI4_SOFTDRINKPAGI[[#This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IFERROR(VLOOKUP(TRANSHARI4_SOFTDRINKMALAM[[#This Row],[PRODUK]],DATA_SOFTDRINK[],6,FALSE),"")</f>
        <v/>
      </c>
      <c r="T238" s="374"/>
      <c r="U238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8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8" s="12"/>
      <c r="X238" s="386" t="str">
        <f>IFERROR(IF(TRANSHARI4_SOFTDRINKMALAM[[#This Row],[NAMA REKENING]]="","",TRANSHARI4_SOFTDRINKMALAM[[#This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IFERROR(VLOOKUP(TRANSHARI4_SOFTDRINKPAGI[[#This Row],[PRODUK]],DATA_SOFTDRINK[],6,FALSE),"")</f>
        <v/>
      </c>
      <c r="E239" s="374"/>
      <c r="F239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39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39" s="12"/>
      <c r="I239" s="384" t="str">
        <f>IFERROR(IF(TRANSHARI4_SOFTDRINKPAGI[[#This Row],[NAMA REKENING]]="","",TRANSHARI4_SOFTDRINKPAGI[[#This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IFERROR(VLOOKUP(TRANSHARI4_SOFTDRINKMALAM[[#This Row],[PRODUK]],DATA_SOFTDRINK[],6,FALSE),"")</f>
        <v/>
      </c>
      <c r="T239" s="374"/>
      <c r="U239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39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39" s="12"/>
      <c r="X239" s="384" t="str">
        <f>IFERROR(IF(TRANSHARI4_SOFTDRINKMALAM[[#This Row],[NAMA REKENING]]="","",TRANSHARI4_SOFTDRINKMALAM[[#This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IFERROR(VLOOKUP(TRANSHARI4_SOFTDRINKPAGI[[#This Row],[PRODUK]],DATA_SOFTDRINK[],6,FALSE),"")</f>
        <v/>
      </c>
      <c r="E240" s="374"/>
      <c r="F240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0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0" s="12"/>
      <c r="I240" s="386" t="str">
        <f>IFERROR(IF(TRANSHARI4_SOFTDRINKPAGI[[#This Row],[NAMA REKENING]]="","",TRANSHARI4_SOFTDRINKPAGI[[#This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IFERROR(VLOOKUP(TRANSHARI4_SOFTDRINKMALAM[[#This Row],[PRODUK]],DATA_SOFTDRINK[],6,FALSE),"")</f>
        <v/>
      </c>
      <c r="T240" s="374"/>
      <c r="U240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0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0" s="12"/>
      <c r="X240" s="386" t="str">
        <f>IFERROR(IF(TRANSHARI4_SOFTDRINKMALAM[[#This Row],[NAMA REKENING]]="","",TRANSHARI4_SOFTDRINKMALAM[[#This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IFERROR(VLOOKUP(TRANSHARI4_SOFTDRINKPAGI[[#This Row],[PRODUK]],DATA_SOFTDRINK[],6,FALSE),"")</f>
        <v/>
      </c>
      <c r="E241" s="374"/>
      <c r="F241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1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1" s="12"/>
      <c r="I241" s="384" t="str">
        <f>IFERROR(IF(TRANSHARI4_SOFTDRINKPAGI[[#This Row],[NAMA REKENING]]="","",TRANSHARI4_SOFTDRINKPAGI[[#This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IFERROR(VLOOKUP(TRANSHARI4_SOFTDRINKMALAM[[#This Row],[PRODUK]],DATA_SOFTDRINK[],6,FALSE),"")</f>
        <v/>
      </c>
      <c r="T241" s="374"/>
      <c r="U241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1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1" s="12"/>
      <c r="X241" s="384" t="str">
        <f>IFERROR(IF(TRANSHARI4_SOFTDRINKMALAM[[#This Row],[NAMA REKENING]]="","",TRANSHARI4_SOFTDRINKMALAM[[#This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IFERROR(VLOOKUP(TRANSHARI4_SOFTDRINKPAGI[[#This Row],[PRODUK]],DATA_SOFTDRINK[],6,FALSE),"")</f>
        <v/>
      </c>
      <c r="E242" s="374"/>
      <c r="F242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2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2" s="12"/>
      <c r="I242" s="386" t="str">
        <f>IFERROR(IF(TRANSHARI4_SOFTDRINKPAGI[[#This Row],[NAMA REKENING]]="","",TRANSHARI4_SOFTDRINKPAGI[[#This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IFERROR(VLOOKUP(TRANSHARI4_SOFTDRINKMALAM[[#This Row],[PRODUK]],DATA_SOFTDRINK[],6,FALSE),"")</f>
        <v/>
      </c>
      <c r="T242" s="374"/>
      <c r="U242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2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2" s="12"/>
      <c r="X242" s="386" t="str">
        <f>IFERROR(IF(TRANSHARI4_SOFTDRINKMALAM[[#This Row],[NAMA REKENING]]="","",TRANSHARI4_SOFTDRINKMALAM[[#This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IFERROR(VLOOKUP(TRANSHARI4_SOFTDRINKPAGI[[#This Row],[PRODUK]],DATA_SOFTDRINK[],6,FALSE),"")</f>
        <v/>
      </c>
      <c r="E243" s="374"/>
      <c r="F243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3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3" s="12"/>
      <c r="I243" s="384" t="str">
        <f>IFERROR(IF(TRANSHARI4_SOFTDRINKPAGI[[#This Row],[NAMA REKENING]]="","",TRANSHARI4_SOFTDRINKPAGI[[#This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IFERROR(VLOOKUP(TRANSHARI4_SOFTDRINKMALAM[[#This Row],[PRODUK]],DATA_SOFTDRINK[],6,FALSE),"")</f>
        <v/>
      </c>
      <c r="T243" s="374"/>
      <c r="U243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3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3" s="12"/>
      <c r="X243" s="384" t="str">
        <f>IFERROR(IF(TRANSHARI4_SOFTDRINKMALAM[[#This Row],[NAMA REKENING]]="","",TRANSHARI4_SOFTDRINKMALAM[[#This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IFERROR(VLOOKUP(TRANSHARI4_SOFTDRINKPAGI[[#This Row],[PRODUK]],DATA_SOFTDRINK[],6,FALSE),"")</f>
        <v/>
      </c>
      <c r="E244" s="374"/>
      <c r="F244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4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4" s="12"/>
      <c r="I244" s="386" t="str">
        <f>IFERROR(IF(TRANSHARI4_SOFTDRINKPAGI[[#This Row],[NAMA REKENING]]="","",TRANSHARI4_SOFTDRINKPAGI[[#This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IFERROR(VLOOKUP(TRANSHARI4_SOFTDRINKMALAM[[#This Row],[PRODUK]],DATA_SOFTDRINK[],6,FALSE),"")</f>
        <v/>
      </c>
      <c r="T244" s="374"/>
      <c r="U244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4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4" s="12"/>
      <c r="X244" s="386" t="str">
        <f>IFERROR(IF(TRANSHARI4_SOFTDRINKMALAM[[#This Row],[NAMA REKENING]]="","",TRANSHARI4_SOFTDRINKMALAM[[#This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IFERROR(VLOOKUP(TRANSHARI4_SOFTDRINKPAGI[[#This Row],[PRODUK]],DATA_SOFTDRINK[],6,FALSE),"")</f>
        <v/>
      </c>
      <c r="E245" s="374"/>
      <c r="F245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5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5" s="12"/>
      <c r="I245" s="384" t="str">
        <f>IFERROR(IF(TRANSHARI4_SOFTDRINKPAGI[[#This Row],[NAMA REKENING]]="","",TRANSHARI4_SOFTDRINKPAGI[[#This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IFERROR(VLOOKUP(TRANSHARI4_SOFTDRINKMALAM[[#This Row],[PRODUK]],DATA_SOFTDRINK[],6,FALSE),"")</f>
        <v/>
      </c>
      <c r="T245" s="374"/>
      <c r="U245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5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5" s="12"/>
      <c r="X245" s="384" t="str">
        <f>IFERROR(IF(TRANSHARI4_SOFTDRINKMALAM[[#This Row],[NAMA REKENING]]="","",TRANSHARI4_SOFTDRINKMALAM[[#This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IFERROR(VLOOKUP(TRANSHARI4_SOFTDRINKPAGI[[#This Row],[PRODUK]],DATA_SOFTDRINK[],6,FALSE),"")</f>
        <v/>
      </c>
      <c r="E246" s="374"/>
      <c r="F246" s="373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6" s="373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6" s="12"/>
      <c r="I246" s="386" t="str">
        <f>IFERROR(IF(TRANSHARI4_SOFTDRINKPAGI[[#This Row],[NAMA REKENING]]="","",TRANSHARI4_SOFTDRINKPAGI[[#This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IFERROR(VLOOKUP(TRANSHARI4_SOFTDRINKMALAM[[#This Row],[PRODUK]],DATA_SOFTDRINK[],6,FALSE),"")</f>
        <v/>
      </c>
      <c r="T246" s="374"/>
      <c r="U246" s="373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6" s="373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6" s="12"/>
      <c r="X246" s="386" t="str">
        <f>IFERROR(IF(TRANSHARI4_SOFTDRINKMALAM[[#This Row],[NAMA REKENING]]="","",TRANSHARI4_SOFTDRINKMALAM[[#This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IFERROR(VLOOKUP(TRANSHARI4_SOFTDRINKPAGI[[#This Row],[PRODUK]],DATA_SOFTDRINK[],6,FALSE),"")</f>
        <v/>
      </c>
      <c r="E247" s="374"/>
      <c r="F247" s="369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7" s="369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7" s="12"/>
      <c r="I247" s="384" t="str">
        <f>IFERROR(IF(TRANSHARI4_SOFTDRINKPAGI[[#This Row],[NAMA REKENING]]="","",TRANSHARI4_SOFTDRINKPAGI[[#This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IFERROR(VLOOKUP(TRANSHARI4_SOFTDRINKMALAM[[#This Row],[PRODUK]],DATA_SOFTDRINK[],6,FALSE),"")</f>
        <v/>
      </c>
      <c r="T247" s="374"/>
      <c r="U247" s="369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7" s="369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7" s="12"/>
      <c r="X247" s="384" t="str">
        <f>IFERROR(IF(TRANSHARI4_SOFTDRINKMALAM[[#This Row],[NAMA REKENING]]="","",TRANSHARI4_SOFTDRINKMALAM[[#This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IFERROR(VLOOKUP(TRANSHARI4_SOFTDRINKPAGI[[#This Row],[PRODUK]],DATA_SOFTDRINK[],6,FALSE),"")</f>
        <v/>
      </c>
      <c r="E248" s="376"/>
      <c r="F248" s="394" t="str">
        <f>IFERROR(IF(TRANSHARI4_SOFTDRINKPAGI[[#This Row],[NAMA PENGHUTANG]]="",((TRANSHARI4_SOFTDRINKPAGI[[#This Row],[HARGA]]*TRANSHARI4_SOFTDRINKPAGI[[#This Row],[QUANTITY]])+TRANSHARI4_SOFTDRINKPAGI[[#This Row],[PRICE TOLERANCE]]),""),"")</f>
        <v/>
      </c>
      <c r="G248" s="394" t="str">
        <f>IFERROR(IF(TRANSHARI4_SOFTDRINKPAGI[[#This Row],[NAMA PENGHUTANG]]="","",((TRANSHARI4_SOFTDRINKPAGI[[#This Row],[HARGA]]*TRANSHARI4_SOFTDRINKPAGI[[#This Row],[QUANTITY]])+TRANSHARI4_SOFTDRINKPAGI[[#This Row],[PRICE TOLERANCE]])),"")</f>
        <v/>
      </c>
      <c r="H248" s="377"/>
      <c r="I248" s="399" t="str">
        <f>IFERROR(IF(TRANSHARI4_SOFTDRINKPAGI[[#This Row],[NAMA REKENING]]="","",TRANSHARI4_SOFTDRINKPAGI[[#This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IFERROR(VLOOKUP(TRANSHARI4_SOFTDRINKMALAM[[#This Row],[PRODUK]],DATA_SOFTDRINK[],6,FALSE),"")</f>
        <v/>
      </c>
      <c r="T248" s="376"/>
      <c r="U248" s="394" t="str">
        <f>IFERROR(IF(TRANSHARI4_SOFTDRINKMALAM[[#This Row],[NAMA PENGHUTANG]]="",((TRANSHARI4_SOFTDRINKMALAM[[#This Row],[HARGA]]*TRANSHARI4_SOFTDRINKMALAM[[#This Row],[QUANTITY]])+TRANSHARI4_SOFTDRINKMALAM[[#This Row],[PRICE TOLERANCE]]),""),"")</f>
        <v/>
      </c>
      <c r="V248" s="394" t="str">
        <f>IFERROR(IF(TRANSHARI4_SOFTDRINKMALAM[[#This Row],[NAMA PENGHUTANG]]="","",((TRANSHARI4_SOFTDRINKMALAM[[#This Row],[HARGA]]*TRANSHARI4_SOFTDRINKMALAM[[#This Row],[QUANTITY]])+TRANSHARI4_SOFTDRINKMALAM[[#This Row],[PRICE TOLERANCE]])),"")</f>
        <v/>
      </c>
      <c r="W248" s="377"/>
      <c r="X248" s="399" t="str">
        <f>IFERROR(IF(TRANSHARI4_SOFTDRINKMALAM[[#This Row],[NAMA REKENING]]="","",TRANSHARI4_SOFTDRINKMALAM[[#This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SUM(TRANSHARI4_SOFTDRINKPAGI[QUANTITY])</f>
        <v>0</v>
      </c>
      <c r="E249" s="398">
        <f>SUM(TRANSHARI4_SOFTDRINKPAGI[PRICE TOLERANCE])</f>
        <v>0</v>
      </c>
      <c r="F249" s="396">
        <f>SUM(TRANSHARI4_SOFTDRINKPAGI[DEBIT])</f>
        <v>0</v>
      </c>
      <c r="G249" s="396">
        <f>SUM(TRANSHARI4_SOFTDRINKPAGI[KREDIT])</f>
        <v>0</v>
      </c>
      <c r="I249" s="396">
        <f>SUM(TRANSHARI4_SOFTDRINKPAGI[NOMINAL TRANSFER])</f>
        <v>0</v>
      </c>
      <c r="O249" s="324"/>
      <c r="P249" s="303" t="s">
        <v>78</v>
      </c>
      <c r="Q249" s="316"/>
      <c r="R249" s="395">
        <f>SUM(TRANSHARI4_SOFTDRINKMALAM[QUANTITY])</f>
        <v>0</v>
      </c>
      <c r="T249" s="398">
        <f>SUM(TRANSHARI4_SOFTDRINKMALAM[PRICE TOLERANCE])</f>
        <v>0</v>
      </c>
      <c r="U249" s="396">
        <f>SUM(TRANSHARI4_SOFTDRINKMALAM[DEBIT])</f>
        <v>0</v>
      </c>
      <c r="V249" s="396">
        <f>SUM(TRANSHARI4_SOFTDRINKMALAM[KREDIT])</f>
        <v>0</v>
      </c>
      <c r="X249" s="396">
        <f>SUM(TRANSHARI4_SOFTDRINKMALAM[NOMINAL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">
        <v>203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">
        <v>204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IFERROR(VLOOKUP(TRANSHARI4_ICECREAMPAGI[[#This Row],[PRODUK]],DATA_ICECREAM[],6,FALSE),"")</f>
        <v/>
      </c>
      <c r="E256" s="370"/>
      <c r="F256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56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56" s="371"/>
      <c r="I256" s="384" t="str">
        <f>IFERROR(IF(TRANSHARI4_ICECREAMPAGI[[#This Row],[NAMA REKENING]]="","",TRANSHARI4_ICECREAMPAGI[[#This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IFERROR(VLOOKUP(TRANSHARI4_ICECREAMMALAM[[#This Row],[PRODUK]],DATA_ICECREAM[],6,FALSE),"")</f>
        <v/>
      </c>
      <c r="T256" s="370"/>
      <c r="U256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56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56" s="371"/>
      <c r="X256" s="384" t="str">
        <f>IFERROR(IF(TRANSHARI4_ICECREAMMALAM[[#This Row],[NAMA REKENING]]="","",TRANSHARI4_ICECREAMMALAM[[#This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IFERROR(VLOOKUP(TRANSHARI4_ICECREAMPAGI[[#This Row],[PRODUK]],DATA_ICECREAM[],6,FALSE),"")</f>
        <v/>
      </c>
      <c r="E257" s="374"/>
      <c r="F257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57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57" s="12"/>
      <c r="I257" s="386" t="str">
        <f>IFERROR(IF(TRANSHARI4_ICECREAMPAGI[[#This Row],[NAMA REKENING]]="","",TRANSHARI4_ICECREAMPAGI[[#This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IFERROR(VLOOKUP(TRANSHARI4_ICECREAMMALAM[[#This Row],[PRODUK]],DATA_ICECREAM[],6,FALSE),"")</f>
        <v/>
      </c>
      <c r="T257" s="374"/>
      <c r="U257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57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57" s="12"/>
      <c r="X257" s="386" t="str">
        <f>IFERROR(IF(TRANSHARI4_ICECREAMMALAM[[#This Row],[NAMA REKENING]]="","",TRANSHARI4_ICECREAMMALAM[[#This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IFERROR(VLOOKUP(TRANSHARI4_ICECREAMPAGI[[#This Row],[PRODUK]],DATA_ICECREAM[],6,FALSE),"")</f>
        <v/>
      </c>
      <c r="E258" s="374"/>
      <c r="F258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58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58" s="12"/>
      <c r="I258" s="384" t="str">
        <f>IFERROR(IF(TRANSHARI4_ICECREAMPAGI[[#This Row],[NAMA REKENING]]="","",TRANSHARI4_ICECREAMPAGI[[#This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IFERROR(VLOOKUP(TRANSHARI4_ICECREAMMALAM[[#This Row],[PRODUK]],DATA_ICECREAM[],6,FALSE),"")</f>
        <v/>
      </c>
      <c r="T258" s="374"/>
      <c r="U258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58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58" s="12"/>
      <c r="X258" s="384" t="str">
        <f>IFERROR(IF(TRANSHARI4_ICECREAMMALAM[[#This Row],[NAMA REKENING]]="","",TRANSHARI4_ICECREAMMALAM[[#This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IFERROR(VLOOKUP(TRANSHARI4_ICECREAMPAGI[[#This Row],[PRODUK]],DATA_ICECREAM[],6,FALSE),"")</f>
        <v/>
      </c>
      <c r="E259" s="374"/>
      <c r="F259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59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59" s="12"/>
      <c r="I259" s="386" t="str">
        <f>IFERROR(IF(TRANSHARI4_ICECREAMPAGI[[#This Row],[NAMA REKENING]]="","",TRANSHARI4_ICECREAMPAGI[[#This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IFERROR(VLOOKUP(TRANSHARI4_ICECREAMMALAM[[#This Row],[PRODUK]],DATA_ICECREAM[],6,FALSE),"")</f>
        <v/>
      </c>
      <c r="T259" s="374"/>
      <c r="U259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59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59" s="12"/>
      <c r="X259" s="386" t="str">
        <f>IFERROR(IF(TRANSHARI4_ICECREAMMALAM[[#This Row],[NAMA REKENING]]="","",TRANSHARI4_ICECREAMMALAM[[#This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IFERROR(VLOOKUP(TRANSHARI4_ICECREAMPAGI[[#This Row],[PRODUK]],DATA_ICECREAM[],6,FALSE),"")</f>
        <v/>
      </c>
      <c r="E260" s="374"/>
      <c r="F260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0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0" s="12"/>
      <c r="I260" s="384" t="str">
        <f>IFERROR(IF(TRANSHARI4_ICECREAMPAGI[[#This Row],[NAMA REKENING]]="","",TRANSHARI4_ICECREAMPAGI[[#This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IFERROR(VLOOKUP(TRANSHARI4_ICECREAMMALAM[[#This Row],[PRODUK]],DATA_ICECREAM[],6,FALSE),"")</f>
        <v/>
      </c>
      <c r="T260" s="374"/>
      <c r="U260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0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0" s="12"/>
      <c r="X260" s="384" t="str">
        <f>IFERROR(IF(TRANSHARI4_ICECREAMMALAM[[#This Row],[NAMA REKENING]]="","",TRANSHARI4_ICECREAMMALAM[[#This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IFERROR(VLOOKUP(TRANSHARI4_ICECREAMPAGI[[#This Row],[PRODUK]],DATA_ICECREAM[],6,FALSE),"")</f>
        <v/>
      </c>
      <c r="E261" s="374"/>
      <c r="F261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1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1" s="12"/>
      <c r="I261" s="386" t="str">
        <f>IFERROR(IF(TRANSHARI4_ICECREAMPAGI[[#This Row],[NAMA REKENING]]="","",TRANSHARI4_ICECREAMPAGI[[#This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IFERROR(VLOOKUP(TRANSHARI4_ICECREAMMALAM[[#This Row],[PRODUK]],DATA_ICECREAM[],6,FALSE),"")</f>
        <v/>
      </c>
      <c r="T261" s="374"/>
      <c r="U261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1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1" s="12"/>
      <c r="X261" s="386" t="str">
        <f>IFERROR(IF(TRANSHARI4_ICECREAMMALAM[[#This Row],[NAMA REKENING]]="","",TRANSHARI4_ICECREAMMALAM[[#This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IFERROR(VLOOKUP(TRANSHARI4_ICECREAMPAGI[[#This Row],[PRODUK]],DATA_ICECREAM[],6,FALSE),"")</f>
        <v/>
      </c>
      <c r="E262" s="374"/>
      <c r="F262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2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2" s="12"/>
      <c r="I262" s="384" t="str">
        <f>IFERROR(IF(TRANSHARI4_ICECREAMPAGI[[#This Row],[NAMA REKENING]]="","",TRANSHARI4_ICECREAMPAGI[[#This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IFERROR(VLOOKUP(TRANSHARI4_ICECREAMMALAM[[#This Row],[PRODUK]],DATA_ICECREAM[],6,FALSE),"")</f>
        <v/>
      </c>
      <c r="T262" s="374"/>
      <c r="U262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2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2" s="12"/>
      <c r="X262" s="384" t="str">
        <f>IFERROR(IF(TRANSHARI4_ICECREAMMALAM[[#This Row],[NAMA REKENING]]="","",TRANSHARI4_ICECREAMMALAM[[#This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IFERROR(VLOOKUP(TRANSHARI4_ICECREAMPAGI[[#This Row],[PRODUK]],DATA_ICECREAM[],6,FALSE),"")</f>
        <v/>
      </c>
      <c r="E263" s="374"/>
      <c r="F263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3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3" s="12"/>
      <c r="I263" s="386" t="str">
        <f>IFERROR(IF(TRANSHARI4_ICECREAMPAGI[[#This Row],[NAMA REKENING]]="","",TRANSHARI4_ICECREAMPAGI[[#This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IFERROR(VLOOKUP(TRANSHARI4_ICECREAMMALAM[[#This Row],[PRODUK]],DATA_ICECREAM[],6,FALSE),"")</f>
        <v/>
      </c>
      <c r="T263" s="374"/>
      <c r="U263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3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3" s="12"/>
      <c r="X263" s="386" t="str">
        <f>IFERROR(IF(TRANSHARI4_ICECREAMMALAM[[#This Row],[NAMA REKENING]]="","",TRANSHARI4_ICECREAMMALAM[[#This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IFERROR(VLOOKUP(TRANSHARI4_ICECREAMPAGI[[#This Row],[PRODUK]],DATA_ICECREAM[],6,FALSE),"")</f>
        <v/>
      </c>
      <c r="E264" s="374"/>
      <c r="F264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4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4" s="12"/>
      <c r="I264" s="384" t="str">
        <f>IFERROR(IF(TRANSHARI4_ICECREAMPAGI[[#This Row],[NAMA REKENING]]="","",TRANSHARI4_ICECREAMPAGI[[#This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IFERROR(VLOOKUP(TRANSHARI4_ICECREAMMALAM[[#This Row],[PRODUK]],DATA_ICECREAM[],6,FALSE),"")</f>
        <v/>
      </c>
      <c r="T264" s="374"/>
      <c r="U264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4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4" s="12"/>
      <c r="X264" s="384" t="str">
        <f>IFERROR(IF(TRANSHARI4_ICECREAMMALAM[[#This Row],[NAMA REKENING]]="","",TRANSHARI4_ICECREAMMALAM[[#This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IFERROR(VLOOKUP(TRANSHARI4_ICECREAMPAGI[[#This Row],[PRODUK]],DATA_ICECREAM[],6,FALSE),"")</f>
        <v/>
      </c>
      <c r="E265" s="374"/>
      <c r="F265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5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5" s="12"/>
      <c r="I265" s="386" t="str">
        <f>IFERROR(IF(TRANSHARI4_ICECREAMPAGI[[#This Row],[NAMA REKENING]]="","",TRANSHARI4_ICECREAMPAGI[[#This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IFERROR(VLOOKUP(TRANSHARI4_ICECREAMMALAM[[#This Row],[PRODUK]],DATA_ICECREAM[],6,FALSE),"")</f>
        <v/>
      </c>
      <c r="T265" s="374"/>
      <c r="U265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5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5" s="12"/>
      <c r="X265" s="386" t="str">
        <f>IFERROR(IF(TRANSHARI4_ICECREAMMALAM[[#This Row],[NAMA REKENING]]="","",TRANSHARI4_ICECREAMMALAM[[#This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IFERROR(VLOOKUP(TRANSHARI4_ICECREAMPAGI[[#This Row],[PRODUK]],DATA_ICECREAM[],6,FALSE),"")</f>
        <v/>
      </c>
      <c r="E266" s="374"/>
      <c r="F266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6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6" s="12"/>
      <c r="I266" s="384" t="str">
        <f>IFERROR(IF(TRANSHARI4_ICECREAMPAGI[[#This Row],[NAMA REKENING]]="","",TRANSHARI4_ICECREAMPAGI[[#This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IFERROR(VLOOKUP(TRANSHARI4_ICECREAMMALAM[[#This Row],[PRODUK]],DATA_ICECREAM[],6,FALSE),"")</f>
        <v/>
      </c>
      <c r="T266" s="374"/>
      <c r="U266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6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6" s="12"/>
      <c r="X266" s="384" t="str">
        <f>IFERROR(IF(TRANSHARI4_ICECREAMMALAM[[#This Row],[NAMA REKENING]]="","",TRANSHARI4_ICECREAMMALAM[[#This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IFERROR(VLOOKUP(TRANSHARI4_ICECREAMPAGI[[#This Row],[PRODUK]],DATA_ICECREAM[],6,FALSE),"")</f>
        <v/>
      </c>
      <c r="E267" s="374"/>
      <c r="F267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7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7" s="12"/>
      <c r="I267" s="386" t="str">
        <f>IFERROR(IF(TRANSHARI4_ICECREAMPAGI[[#This Row],[NAMA REKENING]]="","",TRANSHARI4_ICECREAMPAGI[[#This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IFERROR(VLOOKUP(TRANSHARI4_ICECREAMMALAM[[#This Row],[PRODUK]],DATA_ICECREAM[],6,FALSE),"")</f>
        <v/>
      </c>
      <c r="T267" s="374"/>
      <c r="U267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7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7" s="12"/>
      <c r="X267" s="386" t="str">
        <f>IFERROR(IF(TRANSHARI4_ICECREAMMALAM[[#This Row],[NAMA REKENING]]="","",TRANSHARI4_ICECREAMMALAM[[#This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IFERROR(VLOOKUP(TRANSHARI4_ICECREAMPAGI[[#This Row],[PRODUK]],DATA_ICECREAM[],6,FALSE),"")</f>
        <v/>
      </c>
      <c r="E268" s="374"/>
      <c r="F268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8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8" s="12"/>
      <c r="I268" s="384" t="str">
        <f>IFERROR(IF(TRANSHARI4_ICECREAMPAGI[[#This Row],[NAMA REKENING]]="","",TRANSHARI4_ICECREAMPAGI[[#This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IFERROR(VLOOKUP(TRANSHARI4_ICECREAMMALAM[[#This Row],[PRODUK]],DATA_ICECREAM[],6,FALSE),"")</f>
        <v/>
      </c>
      <c r="T268" s="374"/>
      <c r="U268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8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8" s="12"/>
      <c r="X268" s="384" t="str">
        <f>IFERROR(IF(TRANSHARI4_ICECREAMMALAM[[#This Row],[NAMA REKENING]]="","",TRANSHARI4_ICECREAMMALAM[[#This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IFERROR(VLOOKUP(TRANSHARI4_ICECREAMPAGI[[#This Row],[PRODUK]],DATA_ICECREAM[],6,FALSE),"")</f>
        <v/>
      </c>
      <c r="E269" s="374"/>
      <c r="F269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69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69" s="12"/>
      <c r="I269" s="386" t="str">
        <f>IFERROR(IF(TRANSHARI4_ICECREAMPAGI[[#This Row],[NAMA REKENING]]="","",TRANSHARI4_ICECREAMPAGI[[#This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IFERROR(VLOOKUP(TRANSHARI4_ICECREAMMALAM[[#This Row],[PRODUK]],DATA_ICECREAM[],6,FALSE),"")</f>
        <v/>
      </c>
      <c r="T269" s="374"/>
      <c r="U269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69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69" s="12"/>
      <c r="X269" s="386" t="str">
        <f>IFERROR(IF(TRANSHARI4_ICECREAMMALAM[[#This Row],[NAMA REKENING]]="","",TRANSHARI4_ICECREAMMALAM[[#This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IFERROR(VLOOKUP(TRANSHARI4_ICECREAMPAGI[[#This Row],[PRODUK]],DATA_ICECREAM[],6,FALSE),"")</f>
        <v/>
      </c>
      <c r="E270" s="374"/>
      <c r="F270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0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0" s="12"/>
      <c r="I270" s="384" t="str">
        <f>IFERROR(IF(TRANSHARI4_ICECREAMPAGI[[#This Row],[NAMA REKENING]]="","",TRANSHARI4_ICECREAMPAGI[[#This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IFERROR(VLOOKUP(TRANSHARI4_ICECREAMMALAM[[#This Row],[PRODUK]],DATA_ICECREAM[],6,FALSE),"")</f>
        <v/>
      </c>
      <c r="T270" s="374"/>
      <c r="U270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0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0" s="12"/>
      <c r="X270" s="384" t="str">
        <f>IFERROR(IF(TRANSHARI4_ICECREAMMALAM[[#This Row],[NAMA REKENING]]="","",TRANSHARI4_ICECREAMMALAM[[#This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IFERROR(VLOOKUP(TRANSHARI4_ICECREAMPAGI[[#This Row],[PRODUK]],DATA_ICECREAM[],6,FALSE),"")</f>
        <v/>
      </c>
      <c r="E271" s="374"/>
      <c r="F271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1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1" s="12"/>
      <c r="I271" s="386" t="str">
        <f>IFERROR(IF(TRANSHARI4_ICECREAMPAGI[[#This Row],[NAMA REKENING]]="","",TRANSHARI4_ICECREAMPAGI[[#This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IFERROR(VLOOKUP(TRANSHARI4_ICECREAMMALAM[[#This Row],[PRODUK]],DATA_ICECREAM[],6,FALSE),"")</f>
        <v/>
      </c>
      <c r="T271" s="374"/>
      <c r="U271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1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1" s="12"/>
      <c r="X271" s="386" t="str">
        <f>IFERROR(IF(TRANSHARI4_ICECREAMMALAM[[#This Row],[NAMA REKENING]]="","",TRANSHARI4_ICECREAMMALAM[[#This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IFERROR(VLOOKUP(TRANSHARI4_ICECREAMPAGI[[#This Row],[PRODUK]],DATA_ICECREAM[],6,FALSE),"")</f>
        <v/>
      </c>
      <c r="E272" s="374"/>
      <c r="F272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2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2" s="12"/>
      <c r="I272" s="384" t="str">
        <f>IFERROR(IF(TRANSHARI4_ICECREAMPAGI[[#This Row],[NAMA REKENING]]="","",TRANSHARI4_ICECREAMPAGI[[#This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IFERROR(VLOOKUP(TRANSHARI4_ICECREAMMALAM[[#This Row],[PRODUK]],DATA_ICECREAM[],6,FALSE),"")</f>
        <v/>
      </c>
      <c r="T272" s="374"/>
      <c r="U272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2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2" s="12"/>
      <c r="X272" s="384" t="str">
        <f>IFERROR(IF(TRANSHARI4_ICECREAMMALAM[[#This Row],[NAMA REKENING]]="","",TRANSHARI4_ICECREAMMALAM[[#This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IFERROR(VLOOKUP(TRANSHARI4_ICECREAMPAGI[[#This Row],[PRODUK]],DATA_ICECREAM[],6,FALSE),"")</f>
        <v/>
      </c>
      <c r="E273" s="374"/>
      <c r="F273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3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3" s="12"/>
      <c r="I273" s="386" t="str">
        <f>IFERROR(IF(TRANSHARI4_ICECREAMPAGI[[#This Row],[NAMA REKENING]]="","",TRANSHARI4_ICECREAMPAGI[[#This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IFERROR(VLOOKUP(TRANSHARI4_ICECREAMMALAM[[#This Row],[PRODUK]],DATA_ICECREAM[],6,FALSE),"")</f>
        <v/>
      </c>
      <c r="T273" s="374"/>
      <c r="U273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3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3" s="12"/>
      <c r="X273" s="386" t="str">
        <f>IFERROR(IF(TRANSHARI4_ICECREAMMALAM[[#This Row],[NAMA REKENING]]="","",TRANSHARI4_ICECREAMMALAM[[#This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IFERROR(VLOOKUP(TRANSHARI4_ICECREAMPAGI[[#This Row],[PRODUK]],DATA_ICECREAM[],6,FALSE),"")</f>
        <v/>
      </c>
      <c r="E274" s="374"/>
      <c r="F274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4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4" s="12"/>
      <c r="I274" s="384" t="str">
        <f>IFERROR(IF(TRANSHARI4_ICECREAMPAGI[[#This Row],[NAMA REKENING]]="","",TRANSHARI4_ICECREAMPAGI[[#This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IFERROR(VLOOKUP(TRANSHARI4_ICECREAMMALAM[[#This Row],[PRODUK]],DATA_ICECREAM[],6,FALSE),"")</f>
        <v/>
      </c>
      <c r="T274" s="374"/>
      <c r="U274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4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4" s="12"/>
      <c r="X274" s="384" t="str">
        <f>IFERROR(IF(TRANSHARI4_ICECREAMMALAM[[#This Row],[NAMA REKENING]]="","",TRANSHARI4_ICECREAMMALAM[[#This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IFERROR(VLOOKUP(TRANSHARI4_ICECREAMPAGI[[#This Row],[PRODUK]],DATA_ICECREAM[],6,FALSE),"")</f>
        <v/>
      </c>
      <c r="E275" s="374"/>
      <c r="F275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5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5" s="12"/>
      <c r="I275" s="386" t="str">
        <f>IFERROR(IF(TRANSHARI4_ICECREAMPAGI[[#This Row],[NAMA REKENING]]="","",TRANSHARI4_ICECREAMPAGI[[#This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IFERROR(VLOOKUP(TRANSHARI4_ICECREAMMALAM[[#This Row],[PRODUK]],DATA_ICECREAM[],6,FALSE),"")</f>
        <v/>
      </c>
      <c r="T275" s="374"/>
      <c r="U275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5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5" s="12"/>
      <c r="X275" s="386" t="str">
        <f>IFERROR(IF(TRANSHARI4_ICECREAMMALAM[[#This Row],[NAMA REKENING]]="","",TRANSHARI4_ICECREAMMALAM[[#This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IFERROR(VLOOKUP(TRANSHARI4_ICECREAMPAGI[[#This Row],[PRODUK]],DATA_ICECREAM[],6,FALSE),"")</f>
        <v/>
      </c>
      <c r="E276" s="374"/>
      <c r="F276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6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6" s="12"/>
      <c r="I276" s="384" t="str">
        <f>IFERROR(IF(TRANSHARI4_ICECREAMPAGI[[#This Row],[NAMA REKENING]]="","",TRANSHARI4_ICECREAMPAGI[[#This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IFERROR(VLOOKUP(TRANSHARI4_ICECREAMMALAM[[#This Row],[PRODUK]],DATA_ICECREAM[],6,FALSE),"")</f>
        <v/>
      </c>
      <c r="T276" s="374"/>
      <c r="U276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6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6" s="12"/>
      <c r="X276" s="384" t="str">
        <f>IFERROR(IF(TRANSHARI4_ICECREAMMALAM[[#This Row],[NAMA REKENING]]="","",TRANSHARI4_ICECREAMMALAM[[#This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IFERROR(VLOOKUP(TRANSHARI4_ICECREAMPAGI[[#This Row],[PRODUK]],DATA_ICECREAM[],6,FALSE),"")</f>
        <v/>
      </c>
      <c r="E277" s="374"/>
      <c r="F277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7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7" s="12"/>
      <c r="I277" s="386" t="str">
        <f>IFERROR(IF(TRANSHARI4_ICECREAMPAGI[[#This Row],[NAMA REKENING]]="","",TRANSHARI4_ICECREAMPAGI[[#This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IFERROR(VLOOKUP(TRANSHARI4_ICECREAMMALAM[[#This Row],[PRODUK]],DATA_ICECREAM[],6,FALSE),"")</f>
        <v/>
      </c>
      <c r="T277" s="374"/>
      <c r="U277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7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7" s="12"/>
      <c r="X277" s="386" t="str">
        <f>IFERROR(IF(TRANSHARI4_ICECREAMMALAM[[#This Row],[NAMA REKENING]]="","",TRANSHARI4_ICECREAMMALAM[[#This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IFERROR(VLOOKUP(TRANSHARI4_ICECREAMPAGI[[#This Row],[PRODUK]],DATA_ICECREAM[],6,FALSE),"")</f>
        <v/>
      </c>
      <c r="E278" s="374"/>
      <c r="F278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8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8" s="12"/>
      <c r="I278" s="384" t="str">
        <f>IFERROR(IF(TRANSHARI4_ICECREAMPAGI[[#This Row],[NAMA REKENING]]="","",TRANSHARI4_ICECREAMPAGI[[#This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IFERROR(VLOOKUP(TRANSHARI4_ICECREAMMALAM[[#This Row],[PRODUK]],DATA_ICECREAM[],6,FALSE),"")</f>
        <v/>
      </c>
      <c r="T278" s="374"/>
      <c r="U278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8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8" s="12"/>
      <c r="X278" s="384" t="str">
        <f>IFERROR(IF(TRANSHARI4_ICECREAMMALAM[[#This Row],[NAMA REKENING]]="","",TRANSHARI4_ICECREAMMALAM[[#This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IFERROR(VLOOKUP(TRANSHARI4_ICECREAMPAGI[[#This Row],[PRODUK]],DATA_ICECREAM[],6,FALSE),"")</f>
        <v/>
      </c>
      <c r="E279" s="374"/>
      <c r="F279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79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79" s="12"/>
      <c r="I279" s="386" t="str">
        <f>IFERROR(IF(TRANSHARI4_ICECREAMPAGI[[#This Row],[NAMA REKENING]]="","",TRANSHARI4_ICECREAMPAGI[[#This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IFERROR(VLOOKUP(TRANSHARI4_ICECREAMMALAM[[#This Row],[PRODUK]],DATA_ICECREAM[],6,FALSE),"")</f>
        <v/>
      </c>
      <c r="T279" s="374"/>
      <c r="U279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79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79" s="12"/>
      <c r="X279" s="386" t="str">
        <f>IFERROR(IF(TRANSHARI4_ICECREAMMALAM[[#This Row],[NAMA REKENING]]="","",TRANSHARI4_ICECREAMMALAM[[#This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IFERROR(VLOOKUP(TRANSHARI4_ICECREAMPAGI[[#This Row],[PRODUK]],DATA_ICECREAM[],6,FALSE),"")</f>
        <v/>
      </c>
      <c r="E280" s="374"/>
      <c r="F280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0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0" s="12"/>
      <c r="I280" s="384" t="str">
        <f>IFERROR(IF(TRANSHARI4_ICECREAMPAGI[[#This Row],[NAMA REKENING]]="","",TRANSHARI4_ICECREAMPAGI[[#This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IFERROR(VLOOKUP(TRANSHARI4_ICECREAMMALAM[[#This Row],[PRODUK]],DATA_ICECREAM[],6,FALSE),"")</f>
        <v/>
      </c>
      <c r="T280" s="374"/>
      <c r="U280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0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0" s="12"/>
      <c r="X280" s="384" t="str">
        <f>IFERROR(IF(TRANSHARI4_ICECREAMMALAM[[#This Row],[NAMA REKENING]]="","",TRANSHARI4_ICECREAMMALAM[[#This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IFERROR(VLOOKUP(TRANSHARI4_ICECREAMPAGI[[#This Row],[PRODUK]],DATA_ICECREAM[],6,FALSE),"")</f>
        <v/>
      </c>
      <c r="E281" s="376"/>
      <c r="F281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1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1" s="377"/>
      <c r="I281" s="386" t="str">
        <f>IFERROR(IF(TRANSHARI4_ICECREAMPAGI[[#This Row],[NAMA REKENING]]="","",TRANSHARI4_ICECREAMPAGI[[#This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IFERROR(VLOOKUP(TRANSHARI4_ICECREAMMALAM[[#This Row],[PRODUK]],DATA_ICECREAM[],6,FALSE),"")</f>
        <v/>
      </c>
      <c r="T281" s="376"/>
      <c r="U281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1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1" s="377"/>
      <c r="X281" s="386" t="str">
        <f>IFERROR(IF(TRANSHARI4_ICECREAMMALAM[[#This Row],[NAMA REKENING]]="","",TRANSHARI4_ICECREAMMALAM[[#This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IFERROR(VLOOKUP(TRANSHARI4_ICECREAMPAGI[[#This Row],[PRODUK]],DATA_ICECREAM[],6,FALSE),"")</f>
        <v/>
      </c>
      <c r="E282" s="374"/>
      <c r="F282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2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2" s="12"/>
      <c r="I282" s="384" t="str">
        <f>IFERROR(IF(TRANSHARI4_ICECREAMPAGI[[#This Row],[NAMA REKENING]]="","",TRANSHARI4_ICECREAMPAGI[[#This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IFERROR(VLOOKUP(TRANSHARI4_ICECREAMMALAM[[#This Row],[PRODUK]],DATA_ICECREAM[],6,FALSE),"")</f>
        <v/>
      </c>
      <c r="T282" s="374"/>
      <c r="U282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2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2" s="12"/>
      <c r="X282" s="384" t="str">
        <f>IFERROR(IF(TRANSHARI4_ICECREAMMALAM[[#This Row],[NAMA REKENING]]="","",TRANSHARI4_ICECREAMMALAM[[#This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IFERROR(VLOOKUP(TRANSHARI4_ICECREAMPAGI[[#This Row],[PRODUK]],DATA_ICECREAM[],6,FALSE),"")</f>
        <v/>
      </c>
      <c r="E283" s="374"/>
      <c r="F283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3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3" s="12"/>
      <c r="I283" s="386" t="str">
        <f>IFERROR(IF(TRANSHARI4_ICECREAMPAGI[[#This Row],[NAMA REKENING]]="","",TRANSHARI4_ICECREAMPAGI[[#This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IFERROR(VLOOKUP(TRANSHARI4_ICECREAMMALAM[[#This Row],[PRODUK]],DATA_ICECREAM[],6,FALSE),"")</f>
        <v/>
      </c>
      <c r="T283" s="374"/>
      <c r="U283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3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3" s="12"/>
      <c r="X283" s="386" t="str">
        <f>IFERROR(IF(TRANSHARI4_ICECREAMMALAM[[#This Row],[NAMA REKENING]]="","",TRANSHARI4_ICECREAMMALAM[[#This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IFERROR(VLOOKUP(TRANSHARI4_ICECREAMPAGI[[#This Row],[PRODUK]],DATA_ICECREAM[],6,FALSE),"")</f>
        <v/>
      </c>
      <c r="E284" s="374"/>
      <c r="F284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4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4" s="12"/>
      <c r="I284" s="384" t="str">
        <f>IFERROR(IF(TRANSHARI4_ICECREAMPAGI[[#This Row],[NAMA REKENING]]="","",TRANSHARI4_ICECREAMPAGI[[#This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IFERROR(VLOOKUP(TRANSHARI4_ICECREAMMALAM[[#This Row],[PRODUK]],DATA_ICECREAM[],6,FALSE),"")</f>
        <v/>
      </c>
      <c r="T284" s="374"/>
      <c r="U284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4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4" s="12"/>
      <c r="X284" s="384" t="str">
        <f>IFERROR(IF(TRANSHARI4_ICECREAMMALAM[[#This Row],[NAMA REKENING]]="","",TRANSHARI4_ICECREAMMALAM[[#This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IFERROR(VLOOKUP(TRANSHARI4_ICECREAMPAGI[[#This Row],[PRODUK]],DATA_ICECREAM[],6,FALSE),"")</f>
        <v/>
      </c>
      <c r="E285" s="374"/>
      <c r="F285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5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5" s="12"/>
      <c r="I285" s="386" t="str">
        <f>IFERROR(IF(TRANSHARI4_ICECREAMPAGI[[#This Row],[NAMA REKENING]]="","",TRANSHARI4_ICECREAMPAGI[[#This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IFERROR(VLOOKUP(TRANSHARI4_ICECREAMMALAM[[#This Row],[PRODUK]],DATA_ICECREAM[],6,FALSE),"")</f>
        <v/>
      </c>
      <c r="T285" s="374"/>
      <c r="U285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5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5" s="12"/>
      <c r="X285" s="386" t="str">
        <f>IFERROR(IF(TRANSHARI4_ICECREAMMALAM[[#This Row],[NAMA REKENING]]="","",TRANSHARI4_ICECREAMMALAM[[#This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IFERROR(VLOOKUP(TRANSHARI4_ICECREAMPAGI[[#This Row],[PRODUK]],DATA_ICECREAM[],6,FALSE),"")</f>
        <v/>
      </c>
      <c r="E286" s="374"/>
      <c r="F286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6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6" s="12"/>
      <c r="I286" s="384" t="str">
        <f>IFERROR(IF(TRANSHARI4_ICECREAMPAGI[[#This Row],[NAMA REKENING]]="","",TRANSHARI4_ICECREAMPAGI[[#This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IFERROR(VLOOKUP(TRANSHARI4_ICECREAMMALAM[[#This Row],[PRODUK]],DATA_ICECREAM[],6,FALSE),"")</f>
        <v/>
      </c>
      <c r="T286" s="374"/>
      <c r="U286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6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6" s="12"/>
      <c r="X286" s="384" t="str">
        <f>IFERROR(IF(TRANSHARI4_ICECREAMMALAM[[#This Row],[NAMA REKENING]]="","",TRANSHARI4_ICECREAMMALAM[[#This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IFERROR(VLOOKUP(TRANSHARI4_ICECREAMPAGI[[#This Row],[PRODUK]],DATA_ICECREAM[],6,FALSE),"")</f>
        <v/>
      </c>
      <c r="E287" s="374"/>
      <c r="F287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7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7" s="12"/>
      <c r="I287" s="386" t="str">
        <f>IFERROR(IF(TRANSHARI4_ICECREAMPAGI[[#This Row],[NAMA REKENING]]="","",TRANSHARI4_ICECREAMPAGI[[#This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IFERROR(VLOOKUP(TRANSHARI4_ICECREAMMALAM[[#This Row],[PRODUK]],DATA_ICECREAM[],6,FALSE),"")</f>
        <v/>
      </c>
      <c r="T287" s="374"/>
      <c r="U287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7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7" s="12"/>
      <c r="X287" s="386" t="str">
        <f>IFERROR(IF(TRANSHARI4_ICECREAMMALAM[[#This Row],[NAMA REKENING]]="","",TRANSHARI4_ICECREAMMALAM[[#This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IFERROR(VLOOKUP(TRANSHARI4_ICECREAMPAGI[[#This Row],[PRODUK]],DATA_ICECREAM[],6,FALSE),"")</f>
        <v/>
      </c>
      <c r="E288" s="374"/>
      <c r="F288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8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8" s="12"/>
      <c r="I288" s="384" t="str">
        <f>IFERROR(IF(TRANSHARI4_ICECREAMPAGI[[#This Row],[NAMA REKENING]]="","",TRANSHARI4_ICECREAMPAGI[[#This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IFERROR(VLOOKUP(TRANSHARI4_ICECREAMMALAM[[#This Row],[PRODUK]],DATA_ICECREAM[],6,FALSE),"")</f>
        <v/>
      </c>
      <c r="T288" s="374"/>
      <c r="U288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8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8" s="12"/>
      <c r="X288" s="384" t="str">
        <f>IFERROR(IF(TRANSHARI4_ICECREAMMALAM[[#This Row],[NAMA REKENING]]="","",TRANSHARI4_ICECREAMMALAM[[#This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IFERROR(VLOOKUP(TRANSHARI4_ICECREAMPAGI[[#This Row],[PRODUK]],DATA_ICECREAM[],6,FALSE),"")</f>
        <v/>
      </c>
      <c r="E289" s="374"/>
      <c r="F289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89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89" s="12"/>
      <c r="I289" s="386" t="str">
        <f>IFERROR(IF(TRANSHARI4_ICECREAMPAGI[[#This Row],[NAMA REKENING]]="","",TRANSHARI4_ICECREAMPAGI[[#This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IFERROR(VLOOKUP(TRANSHARI4_ICECREAMMALAM[[#This Row],[PRODUK]],DATA_ICECREAM[],6,FALSE),"")</f>
        <v/>
      </c>
      <c r="T289" s="374"/>
      <c r="U289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89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89" s="12"/>
      <c r="X289" s="386" t="str">
        <f>IFERROR(IF(TRANSHARI4_ICECREAMMALAM[[#This Row],[NAMA REKENING]]="","",TRANSHARI4_ICECREAMMALAM[[#This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IFERROR(VLOOKUP(TRANSHARI4_ICECREAMPAGI[[#This Row],[PRODUK]],DATA_ICECREAM[],6,FALSE),"")</f>
        <v/>
      </c>
      <c r="E290" s="374"/>
      <c r="F290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0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0" s="12"/>
      <c r="I290" s="384" t="str">
        <f>IFERROR(IF(TRANSHARI4_ICECREAMPAGI[[#This Row],[NAMA REKENING]]="","",TRANSHARI4_ICECREAMPAGI[[#This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IFERROR(VLOOKUP(TRANSHARI4_ICECREAMMALAM[[#This Row],[PRODUK]],DATA_ICECREAM[],6,FALSE),"")</f>
        <v/>
      </c>
      <c r="T290" s="374"/>
      <c r="U290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0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0" s="12"/>
      <c r="X290" s="384" t="str">
        <f>IFERROR(IF(TRANSHARI4_ICECREAMMALAM[[#This Row],[NAMA REKENING]]="","",TRANSHARI4_ICECREAMMALAM[[#This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IFERROR(VLOOKUP(TRANSHARI4_ICECREAMPAGI[[#This Row],[PRODUK]],DATA_ICECREAM[],6,FALSE),"")</f>
        <v/>
      </c>
      <c r="E291" s="374"/>
      <c r="F291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1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1" s="12"/>
      <c r="I291" s="386" t="str">
        <f>IFERROR(IF(TRANSHARI4_ICECREAMPAGI[[#This Row],[NAMA REKENING]]="","",TRANSHARI4_ICECREAMPAGI[[#This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IFERROR(VLOOKUP(TRANSHARI4_ICECREAMMALAM[[#This Row],[PRODUK]],DATA_ICECREAM[],6,FALSE),"")</f>
        <v/>
      </c>
      <c r="T291" s="374"/>
      <c r="U291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1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1" s="12"/>
      <c r="X291" s="386" t="str">
        <f>IFERROR(IF(TRANSHARI4_ICECREAMMALAM[[#This Row],[NAMA REKENING]]="","",TRANSHARI4_ICECREAMMALAM[[#This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IFERROR(VLOOKUP(TRANSHARI4_ICECREAMPAGI[[#This Row],[PRODUK]],DATA_ICECREAM[],6,FALSE),"")</f>
        <v/>
      </c>
      <c r="E292" s="374"/>
      <c r="F292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2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2" s="12"/>
      <c r="I292" s="384" t="str">
        <f>IFERROR(IF(TRANSHARI4_ICECREAMPAGI[[#This Row],[NAMA REKENING]]="","",TRANSHARI4_ICECREAMPAGI[[#This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IFERROR(VLOOKUP(TRANSHARI4_ICECREAMMALAM[[#This Row],[PRODUK]],DATA_ICECREAM[],6,FALSE),"")</f>
        <v/>
      </c>
      <c r="T292" s="374"/>
      <c r="U292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2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2" s="12"/>
      <c r="X292" s="384" t="str">
        <f>IFERROR(IF(TRANSHARI4_ICECREAMMALAM[[#This Row],[NAMA REKENING]]="","",TRANSHARI4_ICECREAMMALAM[[#This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IFERROR(VLOOKUP(TRANSHARI4_ICECREAMPAGI[[#This Row],[PRODUK]],DATA_ICECREAM[],6,FALSE),"")</f>
        <v/>
      </c>
      <c r="E293" s="374"/>
      <c r="F293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3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3" s="12"/>
      <c r="I293" s="386" t="str">
        <f>IFERROR(IF(TRANSHARI4_ICECREAMPAGI[[#This Row],[NAMA REKENING]]="","",TRANSHARI4_ICECREAMPAGI[[#This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IFERROR(VLOOKUP(TRANSHARI4_ICECREAMMALAM[[#This Row],[PRODUK]],DATA_ICECREAM[],6,FALSE),"")</f>
        <v/>
      </c>
      <c r="T293" s="374"/>
      <c r="U293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3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3" s="12"/>
      <c r="X293" s="386" t="str">
        <f>IFERROR(IF(TRANSHARI4_ICECREAMMALAM[[#This Row],[NAMA REKENING]]="","",TRANSHARI4_ICECREAMMALAM[[#This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IFERROR(VLOOKUP(TRANSHARI4_ICECREAMPAGI[[#This Row],[PRODUK]],DATA_ICECREAM[],6,FALSE),"")</f>
        <v/>
      </c>
      <c r="E294" s="374"/>
      <c r="F294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4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4" s="12"/>
      <c r="I294" s="384" t="str">
        <f>IFERROR(IF(TRANSHARI4_ICECREAMPAGI[[#This Row],[NAMA REKENING]]="","",TRANSHARI4_ICECREAMPAGI[[#This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IFERROR(VLOOKUP(TRANSHARI4_ICECREAMMALAM[[#This Row],[PRODUK]],DATA_ICECREAM[],6,FALSE),"")</f>
        <v/>
      </c>
      <c r="T294" s="374"/>
      <c r="U294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4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4" s="12"/>
      <c r="X294" s="384" t="str">
        <f>IFERROR(IF(TRANSHARI4_ICECREAMMALAM[[#This Row],[NAMA REKENING]]="","",TRANSHARI4_ICECREAMMALAM[[#This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IFERROR(VLOOKUP(TRANSHARI4_ICECREAMPAGI[[#This Row],[PRODUK]],DATA_ICECREAM[],6,FALSE),"")</f>
        <v/>
      </c>
      <c r="E295" s="374"/>
      <c r="F295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5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5" s="12"/>
      <c r="I295" s="386" t="str">
        <f>IFERROR(IF(TRANSHARI4_ICECREAMPAGI[[#This Row],[NAMA REKENING]]="","",TRANSHARI4_ICECREAMPAGI[[#This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IFERROR(VLOOKUP(TRANSHARI4_ICECREAMMALAM[[#This Row],[PRODUK]],DATA_ICECREAM[],6,FALSE),"")</f>
        <v/>
      </c>
      <c r="T295" s="374"/>
      <c r="U295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5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5" s="12"/>
      <c r="X295" s="386" t="str">
        <f>IFERROR(IF(TRANSHARI4_ICECREAMMALAM[[#This Row],[NAMA REKENING]]="","",TRANSHARI4_ICECREAMMALAM[[#This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IFERROR(VLOOKUP(TRANSHARI4_ICECREAMPAGI[[#This Row],[PRODUK]],DATA_ICECREAM[],6,FALSE),"")</f>
        <v/>
      </c>
      <c r="E296" s="374"/>
      <c r="F296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6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6" s="12"/>
      <c r="I296" s="384" t="str">
        <f>IFERROR(IF(TRANSHARI4_ICECREAMPAGI[[#This Row],[NAMA REKENING]]="","",TRANSHARI4_ICECREAMPAGI[[#This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IFERROR(VLOOKUP(TRANSHARI4_ICECREAMMALAM[[#This Row],[PRODUK]],DATA_ICECREAM[],6,FALSE),"")</f>
        <v/>
      </c>
      <c r="T296" s="374"/>
      <c r="U296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6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6" s="12"/>
      <c r="X296" s="384" t="str">
        <f>IFERROR(IF(TRANSHARI4_ICECREAMMALAM[[#This Row],[NAMA REKENING]]="","",TRANSHARI4_ICECREAMMALAM[[#This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IFERROR(VLOOKUP(TRANSHARI4_ICECREAMPAGI[[#This Row],[PRODUK]],DATA_ICECREAM[],6,FALSE),"")</f>
        <v/>
      </c>
      <c r="E297" s="374"/>
      <c r="F297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7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7" s="12"/>
      <c r="I297" s="386" t="str">
        <f>IFERROR(IF(TRANSHARI4_ICECREAMPAGI[[#This Row],[NAMA REKENING]]="","",TRANSHARI4_ICECREAMPAGI[[#This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IFERROR(VLOOKUP(TRANSHARI4_ICECREAMMALAM[[#This Row],[PRODUK]],DATA_ICECREAM[],6,FALSE),"")</f>
        <v/>
      </c>
      <c r="T297" s="374"/>
      <c r="U297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7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7" s="12"/>
      <c r="X297" s="386" t="str">
        <f>IFERROR(IF(TRANSHARI4_ICECREAMMALAM[[#This Row],[NAMA REKENING]]="","",TRANSHARI4_ICECREAMMALAM[[#This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IFERROR(VLOOKUP(TRANSHARI4_ICECREAMPAGI[[#This Row],[PRODUK]],DATA_ICECREAM[],6,FALSE),"")</f>
        <v/>
      </c>
      <c r="E298" s="374"/>
      <c r="F298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8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8" s="12"/>
      <c r="I298" s="384" t="str">
        <f>IFERROR(IF(TRANSHARI4_ICECREAMPAGI[[#This Row],[NAMA REKENING]]="","",TRANSHARI4_ICECREAMPAGI[[#This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IFERROR(VLOOKUP(TRANSHARI4_ICECREAMMALAM[[#This Row],[PRODUK]],DATA_ICECREAM[],6,FALSE),"")</f>
        <v/>
      </c>
      <c r="T298" s="374"/>
      <c r="U298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8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8" s="12"/>
      <c r="X298" s="384" t="str">
        <f>IFERROR(IF(TRANSHARI4_ICECREAMMALAM[[#This Row],[NAMA REKENING]]="","",TRANSHARI4_ICECREAMMALAM[[#This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IFERROR(VLOOKUP(TRANSHARI4_ICECREAMPAGI[[#This Row],[PRODUK]],DATA_ICECREAM[],6,FALSE),"")</f>
        <v/>
      </c>
      <c r="E299" s="374"/>
      <c r="F299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299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299" s="12"/>
      <c r="I299" s="386" t="str">
        <f>IFERROR(IF(TRANSHARI4_ICECREAMPAGI[[#This Row],[NAMA REKENING]]="","",TRANSHARI4_ICECREAMPAGI[[#This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IFERROR(VLOOKUP(TRANSHARI4_ICECREAMMALAM[[#This Row],[PRODUK]],DATA_ICECREAM[],6,FALSE),"")</f>
        <v/>
      </c>
      <c r="T299" s="374"/>
      <c r="U299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299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299" s="12"/>
      <c r="X299" s="386" t="str">
        <f>IFERROR(IF(TRANSHARI4_ICECREAMMALAM[[#This Row],[NAMA REKENING]]="","",TRANSHARI4_ICECREAMMALAM[[#This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IFERROR(VLOOKUP(TRANSHARI4_ICECREAMPAGI[[#This Row],[PRODUK]],DATA_ICECREAM[],6,FALSE),"")</f>
        <v/>
      </c>
      <c r="E300" s="374"/>
      <c r="F300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300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300" s="12"/>
      <c r="I300" s="384" t="str">
        <f>IFERROR(IF(TRANSHARI4_ICECREAMPAGI[[#This Row],[NAMA REKENING]]="","",TRANSHARI4_ICECREAMPAGI[[#This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IFERROR(VLOOKUP(TRANSHARI4_ICECREAMMALAM[[#This Row],[PRODUK]],DATA_ICECREAM[],6,FALSE),"")</f>
        <v/>
      </c>
      <c r="T300" s="374"/>
      <c r="U300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300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300" s="12"/>
      <c r="X300" s="384" t="str">
        <f>IFERROR(IF(TRANSHARI4_ICECREAMMALAM[[#This Row],[NAMA REKENING]]="","",TRANSHARI4_ICECREAMMALAM[[#This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IFERROR(VLOOKUP(TRANSHARI4_ICECREAMPAGI[[#This Row],[PRODUK]],DATA_ICECREAM[],6,FALSE),"")</f>
        <v/>
      </c>
      <c r="E301" s="374"/>
      <c r="F301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301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301" s="12"/>
      <c r="I301" s="386" t="str">
        <f>IFERROR(IF(TRANSHARI4_ICECREAMPAGI[[#This Row],[NAMA REKENING]]="","",TRANSHARI4_ICECREAMPAGI[[#This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IFERROR(VLOOKUP(TRANSHARI4_ICECREAMMALAM[[#This Row],[PRODUK]],DATA_ICECREAM[],6,FALSE),"")</f>
        <v/>
      </c>
      <c r="T301" s="374"/>
      <c r="U301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301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301" s="12"/>
      <c r="X301" s="386" t="str">
        <f>IFERROR(IF(TRANSHARI4_ICECREAMMALAM[[#This Row],[NAMA REKENING]]="","",TRANSHARI4_ICECREAMMALAM[[#This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IFERROR(VLOOKUP(TRANSHARI4_ICECREAMPAGI[[#This Row],[PRODUK]],DATA_ICECREAM[],6,FALSE),"")</f>
        <v/>
      </c>
      <c r="E302" s="374"/>
      <c r="F302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302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302" s="12"/>
      <c r="I302" s="384" t="str">
        <f>IFERROR(IF(TRANSHARI4_ICECREAMPAGI[[#This Row],[NAMA REKENING]]="","",TRANSHARI4_ICECREAMPAGI[[#This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IFERROR(VLOOKUP(TRANSHARI4_ICECREAMMALAM[[#This Row],[PRODUK]],DATA_ICECREAM[],6,FALSE),"")</f>
        <v/>
      </c>
      <c r="T302" s="374"/>
      <c r="U302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302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302" s="12"/>
      <c r="X302" s="384" t="str">
        <f>IFERROR(IF(TRANSHARI4_ICECREAMMALAM[[#This Row],[NAMA REKENING]]="","",TRANSHARI4_ICECREAMMALAM[[#This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IFERROR(VLOOKUP(TRANSHARI4_ICECREAMPAGI[[#This Row],[PRODUK]],DATA_ICECREAM[],6,FALSE),"")</f>
        <v/>
      </c>
      <c r="E303" s="374"/>
      <c r="F303" s="373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303" s="373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303" s="12"/>
      <c r="I303" s="386" t="str">
        <f>IFERROR(IF(TRANSHARI4_ICECREAMPAGI[[#This Row],[NAMA REKENING]]="","",TRANSHARI4_ICECREAMPAGI[[#This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IFERROR(VLOOKUP(TRANSHARI4_ICECREAMMALAM[[#This Row],[PRODUK]],DATA_ICECREAM[],6,FALSE),"")</f>
        <v/>
      </c>
      <c r="T303" s="374"/>
      <c r="U303" s="373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303" s="373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303" s="12"/>
      <c r="X303" s="386" t="str">
        <f>IFERROR(IF(TRANSHARI4_ICECREAMMALAM[[#This Row],[NAMA REKENING]]="","",TRANSHARI4_ICECREAMMALAM[[#This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IFERROR(VLOOKUP(TRANSHARI4_ICECREAMPAGI[[#This Row],[PRODUK]],DATA_ICECREAM[],6,FALSE),"")</f>
        <v/>
      </c>
      <c r="E304" s="374"/>
      <c r="F304" s="369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304" s="369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304" s="12"/>
      <c r="I304" s="384" t="str">
        <f>IFERROR(IF(TRANSHARI4_ICECREAMPAGI[[#This Row],[NAMA REKENING]]="","",TRANSHARI4_ICECREAMPAGI[[#This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IFERROR(VLOOKUP(TRANSHARI4_ICECREAMMALAM[[#This Row],[PRODUK]],DATA_ICECREAM[],6,FALSE),"")</f>
        <v/>
      </c>
      <c r="T304" s="374"/>
      <c r="U304" s="369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304" s="369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304" s="12"/>
      <c r="X304" s="384" t="str">
        <f>IFERROR(IF(TRANSHARI4_ICECREAMMALAM[[#This Row],[NAMA REKENING]]="","",TRANSHARI4_ICECREAMMALAM[[#This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IFERROR(VLOOKUP(TRANSHARI4_ICECREAMPAGI[[#This Row],[PRODUK]],DATA_ICECREAM[],6,FALSE),"")</f>
        <v/>
      </c>
      <c r="E305" s="376"/>
      <c r="F305" s="394" t="str">
        <f>IFERROR(IF(TRANSHARI4_ICECREAMPAGI[[#This Row],[NAMA PENGHUTANG]]="",((TRANSHARI4_ICECREAMPAGI[[#This Row],[HARGA]]*TRANSHARI4_ICECREAMPAGI[[#This Row],[QUANTITY]])+TRANSHARI4_ICECREAMPAGI[[#This Row],[PRICE TOLERANCE]]),""),"")</f>
        <v/>
      </c>
      <c r="G305" s="394" t="str">
        <f>IFERROR(IF(TRANSHARI4_ICECREAMPAGI[[#This Row],[NAMA PENGHUTANG]]="","",((TRANSHARI4_ICECREAMPAGI[[#This Row],[HARGA]]*TRANSHARI4_ICECREAMPAGI[[#This Row],[QUANTITY]])+TRANSHARI4_ICECREAMPAGI[[#This Row],[PRICE TOLERANCE]])),"")</f>
        <v/>
      </c>
      <c r="H305" s="377"/>
      <c r="I305" s="399" t="str">
        <f>IFERROR(IF(TRANSHARI4_ICECREAMPAGI[[#This Row],[NAMA REKENING]]="","",TRANSHARI4_ICECREAMPAGI[[#This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IFERROR(VLOOKUP(TRANSHARI4_ICECREAMMALAM[[#This Row],[PRODUK]],DATA_ICECREAM[],6,FALSE),"")</f>
        <v/>
      </c>
      <c r="T305" s="376"/>
      <c r="U305" s="394" t="str">
        <f>IFERROR(IF(TRANSHARI4_ICECREAMMALAM[[#This Row],[NAMA PENGHUTANG]]="",((TRANSHARI4_ICECREAMMALAM[[#This Row],[HARGA]]*TRANSHARI4_ICECREAMMALAM[[#This Row],[QUANTITY]])+TRANSHARI4_ICECREAMMALAM[[#This Row],[PRICE TOLERANCE]]),""),"")</f>
        <v/>
      </c>
      <c r="V305" s="394" t="str">
        <f>IFERROR(IF(TRANSHARI4_ICECREAMMALAM[[#This Row],[NAMA PENGHUTANG]]="","",((TRANSHARI4_ICECREAMMALAM[[#This Row],[HARGA]]*TRANSHARI4_ICECREAMMALAM[[#This Row],[QUANTITY]])+TRANSHARI4_ICECREAMMALAM[[#This Row],[PRICE TOLERANCE]])),"")</f>
        <v/>
      </c>
      <c r="W305" s="377"/>
      <c r="X305" s="399" t="str">
        <f>IFERROR(IF(TRANSHARI4_ICECREAMMALAM[[#This Row],[NAMA REKENING]]="","",TRANSHARI4_ICECREAMMALAM[[#This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SUM(TRANSHARI4_ICECREAMPAGI[QUANTITY])</f>
        <v>0</v>
      </c>
      <c r="E306" s="398">
        <f>SUM(TRANSHARI4_ICECREAMPAGI[PRICE TOLERANCE])</f>
        <v>0</v>
      </c>
      <c r="F306" s="396">
        <f>SUM(TRANSHARI4_ICECREAMPAGI[DEBIT])</f>
        <v>0</v>
      </c>
      <c r="G306" s="396">
        <f>SUM(TRANSHARI4_ICECREAMPAGI[KREDIT])</f>
        <v>0</v>
      </c>
      <c r="I306" s="396">
        <f>SUM(TRANSHARI4_ICECREAMPAGI[NOMINAL TRANSFER])</f>
        <v>0</v>
      </c>
      <c r="O306" s="324"/>
      <c r="P306" s="303" t="s">
        <v>78</v>
      </c>
      <c r="Q306" s="316"/>
      <c r="R306" s="395">
        <f>SUM(TRANSHARI4_ICECREAMMALAM[QUANTITY])</f>
        <v>0</v>
      </c>
      <c r="T306" s="398">
        <f>SUM(TRANSHARI4_ICECREAMMALAM[PRICE TOLERANCE])</f>
        <v>0</v>
      </c>
      <c r="U306" s="396">
        <f>SUM(TRANSHARI4_ICECREAMMALAM[DEBIT])</f>
        <v>0</v>
      </c>
      <c r="V306" s="396">
        <f>SUM(TRANSHARI4_ICECREAMMALAM[KREDIT])</f>
        <v>0</v>
      </c>
      <c r="X306" s="396">
        <f>SUM(TRANSHARI4_ICECREAMMALAM[NOMINAL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">
        <v>203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">
        <v>204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IFERROR(VLOOKUP(TRANSHARI4_ACCPAGI[[#This Row],[PRODUK]],DATA_ACC[],6,FALSE),"")</f>
        <v/>
      </c>
      <c r="E313" s="370"/>
      <c r="F313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13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13" s="371"/>
      <c r="I313" s="384" t="str">
        <f>IFERROR(IF(TRANSHARI4_ACCPAGI[[#This Row],[NAMA REKENING]]="","",TRANSHARI4_ACCPAGI[[#This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IFERROR(VLOOKUP(TRANSHARI4_ACCMALAM[[#This Row],[PRODUK]],DATA_ACC[],6,FALSE),"")</f>
        <v/>
      </c>
      <c r="T313" s="370"/>
      <c r="U313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13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13" s="371"/>
      <c r="X313" s="384" t="str">
        <f>IFERROR(IF(TRANSHARI4_ACCMALAM[[#This Row],[NAMA REKENING]]="","",TRANSHARI4_ACCMALAM[[#This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IFERROR(VLOOKUP(TRANSHARI4_ACCPAGI[[#This Row],[PRODUK]],DATA_ACC[],6,FALSE),"")</f>
        <v/>
      </c>
      <c r="E314" s="374"/>
      <c r="F314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14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14" s="12"/>
      <c r="I314" s="386" t="str">
        <f>IFERROR(IF(TRANSHARI4_ACCPAGI[[#This Row],[NAMA REKENING]]="","",TRANSHARI4_ACCPAGI[[#This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IFERROR(VLOOKUP(TRANSHARI4_ACCMALAM[[#This Row],[PRODUK]],DATA_ACC[],6,FALSE),"")</f>
        <v/>
      </c>
      <c r="T314" s="374"/>
      <c r="U314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14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14" s="12"/>
      <c r="X314" s="386" t="str">
        <f>IFERROR(IF(TRANSHARI4_ACCMALAM[[#This Row],[NAMA REKENING]]="","",TRANSHARI4_ACCMALAM[[#This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IFERROR(VLOOKUP(TRANSHARI4_ACCPAGI[[#This Row],[PRODUK]],DATA_ACC[],6,FALSE),"")</f>
        <v/>
      </c>
      <c r="E315" s="374"/>
      <c r="F315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15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15" s="12"/>
      <c r="I315" s="384" t="str">
        <f>IFERROR(IF(TRANSHARI4_ACCPAGI[[#This Row],[NAMA REKENING]]="","",TRANSHARI4_ACCPAGI[[#This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IFERROR(VLOOKUP(TRANSHARI4_ACCMALAM[[#This Row],[PRODUK]],DATA_ACC[],6,FALSE),"")</f>
        <v/>
      </c>
      <c r="T315" s="374"/>
      <c r="U315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15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15" s="12"/>
      <c r="X315" s="384" t="str">
        <f>IFERROR(IF(TRANSHARI4_ACCMALAM[[#This Row],[NAMA REKENING]]="","",TRANSHARI4_ACCMALAM[[#This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IFERROR(VLOOKUP(TRANSHARI4_ACCPAGI[[#This Row],[PRODUK]],DATA_ACC[],6,FALSE),"")</f>
        <v/>
      </c>
      <c r="E316" s="374"/>
      <c r="F316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16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16" s="12"/>
      <c r="I316" s="386" t="str">
        <f>IFERROR(IF(TRANSHARI4_ACCPAGI[[#This Row],[NAMA REKENING]]="","",TRANSHARI4_ACCPAGI[[#This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IFERROR(VLOOKUP(TRANSHARI4_ACCMALAM[[#This Row],[PRODUK]],DATA_ACC[],6,FALSE),"")</f>
        <v/>
      </c>
      <c r="T316" s="374"/>
      <c r="U316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16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16" s="12"/>
      <c r="X316" s="386" t="str">
        <f>IFERROR(IF(TRANSHARI4_ACCMALAM[[#This Row],[NAMA REKENING]]="","",TRANSHARI4_ACCMALAM[[#This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IFERROR(VLOOKUP(TRANSHARI4_ACCPAGI[[#This Row],[PRODUK]],DATA_ACC[],6,FALSE),"")</f>
        <v/>
      </c>
      <c r="E317" s="374"/>
      <c r="F317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17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17" s="12"/>
      <c r="I317" s="384" t="str">
        <f>IFERROR(IF(TRANSHARI4_ACCPAGI[[#This Row],[NAMA REKENING]]="","",TRANSHARI4_ACCPAGI[[#This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IFERROR(VLOOKUP(TRANSHARI4_ACCMALAM[[#This Row],[PRODUK]],DATA_ACC[],6,FALSE),"")</f>
        <v/>
      </c>
      <c r="T317" s="374"/>
      <c r="U317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17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17" s="12"/>
      <c r="X317" s="384" t="str">
        <f>IFERROR(IF(TRANSHARI4_ACCMALAM[[#This Row],[NAMA REKENING]]="","",TRANSHARI4_ACCMALAM[[#This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IFERROR(VLOOKUP(TRANSHARI4_ACCPAGI[[#This Row],[PRODUK]],DATA_ACC[],6,FALSE),"")</f>
        <v/>
      </c>
      <c r="E318" s="374"/>
      <c r="F318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18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18" s="12"/>
      <c r="I318" s="386" t="str">
        <f>IFERROR(IF(TRANSHARI4_ACCPAGI[[#This Row],[NAMA REKENING]]="","",TRANSHARI4_ACCPAGI[[#This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IFERROR(VLOOKUP(TRANSHARI4_ACCMALAM[[#This Row],[PRODUK]],DATA_ACC[],6,FALSE),"")</f>
        <v/>
      </c>
      <c r="T318" s="374"/>
      <c r="U318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18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18" s="12"/>
      <c r="X318" s="386" t="str">
        <f>IFERROR(IF(TRANSHARI4_ACCMALAM[[#This Row],[NAMA REKENING]]="","",TRANSHARI4_ACCMALAM[[#This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IFERROR(VLOOKUP(TRANSHARI4_ACCPAGI[[#This Row],[PRODUK]],DATA_ACC[],6,FALSE),"")</f>
        <v/>
      </c>
      <c r="E319" s="374"/>
      <c r="F319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19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19" s="12"/>
      <c r="I319" s="384" t="str">
        <f>IFERROR(IF(TRANSHARI4_ACCPAGI[[#This Row],[NAMA REKENING]]="","",TRANSHARI4_ACCPAGI[[#This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IFERROR(VLOOKUP(TRANSHARI4_ACCMALAM[[#This Row],[PRODUK]],DATA_ACC[],6,FALSE),"")</f>
        <v/>
      </c>
      <c r="T319" s="374"/>
      <c r="U319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19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19" s="12"/>
      <c r="X319" s="384" t="str">
        <f>IFERROR(IF(TRANSHARI4_ACCMALAM[[#This Row],[NAMA REKENING]]="","",TRANSHARI4_ACCMALAM[[#This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IFERROR(VLOOKUP(TRANSHARI4_ACCPAGI[[#This Row],[PRODUK]],DATA_ACC[],6,FALSE),"")</f>
        <v/>
      </c>
      <c r="E320" s="374"/>
      <c r="F320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20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20" s="12"/>
      <c r="I320" s="386" t="str">
        <f>IFERROR(IF(TRANSHARI4_ACCPAGI[[#This Row],[NAMA REKENING]]="","",TRANSHARI4_ACCPAGI[[#This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IFERROR(VLOOKUP(TRANSHARI4_ACCMALAM[[#This Row],[PRODUK]],DATA_ACC[],6,FALSE),"")</f>
        <v/>
      </c>
      <c r="T320" s="374"/>
      <c r="U320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20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20" s="12"/>
      <c r="X320" s="386" t="str">
        <f>IFERROR(IF(TRANSHARI4_ACCMALAM[[#This Row],[NAMA REKENING]]="","",TRANSHARI4_ACCMALAM[[#This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IFERROR(VLOOKUP(TRANSHARI4_ACCPAGI[[#This Row],[PRODUK]],DATA_ACC[],6,FALSE),"")</f>
        <v/>
      </c>
      <c r="E321" s="374"/>
      <c r="F321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21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21" s="12"/>
      <c r="I321" s="384" t="str">
        <f>IFERROR(IF(TRANSHARI4_ACCPAGI[[#This Row],[NAMA REKENING]]="","",TRANSHARI4_ACCPAGI[[#This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IFERROR(VLOOKUP(TRANSHARI4_ACCMALAM[[#This Row],[PRODUK]],DATA_ACC[],6,FALSE),"")</f>
        <v/>
      </c>
      <c r="T321" s="374"/>
      <c r="U321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21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21" s="12"/>
      <c r="X321" s="384" t="str">
        <f>IFERROR(IF(TRANSHARI4_ACCMALAM[[#This Row],[NAMA REKENING]]="","",TRANSHARI4_ACCMALAM[[#This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IFERROR(VLOOKUP(TRANSHARI4_ACCPAGI[[#This Row],[PRODUK]],DATA_ACC[],6,FALSE),"")</f>
        <v/>
      </c>
      <c r="E322" s="374"/>
      <c r="F322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22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22" s="12"/>
      <c r="I322" s="386" t="str">
        <f>IFERROR(IF(TRANSHARI4_ACCPAGI[[#This Row],[NAMA REKENING]]="","",TRANSHARI4_ACCPAGI[[#This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IFERROR(VLOOKUP(TRANSHARI4_ACCMALAM[[#This Row],[PRODUK]],DATA_ACC[],6,FALSE),"")</f>
        <v/>
      </c>
      <c r="T322" s="374"/>
      <c r="U322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22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22" s="12"/>
      <c r="X322" s="386" t="str">
        <f>IFERROR(IF(TRANSHARI4_ACCMALAM[[#This Row],[NAMA REKENING]]="","",TRANSHARI4_ACCMALAM[[#This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IFERROR(VLOOKUP(TRANSHARI4_ACCPAGI[[#This Row],[PRODUK]],DATA_ACC[],6,FALSE),"")</f>
        <v/>
      </c>
      <c r="E323" s="374"/>
      <c r="F323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23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23" s="12"/>
      <c r="I323" s="384" t="str">
        <f>IFERROR(IF(TRANSHARI4_ACCPAGI[[#This Row],[NAMA REKENING]]="","",TRANSHARI4_ACCPAGI[[#This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IFERROR(VLOOKUP(TRANSHARI4_ACCMALAM[[#This Row],[PRODUK]],DATA_ACC[],6,FALSE),"")</f>
        <v/>
      </c>
      <c r="T323" s="374"/>
      <c r="U323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23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23" s="12"/>
      <c r="X323" s="384" t="str">
        <f>IFERROR(IF(TRANSHARI4_ACCMALAM[[#This Row],[NAMA REKENING]]="","",TRANSHARI4_ACCMALAM[[#This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IFERROR(VLOOKUP(TRANSHARI4_ACCPAGI[[#This Row],[PRODUK]],DATA_ACC[],6,FALSE),"")</f>
        <v/>
      </c>
      <c r="E324" s="374"/>
      <c r="F324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24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24" s="12"/>
      <c r="I324" s="386" t="str">
        <f>IFERROR(IF(TRANSHARI4_ACCPAGI[[#This Row],[NAMA REKENING]]="","",TRANSHARI4_ACCPAGI[[#This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IFERROR(VLOOKUP(TRANSHARI4_ACCMALAM[[#This Row],[PRODUK]],DATA_ACC[],6,FALSE),"")</f>
        <v/>
      </c>
      <c r="T324" s="374"/>
      <c r="U324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24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24" s="12"/>
      <c r="X324" s="386" t="str">
        <f>IFERROR(IF(TRANSHARI4_ACCMALAM[[#This Row],[NAMA REKENING]]="","",TRANSHARI4_ACCMALAM[[#This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IFERROR(VLOOKUP(TRANSHARI4_ACCPAGI[[#This Row],[PRODUK]],DATA_ACC[],6,FALSE),"")</f>
        <v/>
      </c>
      <c r="E325" s="374"/>
      <c r="F325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25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25" s="12"/>
      <c r="I325" s="384" t="str">
        <f>IFERROR(IF(TRANSHARI4_ACCPAGI[[#This Row],[NAMA REKENING]]="","",TRANSHARI4_ACCPAGI[[#This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IFERROR(VLOOKUP(TRANSHARI4_ACCMALAM[[#This Row],[PRODUK]],DATA_ACC[],6,FALSE),"")</f>
        <v/>
      </c>
      <c r="T325" s="374"/>
      <c r="U325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25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25" s="12"/>
      <c r="X325" s="384" t="str">
        <f>IFERROR(IF(TRANSHARI4_ACCMALAM[[#This Row],[NAMA REKENING]]="","",TRANSHARI4_ACCMALAM[[#This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IFERROR(VLOOKUP(TRANSHARI4_ACCPAGI[[#This Row],[PRODUK]],DATA_ACC[],6,FALSE),"")</f>
        <v/>
      </c>
      <c r="E326" s="374"/>
      <c r="F326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26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26" s="12"/>
      <c r="I326" s="386" t="str">
        <f>IFERROR(IF(TRANSHARI4_ACCPAGI[[#This Row],[NAMA REKENING]]="","",TRANSHARI4_ACCPAGI[[#This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IFERROR(VLOOKUP(TRANSHARI4_ACCMALAM[[#This Row],[PRODUK]],DATA_ACC[],6,FALSE),"")</f>
        <v/>
      </c>
      <c r="T326" s="374"/>
      <c r="U326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26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26" s="12"/>
      <c r="X326" s="386" t="str">
        <f>IFERROR(IF(TRANSHARI4_ACCMALAM[[#This Row],[NAMA REKENING]]="","",TRANSHARI4_ACCMALAM[[#This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IFERROR(VLOOKUP(TRANSHARI4_ACCPAGI[[#This Row],[PRODUK]],DATA_ACC[],6,FALSE),"")</f>
        <v/>
      </c>
      <c r="E327" s="374"/>
      <c r="F327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27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27" s="12"/>
      <c r="I327" s="384" t="str">
        <f>IFERROR(IF(TRANSHARI4_ACCPAGI[[#This Row],[NAMA REKENING]]="","",TRANSHARI4_ACCPAGI[[#This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IFERROR(VLOOKUP(TRANSHARI4_ACCMALAM[[#This Row],[PRODUK]],DATA_ACC[],6,FALSE),"")</f>
        <v/>
      </c>
      <c r="T327" s="374"/>
      <c r="U327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27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27" s="12"/>
      <c r="X327" s="384" t="str">
        <f>IFERROR(IF(TRANSHARI4_ACCMALAM[[#This Row],[NAMA REKENING]]="","",TRANSHARI4_ACCMALAM[[#This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IFERROR(VLOOKUP(TRANSHARI4_ACCPAGI[[#This Row],[PRODUK]],DATA_ACC[],6,FALSE),"")</f>
        <v/>
      </c>
      <c r="E328" s="374"/>
      <c r="F328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28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28" s="12"/>
      <c r="I328" s="386" t="str">
        <f>IFERROR(IF(TRANSHARI4_ACCPAGI[[#This Row],[NAMA REKENING]]="","",TRANSHARI4_ACCPAGI[[#This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IFERROR(VLOOKUP(TRANSHARI4_ACCMALAM[[#This Row],[PRODUK]],DATA_ACC[],6,FALSE),"")</f>
        <v/>
      </c>
      <c r="T328" s="374"/>
      <c r="U328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28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28" s="12"/>
      <c r="X328" s="386" t="str">
        <f>IFERROR(IF(TRANSHARI4_ACCMALAM[[#This Row],[NAMA REKENING]]="","",TRANSHARI4_ACCMALAM[[#This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IFERROR(VLOOKUP(TRANSHARI4_ACCPAGI[[#This Row],[PRODUK]],DATA_ACC[],6,FALSE),"")</f>
        <v/>
      </c>
      <c r="E329" s="374"/>
      <c r="F329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29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29" s="12"/>
      <c r="I329" s="384" t="str">
        <f>IFERROR(IF(TRANSHARI4_ACCPAGI[[#This Row],[NAMA REKENING]]="","",TRANSHARI4_ACCPAGI[[#This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IFERROR(VLOOKUP(TRANSHARI4_ACCMALAM[[#This Row],[PRODUK]],DATA_ACC[],6,FALSE),"")</f>
        <v/>
      </c>
      <c r="T329" s="374"/>
      <c r="U329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29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29" s="12"/>
      <c r="X329" s="384" t="str">
        <f>IFERROR(IF(TRANSHARI4_ACCMALAM[[#This Row],[NAMA REKENING]]="","",TRANSHARI4_ACCMALAM[[#This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IFERROR(VLOOKUP(TRANSHARI4_ACCPAGI[[#This Row],[PRODUK]],DATA_ACC[],6,FALSE),"")</f>
        <v/>
      </c>
      <c r="E330" s="374"/>
      <c r="F330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30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30" s="12"/>
      <c r="I330" s="386" t="str">
        <f>IFERROR(IF(TRANSHARI4_ACCPAGI[[#This Row],[NAMA REKENING]]="","",TRANSHARI4_ACCPAGI[[#This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IFERROR(VLOOKUP(TRANSHARI4_ACCMALAM[[#This Row],[PRODUK]],DATA_ACC[],6,FALSE),"")</f>
        <v/>
      </c>
      <c r="T330" s="374"/>
      <c r="U330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30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30" s="12"/>
      <c r="X330" s="386" t="str">
        <f>IFERROR(IF(TRANSHARI4_ACCMALAM[[#This Row],[NAMA REKENING]]="","",TRANSHARI4_ACCMALAM[[#This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IFERROR(VLOOKUP(TRANSHARI4_ACCPAGI[[#This Row],[PRODUK]],DATA_ACC[],6,FALSE),"")</f>
        <v/>
      </c>
      <c r="E331" s="374"/>
      <c r="F331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31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31" s="12"/>
      <c r="I331" s="384" t="str">
        <f>IFERROR(IF(TRANSHARI4_ACCPAGI[[#This Row],[NAMA REKENING]]="","",TRANSHARI4_ACCPAGI[[#This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IFERROR(VLOOKUP(TRANSHARI4_ACCMALAM[[#This Row],[PRODUK]],DATA_ACC[],6,FALSE),"")</f>
        <v/>
      </c>
      <c r="T331" s="374"/>
      <c r="U331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31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31" s="12"/>
      <c r="X331" s="384" t="str">
        <f>IFERROR(IF(TRANSHARI4_ACCMALAM[[#This Row],[NAMA REKENING]]="","",TRANSHARI4_ACCMALAM[[#This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IFERROR(VLOOKUP(TRANSHARI4_ACCPAGI[[#This Row],[PRODUK]],DATA_ACC[],6,FALSE),"")</f>
        <v/>
      </c>
      <c r="E332" s="374"/>
      <c r="F332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32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32" s="12"/>
      <c r="I332" s="386" t="str">
        <f>IFERROR(IF(TRANSHARI4_ACCPAGI[[#This Row],[NAMA REKENING]]="","",TRANSHARI4_ACCPAGI[[#This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IFERROR(VLOOKUP(TRANSHARI4_ACCMALAM[[#This Row],[PRODUK]],DATA_ACC[],6,FALSE),"")</f>
        <v/>
      </c>
      <c r="T332" s="374"/>
      <c r="U332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32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32" s="12"/>
      <c r="X332" s="386" t="str">
        <f>IFERROR(IF(TRANSHARI4_ACCMALAM[[#This Row],[NAMA REKENING]]="","",TRANSHARI4_ACCMALAM[[#This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IFERROR(VLOOKUP(TRANSHARI4_ACCPAGI[[#This Row],[PRODUK]],DATA_ACC[],6,FALSE),"")</f>
        <v/>
      </c>
      <c r="E333" s="374"/>
      <c r="F333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33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33" s="12"/>
      <c r="I333" s="384" t="str">
        <f>IFERROR(IF(TRANSHARI4_ACCPAGI[[#This Row],[NAMA REKENING]]="","",TRANSHARI4_ACCPAGI[[#This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IFERROR(VLOOKUP(TRANSHARI4_ACCMALAM[[#This Row],[PRODUK]],DATA_ACC[],6,FALSE),"")</f>
        <v/>
      </c>
      <c r="T333" s="374"/>
      <c r="U333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33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33" s="12"/>
      <c r="X333" s="384" t="str">
        <f>IFERROR(IF(TRANSHARI4_ACCMALAM[[#This Row],[NAMA REKENING]]="","",TRANSHARI4_ACCMALAM[[#This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IFERROR(VLOOKUP(TRANSHARI4_ACCPAGI[[#This Row],[PRODUK]],DATA_ACC[],6,FALSE),"")</f>
        <v/>
      </c>
      <c r="E334" s="374"/>
      <c r="F334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34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34" s="12"/>
      <c r="I334" s="386" t="str">
        <f>IFERROR(IF(TRANSHARI4_ACCPAGI[[#This Row],[NAMA REKENING]]="","",TRANSHARI4_ACCPAGI[[#This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IFERROR(VLOOKUP(TRANSHARI4_ACCMALAM[[#This Row],[PRODUK]],DATA_ACC[],6,FALSE),"")</f>
        <v/>
      </c>
      <c r="T334" s="374"/>
      <c r="U334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34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34" s="12"/>
      <c r="X334" s="386" t="str">
        <f>IFERROR(IF(TRANSHARI4_ACCMALAM[[#This Row],[NAMA REKENING]]="","",TRANSHARI4_ACCMALAM[[#This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IFERROR(VLOOKUP(TRANSHARI4_ACCPAGI[[#This Row],[PRODUK]],DATA_ACC[],6,FALSE),"")</f>
        <v/>
      </c>
      <c r="E335" s="374"/>
      <c r="F335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35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35" s="12"/>
      <c r="I335" s="384" t="str">
        <f>IFERROR(IF(TRANSHARI4_ACCPAGI[[#This Row],[NAMA REKENING]]="","",TRANSHARI4_ACCPAGI[[#This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IFERROR(VLOOKUP(TRANSHARI4_ACCMALAM[[#This Row],[PRODUK]],DATA_ACC[],6,FALSE),"")</f>
        <v/>
      </c>
      <c r="T335" s="374"/>
      <c r="U335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35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35" s="12"/>
      <c r="X335" s="384" t="str">
        <f>IFERROR(IF(TRANSHARI4_ACCMALAM[[#This Row],[NAMA REKENING]]="","",TRANSHARI4_ACCMALAM[[#This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IFERROR(VLOOKUP(TRANSHARI4_ACCPAGI[[#This Row],[PRODUK]],DATA_ACC[],6,FALSE),"")</f>
        <v/>
      </c>
      <c r="E336" s="374"/>
      <c r="F336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36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36" s="12"/>
      <c r="I336" s="386" t="str">
        <f>IFERROR(IF(TRANSHARI4_ACCPAGI[[#This Row],[NAMA REKENING]]="","",TRANSHARI4_ACCPAGI[[#This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IFERROR(VLOOKUP(TRANSHARI4_ACCMALAM[[#This Row],[PRODUK]],DATA_ACC[],6,FALSE),"")</f>
        <v/>
      </c>
      <c r="T336" s="374"/>
      <c r="U336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36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36" s="12"/>
      <c r="X336" s="386" t="str">
        <f>IFERROR(IF(TRANSHARI4_ACCMALAM[[#This Row],[NAMA REKENING]]="","",TRANSHARI4_ACCMALAM[[#This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IFERROR(VLOOKUP(TRANSHARI4_ACCPAGI[[#This Row],[PRODUK]],DATA_ACC[],6,FALSE),"")</f>
        <v/>
      </c>
      <c r="E337" s="374"/>
      <c r="F337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37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37" s="12"/>
      <c r="I337" s="384" t="str">
        <f>IFERROR(IF(TRANSHARI4_ACCPAGI[[#This Row],[NAMA REKENING]]="","",TRANSHARI4_ACCPAGI[[#This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IFERROR(VLOOKUP(TRANSHARI4_ACCMALAM[[#This Row],[PRODUK]],DATA_ACC[],6,FALSE),"")</f>
        <v/>
      </c>
      <c r="T337" s="374"/>
      <c r="U337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37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37" s="12"/>
      <c r="X337" s="384" t="str">
        <f>IFERROR(IF(TRANSHARI4_ACCMALAM[[#This Row],[NAMA REKENING]]="","",TRANSHARI4_ACCMALAM[[#This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IFERROR(VLOOKUP(TRANSHARI4_ACCPAGI[[#This Row],[PRODUK]],DATA_ACC[],6,FALSE),"")</f>
        <v/>
      </c>
      <c r="E338" s="376"/>
      <c r="F338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38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38" s="377"/>
      <c r="I338" s="386" t="str">
        <f>IFERROR(IF(TRANSHARI4_ACCPAGI[[#This Row],[NAMA REKENING]]="","",TRANSHARI4_ACCPAGI[[#This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IFERROR(VLOOKUP(TRANSHARI4_ACCMALAM[[#This Row],[PRODUK]],DATA_ACC[],6,FALSE),"")</f>
        <v/>
      </c>
      <c r="T338" s="376"/>
      <c r="U338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38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38" s="377"/>
      <c r="X338" s="386" t="str">
        <f>IFERROR(IF(TRANSHARI4_ACCMALAM[[#This Row],[NAMA REKENING]]="","",TRANSHARI4_ACCMALAM[[#This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IFERROR(VLOOKUP(TRANSHARI4_ACCPAGI[[#This Row],[PRODUK]],DATA_ACC[],6,FALSE),"")</f>
        <v/>
      </c>
      <c r="E339" s="374"/>
      <c r="F339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39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39" s="12"/>
      <c r="I339" s="384" t="str">
        <f>IFERROR(IF(TRANSHARI4_ACCPAGI[[#This Row],[NAMA REKENING]]="","",TRANSHARI4_ACCPAGI[[#This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IFERROR(VLOOKUP(TRANSHARI4_ACCMALAM[[#This Row],[PRODUK]],DATA_ACC[],6,FALSE),"")</f>
        <v/>
      </c>
      <c r="T339" s="374"/>
      <c r="U339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39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39" s="12"/>
      <c r="X339" s="384" t="str">
        <f>IFERROR(IF(TRANSHARI4_ACCMALAM[[#This Row],[NAMA REKENING]]="","",TRANSHARI4_ACCMALAM[[#This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IFERROR(VLOOKUP(TRANSHARI4_ACCPAGI[[#This Row],[PRODUK]],DATA_ACC[],6,FALSE),"")</f>
        <v/>
      </c>
      <c r="E340" s="374"/>
      <c r="F340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40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40" s="12"/>
      <c r="I340" s="386" t="str">
        <f>IFERROR(IF(TRANSHARI4_ACCPAGI[[#This Row],[NAMA REKENING]]="","",TRANSHARI4_ACCPAGI[[#This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IFERROR(VLOOKUP(TRANSHARI4_ACCMALAM[[#This Row],[PRODUK]],DATA_ACC[],6,FALSE),"")</f>
        <v/>
      </c>
      <c r="T340" s="374"/>
      <c r="U340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40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40" s="12"/>
      <c r="X340" s="386" t="str">
        <f>IFERROR(IF(TRANSHARI4_ACCMALAM[[#This Row],[NAMA REKENING]]="","",TRANSHARI4_ACCMALAM[[#This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IFERROR(VLOOKUP(TRANSHARI4_ACCPAGI[[#This Row],[PRODUK]],DATA_ACC[],6,FALSE),"")</f>
        <v/>
      </c>
      <c r="E341" s="374"/>
      <c r="F341" s="369" t="str">
        <f>IFERROR(IF(TRANSHARI4_ACCPAGI[[#This Row],[NAMA PENGHUTANG]]="",((TRANSHARI4_ACCPAGI[[#This Row],[HARGA]]*TRANSHARI4_ACCPAGI[[#This Row],[QUANTITY]])+TRANSHARI4_ACCPAGI[[#This Row],[PRICE TOLERANCE]]),""),"")</f>
        <v/>
      </c>
      <c r="G341" s="369" t="str">
        <f>IFERROR(IF(TRANSHARI4_ACCPAGI[[#This Row],[NAMA PENGHUTANG]]="","",((TRANSHARI4_ACCPAGI[[#This Row],[HARGA]]*TRANSHARI4_ACCPAGI[[#This Row],[QUANTITY]])+TRANSHARI4_ACCPAGI[[#This Row],[PRICE TOLERANCE]])),"")</f>
        <v/>
      </c>
      <c r="H341" s="12"/>
      <c r="I341" s="384" t="str">
        <f>IFERROR(IF(TRANSHARI4_ACCPAGI[[#This Row],[NAMA REKENING]]="","",TRANSHARI4_ACCPAGI[[#This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IFERROR(VLOOKUP(TRANSHARI4_ACCMALAM[[#This Row],[PRODUK]],DATA_ACC[],6,FALSE),"")</f>
        <v/>
      </c>
      <c r="T341" s="374"/>
      <c r="U341" s="369" t="str">
        <f>IFERROR(IF(TRANSHARI4_ACCMALAM[[#This Row],[NAMA PENGHUTANG]]="",((TRANSHARI4_ACCMALAM[[#This Row],[HARGA]]*TRANSHARI4_ACCMALAM[[#This Row],[QUANTITY]])+TRANSHARI4_ACCMALAM[[#This Row],[PRICE TOLERANCE]]),""),"")</f>
        <v/>
      </c>
      <c r="V341" s="369" t="str">
        <f>IFERROR(IF(TRANSHARI4_ACCMALAM[[#This Row],[NAMA PENGHUTANG]]="","",((TRANSHARI4_ACCMALAM[[#This Row],[HARGA]]*TRANSHARI4_ACCMALAM[[#This Row],[QUANTITY]])+TRANSHARI4_ACCMALAM[[#This Row],[PRICE TOLERANCE]])),"")</f>
        <v/>
      </c>
      <c r="W341" s="12"/>
      <c r="X341" s="384" t="str">
        <f>IFERROR(IF(TRANSHARI4_ACCMALAM[[#This Row],[NAMA REKENING]]="","",TRANSHARI4_ACCMALAM[[#This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IFERROR(VLOOKUP(TRANSHARI4_ACCPAGI[[#This Row],[PRODUK]],DATA_ACC[],6,FALSE),"")</f>
        <v/>
      </c>
      <c r="E342" s="374"/>
      <c r="F342" s="373" t="str">
        <f>IFERROR(IF(TRANSHARI4_ACCPAGI[[#This Row],[NAMA PENGHUTANG]]="",((TRANSHARI4_ACCPAGI[[#This Row],[HARGA]]*TRANSHARI4_ACCPAGI[[#This Row],[QUANTITY]])+TRANSHARI4_ACCPAGI[[#This Row],[PRICE TOLERANCE]]),""),"")</f>
        <v/>
      </c>
      <c r="G342" s="373" t="str">
        <f>IFERROR(IF(TRANSHARI4_ACCPAGI[[#This Row],[NAMA PENGHUTANG]]="","",((TRANSHARI4_ACCPAGI[[#This Row],[HARGA]]*TRANSHARI4_ACCPAGI[[#This Row],[QUANTITY]])+TRANSHARI4_ACCPAGI[[#This Row],[PRICE TOLERANCE]])),"")</f>
        <v/>
      </c>
      <c r="H342" s="12"/>
      <c r="I342" s="386" t="str">
        <f>IFERROR(IF(TRANSHARI4_ACCPAGI[[#This Row],[NAMA REKENING]]="","",TRANSHARI4_ACCPAGI[[#This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IFERROR(VLOOKUP(TRANSHARI4_ACCMALAM[[#This Row],[PRODUK]],DATA_ACC[],6,FALSE),"")</f>
        <v/>
      </c>
      <c r="T342" s="374"/>
      <c r="U342" s="373" t="str">
        <f>IFERROR(IF(TRANSHARI4_ACCMALAM[[#This Row],[NAMA PENGHUTANG]]="",((TRANSHARI4_ACCMALAM[[#This Row],[HARGA]]*TRANSHARI4_ACCMALAM[[#This Row],[QUANTITY]])+TRANSHARI4_ACCMALAM[[#This Row],[PRICE TOLERANCE]]),""),"")</f>
        <v/>
      </c>
      <c r="V342" s="373" t="str">
        <f>IFERROR(IF(TRANSHARI4_ACCMALAM[[#This Row],[NAMA PENGHUTANG]]="","",((TRANSHARI4_ACCMALAM[[#This Row],[HARGA]]*TRANSHARI4_ACCMALAM[[#This Row],[QUANTITY]])+TRANSHARI4_ACCMALAM[[#This Row],[PRICE TOLERANCE]])),"")</f>
        <v/>
      </c>
      <c r="W342" s="12"/>
      <c r="X342" s="386" t="str">
        <f>IFERROR(IF(TRANSHARI4_ACCMALAM[[#This Row],[NAMA REKENING]]="","",TRANSHARI4_ACCMALAM[[#This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SUM(TRANSHARI4_ACCPAGI[QUANTITY])</f>
        <v>0</v>
      </c>
      <c r="E343" s="398">
        <f>SUM(TRANSHARI4_ACCPAGI[PRICE TOLERANCE])</f>
        <v>0</v>
      </c>
      <c r="F343" s="396">
        <f>SUM(TRANSHARI4_ACCPAGI[DEBIT])</f>
        <v>0</v>
      </c>
      <c r="G343" s="396">
        <f>SUM(TRANSHARI4_ACCPAGI[KREDIT])</f>
        <v>0</v>
      </c>
      <c r="I343" s="396">
        <f>SUM(TRANSHARI4_ACCPAGI[NOMINAL TRANSFER])</f>
        <v>0</v>
      </c>
      <c r="O343" s="324"/>
      <c r="P343" s="303" t="s">
        <v>78</v>
      </c>
      <c r="Q343" s="316"/>
      <c r="R343" s="395">
        <f>SUM(TRANSHARI4_ACCMALAM[QUANTITY])</f>
        <v>0</v>
      </c>
      <c r="T343" s="398">
        <f>SUM(TRANSHARI4_ACCMALAM[PRICE TOLERANCE])</f>
        <v>0</v>
      </c>
      <c r="U343" s="396">
        <f>SUM(TRANSHARI4_ACCMALAM[DEBIT])</f>
        <v>0</v>
      </c>
      <c r="V343" s="396">
        <f>SUM(TRANSHARI4_ACCMALAM[KREDIT])</f>
        <v>0</v>
      </c>
      <c r="X343" s="396">
        <f>SUM(TRANSHARI4_ACCMALAM[NOMINAL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">
        <v>203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">
        <v>204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IFERROR(VLOOKUP(TRANSHARI4_HYDROPAGI[[#This Row],[PRODUK]],DATA_HYDRO[],6,FALSE),"")</f>
        <v/>
      </c>
      <c r="E350" s="370"/>
      <c r="F350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0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0" s="371"/>
      <c r="I350" s="384" t="str">
        <f>IFERROR(IF(TRANSHARI4_HYDROPAGI[[#This Row],[NAMA REKENING]]="","",TRANSHARI4_HYDROPAGI[[#This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IFERROR(VLOOKUP(TRANSHARI4_HYDROMALAM[[#This Row],[PRODUK]],DATA_HYDRO[],6,FALSE),"")</f>
        <v/>
      </c>
      <c r="T350" s="370"/>
      <c r="U350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0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0" s="371"/>
      <c r="X350" s="384" t="str">
        <f>IFERROR(IF(TRANSHARI4_HYDROMALAM[[#This Row],[NAMA REKENING]]="","",TRANSHARI4_HYDROMALAM[[#This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IFERROR(VLOOKUP(TRANSHARI4_HYDROPAGI[[#This Row],[PRODUK]],DATA_HYDRO[],6,FALSE),"")</f>
        <v/>
      </c>
      <c r="E351" s="374"/>
      <c r="F351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1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1" s="12"/>
      <c r="I351" s="386" t="str">
        <f>IFERROR(IF(TRANSHARI4_HYDROPAGI[[#This Row],[NAMA REKENING]]="","",TRANSHARI4_HYDROPAGI[[#This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IFERROR(VLOOKUP(TRANSHARI4_HYDROMALAM[[#This Row],[PRODUK]],DATA_HYDRO[],6,FALSE),"")</f>
        <v/>
      </c>
      <c r="T351" s="374"/>
      <c r="U351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1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1" s="12"/>
      <c r="X351" s="386" t="str">
        <f>IFERROR(IF(TRANSHARI4_HYDROMALAM[[#This Row],[NAMA REKENING]]="","",TRANSHARI4_HYDROMALAM[[#This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IFERROR(VLOOKUP(TRANSHARI4_HYDROPAGI[[#This Row],[PRODUK]],DATA_HYDRO[],6,FALSE),"")</f>
        <v/>
      </c>
      <c r="E352" s="374"/>
      <c r="F352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2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2" s="12"/>
      <c r="I352" s="384" t="str">
        <f>IFERROR(IF(TRANSHARI4_HYDROPAGI[[#This Row],[NAMA REKENING]]="","",TRANSHARI4_HYDROPAGI[[#This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IFERROR(VLOOKUP(TRANSHARI4_HYDROMALAM[[#This Row],[PRODUK]],DATA_HYDRO[],6,FALSE),"")</f>
        <v/>
      </c>
      <c r="T352" s="374"/>
      <c r="U352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2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2" s="12"/>
      <c r="X352" s="384" t="str">
        <f>IFERROR(IF(TRANSHARI4_HYDROMALAM[[#This Row],[NAMA REKENING]]="","",TRANSHARI4_HYDROMALAM[[#This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IFERROR(VLOOKUP(TRANSHARI4_HYDROPAGI[[#This Row],[PRODUK]],DATA_HYDRO[],6,FALSE),"")</f>
        <v/>
      </c>
      <c r="E353" s="374"/>
      <c r="F353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3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3" s="12"/>
      <c r="I353" s="386" t="str">
        <f>IFERROR(IF(TRANSHARI4_HYDROPAGI[[#This Row],[NAMA REKENING]]="","",TRANSHARI4_HYDROPAGI[[#This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IFERROR(VLOOKUP(TRANSHARI4_HYDROMALAM[[#This Row],[PRODUK]],DATA_HYDRO[],6,FALSE),"")</f>
        <v/>
      </c>
      <c r="T353" s="374"/>
      <c r="U353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3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3" s="12"/>
      <c r="X353" s="386" t="str">
        <f>IFERROR(IF(TRANSHARI4_HYDROMALAM[[#This Row],[NAMA REKENING]]="","",TRANSHARI4_HYDROMALAM[[#This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IFERROR(VLOOKUP(TRANSHARI4_HYDROPAGI[[#This Row],[PRODUK]],DATA_HYDRO[],6,FALSE),"")</f>
        <v/>
      </c>
      <c r="E354" s="374"/>
      <c r="F354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4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4" s="12"/>
      <c r="I354" s="384" t="str">
        <f>IFERROR(IF(TRANSHARI4_HYDROPAGI[[#This Row],[NAMA REKENING]]="","",TRANSHARI4_HYDROPAGI[[#This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IFERROR(VLOOKUP(TRANSHARI4_HYDROMALAM[[#This Row],[PRODUK]],DATA_HYDRO[],6,FALSE),"")</f>
        <v/>
      </c>
      <c r="T354" s="374"/>
      <c r="U354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4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4" s="12"/>
      <c r="X354" s="384" t="str">
        <f>IFERROR(IF(TRANSHARI4_HYDROMALAM[[#This Row],[NAMA REKENING]]="","",TRANSHARI4_HYDROMALAM[[#This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IFERROR(VLOOKUP(TRANSHARI4_HYDROPAGI[[#This Row],[PRODUK]],DATA_HYDRO[],6,FALSE),"")</f>
        <v/>
      </c>
      <c r="E355" s="374"/>
      <c r="F355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5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5" s="12"/>
      <c r="I355" s="386" t="str">
        <f>IFERROR(IF(TRANSHARI4_HYDROPAGI[[#This Row],[NAMA REKENING]]="","",TRANSHARI4_HYDROPAGI[[#This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IFERROR(VLOOKUP(TRANSHARI4_HYDROMALAM[[#This Row],[PRODUK]],DATA_HYDRO[],6,FALSE),"")</f>
        <v/>
      </c>
      <c r="T355" s="374"/>
      <c r="U355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5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5" s="12"/>
      <c r="X355" s="386" t="str">
        <f>IFERROR(IF(TRANSHARI4_HYDROMALAM[[#This Row],[NAMA REKENING]]="","",TRANSHARI4_HYDROMALAM[[#This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IFERROR(VLOOKUP(TRANSHARI4_HYDROPAGI[[#This Row],[PRODUK]],DATA_HYDRO[],6,FALSE),"")</f>
        <v/>
      </c>
      <c r="E356" s="374"/>
      <c r="F356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6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6" s="12"/>
      <c r="I356" s="384" t="str">
        <f>IFERROR(IF(TRANSHARI4_HYDROPAGI[[#This Row],[NAMA REKENING]]="","",TRANSHARI4_HYDROPAGI[[#This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IFERROR(VLOOKUP(TRANSHARI4_HYDROMALAM[[#This Row],[PRODUK]],DATA_HYDRO[],6,FALSE),"")</f>
        <v/>
      </c>
      <c r="T356" s="374"/>
      <c r="U356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6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6" s="12"/>
      <c r="X356" s="384" t="str">
        <f>IFERROR(IF(TRANSHARI4_HYDROMALAM[[#This Row],[NAMA REKENING]]="","",TRANSHARI4_HYDROMALAM[[#This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IFERROR(VLOOKUP(TRANSHARI4_HYDROPAGI[[#This Row],[PRODUK]],DATA_HYDRO[],6,FALSE),"")</f>
        <v/>
      </c>
      <c r="E357" s="374"/>
      <c r="F357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7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7" s="12"/>
      <c r="I357" s="386" t="str">
        <f>IFERROR(IF(TRANSHARI4_HYDROPAGI[[#This Row],[NAMA REKENING]]="","",TRANSHARI4_HYDROPAGI[[#This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IFERROR(VLOOKUP(TRANSHARI4_HYDROMALAM[[#This Row],[PRODUK]],DATA_HYDRO[],6,FALSE),"")</f>
        <v/>
      </c>
      <c r="T357" s="374"/>
      <c r="U357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7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7" s="12"/>
      <c r="X357" s="386" t="str">
        <f>IFERROR(IF(TRANSHARI4_HYDROMALAM[[#This Row],[NAMA REKENING]]="","",TRANSHARI4_HYDROMALAM[[#This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IFERROR(VLOOKUP(TRANSHARI4_HYDROPAGI[[#This Row],[PRODUK]],DATA_HYDRO[],6,FALSE),"")</f>
        <v/>
      </c>
      <c r="E358" s="374"/>
      <c r="F358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8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8" s="12"/>
      <c r="I358" s="384" t="str">
        <f>IFERROR(IF(TRANSHARI4_HYDROPAGI[[#This Row],[NAMA REKENING]]="","",TRANSHARI4_HYDROPAGI[[#This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IFERROR(VLOOKUP(TRANSHARI4_HYDROMALAM[[#This Row],[PRODUK]],DATA_HYDRO[],6,FALSE),"")</f>
        <v/>
      </c>
      <c r="T358" s="374"/>
      <c r="U358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8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8" s="12"/>
      <c r="X358" s="384" t="str">
        <f>IFERROR(IF(TRANSHARI4_HYDROMALAM[[#This Row],[NAMA REKENING]]="","",TRANSHARI4_HYDROMALAM[[#This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IFERROR(VLOOKUP(TRANSHARI4_HYDROPAGI[[#This Row],[PRODUK]],DATA_HYDRO[],6,FALSE),"")</f>
        <v/>
      </c>
      <c r="E359" s="374"/>
      <c r="F359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59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59" s="12"/>
      <c r="I359" s="386" t="str">
        <f>IFERROR(IF(TRANSHARI4_HYDROPAGI[[#This Row],[NAMA REKENING]]="","",TRANSHARI4_HYDROPAGI[[#This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IFERROR(VLOOKUP(TRANSHARI4_HYDROMALAM[[#This Row],[PRODUK]],DATA_HYDRO[],6,FALSE),"")</f>
        <v/>
      </c>
      <c r="T359" s="374"/>
      <c r="U359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59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59" s="12"/>
      <c r="X359" s="386" t="str">
        <f>IFERROR(IF(TRANSHARI4_HYDROMALAM[[#This Row],[NAMA REKENING]]="","",TRANSHARI4_HYDROMALAM[[#This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IFERROR(VLOOKUP(TRANSHARI4_HYDROPAGI[[#This Row],[PRODUK]],DATA_HYDRO[],6,FALSE),"")</f>
        <v/>
      </c>
      <c r="E360" s="374"/>
      <c r="F360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0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0" s="12"/>
      <c r="I360" s="384" t="str">
        <f>IFERROR(IF(TRANSHARI4_HYDROPAGI[[#This Row],[NAMA REKENING]]="","",TRANSHARI4_HYDROPAGI[[#This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IFERROR(VLOOKUP(TRANSHARI4_HYDROMALAM[[#This Row],[PRODUK]],DATA_HYDRO[],6,FALSE),"")</f>
        <v/>
      </c>
      <c r="T360" s="374"/>
      <c r="U360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0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0" s="12"/>
      <c r="X360" s="384" t="str">
        <f>IFERROR(IF(TRANSHARI4_HYDROMALAM[[#This Row],[NAMA REKENING]]="","",TRANSHARI4_HYDROMALAM[[#This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IFERROR(VLOOKUP(TRANSHARI4_HYDROPAGI[[#This Row],[PRODUK]],DATA_HYDRO[],6,FALSE),"")</f>
        <v/>
      </c>
      <c r="E361" s="374"/>
      <c r="F361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1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1" s="12"/>
      <c r="I361" s="386" t="str">
        <f>IFERROR(IF(TRANSHARI4_HYDROPAGI[[#This Row],[NAMA REKENING]]="","",TRANSHARI4_HYDROPAGI[[#This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IFERROR(VLOOKUP(TRANSHARI4_HYDROMALAM[[#This Row],[PRODUK]],DATA_HYDRO[],6,FALSE),"")</f>
        <v/>
      </c>
      <c r="T361" s="374"/>
      <c r="U361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1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1" s="12"/>
      <c r="X361" s="386" t="str">
        <f>IFERROR(IF(TRANSHARI4_HYDROMALAM[[#This Row],[NAMA REKENING]]="","",TRANSHARI4_HYDROMALAM[[#This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IFERROR(VLOOKUP(TRANSHARI4_HYDROPAGI[[#This Row],[PRODUK]],DATA_HYDRO[],6,FALSE),"")</f>
        <v/>
      </c>
      <c r="E362" s="374"/>
      <c r="F362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2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2" s="12"/>
      <c r="I362" s="384" t="str">
        <f>IFERROR(IF(TRANSHARI4_HYDROPAGI[[#This Row],[NAMA REKENING]]="","",TRANSHARI4_HYDROPAGI[[#This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IFERROR(VLOOKUP(TRANSHARI4_HYDROMALAM[[#This Row],[PRODUK]],DATA_HYDRO[],6,FALSE),"")</f>
        <v/>
      </c>
      <c r="T362" s="374"/>
      <c r="U362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2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2" s="12"/>
      <c r="X362" s="384" t="str">
        <f>IFERROR(IF(TRANSHARI4_HYDROMALAM[[#This Row],[NAMA REKENING]]="","",TRANSHARI4_HYDROMALAM[[#This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IFERROR(VLOOKUP(TRANSHARI4_HYDROPAGI[[#This Row],[PRODUK]],DATA_HYDRO[],6,FALSE),"")</f>
        <v/>
      </c>
      <c r="E363" s="374"/>
      <c r="F363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3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3" s="12"/>
      <c r="I363" s="386" t="str">
        <f>IFERROR(IF(TRANSHARI4_HYDROPAGI[[#This Row],[NAMA REKENING]]="","",TRANSHARI4_HYDROPAGI[[#This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IFERROR(VLOOKUP(TRANSHARI4_HYDROMALAM[[#This Row],[PRODUK]],DATA_HYDRO[],6,FALSE),"")</f>
        <v/>
      </c>
      <c r="T363" s="374"/>
      <c r="U363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3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3" s="12"/>
      <c r="X363" s="386" t="str">
        <f>IFERROR(IF(TRANSHARI4_HYDROMALAM[[#This Row],[NAMA REKENING]]="","",TRANSHARI4_HYDROMALAM[[#This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IFERROR(VLOOKUP(TRANSHARI4_HYDROPAGI[[#This Row],[PRODUK]],DATA_HYDRO[],6,FALSE),"")</f>
        <v/>
      </c>
      <c r="E364" s="374"/>
      <c r="F364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4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4" s="12"/>
      <c r="I364" s="384" t="str">
        <f>IFERROR(IF(TRANSHARI4_HYDROPAGI[[#This Row],[NAMA REKENING]]="","",TRANSHARI4_HYDROPAGI[[#This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IFERROR(VLOOKUP(TRANSHARI4_HYDROMALAM[[#This Row],[PRODUK]],DATA_HYDRO[],6,FALSE),"")</f>
        <v/>
      </c>
      <c r="T364" s="374"/>
      <c r="U364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4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4" s="12"/>
      <c r="X364" s="384" t="str">
        <f>IFERROR(IF(TRANSHARI4_HYDROMALAM[[#This Row],[NAMA REKENING]]="","",TRANSHARI4_HYDROMALAM[[#This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IFERROR(VLOOKUP(TRANSHARI4_HYDROPAGI[[#This Row],[PRODUK]],DATA_HYDRO[],6,FALSE),"")</f>
        <v/>
      </c>
      <c r="E365" s="374"/>
      <c r="F365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5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5" s="12"/>
      <c r="I365" s="386" t="str">
        <f>IFERROR(IF(TRANSHARI4_HYDROPAGI[[#This Row],[NAMA REKENING]]="","",TRANSHARI4_HYDROPAGI[[#This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IFERROR(VLOOKUP(TRANSHARI4_HYDROMALAM[[#This Row],[PRODUK]],DATA_HYDRO[],6,FALSE),"")</f>
        <v/>
      </c>
      <c r="T365" s="374"/>
      <c r="U365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5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5" s="12"/>
      <c r="X365" s="386" t="str">
        <f>IFERROR(IF(TRANSHARI4_HYDROMALAM[[#This Row],[NAMA REKENING]]="","",TRANSHARI4_HYDROMALAM[[#This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IFERROR(VLOOKUP(TRANSHARI4_HYDROPAGI[[#This Row],[PRODUK]],DATA_HYDRO[],6,FALSE),"")</f>
        <v/>
      </c>
      <c r="E366" s="374"/>
      <c r="F366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6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6" s="12"/>
      <c r="I366" s="384" t="str">
        <f>IFERROR(IF(TRANSHARI4_HYDROPAGI[[#This Row],[NAMA REKENING]]="","",TRANSHARI4_HYDROPAGI[[#This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IFERROR(VLOOKUP(TRANSHARI4_HYDROMALAM[[#This Row],[PRODUK]],DATA_HYDRO[],6,FALSE),"")</f>
        <v/>
      </c>
      <c r="T366" s="374"/>
      <c r="U366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6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6" s="12"/>
      <c r="X366" s="384" t="str">
        <f>IFERROR(IF(TRANSHARI4_HYDROMALAM[[#This Row],[NAMA REKENING]]="","",TRANSHARI4_HYDROMALAM[[#This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IFERROR(VLOOKUP(TRANSHARI4_HYDROPAGI[[#This Row],[PRODUK]],DATA_HYDRO[],6,FALSE),"")</f>
        <v/>
      </c>
      <c r="E367" s="374"/>
      <c r="F367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7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7" s="12"/>
      <c r="I367" s="386" t="str">
        <f>IFERROR(IF(TRANSHARI4_HYDROPAGI[[#This Row],[NAMA REKENING]]="","",TRANSHARI4_HYDROPAGI[[#This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IFERROR(VLOOKUP(TRANSHARI4_HYDROMALAM[[#This Row],[PRODUK]],DATA_HYDRO[],6,FALSE),"")</f>
        <v/>
      </c>
      <c r="T367" s="374"/>
      <c r="U367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7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7" s="12"/>
      <c r="X367" s="386" t="str">
        <f>IFERROR(IF(TRANSHARI4_HYDROMALAM[[#This Row],[NAMA REKENING]]="","",TRANSHARI4_HYDROMALAM[[#This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IFERROR(VLOOKUP(TRANSHARI4_HYDROPAGI[[#This Row],[PRODUK]],DATA_HYDRO[],6,FALSE),"")</f>
        <v/>
      </c>
      <c r="E368" s="374"/>
      <c r="F368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8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8" s="12"/>
      <c r="I368" s="384" t="str">
        <f>IFERROR(IF(TRANSHARI4_HYDROPAGI[[#This Row],[NAMA REKENING]]="","",TRANSHARI4_HYDROPAGI[[#This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IFERROR(VLOOKUP(TRANSHARI4_HYDROMALAM[[#This Row],[PRODUK]],DATA_HYDRO[],6,FALSE),"")</f>
        <v/>
      </c>
      <c r="T368" s="374"/>
      <c r="U368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8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8" s="12"/>
      <c r="X368" s="384" t="str">
        <f>IFERROR(IF(TRANSHARI4_HYDROMALAM[[#This Row],[NAMA REKENING]]="","",TRANSHARI4_HYDROMALAM[[#This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IFERROR(VLOOKUP(TRANSHARI4_HYDROPAGI[[#This Row],[PRODUK]],DATA_HYDRO[],6,FALSE),"")</f>
        <v/>
      </c>
      <c r="E369" s="374"/>
      <c r="F369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69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69" s="12"/>
      <c r="I369" s="386" t="str">
        <f>IFERROR(IF(TRANSHARI4_HYDROPAGI[[#This Row],[NAMA REKENING]]="","",TRANSHARI4_HYDROPAGI[[#This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IFERROR(VLOOKUP(TRANSHARI4_HYDROMALAM[[#This Row],[PRODUK]],DATA_HYDRO[],6,FALSE),"")</f>
        <v/>
      </c>
      <c r="T369" s="374"/>
      <c r="U369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69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69" s="12"/>
      <c r="X369" s="386" t="str">
        <f>IFERROR(IF(TRANSHARI4_HYDROMALAM[[#This Row],[NAMA REKENING]]="","",TRANSHARI4_HYDROMALAM[[#This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IFERROR(VLOOKUP(TRANSHARI4_HYDROPAGI[[#This Row],[PRODUK]],DATA_HYDRO[],6,FALSE),"")</f>
        <v/>
      </c>
      <c r="E370" s="374"/>
      <c r="F370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0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0" s="12"/>
      <c r="I370" s="384" t="str">
        <f>IFERROR(IF(TRANSHARI4_HYDROPAGI[[#This Row],[NAMA REKENING]]="","",TRANSHARI4_HYDROPAGI[[#This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IFERROR(VLOOKUP(TRANSHARI4_HYDROMALAM[[#This Row],[PRODUK]],DATA_HYDRO[],6,FALSE),"")</f>
        <v/>
      </c>
      <c r="T370" s="374"/>
      <c r="U370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0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0" s="12"/>
      <c r="X370" s="384" t="str">
        <f>IFERROR(IF(TRANSHARI4_HYDROMALAM[[#This Row],[NAMA REKENING]]="","",TRANSHARI4_HYDROMALAM[[#This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IFERROR(VLOOKUP(TRANSHARI4_HYDROPAGI[[#This Row],[PRODUK]],DATA_HYDRO[],6,FALSE),"")</f>
        <v/>
      </c>
      <c r="E371" s="374"/>
      <c r="F371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1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1" s="12"/>
      <c r="I371" s="386" t="str">
        <f>IFERROR(IF(TRANSHARI4_HYDROPAGI[[#This Row],[NAMA REKENING]]="","",TRANSHARI4_HYDROPAGI[[#This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IFERROR(VLOOKUP(TRANSHARI4_HYDROMALAM[[#This Row],[PRODUK]],DATA_HYDRO[],6,FALSE),"")</f>
        <v/>
      </c>
      <c r="T371" s="374"/>
      <c r="U371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1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1" s="12"/>
      <c r="X371" s="386" t="str">
        <f>IFERROR(IF(TRANSHARI4_HYDROMALAM[[#This Row],[NAMA REKENING]]="","",TRANSHARI4_HYDROMALAM[[#This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IFERROR(VLOOKUP(TRANSHARI4_HYDROPAGI[[#This Row],[PRODUK]],DATA_HYDRO[],6,FALSE),"")</f>
        <v/>
      </c>
      <c r="E372" s="374"/>
      <c r="F372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2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2" s="12"/>
      <c r="I372" s="384" t="str">
        <f>IFERROR(IF(TRANSHARI4_HYDROPAGI[[#This Row],[NAMA REKENING]]="","",TRANSHARI4_HYDROPAGI[[#This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IFERROR(VLOOKUP(TRANSHARI4_HYDROMALAM[[#This Row],[PRODUK]],DATA_HYDRO[],6,FALSE),"")</f>
        <v/>
      </c>
      <c r="T372" s="374"/>
      <c r="U372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2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2" s="12"/>
      <c r="X372" s="384" t="str">
        <f>IFERROR(IF(TRANSHARI4_HYDROMALAM[[#This Row],[NAMA REKENING]]="","",TRANSHARI4_HYDROMALAM[[#This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IFERROR(VLOOKUP(TRANSHARI4_HYDROPAGI[[#This Row],[PRODUK]],DATA_HYDRO[],6,FALSE),"")</f>
        <v/>
      </c>
      <c r="E373" s="374"/>
      <c r="F373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3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3" s="12"/>
      <c r="I373" s="386" t="str">
        <f>IFERROR(IF(TRANSHARI4_HYDROPAGI[[#This Row],[NAMA REKENING]]="","",TRANSHARI4_HYDROPAGI[[#This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IFERROR(VLOOKUP(TRANSHARI4_HYDROMALAM[[#This Row],[PRODUK]],DATA_HYDRO[],6,FALSE),"")</f>
        <v/>
      </c>
      <c r="T373" s="374"/>
      <c r="U373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3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3" s="12"/>
      <c r="X373" s="386" t="str">
        <f>IFERROR(IF(TRANSHARI4_HYDROMALAM[[#This Row],[NAMA REKENING]]="","",TRANSHARI4_HYDROMALAM[[#This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IFERROR(VLOOKUP(TRANSHARI4_HYDROPAGI[[#This Row],[PRODUK]],DATA_HYDRO[],6,FALSE),"")</f>
        <v/>
      </c>
      <c r="E374" s="374"/>
      <c r="F374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4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4" s="12"/>
      <c r="I374" s="384" t="str">
        <f>IFERROR(IF(TRANSHARI4_HYDROPAGI[[#This Row],[NAMA REKENING]]="","",TRANSHARI4_HYDROPAGI[[#This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IFERROR(VLOOKUP(TRANSHARI4_HYDROMALAM[[#This Row],[PRODUK]],DATA_HYDRO[],6,FALSE),"")</f>
        <v/>
      </c>
      <c r="T374" s="374"/>
      <c r="U374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4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4" s="12"/>
      <c r="X374" s="384" t="str">
        <f>IFERROR(IF(TRANSHARI4_HYDROMALAM[[#This Row],[NAMA REKENING]]="","",TRANSHARI4_HYDROMALAM[[#This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IFERROR(VLOOKUP(TRANSHARI4_HYDROPAGI[[#This Row],[PRODUK]],DATA_HYDRO[],6,FALSE),"")</f>
        <v/>
      </c>
      <c r="E375" s="376"/>
      <c r="F375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5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5" s="377"/>
      <c r="I375" s="386" t="str">
        <f>IFERROR(IF(TRANSHARI4_HYDROPAGI[[#This Row],[NAMA REKENING]]="","",TRANSHARI4_HYDROPAGI[[#This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IFERROR(VLOOKUP(TRANSHARI4_HYDROMALAM[[#This Row],[PRODUK]],DATA_HYDRO[],6,FALSE),"")</f>
        <v/>
      </c>
      <c r="T375" s="376"/>
      <c r="U375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5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5" s="377"/>
      <c r="X375" s="386" t="str">
        <f>IFERROR(IF(TRANSHARI4_HYDROMALAM[[#This Row],[NAMA REKENING]]="","",TRANSHARI4_HYDROMALAM[[#This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IFERROR(VLOOKUP(TRANSHARI4_HYDROPAGI[[#This Row],[PRODUK]],DATA_HYDRO[],6,FALSE),"")</f>
        <v/>
      </c>
      <c r="E376" s="374"/>
      <c r="F376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6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6" s="12"/>
      <c r="I376" s="384" t="str">
        <f>IFERROR(IF(TRANSHARI4_HYDROPAGI[[#This Row],[NAMA REKENING]]="","",TRANSHARI4_HYDROPAGI[[#This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IFERROR(VLOOKUP(TRANSHARI4_HYDROMALAM[[#This Row],[PRODUK]],DATA_HYDRO[],6,FALSE),"")</f>
        <v/>
      </c>
      <c r="T376" s="374"/>
      <c r="U376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6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6" s="12"/>
      <c r="X376" s="384" t="str">
        <f>IFERROR(IF(TRANSHARI4_HYDROMALAM[[#This Row],[NAMA REKENING]]="","",TRANSHARI4_HYDROMALAM[[#This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IFERROR(VLOOKUP(TRANSHARI4_HYDROPAGI[[#This Row],[PRODUK]],DATA_HYDRO[],6,FALSE),"")</f>
        <v/>
      </c>
      <c r="E377" s="374"/>
      <c r="F377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7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7" s="12"/>
      <c r="I377" s="386" t="str">
        <f>IFERROR(IF(TRANSHARI4_HYDROPAGI[[#This Row],[NAMA REKENING]]="","",TRANSHARI4_HYDROPAGI[[#This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IFERROR(VLOOKUP(TRANSHARI4_HYDROMALAM[[#This Row],[PRODUK]],DATA_HYDRO[],6,FALSE),"")</f>
        <v/>
      </c>
      <c r="T377" s="374"/>
      <c r="U377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7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7" s="12"/>
      <c r="X377" s="386" t="str">
        <f>IFERROR(IF(TRANSHARI4_HYDROMALAM[[#This Row],[NAMA REKENING]]="","",TRANSHARI4_HYDROMALAM[[#This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IFERROR(VLOOKUP(TRANSHARI4_HYDROPAGI[[#This Row],[PRODUK]],DATA_HYDRO[],6,FALSE),"")</f>
        <v/>
      </c>
      <c r="E378" s="374"/>
      <c r="F378" s="369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8" s="369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8" s="12"/>
      <c r="I378" s="384" t="str">
        <f>IFERROR(IF(TRANSHARI4_HYDROPAGI[[#This Row],[NAMA REKENING]]="","",TRANSHARI4_HYDROPAGI[[#This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IFERROR(VLOOKUP(TRANSHARI4_HYDROMALAM[[#This Row],[PRODUK]],DATA_HYDRO[],6,FALSE),"")</f>
        <v/>
      </c>
      <c r="T378" s="374"/>
      <c r="U378" s="369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8" s="369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8" s="12"/>
      <c r="X378" s="384" t="str">
        <f>IFERROR(IF(TRANSHARI4_HYDROMALAM[[#This Row],[NAMA REKENING]]="","",TRANSHARI4_HYDROMALAM[[#This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IFERROR(VLOOKUP(TRANSHARI4_HYDROPAGI[[#This Row],[PRODUK]],DATA_HYDRO[],6,FALSE),"")</f>
        <v/>
      </c>
      <c r="E379" s="374"/>
      <c r="F379" s="373" t="str">
        <f>IFERROR(IF(TRANSHARI4_HYDROPAGI[[#This Row],[NAMA PENGHUTANG]]="",((TRANSHARI4_HYDROPAGI[[#This Row],[HARGA]]*TRANSHARI4_HYDROPAGI[[#This Row],[QUANTITY]])+TRANSHARI4_HYDROPAGI[[#This Row],[PRICE TOLERANCE]]),""),"")</f>
        <v/>
      </c>
      <c r="G379" s="373" t="str">
        <f>IFERROR(IF(TRANSHARI4_HYDROPAGI[[#This Row],[NAMA PENGHUTANG]]="","",((TRANSHARI4_HYDROPAGI[[#This Row],[HARGA]]*TRANSHARI4_HYDROPAGI[[#This Row],[QUANTITY]])+TRANSHARI4_HYDROPAGI[[#This Row],[PRICE TOLERANCE]])),"")</f>
        <v/>
      </c>
      <c r="H379" s="12"/>
      <c r="I379" s="386" t="str">
        <f>IFERROR(IF(TRANSHARI4_HYDROPAGI[[#This Row],[NAMA REKENING]]="","",TRANSHARI4_HYDROPAGI[[#This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IFERROR(VLOOKUP(TRANSHARI4_HYDROMALAM[[#This Row],[PRODUK]],DATA_HYDRO[],6,FALSE),"")</f>
        <v/>
      </c>
      <c r="T379" s="374"/>
      <c r="U379" s="373" t="str">
        <f>IFERROR(IF(TRANSHARI4_HYDROMALAM[[#This Row],[NAMA PENGHUTANG]]="",((TRANSHARI4_HYDROMALAM[[#This Row],[HARGA]]*TRANSHARI4_HYDROMALAM[[#This Row],[QUANTITY]])+TRANSHARI4_HYDROMALAM[[#This Row],[PRICE TOLERANCE]]),""),"")</f>
        <v/>
      </c>
      <c r="V379" s="373" t="str">
        <f>IFERROR(IF(TRANSHARI4_HYDROMALAM[[#This Row],[NAMA PENGHUTANG]]="","",((TRANSHARI4_HYDROMALAM[[#This Row],[HARGA]]*TRANSHARI4_HYDROMALAM[[#This Row],[QUANTITY]])+TRANSHARI4_HYDROMALAM[[#This Row],[PRICE TOLERANCE]])),"")</f>
        <v/>
      </c>
      <c r="W379" s="12"/>
      <c r="X379" s="386" t="str">
        <f>IFERROR(IF(TRANSHARI4_HYDROMALAM[[#This Row],[NAMA REKENING]]="","",TRANSHARI4_HYDROMALAM[[#This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SUM(TRANSHARI4_HYDROPAGI[QUANTITY])</f>
        <v>0</v>
      </c>
      <c r="E380" s="398">
        <f>SUM(TRANSHARI4_HYDROPAGI[PRICE TOLERANCE])</f>
        <v>0</v>
      </c>
      <c r="F380" s="396">
        <f>SUM(TRANSHARI4_HYDROPAGI[DEBIT])</f>
        <v>0</v>
      </c>
      <c r="G380" s="396">
        <f>SUM(TRANSHARI4_HYDROPAGI[KREDIT])</f>
        <v>0</v>
      </c>
      <c r="I380" s="396">
        <f>SUM(TRANSHARI4_HYDROPAGI[NOMINAL TRANSFER])</f>
        <v>0</v>
      </c>
      <c r="O380" s="324"/>
      <c r="P380" s="303" t="s">
        <v>78</v>
      </c>
      <c r="Q380" s="316"/>
      <c r="R380" s="395">
        <f>SUM(TRANSHARI4_HYDROMALAM[QUANTITY])</f>
        <v>0</v>
      </c>
      <c r="T380" s="398">
        <f>SUM(TRANSHARI4_HYDROMALAM[PRICE TOLERANCE])</f>
        <v>0</v>
      </c>
      <c r="U380" s="396">
        <f>SUM(TRANSHARI4_HYDROMALAM[DEBIT])</f>
        <v>0</v>
      </c>
      <c r="V380" s="396">
        <f>SUM(TRANSHARI4_HYDROMALAM[KREDIT])</f>
        <v>0</v>
      </c>
      <c r="X380" s="396">
        <f>SUM(TRANSHARI4_HYDROMALAM[NOMINAL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206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207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SUM(TRANSHARI4_PULSAPAGI[DEBIT])</f>
        <v>0</v>
      </c>
      <c r="D390" s="431">
        <f>SUM(TRANSHARI4_PULSAPAGI[KREDIT])</f>
        <v>0</v>
      </c>
      <c r="E390" s="432">
        <f>SUM(TRANSHARI4_PULSAPAGI[NOMINAL TRANSFER])</f>
        <v>0</v>
      </c>
      <c r="F390" s="433">
        <f>0</f>
        <v>0</v>
      </c>
      <c r="G390" s="434">
        <f>COUNTA(TRANSHARI4_PULSAPAGI[[DEBIT]:[KREDIT]])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SUM(TRANSHARI4_PULSAMALAM[DEBIT])</f>
        <v>0</v>
      </c>
      <c r="S390" s="431">
        <f>SUM(TRANSHARI4_PULSAMALAM[KREDIT])</f>
        <v>0</v>
      </c>
      <c r="T390" s="432">
        <f>SUM(TRANSHARI4_PULSAMALAM[NOMINAL TRANSFER])</f>
        <v>0</v>
      </c>
      <c r="U390" s="433">
        <f>0</f>
        <v>0</v>
      </c>
      <c r="V390" s="434">
        <f>COUNTA(TRANSHARI4_PULSAMALAM[[DEBIT]:[KREDIT]])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SUM(TRANSHARI4_ROKOKPAGI[DEBIT])</f>
        <v>0</v>
      </c>
      <c r="D391" s="431">
        <f>SUM(TRANSHARI4_ROKOKPAGI[KREDIT])</f>
        <v>0</v>
      </c>
      <c r="E391" s="432">
        <f>SUM(TRANSHARI4_ROKOKPAGI[NOMINAL TRANSFER])</f>
        <v>0</v>
      </c>
      <c r="F391" s="433">
        <f>SUM(TRANSHARI4_ROKOKPAGI[PRICE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SUM(TRANSHARI4_ROKOKMALAM[DEBIT])</f>
        <v>0</v>
      </c>
      <c r="S391" s="431">
        <f>SUM(TRANSHARI4_ROKOKMALAM[KREDIT])</f>
        <v>0</v>
      </c>
      <c r="T391" s="432">
        <f>SUM(TRANSHARI4_ROKOKMALAM[NOMINAL TRANSFER])</f>
        <v>0</v>
      </c>
      <c r="U391" s="433">
        <f>SUM(TRANSHARI4_ROKOKMALAM[PRICE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SUM(TRANSHARI4_SPVOUPAGI[DEBIT])</f>
        <v>0</v>
      </c>
      <c r="D392" s="431">
        <f>SUM(TRANSHARI4_SPVOUPAGI[KREDIT])</f>
        <v>0</v>
      </c>
      <c r="E392" s="432">
        <f>SUM(TRANSHARI4_SPVOUPAGI[NOMINAL TRANSFER])</f>
        <v>0</v>
      </c>
      <c r="F392" s="433">
        <f>SUM(TRANSHARI4_SPVOUPAGI[PRICE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SUM(TRANSHARI4_SPVOUMALAM[DEBIT])</f>
        <v>0</v>
      </c>
      <c r="S392" s="431">
        <f>SUM(TRANSHARI4_SPVOUMALAM[KREDIT])</f>
        <v>0</v>
      </c>
      <c r="T392" s="432">
        <f>SUM(TRANSHARI4_SPVOUMALAM[NOMINAL TRANSFER])</f>
        <v>0</v>
      </c>
      <c r="U392" s="433">
        <f>SUM(TRANSHARI4_SPVOUMALAM[PRICE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SUM(TRANSHARI4_SOFTDRINKPAGI[DEBIT])</f>
        <v>0</v>
      </c>
      <c r="D393" s="431">
        <f>SUM(TRANSHARI4_SOFTDRINKPAGI[KREDIT])</f>
        <v>0</v>
      </c>
      <c r="E393" s="432">
        <f>SUM(TRANSHARI4_SOFTDRINKPAGI[NOMINAL TRANSFER])</f>
        <v>0</v>
      </c>
      <c r="F393" s="433">
        <f>SUM(TRANSHARI4_SOFTDRINKPAGI[PRICE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SUM(TRANSHARI4_SOFTDRINKMALAM[DEBIT])</f>
        <v>0</v>
      </c>
      <c r="S393" s="431">
        <f>SUM(TRANSHARI4_SOFTDRINKMALAM[KREDIT])</f>
        <v>0</v>
      </c>
      <c r="T393" s="432">
        <f>SUM(TRANSHARI4_SOFTDRINKMALAM[NOMINAL TRANSFER])</f>
        <v>0</v>
      </c>
      <c r="U393" s="433">
        <f>SUM(TRANSHARI4_SOFTDRINKMALAM[PRICE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SUM(TRANSHARI4_ICECREAMPAGI[DEBIT])</f>
        <v>0</v>
      </c>
      <c r="D394" s="431">
        <f>SUM(TRANSHARI4_ICECREAMPAGI[KREDIT])</f>
        <v>0</v>
      </c>
      <c r="E394" s="432">
        <f>SUM(TRANSHARI4_ICECREAMPAGI[NOMINAL TRANSFER])</f>
        <v>0</v>
      </c>
      <c r="F394" s="433">
        <f>SUM(TRANSHARI4_ICECREAMPAGI[PRICE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SUM(TRANSHARI4_ICECREAMMALAM[DEBIT])</f>
        <v>0</v>
      </c>
      <c r="S394" s="431">
        <f>SUM(TRANSHARI4_ICECREAMMALAM[KREDIT])</f>
        <v>0</v>
      </c>
      <c r="T394" s="432">
        <f>SUM(TRANSHARI4_ICECREAMMALAM[NOMINAL TRANSFER])</f>
        <v>0</v>
      </c>
      <c r="U394" s="433">
        <f>SUM(TRANSHARI4_ICECREAMMALAM[PRICE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SUM(TRANSHARI4_ACCPAGI[DEBIT])</f>
        <v>0</v>
      </c>
      <c r="D395" s="431">
        <f>SUM(TRANSHARI4_ACCPAGI[KREDIT])</f>
        <v>0</v>
      </c>
      <c r="E395" s="432">
        <f>SUM(TRANSHARI4_ACCPAGI[NOMINAL TRANSFER])</f>
        <v>0</v>
      </c>
      <c r="F395" s="433">
        <f>SUM(TRANSHARI4_ACCPAGI[PRICE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SUM(TRANSHARI4_ACCMALAM[DEBIT])</f>
        <v>0</v>
      </c>
      <c r="S395" s="431">
        <f>SUM(TRANSHARI4_ACCMALAM[KREDIT])</f>
        <v>0</v>
      </c>
      <c r="T395" s="432">
        <f>SUM(TRANSHARI4_ACCMALAM[NOMINAL TRANSFER])</f>
        <v>0</v>
      </c>
      <c r="U395" s="433">
        <f>SUM(TRANSHARI4_ACCMALAM[PRICE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SUM(TRANSHARI4_HYDROPAGI[DEBIT])</f>
        <v>0</v>
      </c>
      <c r="D396" s="437">
        <f>SUM(TRANSHARI4_HYDROPAGI[KREDIT])</f>
        <v>0</v>
      </c>
      <c r="E396" s="438">
        <f>SUM(TRANSHARI4_HYDROPAGI[NOMINAL TRANSFER])</f>
        <v>0</v>
      </c>
      <c r="F396" s="439">
        <f>SUM(TRANSHARI4_HYDROPAGI[PRICE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SUM(TRANSHARI4_HYDROMALAM[DEBIT])</f>
        <v>0</v>
      </c>
      <c r="S396" s="437">
        <f>SUM(TRANSHARI4_HYDROMALAM[KREDIT])</f>
        <v>0</v>
      </c>
      <c r="T396" s="438">
        <f>SUM(TRANSHARI4_HYDROMALAM[NOMINAL TRANSFER])</f>
        <v>0</v>
      </c>
      <c r="U396" s="439">
        <f>SUM(TRANSHARI4_HYDROMALAM[PRICE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3'!T430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4CK/rpuaLhbRcJY8ALazKYq8xYIXSPdkHMGL8zPsSvV7PF2vgGX092oHoEf+KX8b1ta0XpgTk4qggNMksl7Esw==" saltValue="L63+dniO2xmTkIPbtZSDQw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24:AC447"/>
  <sheetViews>
    <sheetView showGridLines="0" zoomScale="77" zoomScaleNormal="77" topLeftCell="S405" workbookViewId="0">
      <selection activeCell="Q159" sqref="Q159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208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209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IFERROR(IF(TRANSHARI5_PULSAPAGI[[#This Row],[NAMA REKENING]]="","",TRANSHARI5_PULSAPAGI[[#This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IFERROR(IF(TRANSHARI5_PULSAMALAM[[#This Row],[NAMA REKENING]]="","",TRANSHARI5_PULSAMALAM[[#This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IFERROR(IF(TRANSHARI5_PULSAPAGI[[#This Row],[NAMA REKENING]]="","",TRANSHARI5_PULSAPAGI[[#This Row],[DEBIT]]),"")</f>
        <v/>
      </c>
      <c r="I29" s="311"/>
      <c r="J29" s="326"/>
      <c r="K29" s="330" t="s">
        <v>27</v>
      </c>
      <c r="L29" s="331">
        <f>'HARI 4'!AA33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IFERROR(IF(TRANSHARI5_PULSAMALAM[[#This Row],[NAMA REKENING]]="","",TRANSHARI5_PULSAMALAM[[#This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IFERROR(IF(TRANSHARI5_PULSAPAGI[[#This Row],[NAMA REKENING]]="","",TRANSHARI5_PULSAPAGI[[#This Row],[DEBIT]]),"")</f>
        <v/>
      </c>
      <c r="I30" s="311"/>
      <c r="J30" s="326"/>
      <c r="K30" s="332" t="s">
        <v>30</v>
      </c>
      <c r="L30" s="333">
        <f>SUMIF(TRANSHARI5_PULSAPAGI[APLIKASI],K28,TRANSHARI5_PULSAPAGI[SALDO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IFERROR(IF(TRANSHARI5_PULSAMALAM[[#This Row],[NAMA REKENING]]="","",TRANSHARI5_PULSAMALAM[[#This Row],[DEBIT]]),"")</f>
        <v/>
      </c>
      <c r="X30" s="311"/>
      <c r="Y30" s="326"/>
      <c r="Z30" s="332" t="s">
        <v>30</v>
      </c>
      <c r="AA30" s="333">
        <f>SUMIF(TRANSHARI5_PULSAMALAM[APLIKASI],Z28,TRANSHARI5_PULSAMALAM[SALDO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IFERROR(IF(TRANSHARI5_PULSAPAGI[[#This Row],[NAMA REKENING]]="","",TRANSHARI5_PULSAPAGI[[#This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IFERROR(IF(TRANSHARI5_PULSAMALAM[[#This Row],[NAMA REKENING]]="","",TRANSHARI5_PULSAMALAM[[#This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IFERROR(IF(TRANSHARI5_PULSAPAGI[[#This Row],[NAMA REKENING]]="","",TRANSHARI5_PULSAPAGI[[#This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IFERROR(IF(TRANSHARI5_PULSAMALAM[[#This Row],[NAMA REKENING]]="","",TRANSHARI5_PULSAMALAM[[#This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IFERROR(IF(TRANSHARI5_PULSAPAGI[[#This Row],[NAMA REKENING]]="","",TRANSHARI5_PULSAPAGI[[#This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IFERROR(IF(TRANSHARI5_PULSAMALAM[[#This Row],[NAMA REKENING]]="","",TRANSHARI5_PULSAMALAM[[#This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IFERROR(IF(TRANSHARI5_PULSAPAGI[[#This Row],[NAMA REKENING]]="","",TRANSHARI5_PULSAPAGI[[#This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IFERROR(IF(TRANSHARI5_PULSAMALAM[[#This Row],[NAMA REKENING]]="","",TRANSHARI5_PULSAMALAM[[#This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IFERROR(IF(TRANSHARI5_PULSAPAGI[[#This Row],[NAMA REKENING]]="","",TRANSHARI5_PULSAPAGI[[#This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IFERROR(IF(TRANSHARI5_PULSAMALAM[[#This Row],[NAMA REKENING]]="","",TRANSHARI5_PULSAMALAM[[#This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IFERROR(IF(TRANSHARI5_PULSAPAGI[[#This Row],[NAMA REKENING]]="","",TRANSHARI5_PULSAPAGI[[#This Row],[DEBIT]]),"")</f>
        <v/>
      </c>
      <c r="I36" s="311"/>
      <c r="J36" s="326"/>
      <c r="K36" s="330" t="s">
        <v>27</v>
      </c>
      <c r="L36" s="331">
        <f>'HARI 4'!AA40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IFERROR(IF(TRANSHARI5_PULSAMALAM[[#This Row],[NAMA REKENING]]="","",TRANSHARI5_PULSAMALAM[[#This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IFERROR(IF(TRANSHARI5_PULSAPAGI[[#This Row],[NAMA REKENING]]="","",TRANSHARI5_PULSAPAGI[[#This Row],[DEBIT]]),"")</f>
        <v/>
      </c>
      <c r="I37" s="311"/>
      <c r="J37" s="326"/>
      <c r="K37" s="332" t="s">
        <v>30</v>
      </c>
      <c r="L37" s="333">
        <f>SUMIF(TRANSHARI5_PULSAPAGI[APLIKASI],K35,TRANSHARI5_PULSAPAGI[SALDO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IFERROR(IF(TRANSHARI5_PULSAMALAM[[#This Row],[NAMA REKENING]]="","",TRANSHARI5_PULSAMALAM[[#This Row],[DEBIT]]),"")</f>
        <v/>
      </c>
      <c r="X37" s="311"/>
      <c r="Y37" s="326"/>
      <c r="Z37" s="332" t="s">
        <v>30</v>
      </c>
      <c r="AA37" s="333">
        <f>SUMIF(TRANSHARI5_PULSAMALAM[APLIKASI],Z35,TRANSHARI5_PULSAMALAM[SALDO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IFERROR(IF(TRANSHARI5_PULSAPAGI[[#This Row],[NAMA REKENING]]="","",TRANSHARI5_PULSAPAGI[[#This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IFERROR(IF(TRANSHARI5_PULSAMALAM[[#This Row],[NAMA REKENING]]="","",TRANSHARI5_PULSAMALAM[[#This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IFERROR(IF(TRANSHARI5_PULSAPAGI[[#This Row],[NAMA REKENING]]="","",TRANSHARI5_PULSAPAGI[[#This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IFERROR(IF(TRANSHARI5_PULSAMALAM[[#This Row],[NAMA REKENING]]="","",TRANSHARI5_PULSAMALAM[[#This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IFERROR(IF(TRANSHARI5_PULSAPAGI[[#This Row],[NAMA REKENING]]="","",TRANSHARI5_PULSAPAGI[[#This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IFERROR(IF(TRANSHARI5_PULSAMALAM[[#This Row],[NAMA REKENING]]="","",TRANSHARI5_PULSAMALAM[[#This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IFERROR(IF(TRANSHARI5_PULSAPAGI[[#This Row],[NAMA REKENING]]="","",TRANSHARI5_PULSAPAGI[[#This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IFERROR(IF(TRANSHARI5_PULSAMALAM[[#This Row],[NAMA REKENING]]="","",TRANSHARI5_PULSAMALAM[[#This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IFERROR(IF(TRANSHARI5_PULSAPAGI[[#This Row],[NAMA REKENING]]="","",TRANSHARI5_PULSAPAGI[[#This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IFERROR(IF(TRANSHARI5_PULSAMALAM[[#This Row],[NAMA REKENING]]="","",TRANSHARI5_PULSAMALAM[[#This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IFERROR(IF(TRANSHARI5_PULSAPAGI[[#This Row],[NAMA REKENING]]="","",TRANSHARI5_PULSAPAGI[[#This Row],[DEBIT]]),"")</f>
        <v/>
      </c>
      <c r="I43" s="311"/>
      <c r="J43" s="326"/>
      <c r="K43" s="330" t="s">
        <v>27</v>
      </c>
      <c r="L43" s="331">
        <f>'HARI 4'!AA47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IFERROR(IF(TRANSHARI5_PULSAMALAM[[#This Row],[NAMA REKENING]]="","",TRANSHARI5_PULSAMALAM[[#This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IFERROR(IF(TRANSHARI5_PULSAPAGI[[#This Row],[NAMA REKENING]]="","",TRANSHARI5_PULSAPAGI[[#This Row],[DEBIT]]),"")</f>
        <v/>
      </c>
      <c r="I44" s="311"/>
      <c r="J44" s="326"/>
      <c r="K44" s="332" t="s">
        <v>30</v>
      </c>
      <c r="L44" s="333">
        <f>SUMIF(TRANSHARI5_PULSAPAGI[APLIKASI],K42,TRANSHARI5_PULSAPAGI[SALDO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IFERROR(IF(TRANSHARI5_PULSAMALAM[[#This Row],[NAMA REKENING]]="","",TRANSHARI5_PULSAMALAM[[#This Row],[DEBIT]]),"")</f>
        <v/>
      </c>
      <c r="X44" s="311"/>
      <c r="Y44" s="326"/>
      <c r="Z44" s="332" t="s">
        <v>30</v>
      </c>
      <c r="AA44" s="333">
        <f>SUMIF(TRANSHARI5_PULSAMALAM[APLIKASI],Z42,TRANSHARI5_PULSAMALAM[SALDO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IFERROR(IF(TRANSHARI5_PULSAPAGI[[#This Row],[NAMA REKENING]]="","",TRANSHARI5_PULSAPAGI[[#This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IFERROR(IF(TRANSHARI5_PULSAMALAM[[#This Row],[NAMA REKENING]]="","",TRANSHARI5_PULSAMALAM[[#This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IFERROR(IF(TRANSHARI5_PULSAPAGI[[#This Row],[NAMA REKENING]]="","",TRANSHARI5_PULSAPAGI[[#This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IFERROR(IF(TRANSHARI5_PULSAMALAM[[#This Row],[NAMA REKENING]]="","",TRANSHARI5_PULSAMALAM[[#This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IFERROR(IF(TRANSHARI5_PULSAPAGI[[#This Row],[NAMA REKENING]]="","",TRANSHARI5_PULSAPAGI[[#This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IFERROR(IF(TRANSHARI5_PULSAMALAM[[#This Row],[NAMA REKENING]]="","",TRANSHARI5_PULSAMALAM[[#This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IFERROR(IF(TRANSHARI5_PULSAPAGI[[#This Row],[NAMA REKENING]]="","",TRANSHARI5_PULSAPAGI[[#This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IFERROR(IF(TRANSHARI5_PULSAMALAM[[#This Row],[NAMA REKENING]]="","",TRANSHARI5_PULSAMALAM[[#This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IFERROR(IF(TRANSHARI5_PULSAPAGI[[#This Row],[NAMA REKENING]]="","",TRANSHARI5_PULSAPAGI[[#This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IFERROR(IF(TRANSHARI5_PULSAMALAM[[#This Row],[NAMA REKENING]]="","",TRANSHARI5_PULSAMALAM[[#This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IFERROR(IF(TRANSHARI5_PULSAPAGI[[#This Row],[NAMA REKENING]]="","",TRANSHARI5_PULSAPAGI[[#This Row],[DEBIT]]),"")</f>
        <v/>
      </c>
      <c r="I50" s="311"/>
      <c r="J50" s="326"/>
      <c r="K50" s="330" t="s">
        <v>27</v>
      </c>
      <c r="L50" s="331">
        <f>'HARI 4'!AA54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IFERROR(IF(TRANSHARI5_PULSAMALAM[[#This Row],[NAMA REKENING]]="","",TRANSHARI5_PULSAMALAM[[#This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IFERROR(IF(TRANSHARI5_PULSAPAGI[[#This Row],[NAMA REKENING]]="","",TRANSHARI5_PULSAPAGI[[#This Row],[DEBIT]]),"")</f>
        <v/>
      </c>
      <c r="I51" s="311"/>
      <c r="J51" s="326"/>
      <c r="K51" s="332" t="s">
        <v>30</v>
      </c>
      <c r="L51" s="333">
        <f>SUMIF(TRANSHARI5_PULSAPAGI[APLIKASI],K49,TRANSHARI5_PULSAPAGI[SALDO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IFERROR(IF(TRANSHARI5_PULSAMALAM[[#This Row],[NAMA REKENING]]="","",TRANSHARI5_PULSAMALAM[[#This Row],[DEBIT]]),"")</f>
        <v/>
      </c>
      <c r="X51" s="311"/>
      <c r="Y51" s="326"/>
      <c r="Z51" s="332" t="s">
        <v>30</v>
      </c>
      <c r="AA51" s="333">
        <f>SUMIF(TRANSHARI5_PULSAMALAM[APLIKASI],Z49,TRANSHARI5_PULSAMALAM[SALDO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IFERROR(IF(TRANSHARI5_PULSAPAGI[[#This Row],[NAMA REKENING]]="","",TRANSHARI5_PULSAPAGI[[#This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IFERROR(IF(TRANSHARI5_PULSAMALAM[[#This Row],[NAMA REKENING]]="","",TRANSHARI5_PULSAMALAM[[#This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IFERROR(IF(TRANSHARI5_PULSAPAGI[[#This Row],[NAMA REKENING]]="","",TRANSHARI5_PULSAPAGI[[#This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IFERROR(IF(TRANSHARI5_PULSAMALAM[[#This Row],[NAMA REKENING]]="","",TRANSHARI5_PULSAMALAM[[#This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IFERROR(IF(TRANSHARI5_PULSAPAGI[[#This Row],[NAMA REKENING]]="","",TRANSHARI5_PULSAPAGI[[#This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IFERROR(IF(TRANSHARI5_PULSAMALAM[[#This Row],[NAMA REKENING]]="","",TRANSHARI5_PULSAMALAM[[#This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IFERROR(IF(TRANSHARI5_PULSAPAGI[[#This Row],[NAMA REKENING]]="","",TRANSHARI5_PULSAPAGI[[#This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IFERROR(IF(TRANSHARI5_PULSAMALAM[[#This Row],[NAMA REKENING]]="","",TRANSHARI5_PULSAMALAM[[#This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IFERROR(IF(TRANSHARI5_PULSAPAGI[[#This Row],[NAMA REKENING]]="","",TRANSHARI5_PULSAPAGI[[#This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IFERROR(IF(TRANSHARI5_PULSAMALAM[[#This Row],[NAMA REKENING]]="","",TRANSHARI5_PULSAMALAM[[#This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IFERROR(IF(TRANSHARI5_PULSAPAGI[[#This Row],[NAMA REKENING]]="","",TRANSHARI5_PULSAPAGI[[#This Row],[DEBIT]]),"")</f>
        <v/>
      </c>
      <c r="I57" s="311"/>
      <c r="J57" s="326"/>
      <c r="K57" s="330" t="s">
        <v>27</v>
      </c>
      <c r="L57" s="331">
        <f>'HARI 4'!AA61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IFERROR(IF(TRANSHARI5_PULSAMALAM[[#This Row],[NAMA REKENING]]="","",TRANSHARI5_PULSAMALAM[[#This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IFERROR(IF(TRANSHARI5_PULSAPAGI[[#This Row],[NAMA REKENING]]="","",TRANSHARI5_PULSAPAGI[[#This Row],[DEBIT]]),"")</f>
        <v/>
      </c>
      <c r="I58" s="311"/>
      <c r="J58" s="326"/>
      <c r="K58" s="332" t="s">
        <v>30</v>
      </c>
      <c r="L58" s="333">
        <f>SUMIF(TRANSHARI5_PULSAPAGI[APLIKASI],K56,TRANSHARI5_PULSAPAGI[SALDO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IFERROR(IF(TRANSHARI5_PULSAMALAM[[#This Row],[NAMA REKENING]]="","",TRANSHARI5_PULSAMALAM[[#This Row],[DEBIT]]),"")</f>
        <v/>
      </c>
      <c r="X58" s="311"/>
      <c r="Y58" s="326"/>
      <c r="Z58" s="332" t="s">
        <v>30</v>
      </c>
      <c r="AA58" s="333">
        <f>SUMIF(TRANSHARI5_PULSAMALAM[APLIKASI],Z56,TRANSHARI5_PULSAMALAM[SALDO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IFERROR(IF(TRANSHARI5_PULSAPAGI[[#This Row],[NAMA REKENING]]="","",TRANSHARI5_PULSAPAGI[[#This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IFERROR(IF(TRANSHARI5_PULSAMALAM[[#This Row],[NAMA REKENING]]="","",TRANSHARI5_PULSAMALAM[[#This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IFERROR(IF(TRANSHARI5_PULSAPAGI[[#This Row],[NAMA REKENING]]="","",TRANSHARI5_PULSAPAGI[[#This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IFERROR(IF(TRANSHARI5_PULSAMALAM[[#This Row],[NAMA REKENING]]="","",TRANSHARI5_PULSAMALAM[[#This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IFERROR(IF(TRANSHARI5_PULSAPAGI[[#This Row],[NAMA REKENING]]="","",TRANSHARI5_PULSAPAGI[[#This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IFERROR(IF(TRANSHARI5_PULSAMALAM[[#This Row],[NAMA REKENING]]="","",TRANSHARI5_PULSAMALAM[[#This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IFERROR(IF(TRANSHARI5_PULSAPAGI[[#This Row],[NAMA REKENING]]="","",TRANSHARI5_PULSAPAGI[[#This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IFERROR(IF(TRANSHARI5_PULSAMALAM[[#This Row],[NAMA REKENING]]="","",TRANSHARI5_PULSAMALAM[[#This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IFERROR(IF(TRANSHARI5_PULSAPAGI[[#This Row],[NAMA REKENING]]="","",TRANSHARI5_PULSAPAGI[[#This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IFERROR(IF(TRANSHARI5_PULSAMALAM[[#This Row],[NAMA REKENING]]="","",TRANSHARI5_PULSAMALAM[[#This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IFERROR(IF(TRANSHARI5_PULSAPAGI[[#This Row],[NAMA REKENING]]="","",TRANSHARI5_PULSAPAGI[[#This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IFERROR(IF(TRANSHARI5_PULSAMALAM[[#This Row],[NAMA REKENING]]="","",TRANSHARI5_PULSAMALAM[[#This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IFERROR(IF(TRANSHARI5_PULSAPAGI[[#This Row],[NAMA REKENING]]="","",TRANSHARI5_PULSAPAGI[[#This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IFERROR(IF(TRANSHARI5_PULSAMALAM[[#This Row],[NAMA REKENING]]="","",TRANSHARI5_PULSAMALAM[[#This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IFERROR(IF(TRANSHARI5_PULSAPAGI[[#This Row],[NAMA REKENING]]="","",TRANSHARI5_PULSAPAGI[[#This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IFERROR(IF(TRANSHARI5_PULSAMALAM[[#This Row],[NAMA REKENING]]="","",TRANSHARI5_PULSAMALAM[[#This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IFERROR(IF(TRANSHARI5_PULSAPAGI[[#This Row],[NAMA REKENING]]="","",TRANSHARI5_PULSAPAGI[[#This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IFERROR(IF(TRANSHARI5_PULSAMALAM[[#This Row],[NAMA REKENING]]="","",TRANSHARI5_PULSAMALAM[[#This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IFERROR(IF(TRANSHARI5_PULSAPAGI[[#This Row],[NAMA REKENING]]="","",TRANSHARI5_PULSAPAGI[[#This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IFERROR(IF(TRANSHARI5_PULSAMALAM[[#This Row],[NAMA REKENING]]="","",TRANSHARI5_PULSAMALAM[[#This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IFERROR(IF(TRANSHARI5_PULSAPAGI[[#This Row],[NAMA REKENING]]="","",TRANSHARI5_PULSAPAGI[[#This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IFERROR(IF(TRANSHARI5_PULSAMALAM[[#This Row],[NAMA REKENING]]="","",TRANSHARI5_PULSAMALAM[[#This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IFERROR(IF(TRANSHARI5_PULSAPAGI[[#This Row],[NAMA REKENING]]="","",TRANSHARI5_PULSAPAGI[[#This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IFERROR(IF(TRANSHARI5_PULSAMALAM[[#This Row],[NAMA REKENING]]="","",TRANSHARI5_PULSAMALAM[[#This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IFERROR(IF(TRANSHARI5_PULSAPAGI[[#This Row],[NAMA REKENING]]="","",TRANSHARI5_PULSAPAGI[[#This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IFERROR(IF(TRANSHARI5_PULSAMALAM[[#This Row],[NAMA REKENING]]="","",TRANSHARI5_PULSAMALAM[[#This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IFERROR(IF(TRANSHARI5_PULSAPAGI[[#This Row],[NAMA REKENING]]="","",TRANSHARI5_PULSAPAGI[[#This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IFERROR(IF(TRANSHARI5_PULSAMALAM[[#This Row],[NAMA REKENING]]="","",TRANSHARI5_PULSAMALAM[[#This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IFERROR(IF(TRANSHARI5_PULSAPAGI[[#This Row],[NAMA REKENING]]="","",TRANSHARI5_PULSAPAGI[[#This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IFERROR(IF(TRANSHARI5_PULSAMALAM[[#This Row],[NAMA REKENING]]="","",TRANSHARI5_PULSAMALAM[[#This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IFERROR(IF(TRANSHARI5_PULSAPAGI[[#This Row],[NAMA REKENING]]="","",TRANSHARI5_PULSAPAGI[[#This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IFERROR(IF(TRANSHARI5_PULSAMALAM[[#This Row],[NAMA REKENING]]="","",TRANSHARI5_PULSAMALAM[[#This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IFERROR(IF(TRANSHARI5_PULSAPAGI[[#This Row],[NAMA REKENING]]="","",TRANSHARI5_PULSAPAGI[[#This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IFERROR(IF(TRANSHARI5_PULSAMALAM[[#This Row],[NAMA REKENING]]="","",TRANSHARI5_PULSAMALAM[[#This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IFERROR(IF(TRANSHARI5_PULSAPAGI[[#This Row],[NAMA REKENING]]="","",TRANSHARI5_PULSAPAGI[[#This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IFERROR(IF(TRANSHARI5_PULSAMALAM[[#This Row],[NAMA REKENING]]="","",TRANSHARI5_PULSAMALAM[[#This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IFERROR(IF(TRANSHARI5_PULSAPAGI[[#This Row],[NAMA REKENING]]="","",TRANSHARI5_PULSAPAGI[[#This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IFERROR(IF(TRANSHARI5_PULSAMALAM[[#This Row],[NAMA REKENING]]="","",TRANSHARI5_PULSAMALAM[[#This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SUM(TRANSHARI5_PULSAPAGI[DEBIT])</f>
        <v>0</v>
      </c>
      <c r="D78" s="353">
        <f>SUM(TRANSHARI5_PULSAPAGI[KREDIT])</f>
        <v>0</v>
      </c>
      <c r="E78" s="167"/>
      <c r="F78" s="354">
        <f>SUM(TRANSHARI5_PULSAPAGI[SALDO MINUS])</f>
        <v>0</v>
      </c>
      <c r="G78" s="167"/>
      <c r="H78" s="355">
        <f>SUM(TRANSHARI5_PULSAPAGI[NOMINAL TRANSFER])</f>
        <v>0</v>
      </c>
      <c r="I78" s="167"/>
      <c r="O78" s="324"/>
      <c r="P78" s="379" t="s">
        <v>64</v>
      </c>
      <c r="Q78" s="352"/>
      <c r="R78" s="353">
        <f>SUM(TRANSHARI5_PULSAMALAM[DEBIT])</f>
        <v>0</v>
      </c>
      <c r="S78" s="353">
        <f>SUM(TRANSHARI5_PULSAMALAM[KREDIT])</f>
        <v>0</v>
      </c>
      <c r="T78" s="167"/>
      <c r="U78" s="354">
        <f>SUM(TRANSHARI5_PULSAMALAM[SALDO MINUS])</f>
        <v>0</v>
      </c>
      <c r="V78" s="167"/>
      <c r="W78" s="355">
        <f>SUM(TRANSHARI5_PULSAMALAM[NOMINAL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">
        <v>208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">
        <v>209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IFERROR(VLOOKUP(TRANSHARI5_ROKOKPAGI[[#This Row],[PRODUK]],DATA_ROKOK[],7,FALSE),"")</f>
        <v/>
      </c>
      <c r="E85" s="370"/>
      <c r="F85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85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85" s="371"/>
      <c r="I85" s="384" t="str">
        <f>IFERROR(IF(TRANSHARI5_ROKOKPAGI[[#This Row],[NAMA REKENING]]="","",TRANSHARI5_ROKOKPAGI[[#This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IFERROR(VLOOKUP(TRANSHARI5_ROKOKMALAM[[#This Row],[PRODUK]],DATA_ROKOK[],7,FALSE),"")</f>
        <v/>
      </c>
      <c r="T85" s="370"/>
      <c r="U85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85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85" s="371"/>
      <c r="X85" s="384" t="str">
        <f>IFERROR(IF(TRANSHARI5_ROKOKMALAM[[#This Row],[NAMA REKENING]]="","",TRANSHARI5_ROKOKMALAM[[#This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IFERROR(VLOOKUP(TRANSHARI5_ROKOKPAGI[[#This Row],[PRODUK]],DATA_ROKOK[],7,FALSE),"")</f>
        <v/>
      </c>
      <c r="E86" s="374"/>
      <c r="F86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86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86" s="12"/>
      <c r="I86" s="386" t="str">
        <f>IFERROR(IF(TRANSHARI5_ROKOKPAGI[[#This Row],[NAMA REKENING]]="","",TRANSHARI5_ROKOKPAGI[[#This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IFERROR(VLOOKUP(TRANSHARI5_ROKOKMALAM[[#This Row],[PRODUK]],DATA_ROKOK[],7,FALSE),"")</f>
        <v/>
      </c>
      <c r="T86" s="374"/>
      <c r="U86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86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86" s="12"/>
      <c r="X86" s="386" t="str">
        <f>IFERROR(IF(TRANSHARI5_ROKOKMALAM[[#This Row],[NAMA REKENING]]="","",TRANSHARI5_ROKOKMALAM[[#This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IFERROR(VLOOKUP(TRANSHARI5_ROKOKPAGI[[#This Row],[PRODUK]],DATA_ROKOK[],7,FALSE),"")</f>
        <v/>
      </c>
      <c r="E87" s="374"/>
      <c r="F87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87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87" s="12"/>
      <c r="I87" s="384" t="str">
        <f>IFERROR(IF(TRANSHARI5_ROKOKPAGI[[#This Row],[NAMA REKENING]]="","",TRANSHARI5_ROKOKPAGI[[#This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IFERROR(VLOOKUP(TRANSHARI5_ROKOKMALAM[[#This Row],[PRODUK]],DATA_ROKOK[],7,FALSE),"")</f>
        <v/>
      </c>
      <c r="T87" s="374"/>
      <c r="U87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87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87" s="12"/>
      <c r="X87" s="384" t="str">
        <f>IFERROR(IF(TRANSHARI5_ROKOKMALAM[[#This Row],[NAMA REKENING]]="","",TRANSHARI5_ROKOKMALAM[[#This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IFERROR(VLOOKUP(TRANSHARI5_ROKOKPAGI[[#This Row],[PRODUK]],DATA_ROKOK[],7,FALSE),"")</f>
        <v/>
      </c>
      <c r="E88" s="374"/>
      <c r="F88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88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88" s="12"/>
      <c r="I88" s="386" t="str">
        <f>IFERROR(IF(TRANSHARI5_ROKOKPAGI[[#This Row],[NAMA REKENING]]="","",TRANSHARI5_ROKOKPAGI[[#This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IFERROR(VLOOKUP(TRANSHARI5_ROKOKMALAM[[#This Row],[PRODUK]],DATA_ROKOK[],7,FALSE),"")</f>
        <v/>
      </c>
      <c r="T88" s="374"/>
      <c r="U88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88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88" s="12"/>
      <c r="X88" s="386" t="str">
        <f>IFERROR(IF(TRANSHARI5_ROKOKMALAM[[#This Row],[NAMA REKENING]]="","",TRANSHARI5_ROKOKMALAM[[#This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IFERROR(VLOOKUP(TRANSHARI5_ROKOKPAGI[[#This Row],[PRODUK]],DATA_ROKOK[],7,FALSE),"")</f>
        <v/>
      </c>
      <c r="E89" s="374"/>
      <c r="F89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89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89" s="12"/>
      <c r="I89" s="384" t="str">
        <f>IFERROR(IF(TRANSHARI5_ROKOKPAGI[[#This Row],[NAMA REKENING]]="","",TRANSHARI5_ROKOKPAGI[[#This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IFERROR(VLOOKUP(TRANSHARI5_ROKOKMALAM[[#This Row],[PRODUK]],DATA_ROKOK[],7,FALSE),"")</f>
        <v/>
      </c>
      <c r="T89" s="374"/>
      <c r="U89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89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89" s="12"/>
      <c r="X89" s="384" t="str">
        <f>IFERROR(IF(TRANSHARI5_ROKOKMALAM[[#This Row],[NAMA REKENING]]="","",TRANSHARI5_ROKOKMALAM[[#This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IFERROR(VLOOKUP(TRANSHARI5_ROKOKPAGI[[#This Row],[PRODUK]],DATA_ROKOK[],7,FALSE),"")</f>
        <v/>
      </c>
      <c r="E90" s="374"/>
      <c r="F90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0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0" s="12"/>
      <c r="I90" s="386" t="str">
        <f>IFERROR(IF(TRANSHARI5_ROKOKPAGI[[#This Row],[NAMA REKENING]]="","",TRANSHARI5_ROKOKPAGI[[#This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IFERROR(VLOOKUP(TRANSHARI5_ROKOKMALAM[[#This Row],[PRODUK]],DATA_ROKOK[],7,FALSE),"")</f>
        <v/>
      </c>
      <c r="T90" s="374"/>
      <c r="U90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0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0" s="12"/>
      <c r="X90" s="386" t="str">
        <f>IFERROR(IF(TRANSHARI5_ROKOKMALAM[[#This Row],[NAMA REKENING]]="","",TRANSHARI5_ROKOKMALAM[[#This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IFERROR(VLOOKUP(TRANSHARI5_ROKOKPAGI[[#This Row],[PRODUK]],DATA_ROKOK[],7,FALSE),"")</f>
        <v/>
      </c>
      <c r="E91" s="374"/>
      <c r="F91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1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1" s="12"/>
      <c r="I91" s="384" t="str">
        <f>IFERROR(IF(TRANSHARI5_ROKOKPAGI[[#This Row],[NAMA REKENING]]="","",TRANSHARI5_ROKOKPAGI[[#This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IFERROR(VLOOKUP(TRANSHARI5_ROKOKMALAM[[#This Row],[PRODUK]],DATA_ROKOK[],7,FALSE),"")</f>
        <v/>
      </c>
      <c r="T91" s="374"/>
      <c r="U91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1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1" s="12"/>
      <c r="X91" s="384" t="str">
        <f>IFERROR(IF(TRANSHARI5_ROKOKMALAM[[#This Row],[NAMA REKENING]]="","",TRANSHARI5_ROKOKMALAM[[#This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IFERROR(VLOOKUP(TRANSHARI5_ROKOKPAGI[[#This Row],[PRODUK]],DATA_ROKOK[],7,FALSE),"")</f>
        <v/>
      </c>
      <c r="E92" s="374"/>
      <c r="F92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2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2" s="12"/>
      <c r="I92" s="386" t="str">
        <f>IFERROR(IF(TRANSHARI5_ROKOKPAGI[[#This Row],[NAMA REKENING]]="","",TRANSHARI5_ROKOKPAGI[[#This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IFERROR(VLOOKUP(TRANSHARI5_ROKOKMALAM[[#This Row],[PRODUK]],DATA_ROKOK[],7,FALSE),"")</f>
        <v/>
      </c>
      <c r="T92" s="374"/>
      <c r="U92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2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2" s="12"/>
      <c r="X92" s="386" t="str">
        <f>IFERROR(IF(TRANSHARI5_ROKOKMALAM[[#This Row],[NAMA REKENING]]="","",TRANSHARI5_ROKOKMALAM[[#This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IFERROR(VLOOKUP(TRANSHARI5_ROKOKPAGI[[#This Row],[PRODUK]],DATA_ROKOK[],7,FALSE),"")</f>
        <v/>
      </c>
      <c r="E93" s="374"/>
      <c r="F93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3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3" s="12"/>
      <c r="I93" s="384" t="str">
        <f>IFERROR(IF(TRANSHARI5_ROKOKPAGI[[#This Row],[NAMA REKENING]]="","",TRANSHARI5_ROKOKPAGI[[#This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IFERROR(VLOOKUP(TRANSHARI5_ROKOKMALAM[[#This Row],[PRODUK]],DATA_ROKOK[],7,FALSE),"")</f>
        <v/>
      </c>
      <c r="T93" s="374"/>
      <c r="U93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3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3" s="12"/>
      <c r="X93" s="384" t="str">
        <f>IFERROR(IF(TRANSHARI5_ROKOKMALAM[[#This Row],[NAMA REKENING]]="","",TRANSHARI5_ROKOKMALAM[[#This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IFERROR(VLOOKUP(TRANSHARI5_ROKOKPAGI[[#This Row],[PRODUK]],DATA_ROKOK[],7,FALSE),"")</f>
        <v/>
      </c>
      <c r="E94" s="374"/>
      <c r="F94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4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4" s="12"/>
      <c r="I94" s="386" t="str">
        <f>IFERROR(IF(TRANSHARI5_ROKOKPAGI[[#This Row],[NAMA REKENING]]="","",TRANSHARI5_ROKOKPAGI[[#This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IFERROR(VLOOKUP(TRANSHARI5_ROKOKMALAM[[#This Row],[PRODUK]],DATA_ROKOK[],7,FALSE),"")</f>
        <v/>
      </c>
      <c r="T94" s="374"/>
      <c r="U94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4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4" s="12"/>
      <c r="X94" s="386" t="str">
        <f>IFERROR(IF(TRANSHARI5_ROKOKMALAM[[#This Row],[NAMA REKENING]]="","",TRANSHARI5_ROKOKMALAM[[#This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IFERROR(VLOOKUP(TRANSHARI5_ROKOKPAGI[[#This Row],[PRODUK]],DATA_ROKOK[],7,FALSE),"")</f>
        <v/>
      </c>
      <c r="E95" s="374"/>
      <c r="F95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5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5" s="12"/>
      <c r="I95" s="384" t="str">
        <f>IFERROR(IF(TRANSHARI5_ROKOKPAGI[[#This Row],[NAMA REKENING]]="","",TRANSHARI5_ROKOKPAGI[[#This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IFERROR(VLOOKUP(TRANSHARI5_ROKOKMALAM[[#This Row],[PRODUK]],DATA_ROKOK[],7,FALSE),"")</f>
        <v/>
      </c>
      <c r="T95" s="374"/>
      <c r="U95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5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5" s="12"/>
      <c r="X95" s="384" t="str">
        <f>IFERROR(IF(TRANSHARI5_ROKOKMALAM[[#This Row],[NAMA REKENING]]="","",TRANSHARI5_ROKOKMALAM[[#This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IFERROR(VLOOKUP(TRANSHARI5_ROKOKPAGI[[#This Row],[PRODUK]],DATA_ROKOK[],7,FALSE),"")</f>
        <v/>
      </c>
      <c r="E96" s="374"/>
      <c r="F96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6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6" s="12"/>
      <c r="I96" s="386" t="str">
        <f>IFERROR(IF(TRANSHARI5_ROKOKPAGI[[#This Row],[NAMA REKENING]]="","",TRANSHARI5_ROKOKPAGI[[#This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IFERROR(VLOOKUP(TRANSHARI5_ROKOKMALAM[[#This Row],[PRODUK]],DATA_ROKOK[],7,FALSE),"")</f>
        <v/>
      </c>
      <c r="T96" s="374"/>
      <c r="U96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6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6" s="12"/>
      <c r="X96" s="386" t="str">
        <f>IFERROR(IF(TRANSHARI5_ROKOKMALAM[[#This Row],[NAMA REKENING]]="","",TRANSHARI5_ROKOKMALAM[[#This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IFERROR(VLOOKUP(TRANSHARI5_ROKOKPAGI[[#This Row],[PRODUK]],DATA_ROKOK[],7,FALSE),"")</f>
        <v/>
      </c>
      <c r="E97" s="374"/>
      <c r="F97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7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7" s="12"/>
      <c r="I97" s="384" t="str">
        <f>IFERROR(IF(TRANSHARI5_ROKOKPAGI[[#This Row],[NAMA REKENING]]="","",TRANSHARI5_ROKOKPAGI[[#This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IFERROR(VLOOKUP(TRANSHARI5_ROKOKMALAM[[#This Row],[PRODUK]],DATA_ROKOK[],7,FALSE),"")</f>
        <v/>
      </c>
      <c r="T97" s="374"/>
      <c r="U97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7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7" s="12"/>
      <c r="X97" s="384" t="str">
        <f>IFERROR(IF(TRANSHARI5_ROKOKMALAM[[#This Row],[NAMA REKENING]]="","",TRANSHARI5_ROKOKMALAM[[#This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IFERROR(VLOOKUP(TRANSHARI5_ROKOKPAGI[[#This Row],[PRODUK]],DATA_ROKOK[],7,FALSE),"")</f>
        <v/>
      </c>
      <c r="E98" s="374"/>
      <c r="F98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8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8" s="12"/>
      <c r="I98" s="386" t="str">
        <f>IFERROR(IF(TRANSHARI5_ROKOKPAGI[[#This Row],[NAMA REKENING]]="","",TRANSHARI5_ROKOKPAGI[[#This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IFERROR(VLOOKUP(TRANSHARI5_ROKOKMALAM[[#This Row],[PRODUK]],DATA_ROKOK[],7,FALSE),"")</f>
        <v/>
      </c>
      <c r="T98" s="374"/>
      <c r="U98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8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8" s="12"/>
      <c r="X98" s="386" t="str">
        <f>IFERROR(IF(TRANSHARI5_ROKOKMALAM[[#This Row],[NAMA REKENING]]="","",TRANSHARI5_ROKOKMALAM[[#This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IFERROR(VLOOKUP(TRANSHARI5_ROKOKPAGI[[#This Row],[PRODUK]],DATA_ROKOK[],7,FALSE),"")</f>
        <v/>
      </c>
      <c r="E99" s="374"/>
      <c r="F99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99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99" s="12"/>
      <c r="I99" s="384" t="str">
        <f>IFERROR(IF(TRANSHARI5_ROKOKPAGI[[#This Row],[NAMA REKENING]]="","",TRANSHARI5_ROKOKPAGI[[#This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IFERROR(VLOOKUP(TRANSHARI5_ROKOKMALAM[[#This Row],[PRODUK]],DATA_ROKOK[],7,FALSE),"")</f>
        <v/>
      </c>
      <c r="T99" s="374"/>
      <c r="U99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99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99" s="12"/>
      <c r="X99" s="384" t="str">
        <f>IFERROR(IF(TRANSHARI5_ROKOKMALAM[[#This Row],[NAMA REKENING]]="","",TRANSHARI5_ROKOKMALAM[[#This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IFERROR(VLOOKUP(TRANSHARI5_ROKOKPAGI[[#This Row],[PRODUK]],DATA_ROKOK[],7,FALSE),"")</f>
        <v/>
      </c>
      <c r="E100" s="374"/>
      <c r="F100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0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0" s="12"/>
      <c r="I100" s="386" t="str">
        <f>IFERROR(IF(TRANSHARI5_ROKOKPAGI[[#This Row],[NAMA REKENING]]="","",TRANSHARI5_ROKOKPAGI[[#This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IFERROR(VLOOKUP(TRANSHARI5_ROKOKMALAM[[#This Row],[PRODUK]],DATA_ROKOK[],7,FALSE),"")</f>
        <v/>
      </c>
      <c r="T100" s="374"/>
      <c r="U100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0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0" s="12"/>
      <c r="X100" s="386" t="str">
        <f>IFERROR(IF(TRANSHARI5_ROKOKMALAM[[#This Row],[NAMA REKENING]]="","",TRANSHARI5_ROKOKMALAM[[#This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IFERROR(VLOOKUP(TRANSHARI5_ROKOKPAGI[[#This Row],[PRODUK]],DATA_ROKOK[],7,FALSE),"")</f>
        <v/>
      </c>
      <c r="E101" s="374"/>
      <c r="F101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1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1" s="12"/>
      <c r="I101" s="384" t="str">
        <f>IFERROR(IF(TRANSHARI5_ROKOKPAGI[[#This Row],[NAMA REKENING]]="","",TRANSHARI5_ROKOKPAGI[[#This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IFERROR(VLOOKUP(TRANSHARI5_ROKOKMALAM[[#This Row],[PRODUK]],DATA_ROKOK[],7,FALSE),"")</f>
        <v/>
      </c>
      <c r="T101" s="374"/>
      <c r="U101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1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1" s="12"/>
      <c r="X101" s="384" t="str">
        <f>IFERROR(IF(TRANSHARI5_ROKOKMALAM[[#This Row],[NAMA REKENING]]="","",TRANSHARI5_ROKOKMALAM[[#This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IFERROR(VLOOKUP(TRANSHARI5_ROKOKPAGI[[#This Row],[PRODUK]],DATA_ROKOK[],7,FALSE),"")</f>
        <v/>
      </c>
      <c r="E102" s="374"/>
      <c r="F102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2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2" s="12"/>
      <c r="I102" s="386" t="str">
        <f>IFERROR(IF(TRANSHARI5_ROKOKPAGI[[#This Row],[NAMA REKENING]]="","",TRANSHARI5_ROKOKPAGI[[#This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IFERROR(VLOOKUP(TRANSHARI5_ROKOKMALAM[[#This Row],[PRODUK]],DATA_ROKOK[],7,FALSE),"")</f>
        <v/>
      </c>
      <c r="T102" s="374"/>
      <c r="U102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2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2" s="12"/>
      <c r="X102" s="386" t="str">
        <f>IFERROR(IF(TRANSHARI5_ROKOKMALAM[[#This Row],[NAMA REKENING]]="","",TRANSHARI5_ROKOKMALAM[[#This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IFERROR(VLOOKUP(TRANSHARI5_ROKOKPAGI[[#This Row],[PRODUK]],DATA_ROKOK[],7,FALSE),"")</f>
        <v/>
      </c>
      <c r="E103" s="374"/>
      <c r="F103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3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3" s="12"/>
      <c r="I103" s="384" t="str">
        <f>IFERROR(IF(TRANSHARI5_ROKOKPAGI[[#This Row],[NAMA REKENING]]="","",TRANSHARI5_ROKOKPAGI[[#This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IFERROR(VLOOKUP(TRANSHARI5_ROKOKMALAM[[#This Row],[PRODUK]],DATA_ROKOK[],7,FALSE),"")</f>
        <v/>
      </c>
      <c r="T103" s="374"/>
      <c r="U103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3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3" s="12"/>
      <c r="X103" s="384" t="str">
        <f>IFERROR(IF(TRANSHARI5_ROKOKMALAM[[#This Row],[NAMA REKENING]]="","",TRANSHARI5_ROKOKMALAM[[#This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IFERROR(VLOOKUP(TRANSHARI5_ROKOKPAGI[[#This Row],[PRODUK]],DATA_ROKOK[],7,FALSE),"")</f>
        <v/>
      </c>
      <c r="E104" s="374"/>
      <c r="F104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4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4" s="12"/>
      <c r="I104" s="386" t="str">
        <f>IFERROR(IF(TRANSHARI5_ROKOKPAGI[[#This Row],[NAMA REKENING]]="","",TRANSHARI5_ROKOKPAGI[[#This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IFERROR(VLOOKUP(TRANSHARI5_ROKOKMALAM[[#This Row],[PRODUK]],DATA_ROKOK[],7,FALSE),"")</f>
        <v/>
      </c>
      <c r="T104" s="374"/>
      <c r="U104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4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4" s="12"/>
      <c r="X104" s="386" t="str">
        <f>IFERROR(IF(TRANSHARI5_ROKOKMALAM[[#This Row],[NAMA REKENING]]="","",TRANSHARI5_ROKOKMALAM[[#This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IFERROR(VLOOKUP(TRANSHARI5_ROKOKPAGI[[#This Row],[PRODUK]],DATA_ROKOK[],7,FALSE),"")</f>
        <v/>
      </c>
      <c r="E105" s="374"/>
      <c r="F105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5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5" s="12"/>
      <c r="I105" s="384" t="str">
        <f>IFERROR(IF(TRANSHARI5_ROKOKPAGI[[#This Row],[NAMA REKENING]]="","",TRANSHARI5_ROKOKPAGI[[#This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IFERROR(VLOOKUP(TRANSHARI5_ROKOKMALAM[[#This Row],[PRODUK]],DATA_ROKOK[],7,FALSE),"")</f>
        <v/>
      </c>
      <c r="T105" s="374"/>
      <c r="U105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5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5" s="12"/>
      <c r="X105" s="384" t="str">
        <f>IFERROR(IF(TRANSHARI5_ROKOKMALAM[[#This Row],[NAMA REKENING]]="","",TRANSHARI5_ROKOKMALAM[[#This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IFERROR(VLOOKUP(TRANSHARI5_ROKOKPAGI[[#This Row],[PRODUK]],DATA_ROKOK[],7,FALSE),"")</f>
        <v/>
      </c>
      <c r="E106" s="374"/>
      <c r="F106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6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6" s="12"/>
      <c r="I106" s="386" t="str">
        <f>IFERROR(IF(TRANSHARI5_ROKOKPAGI[[#This Row],[NAMA REKENING]]="","",TRANSHARI5_ROKOKPAGI[[#This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IFERROR(VLOOKUP(TRANSHARI5_ROKOKMALAM[[#This Row],[PRODUK]],DATA_ROKOK[],7,FALSE),"")</f>
        <v/>
      </c>
      <c r="T106" s="374"/>
      <c r="U106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6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6" s="12"/>
      <c r="X106" s="386" t="str">
        <f>IFERROR(IF(TRANSHARI5_ROKOKMALAM[[#This Row],[NAMA REKENING]]="","",TRANSHARI5_ROKOKMALAM[[#This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IFERROR(VLOOKUP(TRANSHARI5_ROKOKPAGI[[#This Row],[PRODUK]],DATA_ROKOK[],7,FALSE),"")</f>
        <v/>
      </c>
      <c r="E107" s="374"/>
      <c r="F107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7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7" s="12"/>
      <c r="I107" s="384" t="str">
        <f>IFERROR(IF(TRANSHARI5_ROKOKPAGI[[#This Row],[NAMA REKENING]]="","",TRANSHARI5_ROKOKPAGI[[#This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IFERROR(VLOOKUP(TRANSHARI5_ROKOKMALAM[[#This Row],[PRODUK]],DATA_ROKOK[],7,FALSE),"")</f>
        <v/>
      </c>
      <c r="T107" s="374"/>
      <c r="U107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7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7" s="12"/>
      <c r="X107" s="384" t="str">
        <f>IFERROR(IF(TRANSHARI5_ROKOKMALAM[[#This Row],[NAMA REKENING]]="","",TRANSHARI5_ROKOKMALAM[[#This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IFERROR(VLOOKUP(TRANSHARI5_ROKOKPAGI[[#This Row],[PRODUK]],DATA_ROKOK[],7,FALSE),"")</f>
        <v/>
      </c>
      <c r="E108" s="374"/>
      <c r="F108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8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8" s="12"/>
      <c r="I108" s="386" t="str">
        <f>IFERROR(IF(TRANSHARI5_ROKOKPAGI[[#This Row],[NAMA REKENING]]="","",TRANSHARI5_ROKOKPAGI[[#This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IFERROR(VLOOKUP(TRANSHARI5_ROKOKMALAM[[#This Row],[PRODUK]],DATA_ROKOK[],7,FALSE),"")</f>
        <v/>
      </c>
      <c r="T108" s="374"/>
      <c r="U108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8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8" s="12"/>
      <c r="X108" s="386" t="str">
        <f>IFERROR(IF(TRANSHARI5_ROKOKMALAM[[#This Row],[NAMA REKENING]]="","",TRANSHARI5_ROKOKMALAM[[#This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IFERROR(VLOOKUP(TRANSHARI5_ROKOKPAGI[[#This Row],[PRODUK]],DATA_ROKOK[],7,FALSE),"")</f>
        <v/>
      </c>
      <c r="E109" s="374"/>
      <c r="F109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09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09" s="12"/>
      <c r="I109" s="384" t="str">
        <f>IFERROR(IF(TRANSHARI5_ROKOKPAGI[[#This Row],[NAMA REKENING]]="","",TRANSHARI5_ROKOKPAGI[[#This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IFERROR(VLOOKUP(TRANSHARI5_ROKOKMALAM[[#This Row],[PRODUK]],DATA_ROKOK[],7,FALSE),"")</f>
        <v/>
      </c>
      <c r="T109" s="374"/>
      <c r="U109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09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09" s="12"/>
      <c r="X109" s="384" t="str">
        <f>IFERROR(IF(TRANSHARI5_ROKOKMALAM[[#This Row],[NAMA REKENING]]="","",TRANSHARI5_ROKOKMALAM[[#This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IFERROR(VLOOKUP(TRANSHARI5_ROKOKPAGI[[#This Row],[PRODUK]],DATA_ROKOK[],7,FALSE),"")</f>
        <v/>
      </c>
      <c r="E110" s="376"/>
      <c r="F110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0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0" s="377"/>
      <c r="I110" s="386" t="str">
        <f>IFERROR(IF(TRANSHARI5_ROKOKPAGI[[#This Row],[NAMA REKENING]]="","",TRANSHARI5_ROKOKPAGI[[#This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IFERROR(VLOOKUP(TRANSHARI5_ROKOKMALAM[[#This Row],[PRODUK]],DATA_ROKOK[],7,FALSE),"")</f>
        <v/>
      </c>
      <c r="T110" s="376"/>
      <c r="U110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0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0" s="377"/>
      <c r="X110" s="386" t="str">
        <f>IFERROR(IF(TRANSHARI5_ROKOKMALAM[[#This Row],[NAMA REKENING]]="","",TRANSHARI5_ROKOKMALAM[[#This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IFERROR(VLOOKUP(TRANSHARI5_ROKOKPAGI[[#This Row],[PRODUK]],DATA_ROKOK[],7,FALSE),"")</f>
        <v/>
      </c>
      <c r="E111" s="374"/>
      <c r="F111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1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1" s="12"/>
      <c r="I111" s="384" t="str">
        <f>IFERROR(IF(TRANSHARI5_ROKOKPAGI[[#This Row],[NAMA REKENING]]="","",TRANSHARI5_ROKOKPAGI[[#This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IFERROR(VLOOKUP(TRANSHARI5_ROKOKMALAM[[#This Row],[PRODUK]],DATA_ROKOK[],7,FALSE),"")</f>
        <v/>
      </c>
      <c r="T111" s="374"/>
      <c r="U111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1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1" s="12"/>
      <c r="X111" s="384" t="str">
        <f>IFERROR(IF(TRANSHARI5_ROKOKMALAM[[#This Row],[NAMA REKENING]]="","",TRANSHARI5_ROKOKMALAM[[#This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IFERROR(VLOOKUP(TRANSHARI5_ROKOKPAGI[[#This Row],[PRODUK]],DATA_ROKOK[],7,FALSE),"")</f>
        <v/>
      </c>
      <c r="E112" s="374"/>
      <c r="F112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2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2" s="12"/>
      <c r="I112" s="386" t="str">
        <f>IFERROR(IF(TRANSHARI5_ROKOKPAGI[[#This Row],[NAMA REKENING]]="","",TRANSHARI5_ROKOKPAGI[[#This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IFERROR(VLOOKUP(TRANSHARI5_ROKOKMALAM[[#This Row],[PRODUK]],DATA_ROKOK[],7,FALSE),"")</f>
        <v/>
      </c>
      <c r="T112" s="374"/>
      <c r="U112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2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2" s="12"/>
      <c r="X112" s="386" t="str">
        <f>IFERROR(IF(TRANSHARI5_ROKOKMALAM[[#This Row],[NAMA REKENING]]="","",TRANSHARI5_ROKOKMALAM[[#This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IFERROR(VLOOKUP(TRANSHARI5_ROKOKPAGI[[#This Row],[PRODUK]],DATA_ROKOK[],7,FALSE),"")</f>
        <v/>
      </c>
      <c r="E113" s="374"/>
      <c r="F113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3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3" s="12"/>
      <c r="I113" s="384" t="str">
        <f>IFERROR(IF(TRANSHARI5_ROKOKPAGI[[#This Row],[NAMA REKENING]]="","",TRANSHARI5_ROKOKPAGI[[#This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IFERROR(VLOOKUP(TRANSHARI5_ROKOKMALAM[[#This Row],[PRODUK]],DATA_ROKOK[],7,FALSE),"")</f>
        <v/>
      </c>
      <c r="T113" s="374"/>
      <c r="U113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3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3" s="12"/>
      <c r="X113" s="384" t="str">
        <f>IFERROR(IF(TRANSHARI5_ROKOKMALAM[[#This Row],[NAMA REKENING]]="","",TRANSHARI5_ROKOKMALAM[[#This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IFERROR(VLOOKUP(TRANSHARI5_ROKOKPAGI[[#This Row],[PRODUK]],DATA_ROKOK[],7,FALSE),"")</f>
        <v/>
      </c>
      <c r="E114" s="374"/>
      <c r="F114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4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4" s="12"/>
      <c r="I114" s="386" t="str">
        <f>IFERROR(IF(TRANSHARI5_ROKOKPAGI[[#This Row],[NAMA REKENING]]="","",TRANSHARI5_ROKOKPAGI[[#This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IFERROR(VLOOKUP(TRANSHARI5_ROKOKMALAM[[#This Row],[PRODUK]],DATA_ROKOK[],7,FALSE),"")</f>
        <v/>
      </c>
      <c r="T114" s="374"/>
      <c r="U114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4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4" s="12"/>
      <c r="X114" s="386" t="str">
        <f>IFERROR(IF(TRANSHARI5_ROKOKMALAM[[#This Row],[NAMA REKENING]]="","",TRANSHARI5_ROKOKMALAM[[#This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IFERROR(VLOOKUP(TRANSHARI5_ROKOKPAGI[[#This Row],[PRODUK]],DATA_ROKOK[],7,FALSE),"")</f>
        <v/>
      </c>
      <c r="E115" s="374"/>
      <c r="F115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5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5" s="12"/>
      <c r="I115" s="384" t="str">
        <f>IFERROR(IF(TRANSHARI5_ROKOKPAGI[[#This Row],[NAMA REKENING]]="","",TRANSHARI5_ROKOKPAGI[[#This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IFERROR(VLOOKUP(TRANSHARI5_ROKOKMALAM[[#This Row],[PRODUK]],DATA_ROKOK[],7,FALSE),"")</f>
        <v/>
      </c>
      <c r="T115" s="374"/>
      <c r="U115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5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5" s="12"/>
      <c r="X115" s="384" t="str">
        <f>IFERROR(IF(TRANSHARI5_ROKOKMALAM[[#This Row],[NAMA REKENING]]="","",TRANSHARI5_ROKOKMALAM[[#This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IFERROR(VLOOKUP(TRANSHARI5_ROKOKPAGI[[#This Row],[PRODUK]],DATA_ROKOK[],7,FALSE),"")</f>
        <v/>
      </c>
      <c r="E116" s="374"/>
      <c r="F116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6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6" s="12"/>
      <c r="I116" s="386" t="str">
        <f>IFERROR(IF(TRANSHARI5_ROKOKPAGI[[#This Row],[NAMA REKENING]]="","",TRANSHARI5_ROKOKPAGI[[#This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IFERROR(VLOOKUP(TRANSHARI5_ROKOKMALAM[[#This Row],[PRODUK]],DATA_ROKOK[],7,FALSE),"")</f>
        <v/>
      </c>
      <c r="T116" s="374"/>
      <c r="U116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6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6" s="12"/>
      <c r="X116" s="386" t="str">
        <f>IFERROR(IF(TRANSHARI5_ROKOKMALAM[[#This Row],[NAMA REKENING]]="","",TRANSHARI5_ROKOKMALAM[[#This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IFERROR(VLOOKUP(TRANSHARI5_ROKOKPAGI[[#This Row],[PRODUK]],DATA_ROKOK[],7,FALSE),"")</f>
        <v/>
      </c>
      <c r="E117" s="374"/>
      <c r="F117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7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7" s="12"/>
      <c r="I117" s="384" t="str">
        <f>IFERROR(IF(TRANSHARI5_ROKOKPAGI[[#This Row],[NAMA REKENING]]="","",TRANSHARI5_ROKOKPAGI[[#This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IFERROR(VLOOKUP(TRANSHARI5_ROKOKMALAM[[#This Row],[PRODUK]],DATA_ROKOK[],7,FALSE),"")</f>
        <v/>
      </c>
      <c r="T117" s="374"/>
      <c r="U117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7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7" s="12"/>
      <c r="X117" s="384" t="str">
        <f>IFERROR(IF(TRANSHARI5_ROKOKMALAM[[#This Row],[NAMA REKENING]]="","",TRANSHARI5_ROKOKMALAM[[#This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IFERROR(VLOOKUP(TRANSHARI5_ROKOKPAGI[[#This Row],[PRODUK]],DATA_ROKOK[],7,FALSE),"")</f>
        <v/>
      </c>
      <c r="E118" s="374"/>
      <c r="F118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8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8" s="12"/>
      <c r="I118" s="386" t="str">
        <f>IFERROR(IF(TRANSHARI5_ROKOKPAGI[[#This Row],[NAMA REKENING]]="","",TRANSHARI5_ROKOKPAGI[[#This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IFERROR(VLOOKUP(TRANSHARI5_ROKOKMALAM[[#This Row],[PRODUK]],DATA_ROKOK[],7,FALSE),"")</f>
        <v/>
      </c>
      <c r="T118" s="374"/>
      <c r="U118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8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8" s="12"/>
      <c r="X118" s="386" t="str">
        <f>IFERROR(IF(TRANSHARI5_ROKOKMALAM[[#This Row],[NAMA REKENING]]="","",TRANSHARI5_ROKOKMALAM[[#This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IFERROR(VLOOKUP(TRANSHARI5_ROKOKPAGI[[#This Row],[PRODUK]],DATA_ROKOK[],7,FALSE),"")</f>
        <v/>
      </c>
      <c r="E119" s="374"/>
      <c r="F119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19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19" s="12"/>
      <c r="I119" s="384" t="str">
        <f>IFERROR(IF(TRANSHARI5_ROKOKPAGI[[#This Row],[NAMA REKENING]]="","",TRANSHARI5_ROKOKPAGI[[#This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IFERROR(VLOOKUP(TRANSHARI5_ROKOKMALAM[[#This Row],[PRODUK]],DATA_ROKOK[],7,FALSE),"")</f>
        <v/>
      </c>
      <c r="T119" s="374"/>
      <c r="U119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19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19" s="12"/>
      <c r="X119" s="384" t="str">
        <f>IFERROR(IF(TRANSHARI5_ROKOKMALAM[[#This Row],[NAMA REKENING]]="","",TRANSHARI5_ROKOKMALAM[[#This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IFERROR(VLOOKUP(TRANSHARI5_ROKOKPAGI[[#This Row],[PRODUK]],DATA_ROKOK[],7,FALSE),"")</f>
        <v/>
      </c>
      <c r="E120" s="374"/>
      <c r="F120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0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0" s="12"/>
      <c r="I120" s="386" t="str">
        <f>IFERROR(IF(TRANSHARI5_ROKOKPAGI[[#This Row],[NAMA REKENING]]="","",TRANSHARI5_ROKOKPAGI[[#This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IFERROR(VLOOKUP(TRANSHARI5_ROKOKMALAM[[#This Row],[PRODUK]],DATA_ROKOK[],7,FALSE),"")</f>
        <v/>
      </c>
      <c r="T120" s="374"/>
      <c r="U120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0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0" s="12"/>
      <c r="X120" s="386" t="str">
        <f>IFERROR(IF(TRANSHARI5_ROKOKMALAM[[#This Row],[NAMA REKENING]]="","",TRANSHARI5_ROKOKMALAM[[#This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IFERROR(VLOOKUP(TRANSHARI5_ROKOKPAGI[[#This Row],[PRODUK]],DATA_ROKOK[],7,FALSE),"")</f>
        <v/>
      </c>
      <c r="E121" s="374"/>
      <c r="F121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1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1" s="12"/>
      <c r="I121" s="384" t="str">
        <f>IFERROR(IF(TRANSHARI5_ROKOKPAGI[[#This Row],[NAMA REKENING]]="","",TRANSHARI5_ROKOKPAGI[[#This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IFERROR(VLOOKUP(TRANSHARI5_ROKOKMALAM[[#This Row],[PRODUK]],DATA_ROKOK[],7,FALSE),"")</f>
        <v/>
      </c>
      <c r="T121" s="374"/>
      <c r="U121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1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1" s="12"/>
      <c r="X121" s="384" t="str">
        <f>IFERROR(IF(TRANSHARI5_ROKOKMALAM[[#This Row],[NAMA REKENING]]="","",TRANSHARI5_ROKOKMALAM[[#This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IFERROR(VLOOKUP(TRANSHARI5_ROKOKPAGI[[#This Row],[PRODUK]],DATA_ROKOK[],7,FALSE),"")</f>
        <v/>
      </c>
      <c r="E122" s="374"/>
      <c r="F122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2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2" s="12"/>
      <c r="I122" s="386" t="str">
        <f>IFERROR(IF(TRANSHARI5_ROKOKPAGI[[#This Row],[NAMA REKENING]]="","",TRANSHARI5_ROKOKPAGI[[#This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IFERROR(VLOOKUP(TRANSHARI5_ROKOKMALAM[[#This Row],[PRODUK]],DATA_ROKOK[],7,FALSE),"")</f>
        <v/>
      </c>
      <c r="T122" s="374"/>
      <c r="U122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2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2" s="12"/>
      <c r="X122" s="386" t="str">
        <f>IFERROR(IF(TRANSHARI5_ROKOKMALAM[[#This Row],[NAMA REKENING]]="","",TRANSHARI5_ROKOKMALAM[[#This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IFERROR(VLOOKUP(TRANSHARI5_ROKOKPAGI[[#This Row],[PRODUK]],DATA_ROKOK[],7,FALSE),"")</f>
        <v/>
      </c>
      <c r="E123" s="374"/>
      <c r="F123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3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3" s="12"/>
      <c r="I123" s="384" t="str">
        <f>IFERROR(IF(TRANSHARI5_ROKOKPAGI[[#This Row],[NAMA REKENING]]="","",TRANSHARI5_ROKOKPAGI[[#This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IFERROR(VLOOKUP(TRANSHARI5_ROKOKMALAM[[#This Row],[PRODUK]],DATA_ROKOK[],7,FALSE),"")</f>
        <v/>
      </c>
      <c r="T123" s="374"/>
      <c r="U123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3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3" s="12"/>
      <c r="X123" s="384" t="str">
        <f>IFERROR(IF(TRANSHARI5_ROKOKMALAM[[#This Row],[NAMA REKENING]]="","",TRANSHARI5_ROKOKMALAM[[#This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IFERROR(VLOOKUP(TRANSHARI5_ROKOKPAGI[[#This Row],[PRODUK]],DATA_ROKOK[],7,FALSE),"")</f>
        <v/>
      </c>
      <c r="E124" s="374"/>
      <c r="F124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4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4" s="12"/>
      <c r="I124" s="386" t="str">
        <f>IFERROR(IF(TRANSHARI5_ROKOKPAGI[[#This Row],[NAMA REKENING]]="","",TRANSHARI5_ROKOKPAGI[[#This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IFERROR(VLOOKUP(TRANSHARI5_ROKOKMALAM[[#This Row],[PRODUK]],DATA_ROKOK[],7,FALSE),"")</f>
        <v/>
      </c>
      <c r="T124" s="374"/>
      <c r="U124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4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4" s="12"/>
      <c r="X124" s="386" t="str">
        <f>IFERROR(IF(TRANSHARI5_ROKOKMALAM[[#This Row],[NAMA REKENING]]="","",TRANSHARI5_ROKOKMALAM[[#This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IFERROR(VLOOKUP(TRANSHARI5_ROKOKPAGI[[#This Row],[PRODUK]],DATA_ROKOK[],7,FALSE),"")</f>
        <v/>
      </c>
      <c r="E125" s="374"/>
      <c r="F125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5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5" s="12"/>
      <c r="I125" s="384" t="str">
        <f>IFERROR(IF(TRANSHARI5_ROKOKPAGI[[#This Row],[NAMA REKENING]]="","",TRANSHARI5_ROKOKPAGI[[#This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IFERROR(VLOOKUP(TRANSHARI5_ROKOKMALAM[[#This Row],[PRODUK]],DATA_ROKOK[],7,FALSE),"")</f>
        <v/>
      </c>
      <c r="T125" s="374"/>
      <c r="U125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5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5" s="12"/>
      <c r="X125" s="384" t="str">
        <f>IFERROR(IF(TRANSHARI5_ROKOKMALAM[[#This Row],[NAMA REKENING]]="","",TRANSHARI5_ROKOKMALAM[[#This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IFERROR(VLOOKUP(TRANSHARI5_ROKOKPAGI[[#This Row],[PRODUK]],DATA_ROKOK[],7,FALSE),"")</f>
        <v/>
      </c>
      <c r="E126" s="374"/>
      <c r="F126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6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6" s="12"/>
      <c r="I126" s="386" t="str">
        <f>IFERROR(IF(TRANSHARI5_ROKOKPAGI[[#This Row],[NAMA REKENING]]="","",TRANSHARI5_ROKOKPAGI[[#This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IFERROR(VLOOKUP(TRANSHARI5_ROKOKMALAM[[#This Row],[PRODUK]],DATA_ROKOK[],7,FALSE),"")</f>
        <v/>
      </c>
      <c r="T126" s="374"/>
      <c r="U126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6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6" s="12"/>
      <c r="X126" s="386" t="str">
        <f>IFERROR(IF(TRANSHARI5_ROKOKMALAM[[#This Row],[NAMA REKENING]]="","",TRANSHARI5_ROKOKMALAM[[#This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IFERROR(VLOOKUP(TRANSHARI5_ROKOKPAGI[[#This Row],[PRODUK]],DATA_ROKOK[],7,FALSE),"")</f>
        <v/>
      </c>
      <c r="E127" s="374"/>
      <c r="F127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7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7" s="12"/>
      <c r="I127" s="384" t="str">
        <f>IFERROR(IF(TRANSHARI5_ROKOKPAGI[[#This Row],[NAMA REKENING]]="","",TRANSHARI5_ROKOKPAGI[[#This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IFERROR(VLOOKUP(TRANSHARI5_ROKOKMALAM[[#This Row],[PRODUK]],DATA_ROKOK[],7,FALSE),"")</f>
        <v/>
      </c>
      <c r="T127" s="374"/>
      <c r="U127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7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7" s="12"/>
      <c r="X127" s="384" t="str">
        <f>IFERROR(IF(TRANSHARI5_ROKOKMALAM[[#This Row],[NAMA REKENING]]="","",TRANSHARI5_ROKOKMALAM[[#This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IFERROR(VLOOKUP(TRANSHARI5_ROKOKPAGI[[#This Row],[PRODUK]],DATA_ROKOK[],7,FALSE),"")</f>
        <v/>
      </c>
      <c r="E128" s="374"/>
      <c r="F128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8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8" s="12"/>
      <c r="I128" s="386" t="str">
        <f>IFERROR(IF(TRANSHARI5_ROKOKPAGI[[#This Row],[NAMA REKENING]]="","",TRANSHARI5_ROKOKPAGI[[#This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IFERROR(VLOOKUP(TRANSHARI5_ROKOKMALAM[[#This Row],[PRODUK]],DATA_ROKOK[],7,FALSE),"")</f>
        <v/>
      </c>
      <c r="T128" s="374"/>
      <c r="U128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8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8" s="12"/>
      <c r="X128" s="386" t="str">
        <f>IFERROR(IF(TRANSHARI5_ROKOKMALAM[[#This Row],[NAMA REKENING]]="","",TRANSHARI5_ROKOKMALAM[[#This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IFERROR(VLOOKUP(TRANSHARI5_ROKOKPAGI[[#This Row],[PRODUK]],DATA_ROKOK[],7,FALSE),"")</f>
        <v/>
      </c>
      <c r="E129" s="374"/>
      <c r="F129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29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29" s="12"/>
      <c r="I129" s="384" t="str">
        <f>IFERROR(IF(TRANSHARI5_ROKOKPAGI[[#This Row],[NAMA REKENING]]="","",TRANSHARI5_ROKOKPAGI[[#This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IFERROR(VLOOKUP(TRANSHARI5_ROKOKMALAM[[#This Row],[PRODUK]],DATA_ROKOK[],7,FALSE),"")</f>
        <v/>
      </c>
      <c r="T129" s="374"/>
      <c r="U129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29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29" s="12"/>
      <c r="X129" s="384" t="str">
        <f>IFERROR(IF(TRANSHARI5_ROKOKMALAM[[#This Row],[NAMA REKENING]]="","",TRANSHARI5_ROKOKMALAM[[#This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IFERROR(VLOOKUP(TRANSHARI5_ROKOKPAGI[[#This Row],[PRODUK]],DATA_ROKOK[],7,FALSE),"")</f>
        <v/>
      </c>
      <c r="E130" s="374"/>
      <c r="F130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30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30" s="12"/>
      <c r="I130" s="386" t="str">
        <f>IFERROR(IF(TRANSHARI5_ROKOKPAGI[[#This Row],[NAMA REKENING]]="","",TRANSHARI5_ROKOKPAGI[[#This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IFERROR(VLOOKUP(TRANSHARI5_ROKOKMALAM[[#This Row],[PRODUK]],DATA_ROKOK[],7,FALSE),"")</f>
        <v/>
      </c>
      <c r="T130" s="374"/>
      <c r="U130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30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30" s="12"/>
      <c r="X130" s="386" t="str">
        <f>IFERROR(IF(TRANSHARI5_ROKOKMALAM[[#This Row],[NAMA REKENING]]="","",TRANSHARI5_ROKOKMALAM[[#This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IFERROR(VLOOKUP(TRANSHARI5_ROKOKPAGI[[#This Row],[PRODUK]],DATA_ROKOK[],7,FALSE),"")</f>
        <v/>
      </c>
      <c r="E131" s="374"/>
      <c r="F131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31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31" s="12"/>
      <c r="I131" s="384" t="str">
        <f>IFERROR(IF(TRANSHARI5_ROKOKPAGI[[#This Row],[NAMA REKENING]]="","",TRANSHARI5_ROKOKPAGI[[#This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IFERROR(VLOOKUP(TRANSHARI5_ROKOKMALAM[[#This Row],[PRODUK]],DATA_ROKOK[],7,FALSE),"")</f>
        <v/>
      </c>
      <c r="T131" s="374"/>
      <c r="U131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31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31" s="12"/>
      <c r="X131" s="384" t="str">
        <f>IFERROR(IF(TRANSHARI5_ROKOKMALAM[[#This Row],[NAMA REKENING]]="","",TRANSHARI5_ROKOKMALAM[[#This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IFERROR(VLOOKUP(TRANSHARI5_ROKOKPAGI[[#This Row],[PRODUK]],DATA_ROKOK[],7,FALSE),"")</f>
        <v/>
      </c>
      <c r="E132" s="374"/>
      <c r="F132" s="373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32" s="373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32" s="12"/>
      <c r="I132" s="386" t="str">
        <f>IFERROR(IF(TRANSHARI5_ROKOKPAGI[[#This Row],[NAMA REKENING]]="","",TRANSHARI5_ROKOKPAGI[[#This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IFERROR(VLOOKUP(TRANSHARI5_ROKOKMALAM[[#This Row],[PRODUK]],DATA_ROKOK[],7,FALSE),"")</f>
        <v/>
      </c>
      <c r="T132" s="374"/>
      <c r="U132" s="373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32" s="373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32" s="12"/>
      <c r="X132" s="386" t="str">
        <f>IFERROR(IF(TRANSHARI5_ROKOKMALAM[[#This Row],[NAMA REKENING]]="","",TRANSHARI5_ROKOKMALAM[[#This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IFERROR(VLOOKUP(TRANSHARI5_ROKOKPAGI[[#This Row],[PRODUK]],DATA_ROKOK[],7,FALSE),"")</f>
        <v/>
      </c>
      <c r="E133" s="374"/>
      <c r="F133" s="369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33" s="369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33" s="12"/>
      <c r="I133" s="384" t="str">
        <f>IFERROR(IF(TRANSHARI5_ROKOKPAGI[[#This Row],[NAMA REKENING]]="","",TRANSHARI5_ROKOKPAGI[[#This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IFERROR(VLOOKUP(TRANSHARI5_ROKOKMALAM[[#This Row],[PRODUK]],DATA_ROKOK[],7,FALSE),"")</f>
        <v/>
      </c>
      <c r="T133" s="374"/>
      <c r="U133" s="369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33" s="369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33" s="12"/>
      <c r="X133" s="384" t="str">
        <f>IFERROR(IF(TRANSHARI5_ROKOKMALAM[[#This Row],[NAMA REKENING]]="","",TRANSHARI5_ROKOKMALAM[[#This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IFERROR(VLOOKUP(TRANSHARI5_ROKOKPAGI[[#This Row],[PRODUK]],DATA_ROKOK[],7,FALSE),"")</f>
        <v/>
      </c>
      <c r="E134" s="376"/>
      <c r="F134" s="394" t="str">
        <f>IFERROR(IF(TRANSHARI5_ROKOKPAGI[[#This Row],[NAMA PENGHUTANG]]="",((TRANSHARI5_ROKOKPAGI[[#This Row],[HARGA]]*TRANSHARI5_ROKOKPAGI[[#This Row],[QUANTITY]])+TRANSHARI5_ROKOKPAGI[[#This Row],[PRICE TOLERANCE]]),""),"")</f>
        <v/>
      </c>
      <c r="G134" s="394" t="str">
        <f>IFERROR(IF(TRANSHARI5_ROKOKPAGI[[#This Row],[NAMA PENGHUTANG]]="","",((TRANSHARI5_ROKOKPAGI[[#This Row],[HARGA]]*TRANSHARI5_ROKOKPAGI[[#This Row],[QUANTITY]])+TRANSHARI5_ROKOKPAGI[[#This Row],[PRICE TOLERANCE]])),"")</f>
        <v/>
      </c>
      <c r="H134" s="377"/>
      <c r="I134" s="399" t="str">
        <f>IFERROR(IF(TRANSHARI5_ROKOKPAGI[[#This Row],[NAMA REKENING]]="","",TRANSHARI5_ROKOKPAGI[[#This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IFERROR(VLOOKUP(TRANSHARI5_ROKOKMALAM[[#This Row],[PRODUK]],DATA_ROKOK[],7,FALSE),"")</f>
        <v/>
      </c>
      <c r="T134" s="376"/>
      <c r="U134" s="394" t="str">
        <f>IFERROR(IF(TRANSHARI5_ROKOKMALAM[[#This Row],[NAMA PENGHUTANG]]="",((TRANSHARI5_ROKOKMALAM[[#This Row],[HARGA]]*TRANSHARI5_ROKOKMALAM[[#This Row],[QUANTITY]])+TRANSHARI5_ROKOKMALAM[[#This Row],[PRICE TOLERANCE]]),""),"")</f>
        <v/>
      </c>
      <c r="V134" s="394" t="str">
        <f>IFERROR(IF(TRANSHARI5_ROKOKMALAM[[#This Row],[NAMA PENGHUTANG]]="","",((TRANSHARI5_ROKOKMALAM[[#This Row],[HARGA]]*TRANSHARI5_ROKOKMALAM[[#This Row],[QUANTITY]])+TRANSHARI5_ROKOKMALAM[[#This Row],[PRICE TOLERANCE]])),"")</f>
        <v/>
      </c>
      <c r="W134" s="377"/>
      <c r="X134" s="399" t="str">
        <f>IFERROR(IF(TRANSHARI5_ROKOKMALAM[[#This Row],[NAMA REKENING]]="","",TRANSHARI5_ROKOKMALAM[[#This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SUM(TRANSHARI5_ROKOKPAGI[QUANTITY])</f>
        <v>0</v>
      </c>
      <c r="E135" s="396">
        <f>SUM(TRANSHARI5_ROKOKPAGI[PRICE TOLERANCE])</f>
        <v>0</v>
      </c>
      <c r="F135" s="396">
        <f>SUM(TRANSHARI5_ROKOKPAGI[DEBIT])</f>
        <v>0</v>
      </c>
      <c r="G135" s="396">
        <f>SUM(TRANSHARI5_ROKOKPAGI[KREDIT])</f>
        <v>0</v>
      </c>
      <c r="I135" s="396">
        <f>SUM(TRANSHARI5_ROKOKPAGI[NOMINAL TRANSFER])</f>
        <v>0</v>
      </c>
      <c r="O135" s="324"/>
      <c r="P135" s="303" t="s">
        <v>78</v>
      </c>
      <c r="Q135" s="316"/>
      <c r="R135" s="395">
        <f>SUM(TRANSHARI5_ROKOKMALAM[QUANTITY])</f>
        <v>0</v>
      </c>
      <c r="T135" s="396">
        <f>SUM(TRANSHARI5_ROKOKMALAM[PRICE TOLERANCE])</f>
        <v>0</v>
      </c>
      <c r="U135" s="396">
        <f>SUM(TRANSHARI5_ROKOKMALAM[DEBIT])</f>
        <v>0</v>
      </c>
      <c r="V135" s="396">
        <f>SUM(TRANSHARI5_ROKOKMALAM[KREDIT])</f>
        <v>0</v>
      </c>
      <c r="X135" s="396">
        <f>SUM(TRANSHARI5_ROKOKMALAM[NOMINAL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">
        <v>208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">
        <v>209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IFERROR(VLOOKUP(TRANSHARI5_SPVOUPAGI[[#This Row],[PRODUK]],DATA_SPVOU[],7,FALSE),"")</f>
        <v/>
      </c>
      <c r="E142" s="370"/>
      <c r="F142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2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2" s="371"/>
      <c r="I142" s="384" t="str">
        <f>IFERROR(IF(TRANSHARI5_SPVOUPAGI[[#This Row],[NAMA REKENING]]="","",TRANSHARI5_SPVOUPAGI[[#This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IFERROR(VLOOKUP(TRANSHARI5_SPVOUMALAM[[#This Row],[PRODUK]],DATA_SPVOU[],7,FALSE),"")</f>
        <v/>
      </c>
      <c r="T142" s="370"/>
      <c r="U142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2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2" s="371"/>
      <c r="X142" s="384" t="str">
        <f>IFERROR(IF(TRANSHARI5_SPVOUMALAM[[#This Row],[NAMA REKENING]]="","",TRANSHARI5_SPVOUMALAM[[#This Row],[DEBIT]]),"")</f>
        <v/>
      </c>
      <c r="Y142" s="385"/>
    </row>
    <row r="143" spans="1:25">
      <c r="A143" s="367">
        <v>2</v>
      </c>
      <c r="B143" s="368"/>
      <c r="C143" s="368"/>
      <c r="D143" s="373" t="str">
        <f>IFERROR(VLOOKUP(TRANSHARI5_SPVOUPAGI[[#This Row],[PRODUK]],DATA_SPVOU[],7,FALSE),"")</f>
        <v/>
      </c>
      <c r="E143" s="374"/>
      <c r="F143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3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3" s="12"/>
      <c r="I143" s="386" t="str">
        <f>IFERROR(IF(TRANSHARI5_SPVOUPAGI[[#This Row],[NAMA REKENING]]="","",TRANSHARI5_SPVOUPAGI[[#This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IFERROR(VLOOKUP(TRANSHARI5_SPVOUMALAM[[#This Row],[PRODUK]],DATA_SPVOU[],7,FALSE),"")</f>
        <v/>
      </c>
      <c r="T143" s="374"/>
      <c r="U143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3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3" s="12"/>
      <c r="X143" s="386" t="str">
        <f>IFERROR(IF(TRANSHARI5_SPVOUMALAM[[#This Row],[NAMA REKENING]]="","",TRANSHARI5_SPVOUMALAM[[#This Row],[DEBIT]]),"")</f>
        <v/>
      </c>
      <c r="Y143" s="387"/>
    </row>
    <row r="144" spans="1:25">
      <c r="A144" s="367">
        <v>3</v>
      </c>
      <c r="B144" s="368"/>
      <c r="C144" s="368"/>
      <c r="D144" s="369" t="str">
        <f>IFERROR(VLOOKUP(TRANSHARI5_SPVOUPAGI[[#This Row],[PRODUK]],DATA_SPVOU[],7,FALSE),"")</f>
        <v/>
      </c>
      <c r="E144" s="374"/>
      <c r="F144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4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4" s="12"/>
      <c r="I144" s="384" t="str">
        <f>IFERROR(IF(TRANSHARI5_SPVOUPAGI[[#This Row],[NAMA REKENING]]="","",TRANSHARI5_SPVOUPAGI[[#This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IFERROR(VLOOKUP(TRANSHARI5_SPVOUMALAM[[#This Row],[PRODUK]],DATA_SPVOU[],7,FALSE),"")</f>
        <v/>
      </c>
      <c r="T144" s="374"/>
      <c r="U144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4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4" s="12"/>
      <c r="X144" s="384" t="str">
        <f>IFERROR(IF(TRANSHARI5_SPVOUMALAM[[#This Row],[NAMA REKENING]]="","",TRANSHARI5_SPVOUMALAM[[#This Row],[DEBIT]]),"")</f>
        <v/>
      </c>
      <c r="Y144" s="387"/>
    </row>
    <row r="145" spans="1:25">
      <c r="A145" s="367">
        <v>4</v>
      </c>
      <c r="B145" s="368"/>
      <c r="C145" s="368"/>
      <c r="D145" s="373" t="str">
        <f>IFERROR(VLOOKUP(TRANSHARI5_SPVOUPAGI[[#This Row],[PRODUK]],DATA_SPVOU[],7,FALSE),"")</f>
        <v/>
      </c>
      <c r="E145" s="374"/>
      <c r="F145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5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5" s="12"/>
      <c r="I145" s="386" t="str">
        <f>IFERROR(IF(TRANSHARI5_SPVOUPAGI[[#This Row],[NAMA REKENING]]="","",TRANSHARI5_SPVOUPAGI[[#This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IFERROR(VLOOKUP(TRANSHARI5_SPVOUMALAM[[#This Row],[PRODUK]],DATA_SPVOU[],7,FALSE),"")</f>
        <v/>
      </c>
      <c r="T145" s="374"/>
      <c r="U145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5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5" s="12"/>
      <c r="X145" s="386" t="str">
        <f>IFERROR(IF(TRANSHARI5_SPVOUMALAM[[#This Row],[NAMA REKENING]]="","",TRANSHARI5_SPVOUMALAM[[#This Row],[DEBIT]]),"")</f>
        <v/>
      </c>
      <c r="Y145" s="387"/>
    </row>
    <row r="146" spans="1:25">
      <c r="A146" s="367">
        <v>5</v>
      </c>
      <c r="B146" s="368"/>
      <c r="C146" s="368"/>
      <c r="D146" s="369" t="str">
        <f>IFERROR(VLOOKUP(TRANSHARI5_SPVOUPAGI[[#This Row],[PRODUK]],DATA_SPVOU[],7,FALSE),"")</f>
        <v/>
      </c>
      <c r="E146" s="374"/>
      <c r="F146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6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6" s="12"/>
      <c r="I146" s="384" t="str">
        <f>IFERROR(IF(TRANSHARI5_SPVOUPAGI[[#This Row],[NAMA REKENING]]="","",TRANSHARI5_SPVOUPAGI[[#This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IFERROR(VLOOKUP(TRANSHARI5_SPVOUMALAM[[#This Row],[PRODUK]],DATA_SPVOU[],7,FALSE),"")</f>
        <v/>
      </c>
      <c r="T146" s="374"/>
      <c r="U146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6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6" s="12"/>
      <c r="X146" s="384" t="str">
        <f>IFERROR(IF(TRANSHARI5_SPVOUMALAM[[#This Row],[NAMA REKENING]]="","",TRANSHARI5_SPVOUMALAM[[#This Row],[DEBIT]]),"")</f>
        <v/>
      </c>
      <c r="Y146" s="387"/>
    </row>
    <row r="147" spans="1:25">
      <c r="A147" s="367">
        <v>6</v>
      </c>
      <c r="B147" s="368"/>
      <c r="C147" s="368"/>
      <c r="D147" s="373" t="str">
        <f>IFERROR(VLOOKUP(TRANSHARI5_SPVOUPAGI[[#This Row],[PRODUK]],DATA_SPVOU[],7,FALSE),"")</f>
        <v/>
      </c>
      <c r="E147" s="374"/>
      <c r="F147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7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7" s="12"/>
      <c r="I147" s="386" t="str">
        <f>IFERROR(IF(TRANSHARI5_SPVOUPAGI[[#This Row],[NAMA REKENING]]="","",TRANSHARI5_SPVOUPAGI[[#This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IFERROR(VLOOKUP(TRANSHARI5_SPVOUMALAM[[#This Row],[PRODUK]],DATA_SPVOU[],7,FALSE),"")</f>
        <v/>
      </c>
      <c r="T147" s="374"/>
      <c r="U147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7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7" s="12"/>
      <c r="X147" s="386" t="str">
        <f>IFERROR(IF(TRANSHARI5_SPVOUMALAM[[#This Row],[NAMA REKENING]]="","",TRANSHARI5_SPVOUMALAM[[#This Row],[DEBIT]]),"")</f>
        <v/>
      </c>
      <c r="Y147" s="387"/>
    </row>
    <row r="148" spans="1:25">
      <c r="A148" s="367">
        <v>7</v>
      </c>
      <c r="B148" s="368"/>
      <c r="C148" s="368"/>
      <c r="D148" s="369" t="str">
        <f>IFERROR(VLOOKUP(TRANSHARI5_SPVOUPAGI[[#This Row],[PRODUK]],DATA_SPVOU[],7,FALSE),"")</f>
        <v/>
      </c>
      <c r="E148" s="374"/>
      <c r="F148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8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8" s="12"/>
      <c r="I148" s="384" t="str">
        <f>IFERROR(IF(TRANSHARI5_SPVOUPAGI[[#This Row],[NAMA REKENING]]="","",TRANSHARI5_SPVOUPAGI[[#This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IFERROR(VLOOKUP(TRANSHARI5_SPVOUMALAM[[#This Row],[PRODUK]],DATA_SPVOU[],7,FALSE),"")</f>
        <v/>
      </c>
      <c r="T148" s="374"/>
      <c r="U148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8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8" s="12"/>
      <c r="X148" s="384" t="str">
        <f>IFERROR(IF(TRANSHARI5_SPVOUMALAM[[#This Row],[NAMA REKENING]]="","",TRANSHARI5_SPVOUMALAM[[#This Row],[DEBIT]]),"")</f>
        <v/>
      </c>
      <c r="Y148" s="387"/>
    </row>
    <row r="149" spans="1:25">
      <c r="A149" s="367">
        <v>8</v>
      </c>
      <c r="B149" s="368"/>
      <c r="C149" s="368"/>
      <c r="D149" s="373" t="str">
        <f>IFERROR(VLOOKUP(TRANSHARI5_SPVOUPAGI[[#This Row],[PRODUK]],DATA_SPVOU[],7,FALSE),"")</f>
        <v/>
      </c>
      <c r="E149" s="374"/>
      <c r="F149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49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49" s="12"/>
      <c r="I149" s="386" t="str">
        <f>IFERROR(IF(TRANSHARI5_SPVOUPAGI[[#This Row],[NAMA REKENING]]="","",TRANSHARI5_SPVOUPAGI[[#This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IFERROR(VLOOKUP(TRANSHARI5_SPVOUMALAM[[#This Row],[PRODUK]],DATA_SPVOU[],7,FALSE),"")</f>
        <v/>
      </c>
      <c r="T149" s="374"/>
      <c r="U149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49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49" s="12"/>
      <c r="X149" s="386" t="str">
        <f>IFERROR(IF(TRANSHARI5_SPVOUMALAM[[#This Row],[NAMA REKENING]]="","",TRANSHARI5_SPVOUMALAM[[#This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IFERROR(VLOOKUP(TRANSHARI5_SPVOUPAGI[[#This Row],[PRODUK]],DATA_SPVOU[],7,FALSE),"")</f>
        <v/>
      </c>
      <c r="E150" s="374"/>
      <c r="F150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0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0" s="12"/>
      <c r="I150" s="384" t="str">
        <f>IFERROR(IF(TRANSHARI5_SPVOUPAGI[[#This Row],[NAMA REKENING]]="","",TRANSHARI5_SPVOUPAGI[[#This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IFERROR(VLOOKUP(TRANSHARI5_SPVOUMALAM[[#This Row],[PRODUK]],DATA_SPVOU[],7,FALSE),"")</f>
        <v/>
      </c>
      <c r="T150" s="374"/>
      <c r="U150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0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0" s="12"/>
      <c r="X150" s="384" t="str">
        <f>IFERROR(IF(TRANSHARI5_SPVOUMALAM[[#This Row],[NAMA REKENING]]="","",TRANSHARI5_SPVOUMALAM[[#This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IFERROR(VLOOKUP(TRANSHARI5_SPVOUPAGI[[#This Row],[PRODUK]],DATA_SPVOU[],7,FALSE),"")</f>
        <v/>
      </c>
      <c r="E151" s="374"/>
      <c r="F151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1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1" s="12"/>
      <c r="I151" s="386" t="str">
        <f>IFERROR(IF(TRANSHARI5_SPVOUPAGI[[#This Row],[NAMA REKENING]]="","",TRANSHARI5_SPVOUPAGI[[#This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IFERROR(VLOOKUP(TRANSHARI5_SPVOUMALAM[[#This Row],[PRODUK]],DATA_SPVOU[],7,FALSE),"")</f>
        <v/>
      </c>
      <c r="T151" s="374"/>
      <c r="U151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1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1" s="12"/>
      <c r="X151" s="386" t="str">
        <f>IFERROR(IF(TRANSHARI5_SPVOUMALAM[[#This Row],[NAMA REKENING]]="","",TRANSHARI5_SPVOUMALAM[[#This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IFERROR(VLOOKUP(TRANSHARI5_SPVOUPAGI[[#This Row],[PRODUK]],DATA_SPVOU[],7,FALSE),"")</f>
        <v/>
      </c>
      <c r="E152" s="374"/>
      <c r="F152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2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2" s="12"/>
      <c r="I152" s="384" t="str">
        <f>IFERROR(IF(TRANSHARI5_SPVOUPAGI[[#This Row],[NAMA REKENING]]="","",TRANSHARI5_SPVOUPAGI[[#This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IFERROR(VLOOKUP(TRANSHARI5_SPVOUMALAM[[#This Row],[PRODUK]],DATA_SPVOU[],7,FALSE),"")</f>
        <v/>
      </c>
      <c r="T152" s="374"/>
      <c r="U152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2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2" s="12"/>
      <c r="X152" s="384" t="str">
        <f>IFERROR(IF(TRANSHARI5_SPVOUMALAM[[#This Row],[NAMA REKENING]]="","",TRANSHARI5_SPVOUMALAM[[#This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IFERROR(VLOOKUP(TRANSHARI5_SPVOUPAGI[[#This Row],[PRODUK]],DATA_SPVOU[],7,FALSE),"")</f>
        <v/>
      </c>
      <c r="E153" s="374"/>
      <c r="F153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3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3" s="12"/>
      <c r="I153" s="386" t="str">
        <f>IFERROR(IF(TRANSHARI5_SPVOUPAGI[[#This Row],[NAMA REKENING]]="","",TRANSHARI5_SPVOUPAGI[[#This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IFERROR(VLOOKUP(TRANSHARI5_SPVOUMALAM[[#This Row],[PRODUK]],DATA_SPVOU[],7,FALSE),"")</f>
        <v/>
      </c>
      <c r="T153" s="374"/>
      <c r="U153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3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3" s="12"/>
      <c r="X153" s="386" t="str">
        <f>IFERROR(IF(TRANSHARI5_SPVOUMALAM[[#This Row],[NAMA REKENING]]="","",TRANSHARI5_SPVOUMALAM[[#This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IFERROR(VLOOKUP(TRANSHARI5_SPVOUPAGI[[#This Row],[PRODUK]],DATA_SPVOU[],7,FALSE),"")</f>
        <v/>
      </c>
      <c r="E154" s="374"/>
      <c r="F154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4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4" s="12"/>
      <c r="I154" s="384" t="str">
        <f>IFERROR(IF(TRANSHARI5_SPVOUPAGI[[#This Row],[NAMA REKENING]]="","",TRANSHARI5_SPVOUPAGI[[#This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IFERROR(VLOOKUP(TRANSHARI5_SPVOUMALAM[[#This Row],[PRODUK]],DATA_SPVOU[],7,FALSE),"")</f>
        <v/>
      </c>
      <c r="T154" s="374"/>
      <c r="U154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4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4" s="12"/>
      <c r="X154" s="384" t="str">
        <f>IFERROR(IF(TRANSHARI5_SPVOUMALAM[[#This Row],[NAMA REKENING]]="","",TRANSHARI5_SPVOUMALAM[[#This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IFERROR(VLOOKUP(TRANSHARI5_SPVOUPAGI[[#This Row],[PRODUK]],DATA_SPVOU[],7,FALSE),"")</f>
        <v/>
      </c>
      <c r="E155" s="374"/>
      <c r="F155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5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5" s="12"/>
      <c r="I155" s="386" t="str">
        <f>IFERROR(IF(TRANSHARI5_SPVOUPAGI[[#This Row],[NAMA REKENING]]="","",TRANSHARI5_SPVOUPAGI[[#This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IFERROR(VLOOKUP(TRANSHARI5_SPVOUMALAM[[#This Row],[PRODUK]],DATA_SPVOU[],7,FALSE),"")</f>
        <v/>
      </c>
      <c r="T155" s="374"/>
      <c r="U155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5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5" s="12"/>
      <c r="X155" s="386" t="str">
        <f>IFERROR(IF(TRANSHARI5_SPVOUMALAM[[#This Row],[NAMA REKENING]]="","",TRANSHARI5_SPVOUMALAM[[#This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IFERROR(VLOOKUP(TRANSHARI5_SPVOUPAGI[[#This Row],[PRODUK]],DATA_SPVOU[],7,FALSE),"")</f>
        <v/>
      </c>
      <c r="E156" s="374"/>
      <c r="F156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6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6" s="12"/>
      <c r="I156" s="384" t="str">
        <f>IFERROR(IF(TRANSHARI5_SPVOUPAGI[[#This Row],[NAMA REKENING]]="","",TRANSHARI5_SPVOUPAGI[[#This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IFERROR(VLOOKUP(TRANSHARI5_SPVOUMALAM[[#This Row],[PRODUK]],DATA_SPVOU[],7,FALSE),"")</f>
        <v/>
      </c>
      <c r="T156" s="374"/>
      <c r="U156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6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6" s="12"/>
      <c r="X156" s="384" t="str">
        <f>IFERROR(IF(TRANSHARI5_SPVOUMALAM[[#This Row],[NAMA REKENING]]="","",TRANSHARI5_SPVOUMALAM[[#This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IFERROR(VLOOKUP(TRANSHARI5_SPVOUPAGI[[#This Row],[PRODUK]],DATA_SPVOU[],7,FALSE),"")</f>
        <v/>
      </c>
      <c r="E157" s="374"/>
      <c r="F157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7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7" s="12"/>
      <c r="I157" s="386" t="str">
        <f>IFERROR(IF(TRANSHARI5_SPVOUPAGI[[#This Row],[NAMA REKENING]]="","",TRANSHARI5_SPVOUPAGI[[#This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IFERROR(VLOOKUP(TRANSHARI5_SPVOUMALAM[[#This Row],[PRODUK]],DATA_SPVOU[],7,FALSE),"")</f>
        <v/>
      </c>
      <c r="T157" s="374"/>
      <c r="U157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7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7" s="12"/>
      <c r="X157" s="386" t="str">
        <f>IFERROR(IF(TRANSHARI5_SPVOUMALAM[[#This Row],[NAMA REKENING]]="","",TRANSHARI5_SPVOUMALAM[[#This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IFERROR(VLOOKUP(TRANSHARI5_SPVOUPAGI[[#This Row],[PRODUK]],DATA_SPVOU[],7,FALSE),"")</f>
        <v/>
      </c>
      <c r="E158" s="374"/>
      <c r="F158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8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8" s="12"/>
      <c r="I158" s="384" t="str">
        <f>IFERROR(IF(TRANSHARI5_SPVOUPAGI[[#This Row],[NAMA REKENING]]="","",TRANSHARI5_SPVOUPAGI[[#This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IFERROR(VLOOKUP(TRANSHARI5_SPVOUMALAM[[#This Row],[PRODUK]],DATA_SPVOU[],7,FALSE),"")</f>
        <v/>
      </c>
      <c r="T158" s="374"/>
      <c r="U158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8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8" s="12"/>
      <c r="X158" s="384" t="str">
        <f>IFERROR(IF(TRANSHARI5_SPVOUMALAM[[#This Row],[NAMA REKENING]]="","",TRANSHARI5_SPVOUMALAM[[#This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IFERROR(VLOOKUP(TRANSHARI5_SPVOUPAGI[[#This Row],[PRODUK]],DATA_SPVOU[],7,FALSE),"")</f>
        <v/>
      </c>
      <c r="E159" s="374"/>
      <c r="F159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59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59" s="12"/>
      <c r="I159" s="386" t="str">
        <f>IFERROR(IF(TRANSHARI5_SPVOUPAGI[[#This Row],[NAMA REKENING]]="","",TRANSHARI5_SPVOUPAGI[[#This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IFERROR(VLOOKUP(TRANSHARI5_SPVOUMALAM[[#This Row],[PRODUK]],DATA_SPVOU[],7,FALSE),"")</f>
        <v/>
      </c>
      <c r="T159" s="374"/>
      <c r="U159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59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59" s="12"/>
      <c r="X159" s="386" t="str">
        <f>IFERROR(IF(TRANSHARI5_SPVOUMALAM[[#This Row],[NAMA REKENING]]="","",TRANSHARI5_SPVOUMALAM[[#This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IFERROR(VLOOKUP(TRANSHARI5_SPVOUPAGI[[#This Row],[PRODUK]],DATA_SPVOU[],7,FALSE),"")</f>
        <v/>
      </c>
      <c r="E160" s="374"/>
      <c r="F160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0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0" s="12"/>
      <c r="I160" s="384" t="str">
        <f>IFERROR(IF(TRANSHARI5_SPVOUPAGI[[#This Row],[NAMA REKENING]]="","",TRANSHARI5_SPVOUPAGI[[#This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IFERROR(VLOOKUP(TRANSHARI5_SPVOUMALAM[[#This Row],[PRODUK]],DATA_SPVOU[],7,FALSE),"")</f>
        <v/>
      </c>
      <c r="T160" s="374"/>
      <c r="U160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0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0" s="12"/>
      <c r="X160" s="384" t="str">
        <f>IFERROR(IF(TRANSHARI5_SPVOUMALAM[[#This Row],[NAMA REKENING]]="","",TRANSHARI5_SPVOUMALAM[[#This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IFERROR(VLOOKUP(TRANSHARI5_SPVOUPAGI[[#This Row],[PRODUK]],DATA_SPVOU[],7,FALSE),"")</f>
        <v/>
      </c>
      <c r="E161" s="374"/>
      <c r="F161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1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1" s="12"/>
      <c r="I161" s="386" t="str">
        <f>IFERROR(IF(TRANSHARI5_SPVOUPAGI[[#This Row],[NAMA REKENING]]="","",TRANSHARI5_SPVOUPAGI[[#This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IFERROR(VLOOKUP(TRANSHARI5_SPVOUMALAM[[#This Row],[PRODUK]],DATA_SPVOU[],7,FALSE),"")</f>
        <v/>
      </c>
      <c r="T161" s="374"/>
      <c r="U161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1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1" s="12"/>
      <c r="X161" s="386" t="str">
        <f>IFERROR(IF(TRANSHARI5_SPVOUMALAM[[#This Row],[NAMA REKENING]]="","",TRANSHARI5_SPVOUMALAM[[#This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IFERROR(VLOOKUP(TRANSHARI5_SPVOUPAGI[[#This Row],[PRODUK]],DATA_SPVOU[],7,FALSE),"")</f>
        <v/>
      </c>
      <c r="E162" s="374"/>
      <c r="F162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2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2" s="12"/>
      <c r="I162" s="384" t="str">
        <f>IFERROR(IF(TRANSHARI5_SPVOUPAGI[[#This Row],[NAMA REKENING]]="","",TRANSHARI5_SPVOUPAGI[[#This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IFERROR(VLOOKUP(TRANSHARI5_SPVOUMALAM[[#This Row],[PRODUK]],DATA_SPVOU[],7,FALSE),"")</f>
        <v/>
      </c>
      <c r="T162" s="374"/>
      <c r="U162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2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2" s="12"/>
      <c r="X162" s="384" t="str">
        <f>IFERROR(IF(TRANSHARI5_SPVOUMALAM[[#This Row],[NAMA REKENING]]="","",TRANSHARI5_SPVOUMALAM[[#This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IFERROR(VLOOKUP(TRANSHARI5_SPVOUPAGI[[#This Row],[PRODUK]],DATA_SPVOU[],7,FALSE),"")</f>
        <v/>
      </c>
      <c r="E163" s="374"/>
      <c r="F163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3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3" s="12"/>
      <c r="I163" s="386" t="str">
        <f>IFERROR(IF(TRANSHARI5_SPVOUPAGI[[#This Row],[NAMA REKENING]]="","",TRANSHARI5_SPVOUPAGI[[#This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IFERROR(VLOOKUP(TRANSHARI5_SPVOUMALAM[[#This Row],[PRODUK]],DATA_SPVOU[],7,FALSE),"")</f>
        <v/>
      </c>
      <c r="T163" s="374"/>
      <c r="U163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3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3" s="12"/>
      <c r="X163" s="386" t="str">
        <f>IFERROR(IF(TRANSHARI5_SPVOUMALAM[[#This Row],[NAMA REKENING]]="","",TRANSHARI5_SPVOUMALAM[[#This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IFERROR(VLOOKUP(TRANSHARI5_SPVOUPAGI[[#This Row],[PRODUK]],DATA_SPVOU[],7,FALSE),"")</f>
        <v/>
      </c>
      <c r="E164" s="374"/>
      <c r="F164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4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4" s="12"/>
      <c r="I164" s="384" t="str">
        <f>IFERROR(IF(TRANSHARI5_SPVOUPAGI[[#This Row],[NAMA REKENING]]="","",TRANSHARI5_SPVOUPAGI[[#This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IFERROR(VLOOKUP(TRANSHARI5_SPVOUMALAM[[#This Row],[PRODUK]],DATA_SPVOU[],7,FALSE),"")</f>
        <v/>
      </c>
      <c r="T164" s="374"/>
      <c r="U164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4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4" s="12"/>
      <c r="X164" s="384" t="str">
        <f>IFERROR(IF(TRANSHARI5_SPVOUMALAM[[#This Row],[NAMA REKENING]]="","",TRANSHARI5_SPVOUMALAM[[#This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IFERROR(VLOOKUP(TRANSHARI5_SPVOUPAGI[[#This Row],[PRODUK]],DATA_SPVOU[],7,FALSE),"")</f>
        <v/>
      </c>
      <c r="E165" s="374"/>
      <c r="F165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5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5" s="12"/>
      <c r="I165" s="386" t="str">
        <f>IFERROR(IF(TRANSHARI5_SPVOUPAGI[[#This Row],[NAMA REKENING]]="","",TRANSHARI5_SPVOUPAGI[[#This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IFERROR(VLOOKUP(TRANSHARI5_SPVOUMALAM[[#This Row],[PRODUK]],DATA_SPVOU[],7,FALSE),"")</f>
        <v/>
      </c>
      <c r="T165" s="374"/>
      <c r="U165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5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5" s="12"/>
      <c r="X165" s="386" t="str">
        <f>IFERROR(IF(TRANSHARI5_SPVOUMALAM[[#This Row],[NAMA REKENING]]="","",TRANSHARI5_SPVOUMALAM[[#This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IFERROR(VLOOKUP(TRANSHARI5_SPVOUPAGI[[#This Row],[PRODUK]],DATA_SPVOU[],7,FALSE),"")</f>
        <v/>
      </c>
      <c r="E166" s="374"/>
      <c r="F166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6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6" s="12"/>
      <c r="I166" s="384" t="str">
        <f>IFERROR(IF(TRANSHARI5_SPVOUPAGI[[#This Row],[NAMA REKENING]]="","",TRANSHARI5_SPVOUPAGI[[#This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IFERROR(VLOOKUP(TRANSHARI5_SPVOUMALAM[[#This Row],[PRODUK]],DATA_SPVOU[],7,FALSE),"")</f>
        <v/>
      </c>
      <c r="T166" s="374"/>
      <c r="U166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6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6" s="12"/>
      <c r="X166" s="384" t="str">
        <f>IFERROR(IF(TRANSHARI5_SPVOUMALAM[[#This Row],[NAMA REKENING]]="","",TRANSHARI5_SPVOUMALAM[[#This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IFERROR(VLOOKUP(TRANSHARI5_SPVOUPAGI[[#This Row],[PRODUK]],DATA_SPVOU[],7,FALSE),"")</f>
        <v/>
      </c>
      <c r="E167" s="376"/>
      <c r="F167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7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7" s="377"/>
      <c r="I167" s="386" t="str">
        <f>IFERROR(IF(TRANSHARI5_SPVOUPAGI[[#This Row],[NAMA REKENING]]="","",TRANSHARI5_SPVOUPAGI[[#This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IFERROR(VLOOKUP(TRANSHARI5_SPVOUMALAM[[#This Row],[PRODUK]],DATA_SPVOU[],7,FALSE),"")</f>
        <v/>
      </c>
      <c r="T167" s="376"/>
      <c r="U167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7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7" s="377"/>
      <c r="X167" s="386" t="str">
        <f>IFERROR(IF(TRANSHARI5_SPVOUMALAM[[#This Row],[NAMA REKENING]]="","",TRANSHARI5_SPVOUMALAM[[#This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IFERROR(VLOOKUP(TRANSHARI5_SPVOUPAGI[[#This Row],[PRODUK]],DATA_SPVOU[],7,FALSE),"")</f>
        <v/>
      </c>
      <c r="E168" s="374"/>
      <c r="F168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8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8" s="12"/>
      <c r="I168" s="384" t="str">
        <f>IFERROR(IF(TRANSHARI5_SPVOUPAGI[[#This Row],[NAMA REKENING]]="","",TRANSHARI5_SPVOUPAGI[[#This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IFERROR(VLOOKUP(TRANSHARI5_SPVOUMALAM[[#This Row],[PRODUK]],DATA_SPVOU[],7,FALSE),"")</f>
        <v/>
      </c>
      <c r="T168" s="374"/>
      <c r="U168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8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8" s="12"/>
      <c r="X168" s="384" t="str">
        <f>IFERROR(IF(TRANSHARI5_SPVOUMALAM[[#This Row],[NAMA REKENING]]="","",TRANSHARI5_SPVOUMALAM[[#This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IFERROR(VLOOKUP(TRANSHARI5_SPVOUPAGI[[#This Row],[PRODUK]],DATA_SPVOU[],7,FALSE),"")</f>
        <v/>
      </c>
      <c r="E169" s="374"/>
      <c r="F169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69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69" s="12"/>
      <c r="I169" s="386" t="str">
        <f>IFERROR(IF(TRANSHARI5_SPVOUPAGI[[#This Row],[NAMA REKENING]]="","",TRANSHARI5_SPVOUPAGI[[#This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IFERROR(VLOOKUP(TRANSHARI5_SPVOUMALAM[[#This Row],[PRODUK]],DATA_SPVOU[],7,FALSE),"")</f>
        <v/>
      </c>
      <c r="T169" s="374"/>
      <c r="U169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69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69" s="12"/>
      <c r="X169" s="386" t="str">
        <f>IFERROR(IF(TRANSHARI5_SPVOUMALAM[[#This Row],[NAMA REKENING]]="","",TRANSHARI5_SPVOUMALAM[[#This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IFERROR(VLOOKUP(TRANSHARI5_SPVOUPAGI[[#This Row],[PRODUK]],DATA_SPVOU[],7,FALSE),"")</f>
        <v/>
      </c>
      <c r="E170" s="374"/>
      <c r="F170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0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0" s="12"/>
      <c r="I170" s="384" t="str">
        <f>IFERROR(IF(TRANSHARI5_SPVOUPAGI[[#This Row],[NAMA REKENING]]="","",TRANSHARI5_SPVOUPAGI[[#This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IFERROR(VLOOKUP(TRANSHARI5_SPVOUMALAM[[#This Row],[PRODUK]],DATA_SPVOU[],7,FALSE),"")</f>
        <v/>
      </c>
      <c r="T170" s="374"/>
      <c r="U170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0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0" s="12"/>
      <c r="X170" s="384" t="str">
        <f>IFERROR(IF(TRANSHARI5_SPVOUMALAM[[#This Row],[NAMA REKENING]]="","",TRANSHARI5_SPVOUMALAM[[#This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IFERROR(VLOOKUP(TRANSHARI5_SPVOUPAGI[[#This Row],[PRODUK]],DATA_SPVOU[],7,FALSE),"")</f>
        <v/>
      </c>
      <c r="E171" s="374"/>
      <c r="F171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1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1" s="12"/>
      <c r="I171" s="386" t="str">
        <f>IFERROR(IF(TRANSHARI5_SPVOUPAGI[[#This Row],[NAMA REKENING]]="","",TRANSHARI5_SPVOUPAGI[[#This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IFERROR(VLOOKUP(TRANSHARI5_SPVOUMALAM[[#This Row],[PRODUK]],DATA_SPVOU[],7,FALSE),"")</f>
        <v/>
      </c>
      <c r="T171" s="374"/>
      <c r="U171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1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1" s="12"/>
      <c r="X171" s="386" t="str">
        <f>IFERROR(IF(TRANSHARI5_SPVOUMALAM[[#This Row],[NAMA REKENING]]="","",TRANSHARI5_SPVOUMALAM[[#This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IFERROR(VLOOKUP(TRANSHARI5_SPVOUPAGI[[#This Row],[PRODUK]],DATA_SPVOU[],7,FALSE),"")</f>
        <v/>
      </c>
      <c r="E172" s="374"/>
      <c r="F172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2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2" s="12"/>
      <c r="I172" s="384" t="str">
        <f>IFERROR(IF(TRANSHARI5_SPVOUPAGI[[#This Row],[NAMA REKENING]]="","",TRANSHARI5_SPVOUPAGI[[#This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IFERROR(VLOOKUP(TRANSHARI5_SPVOUMALAM[[#This Row],[PRODUK]],DATA_SPVOU[],7,FALSE),"")</f>
        <v/>
      </c>
      <c r="T172" s="374"/>
      <c r="U172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2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2" s="12"/>
      <c r="X172" s="384" t="str">
        <f>IFERROR(IF(TRANSHARI5_SPVOUMALAM[[#This Row],[NAMA REKENING]]="","",TRANSHARI5_SPVOUMALAM[[#This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IFERROR(VLOOKUP(TRANSHARI5_SPVOUPAGI[[#This Row],[PRODUK]],DATA_SPVOU[],7,FALSE),"")</f>
        <v/>
      </c>
      <c r="E173" s="374"/>
      <c r="F173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3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3" s="12"/>
      <c r="I173" s="386" t="str">
        <f>IFERROR(IF(TRANSHARI5_SPVOUPAGI[[#This Row],[NAMA REKENING]]="","",TRANSHARI5_SPVOUPAGI[[#This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IFERROR(VLOOKUP(TRANSHARI5_SPVOUMALAM[[#This Row],[PRODUK]],DATA_SPVOU[],7,FALSE),"")</f>
        <v/>
      </c>
      <c r="T173" s="374"/>
      <c r="U173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3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3" s="12"/>
      <c r="X173" s="386" t="str">
        <f>IFERROR(IF(TRANSHARI5_SPVOUMALAM[[#This Row],[NAMA REKENING]]="","",TRANSHARI5_SPVOUMALAM[[#This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IFERROR(VLOOKUP(TRANSHARI5_SPVOUPAGI[[#This Row],[PRODUK]],DATA_SPVOU[],7,FALSE),"")</f>
        <v/>
      </c>
      <c r="E174" s="374"/>
      <c r="F174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4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4" s="12"/>
      <c r="I174" s="384" t="str">
        <f>IFERROR(IF(TRANSHARI5_SPVOUPAGI[[#This Row],[NAMA REKENING]]="","",TRANSHARI5_SPVOUPAGI[[#This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IFERROR(VLOOKUP(TRANSHARI5_SPVOUMALAM[[#This Row],[PRODUK]],DATA_SPVOU[],7,FALSE),"")</f>
        <v/>
      </c>
      <c r="T174" s="374"/>
      <c r="U174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4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4" s="12"/>
      <c r="X174" s="384" t="str">
        <f>IFERROR(IF(TRANSHARI5_SPVOUMALAM[[#This Row],[NAMA REKENING]]="","",TRANSHARI5_SPVOUMALAM[[#This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IFERROR(VLOOKUP(TRANSHARI5_SPVOUPAGI[[#This Row],[PRODUK]],DATA_SPVOU[],7,FALSE),"")</f>
        <v/>
      </c>
      <c r="E175" s="374"/>
      <c r="F175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5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5" s="12"/>
      <c r="I175" s="386" t="str">
        <f>IFERROR(IF(TRANSHARI5_SPVOUPAGI[[#This Row],[NAMA REKENING]]="","",TRANSHARI5_SPVOUPAGI[[#This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IFERROR(VLOOKUP(TRANSHARI5_SPVOUMALAM[[#This Row],[PRODUK]],DATA_SPVOU[],7,FALSE),"")</f>
        <v/>
      </c>
      <c r="T175" s="374"/>
      <c r="U175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5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5" s="12"/>
      <c r="X175" s="386" t="str">
        <f>IFERROR(IF(TRANSHARI5_SPVOUMALAM[[#This Row],[NAMA REKENING]]="","",TRANSHARI5_SPVOUMALAM[[#This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IFERROR(VLOOKUP(TRANSHARI5_SPVOUPAGI[[#This Row],[PRODUK]],DATA_SPVOU[],7,FALSE),"")</f>
        <v/>
      </c>
      <c r="E176" s="374"/>
      <c r="F176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6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6" s="12"/>
      <c r="I176" s="384" t="str">
        <f>IFERROR(IF(TRANSHARI5_SPVOUPAGI[[#This Row],[NAMA REKENING]]="","",TRANSHARI5_SPVOUPAGI[[#This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IFERROR(VLOOKUP(TRANSHARI5_SPVOUMALAM[[#This Row],[PRODUK]],DATA_SPVOU[],7,FALSE),"")</f>
        <v/>
      </c>
      <c r="T176" s="374"/>
      <c r="U176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6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6" s="12"/>
      <c r="X176" s="384" t="str">
        <f>IFERROR(IF(TRANSHARI5_SPVOUMALAM[[#This Row],[NAMA REKENING]]="","",TRANSHARI5_SPVOUMALAM[[#This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IFERROR(VLOOKUP(TRANSHARI5_SPVOUPAGI[[#This Row],[PRODUK]],DATA_SPVOU[],7,FALSE),"")</f>
        <v/>
      </c>
      <c r="E177" s="374"/>
      <c r="F177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7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7" s="12"/>
      <c r="I177" s="386" t="str">
        <f>IFERROR(IF(TRANSHARI5_SPVOUPAGI[[#This Row],[NAMA REKENING]]="","",TRANSHARI5_SPVOUPAGI[[#This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IFERROR(VLOOKUP(TRANSHARI5_SPVOUMALAM[[#This Row],[PRODUK]],DATA_SPVOU[],7,FALSE),"")</f>
        <v/>
      </c>
      <c r="T177" s="374"/>
      <c r="U177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7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7" s="12"/>
      <c r="X177" s="386" t="str">
        <f>IFERROR(IF(TRANSHARI5_SPVOUMALAM[[#This Row],[NAMA REKENING]]="","",TRANSHARI5_SPVOUMALAM[[#This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IFERROR(VLOOKUP(TRANSHARI5_SPVOUPAGI[[#This Row],[PRODUK]],DATA_SPVOU[],7,FALSE),"")</f>
        <v/>
      </c>
      <c r="E178" s="374"/>
      <c r="F178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8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8" s="12"/>
      <c r="I178" s="384" t="str">
        <f>IFERROR(IF(TRANSHARI5_SPVOUPAGI[[#This Row],[NAMA REKENING]]="","",TRANSHARI5_SPVOUPAGI[[#This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IFERROR(VLOOKUP(TRANSHARI5_SPVOUMALAM[[#This Row],[PRODUK]],DATA_SPVOU[],7,FALSE),"")</f>
        <v/>
      </c>
      <c r="T178" s="374"/>
      <c r="U178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8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8" s="12"/>
      <c r="X178" s="384" t="str">
        <f>IFERROR(IF(TRANSHARI5_SPVOUMALAM[[#This Row],[NAMA REKENING]]="","",TRANSHARI5_SPVOUMALAM[[#This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IFERROR(VLOOKUP(TRANSHARI5_SPVOUPAGI[[#This Row],[PRODUK]],DATA_SPVOU[],7,FALSE),"")</f>
        <v/>
      </c>
      <c r="E179" s="374"/>
      <c r="F179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79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79" s="12"/>
      <c r="I179" s="386" t="str">
        <f>IFERROR(IF(TRANSHARI5_SPVOUPAGI[[#This Row],[NAMA REKENING]]="","",TRANSHARI5_SPVOUPAGI[[#This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IFERROR(VLOOKUP(TRANSHARI5_SPVOUMALAM[[#This Row],[PRODUK]],DATA_SPVOU[],7,FALSE),"")</f>
        <v/>
      </c>
      <c r="T179" s="374"/>
      <c r="U179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79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79" s="12"/>
      <c r="X179" s="386" t="str">
        <f>IFERROR(IF(TRANSHARI5_SPVOUMALAM[[#This Row],[NAMA REKENING]]="","",TRANSHARI5_SPVOUMALAM[[#This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IFERROR(VLOOKUP(TRANSHARI5_SPVOUPAGI[[#This Row],[PRODUK]],DATA_SPVOU[],7,FALSE),"")</f>
        <v/>
      </c>
      <c r="E180" s="374"/>
      <c r="F180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0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0" s="12"/>
      <c r="I180" s="384" t="str">
        <f>IFERROR(IF(TRANSHARI5_SPVOUPAGI[[#This Row],[NAMA REKENING]]="","",TRANSHARI5_SPVOUPAGI[[#This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IFERROR(VLOOKUP(TRANSHARI5_SPVOUMALAM[[#This Row],[PRODUK]],DATA_SPVOU[],7,FALSE),"")</f>
        <v/>
      </c>
      <c r="T180" s="374"/>
      <c r="U180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0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0" s="12"/>
      <c r="X180" s="384" t="str">
        <f>IFERROR(IF(TRANSHARI5_SPVOUMALAM[[#This Row],[NAMA REKENING]]="","",TRANSHARI5_SPVOUMALAM[[#This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IFERROR(VLOOKUP(TRANSHARI5_SPVOUPAGI[[#This Row],[PRODUK]],DATA_SPVOU[],7,FALSE),"")</f>
        <v/>
      </c>
      <c r="E181" s="374"/>
      <c r="F181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1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1" s="12"/>
      <c r="I181" s="386" t="str">
        <f>IFERROR(IF(TRANSHARI5_SPVOUPAGI[[#This Row],[NAMA REKENING]]="","",TRANSHARI5_SPVOUPAGI[[#This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IFERROR(VLOOKUP(TRANSHARI5_SPVOUMALAM[[#This Row],[PRODUK]],DATA_SPVOU[],7,FALSE),"")</f>
        <v/>
      </c>
      <c r="T181" s="374"/>
      <c r="U181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1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1" s="12"/>
      <c r="X181" s="386" t="str">
        <f>IFERROR(IF(TRANSHARI5_SPVOUMALAM[[#This Row],[NAMA REKENING]]="","",TRANSHARI5_SPVOUMALAM[[#This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IFERROR(VLOOKUP(TRANSHARI5_SPVOUPAGI[[#This Row],[PRODUK]],DATA_SPVOU[],7,FALSE),"")</f>
        <v/>
      </c>
      <c r="E182" s="374"/>
      <c r="F182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2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2" s="12"/>
      <c r="I182" s="384" t="str">
        <f>IFERROR(IF(TRANSHARI5_SPVOUPAGI[[#This Row],[NAMA REKENING]]="","",TRANSHARI5_SPVOUPAGI[[#This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IFERROR(VLOOKUP(TRANSHARI5_SPVOUMALAM[[#This Row],[PRODUK]],DATA_SPVOU[],7,FALSE),"")</f>
        <v/>
      </c>
      <c r="T182" s="374"/>
      <c r="U182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2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2" s="12"/>
      <c r="X182" s="384" t="str">
        <f>IFERROR(IF(TRANSHARI5_SPVOUMALAM[[#This Row],[NAMA REKENING]]="","",TRANSHARI5_SPVOUMALAM[[#This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IFERROR(VLOOKUP(TRANSHARI5_SPVOUPAGI[[#This Row],[PRODUK]],DATA_SPVOU[],7,FALSE),"")</f>
        <v/>
      </c>
      <c r="E183" s="374"/>
      <c r="F183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3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3" s="12"/>
      <c r="I183" s="386" t="str">
        <f>IFERROR(IF(TRANSHARI5_SPVOUPAGI[[#This Row],[NAMA REKENING]]="","",TRANSHARI5_SPVOUPAGI[[#This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IFERROR(VLOOKUP(TRANSHARI5_SPVOUMALAM[[#This Row],[PRODUK]],DATA_SPVOU[],7,FALSE),"")</f>
        <v/>
      </c>
      <c r="T183" s="374"/>
      <c r="U183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3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3" s="12"/>
      <c r="X183" s="386" t="str">
        <f>IFERROR(IF(TRANSHARI5_SPVOUMALAM[[#This Row],[NAMA REKENING]]="","",TRANSHARI5_SPVOUMALAM[[#This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IFERROR(VLOOKUP(TRANSHARI5_SPVOUPAGI[[#This Row],[PRODUK]],DATA_SPVOU[],7,FALSE),"")</f>
        <v/>
      </c>
      <c r="E184" s="374"/>
      <c r="F184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4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4" s="12"/>
      <c r="I184" s="384" t="str">
        <f>IFERROR(IF(TRANSHARI5_SPVOUPAGI[[#This Row],[NAMA REKENING]]="","",TRANSHARI5_SPVOUPAGI[[#This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IFERROR(VLOOKUP(TRANSHARI5_SPVOUMALAM[[#This Row],[PRODUK]],DATA_SPVOU[],7,FALSE),"")</f>
        <v/>
      </c>
      <c r="T184" s="374"/>
      <c r="U184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4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4" s="12"/>
      <c r="X184" s="384" t="str">
        <f>IFERROR(IF(TRANSHARI5_SPVOUMALAM[[#This Row],[NAMA REKENING]]="","",TRANSHARI5_SPVOUMALAM[[#This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IFERROR(VLOOKUP(TRANSHARI5_SPVOUPAGI[[#This Row],[PRODUK]],DATA_SPVOU[],7,FALSE),"")</f>
        <v/>
      </c>
      <c r="E185" s="374"/>
      <c r="F185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5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5" s="12"/>
      <c r="I185" s="386" t="str">
        <f>IFERROR(IF(TRANSHARI5_SPVOUPAGI[[#This Row],[NAMA REKENING]]="","",TRANSHARI5_SPVOUPAGI[[#This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IFERROR(VLOOKUP(TRANSHARI5_SPVOUMALAM[[#This Row],[PRODUK]],DATA_SPVOU[],7,FALSE),"")</f>
        <v/>
      </c>
      <c r="T185" s="374"/>
      <c r="U185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5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5" s="12"/>
      <c r="X185" s="386" t="str">
        <f>IFERROR(IF(TRANSHARI5_SPVOUMALAM[[#This Row],[NAMA REKENING]]="","",TRANSHARI5_SPVOUMALAM[[#This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IFERROR(VLOOKUP(TRANSHARI5_SPVOUPAGI[[#This Row],[PRODUK]],DATA_SPVOU[],7,FALSE),"")</f>
        <v/>
      </c>
      <c r="E186" s="374"/>
      <c r="F186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6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6" s="12"/>
      <c r="I186" s="384" t="str">
        <f>IFERROR(IF(TRANSHARI5_SPVOUPAGI[[#This Row],[NAMA REKENING]]="","",TRANSHARI5_SPVOUPAGI[[#This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IFERROR(VLOOKUP(TRANSHARI5_SPVOUMALAM[[#This Row],[PRODUK]],DATA_SPVOU[],7,FALSE),"")</f>
        <v/>
      </c>
      <c r="T186" s="374"/>
      <c r="U186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6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6" s="12"/>
      <c r="X186" s="384" t="str">
        <f>IFERROR(IF(TRANSHARI5_SPVOUMALAM[[#This Row],[NAMA REKENING]]="","",TRANSHARI5_SPVOUMALAM[[#This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IFERROR(VLOOKUP(TRANSHARI5_SPVOUPAGI[[#This Row],[PRODUK]],DATA_SPVOU[],7,FALSE),"")</f>
        <v/>
      </c>
      <c r="E187" s="374"/>
      <c r="F187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7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7" s="12"/>
      <c r="I187" s="386" t="str">
        <f>IFERROR(IF(TRANSHARI5_SPVOUPAGI[[#This Row],[NAMA REKENING]]="","",TRANSHARI5_SPVOUPAGI[[#This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IFERROR(VLOOKUP(TRANSHARI5_SPVOUMALAM[[#This Row],[PRODUK]],DATA_SPVOU[],7,FALSE),"")</f>
        <v/>
      </c>
      <c r="T187" s="374"/>
      <c r="U187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7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7" s="12"/>
      <c r="X187" s="386" t="str">
        <f>IFERROR(IF(TRANSHARI5_SPVOUMALAM[[#This Row],[NAMA REKENING]]="","",TRANSHARI5_SPVOUMALAM[[#This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IFERROR(VLOOKUP(TRANSHARI5_SPVOUPAGI[[#This Row],[PRODUK]],DATA_SPVOU[],7,FALSE),"")</f>
        <v/>
      </c>
      <c r="E188" s="374"/>
      <c r="F188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8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8" s="12"/>
      <c r="I188" s="384" t="str">
        <f>IFERROR(IF(TRANSHARI5_SPVOUPAGI[[#This Row],[NAMA REKENING]]="","",TRANSHARI5_SPVOUPAGI[[#This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IFERROR(VLOOKUP(TRANSHARI5_SPVOUMALAM[[#This Row],[PRODUK]],DATA_SPVOU[],7,FALSE),"")</f>
        <v/>
      </c>
      <c r="T188" s="374"/>
      <c r="U188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8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8" s="12"/>
      <c r="X188" s="384" t="str">
        <f>IFERROR(IF(TRANSHARI5_SPVOUMALAM[[#This Row],[NAMA REKENING]]="","",TRANSHARI5_SPVOUMALAM[[#This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IFERROR(VLOOKUP(TRANSHARI5_SPVOUPAGI[[#This Row],[PRODUK]],DATA_SPVOU[],7,FALSE),"")</f>
        <v/>
      </c>
      <c r="E189" s="374"/>
      <c r="F189" s="373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89" s="373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89" s="12"/>
      <c r="I189" s="386" t="str">
        <f>IFERROR(IF(TRANSHARI5_SPVOUPAGI[[#This Row],[NAMA REKENING]]="","",TRANSHARI5_SPVOUPAGI[[#This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IFERROR(VLOOKUP(TRANSHARI5_SPVOUMALAM[[#This Row],[PRODUK]],DATA_SPVOU[],7,FALSE),"")</f>
        <v/>
      </c>
      <c r="T189" s="374"/>
      <c r="U189" s="373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89" s="373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89" s="12"/>
      <c r="X189" s="386" t="str">
        <f>IFERROR(IF(TRANSHARI5_SPVOUMALAM[[#This Row],[NAMA REKENING]]="","",TRANSHARI5_SPVOUMALAM[[#This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IFERROR(VLOOKUP(TRANSHARI5_SPVOUPAGI[[#This Row],[PRODUK]],DATA_SPVOU[],7,FALSE),"")</f>
        <v/>
      </c>
      <c r="E190" s="374"/>
      <c r="F190" s="369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90" s="369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90" s="12"/>
      <c r="I190" s="384" t="str">
        <f>IFERROR(IF(TRANSHARI5_SPVOUPAGI[[#This Row],[NAMA REKENING]]="","",TRANSHARI5_SPVOUPAGI[[#This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IFERROR(VLOOKUP(TRANSHARI5_SPVOUMALAM[[#This Row],[PRODUK]],DATA_SPVOU[],7,FALSE),"")</f>
        <v/>
      </c>
      <c r="T190" s="374"/>
      <c r="U190" s="369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90" s="369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90" s="12"/>
      <c r="X190" s="384" t="str">
        <f>IFERROR(IF(TRANSHARI5_SPVOUMALAM[[#This Row],[NAMA REKENING]]="","",TRANSHARI5_SPVOUMALAM[[#This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IFERROR(VLOOKUP(TRANSHARI5_SPVOUPAGI[[#This Row],[PRODUK]],DATA_SPVOU[],7,FALSE),"")</f>
        <v/>
      </c>
      <c r="E191" s="376"/>
      <c r="F191" s="394" t="str">
        <f>IFERROR(IF(TRANSHARI5_SPVOUPAGI[[#This Row],[NAMA PENGHUTANG]]="",((TRANSHARI5_SPVOUPAGI[[#This Row],[HARGA]]*TRANSHARI5_SPVOUPAGI[[#This Row],[QUANTITY]])+TRANSHARI5_SPVOUPAGI[[#This Row],[PRICE TOLERANCE]]),""),"")</f>
        <v/>
      </c>
      <c r="G191" s="394" t="str">
        <f>IFERROR(IF(TRANSHARI5_SPVOUPAGI[[#This Row],[NAMA PENGHUTANG]]="","",((TRANSHARI5_SPVOUPAGI[[#This Row],[HARGA]]*TRANSHARI5_SPVOUPAGI[[#This Row],[QUANTITY]])+TRANSHARI5_SPVOUPAGI[[#This Row],[PRICE TOLERANCE]])),"")</f>
        <v/>
      </c>
      <c r="H191" s="377"/>
      <c r="I191" s="399" t="str">
        <f>IFERROR(IF(TRANSHARI5_SPVOUPAGI[[#This Row],[NAMA REKENING]]="","",TRANSHARI5_SPVOUPAGI[[#This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IFERROR(VLOOKUP(TRANSHARI5_SPVOUMALAM[[#This Row],[PRODUK]],DATA_SPVOU[],7,FALSE),"")</f>
        <v/>
      </c>
      <c r="T191" s="376"/>
      <c r="U191" s="394" t="str">
        <f>IFERROR(IF(TRANSHARI5_SPVOUMALAM[[#This Row],[NAMA PENGHUTANG]]="",((TRANSHARI5_SPVOUMALAM[[#This Row],[HARGA]]*TRANSHARI5_SPVOUMALAM[[#This Row],[QUANTITY]])+TRANSHARI5_SPVOUMALAM[[#This Row],[PRICE TOLERANCE]]),""),"")</f>
        <v/>
      </c>
      <c r="V191" s="394" t="str">
        <f>IFERROR(IF(TRANSHARI5_SPVOUMALAM[[#This Row],[NAMA PENGHUTANG]]="","",((TRANSHARI5_SPVOUMALAM[[#This Row],[HARGA]]*TRANSHARI5_SPVOUMALAM[[#This Row],[QUANTITY]])+TRANSHARI5_SPVOUMALAM[[#This Row],[PRICE TOLERANCE]])),"")</f>
        <v/>
      </c>
      <c r="W191" s="377"/>
      <c r="X191" s="399" t="str">
        <f>IFERROR(IF(TRANSHARI5_SPVOUMALAM[[#This Row],[NAMA REKENING]]="","",TRANSHARI5_SPVOUMALAM[[#This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SUM(TRANSHARI5_SPVOUPAGI[QUANTITY])</f>
        <v>0</v>
      </c>
      <c r="E192" s="398">
        <f>SUM(TRANSHARI5_SPVOUPAGI[PRICE TOLERANCE])</f>
        <v>0</v>
      </c>
      <c r="F192" s="396">
        <f>SUM(TRANSHARI5_SPVOUPAGI[DEBIT])</f>
        <v>0</v>
      </c>
      <c r="G192" s="396">
        <f>SUM(TRANSHARI5_SPVOUPAGI[KREDIT])</f>
        <v>0</v>
      </c>
      <c r="I192" s="396">
        <f>SUM(TRANSHARI5_SPVOUPAGI[NOMINAL TRANSFER])</f>
        <v>0</v>
      </c>
      <c r="O192" s="324"/>
      <c r="P192" s="303" t="s">
        <v>78</v>
      </c>
      <c r="Q192" s="316"/>
      <c r="R192" s="395">
        <f>SUM(TRANSHARI5_SPVOUMALAM[QUANTITY])</f>
        <v>0</v>
      </c>
      <c r="T192" s="398">
        <f>SUM(TRANSHARI5_SPVOUMALAM[PRICE TOLERANCE])</f>
        <v>0</v>
      </c>
      <c r="U192" s="396">
        <f>SUM(TRANSHARI5_SPVOUMALAM[DEBIT])</f>
        <v>0</v>
      </c>
      <c r="V192" s="396">
        <f>SUM(TRANSHARI5_SPVOUMALAM[KREDIT])</f>
        <v>0</v>
      </c>
      <c r="X192" s="396">
        <f>SUM(TRANSHARI5_SPVOUMALAM[NOMINAL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">
        <v>208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">
        <v>210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IFERROR(VLOOKUP(TRANSHARI5_SOFTDRINKPAGI[[#This Row],[PRODUK]],DATA_SOFTDRINK[],7,FALSE),"")</f>
        <v/>
      </c>
      <c r="E199" s="370"/>
      <c r="F199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199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199" s="371"/>
      <c r="I199" s="384" t="str">
        <f>IFERROR(IF(TRANSHARI5_SOFTDRINKPAGI[[#This Row],[NAMA REKENING]]="","",TRANSHARI5_SOFTDRINKPAGI[[#This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IFERROR(VLOOKUP(TRANSHARI5_SOFTDRINKMALAM[[#This Row],[PRODUK]],DATA_SOFTDRINK[],7,FALSE),"")</f>
        <v/>
      </c>
      <c r="T199" s="370"/>
      <c r="U199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199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199" s="371"/>
      <c r="X199" s="384" t="str">
        <f>IFERROR(IF(TRANSHARI5_SOFTDRINKMALAM[[#This Row],[NAMA REKENING]]="","",TRANSHARI5_SOFTDRINKMALAM[[#This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IFERROR(VLOOKUP(TRANSHARI5_SOFTDRINKPAGI[[#This Row],[PRODUK]],DATA_SOFTDRINK[],7,FALSE),"")</f>
        <v/>
      </c>
      <c r="E200" s="374"/>
      <c r="F200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0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0" s="12"/>
      <c r="I200" s="386" t="str">
        <f>IFERROR(IF(TRANSHARI5_SOFTDRINKPAGI[[#This Row],[NAMA REKENING]]="","",TRANSHARI5_SOFTDRINKPAGI[[#This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IFERROR(VLOOKUP(TRANSHARI5_SOFTDRINKMALAM[[#This Row],[PRODUK]],DATA_SOFTDRINK[],7,FALSE),"")</f>
        <v/>
      </c>
      <c r="T200" s="374"/>
      <c r="U200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0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0" s="12"/>
      <c r="X200" s="386" t="str">
        <f>IFERROR(IF(TRANSHARI5_SOFTDRINKMALAM[[#This Row],[NAMA REKENING]]="","",TRANSHARI5_SOFTDRINKMALAM[[#This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IFERROR(VLOOKUP(TRANSHARI5_SOFTDRINKPAGI[[#This Row],[PRODUK]],DATA_SOFTDRINK[],7,FALSE),"")</f>
        <v/>
      </c>
      <c r="E201" s="374"/>
      <c r="F201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1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1" s="12"/>
      <c r="I201" s="384" t="str">
        <f>IFERROR(IF(TRANSHARI5_SOFTDRINKPAGI[[#This Row],[NAMA REKENING]]="","",TRANSHARI5_SOFTDRINKPAGI[[#This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IFERROR(VLOOKUP(TRANSHARI5_SOFTDRINKMALAM[[#This Row],[PRODUK]],DATA_SOFTDRINK[],7,FALSE),"")</f>
        <v/>
      </c>
      <c r="T201" s="374"/>
      <c r="U201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1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1" s="12"/>
      <c r="X201" s="384" t="str">
        <f>IFERROR(IF(TRANSHARI5_SOFTDRINKMALAM[[#This Row],[NAMA REKENING]]="","",TRANSHARI5_SOFTDRINKMALAM[[#This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IFERROR(VLOOKUP(TRANSHARI5_SOFTDRINKPAGI[[#This Row],[PRODUK]],DATA_SOFTDRINK[],7,FALSE),"")</f>
        <v/>
      </c>
      <c r="E202" s="374"/>
      <c r="F202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2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2" s="12"/>
      <c r="I202" s="386" t="str">
        <f>IFERROR(IF(TRANSHARI5_SOFTDRINKPAGI[[#This Row],[NAMA REKENING]]="","",TRANSHARI5_SOFTDRINKPAGI[[#This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IFERROR(VLOOKUP(TRANSHARI5_SOFTDRINKMALAM[[#This Row],[PRODUK]],DATA_SOFTDRINK[],7,FALSE),"")</f>
        <v/>
      </c>
      <c r="T202" s="374"/>
      <c r="U202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2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2" s="12"/>
      <c r="X202" s="386" t="str">
        <f>IFERROR(IF(TRANSHARI5_SOFTDRINKMALAM[[#This Row],[NAMA REKENING]]="","",TRANSHARI5_SOFTDRINKMALAM[[#This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IFERROR(VLOOKUP(TRANSHARI5_SOFTDRINKPAGI[[#This Row],[PRODUK]],DATA_SOFTDRINK[],7,FALSE),"")</f>
        <v/>
      </c>
      <c r="E203" s="374"/>
      <c r="F203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3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3" s="12"/>
      <c r="I203" s="384" t="str">
        <f>IFERROR(IF(TRANSHARI5_SOFTDRINKPAGI[[#This Row],[NAMA REKENING]]="","",TRANSHARI5_SOFTDRINKPAGI[[#This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IFERROR(VLOOKUP(TRANSHARI5_SOFTDRINKMALAM[[#This Row],[PRODUK]],DATA_SOFTDRINK[],7,FALSE),"")</f>
        <v/>
      </c>
      <c r="T203" s="374"/>
      <c r="U203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3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3" s="12"/>
      <c r="X203" s="384" t="str">
        <f>IFERROR(IF(TRANSHARI5_SOFTDRINKMALAM[[#This Row],[NAMA REKENING]]="","",TRANSHARI5_SOFTDRINKMALAM[[#This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IFERROR(VLOOKUP(TRANSHARI5_SOFTDRINKPAGI[[#This Row],[PRODUK]],DATA_SOFTDRINK[],7,FALSE),"")</f>
        <v/>
      </c>
      <c r="E204" s="374"/>
      <c r="F204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4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4" s="12"/>
      <c r="I204" s="386" t="str">
        <f>IFERROR(IF(TRANSHARI5_SOFTDRINKPAGI[[#This Row],[NAMA REKENING]]="","",TRANSHARI5_SOFTDRINKPAGI[[#This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IFERROR(VLOOKUP(TRANSHARI5_SOFTDRINKMALAM[[#This Row],[PRODUK]],DATA_SOFTDRINK[],7,FALSE),"")</f>
        <v/>
      </c>
      <c r="T204" s="374"/>
      <c r="U204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4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4" s="12"/>
      <c r="X204" s="386" t="str">
        <f>IFERROR(IF(TRANSHARI5_SOFTDRINKMALAM[[#This Row],[NAMA REKENING]]="","",TRANSHARI5_SOFTDRINKMALAM[[#This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IFERROR(VLOOKUP(TRANSHARI5_SOFTDRINKPAGI[[#This Row],[PRODUK]],DATA_SOFTDRINK[],7,FALSE),"")</f>
        <v/>
      </c>
      <c r="E205" s="374"/>
      <c r="F205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5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5" s="12"/>
      <c r="I205" s="384" t="str">
        <f>IFERROR(IF(TRANSHARI5_SOFTDRINKPAGI[[#This Row],[NAMA REKENING]]="","",TRANSHARI5_SOFTDRINKPAGI[[#This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IFERROR(VLOOKUP(TRANSHARI5_SOFTDRINKMALAM[[#This Row],[PRODUK]],DATA_SOFTDRINK[],7,FALSE),"")</f>
        <v/>
      </c>
      <c r="T205" s="374"/>
      <c r="U205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5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5" s="12"/>
      <c r="X205" s="384" t="str">
        <f>IFERROR(IF(TRANSHARI5_SOFTDRINKMALAM[[#This Row],[NAMA REKENING]]="","",TRANSHARI5_SOFTDRINKMALAM[[#This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IFERROR(VLOOKUP(TRANSHARI5_SOFTDRINKPAGI[[#This Row],[PRODUK]],DATA_SOFTDRINK[],7,FALSE),"")</f>
        <v/>
      </c>
      <c r="E206" s="374"/>
      <c r="F206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6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6" s="12"/>
      <c r="I206" s="386" t="str">
        <f>IFERROR(IF(TRANSHARI5_SOFTDRINKPAGI[[#This Row],[NAMA REKENING]]="","",TRANSHARI5_SOFTDRINKPAGI[[#This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IFERROR(VLOOKUP(TRANSHARI5_SOFTDRINKMALAM[[#This Row],[PRODUK]],DATA_SOFTDRINK[],7,FALSE),"")</f>
        <v/>
      </c>
      <c r="T206" s="374"/>
      <c r="U206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6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6" s="12"/>
      <c r="X206" s="386" t="str">
        <f>IFERROR(IF(TRANSHARI5_SOFTDRINKMALAM[[#This Row],[NAMA REKENING]]="","",TRANSHARI5_SOFTDRINKMALAM[[#This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IFERROR(VLOOKUP(TRANSHARI5_SOFTDRINKPAGI[[#This Row],[PRODUK]],DATA_SOFTDRINK[],7,FALSE),"")</f>
        <v/>
      </c>
      <c r="E207" s="374"/>
      <c r="F207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7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7" s="12"/>
      <c r="I207" s="384" t="str">
        <f>IFERROR(IF(TRANSHARI5_SOFTDRINKPAGI[[#This Row],[NAMA REKENING]]="","",TRANSHARI5_SOFTDRINKPAGI[[#This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IFERROR(VLOOKUP(TRANSHARI5_SOFTDRINKMALAM[[#This Row],[PRODUK]],DATA_SOFTDRINK[],7,FALSE),"")</f>
        <v/>
      </c>
      <c r="T207" s="374"/>
      <c r="U207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7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7" s="12"/>
      <c r="X207" s="384" t="str">
        <f>IFERROR(IF(TRANSHARI5_SOFTDRINKMALAM[[#This Row],[NAMA REKENING]]="","",TRANSHARI5_SOFTDRINKMALAM[[#This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IFERROR(VLOOKUP(TRANSHARI5_SOFTDRINKPAGI[[#This Row],[PRODUK]],DATA_SOFTDRINK[],7,FALSE),"")</f>
        <v/>
      </c>
      <c r="E208" s="374"/>
      <c r="F208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8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8" s="12"/>
      <c r="I208" s="386" t="str">
        <f>IFERROR(IF(TRANSHARI5_SOFTDRINKPAGI[[#This Row],[NAMA REKENING]]="","",TRANSHARI5_SOFTDRINKPAGI[[#This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IFERROR(VLOOKUP(TRANSHARI5_SOFTDRINKMALAM[[#This Row],[PRODUK]],DATA_SOFTDRINK[],7,FALSE),"")</f>
        <v/>
      </c>
      <c r="T208" s="374"/>
      <c r="U208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8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8" s="12"/>
      <c r="X208" s="386" t="str">
        <f>IFERROR(IF(TRANSHARI5_SOFTDRINKMALAM[[#This Row],[NAMA REKENING]]="","",TRANSHARI5_SOFTDRINKMALAM[[#This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IFERROR(VLOOKUP(TRANSHARI5_SOFTDRINKPAGI[[#This Row],[PRODUK]],DATA_SOFTDRINK[],7,FALSE),"")</f>
        <v/>
      </c>
      <c r="E209" s="374"/>
      <c r="F209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09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09" s="12"/>
      <c r="I209" s="384" t="str">
        <f>IFERROR(IF(TRANSHARI5_SOFTDRINKPAGI[[#This Row],[NAMA REKENING]]="","",TRANSHARI5_SOFTDRINKPAGI[[#This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IFERROR(VLOOKUP(TRANSHARI5_SOFTDRINKMALAM[[#This Row],[PRODUK]],DATA_SOFTDRINK[],7,FALSE),"")</f>
        <v/>
      </c>
      <c r="T209" s="374"/>
      <c r="U209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09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09" s="12"/>
      <c r="X209" s="384" t="str">
        <f>IFERROR(IF(TRANSHARI5_SOFTDRINKMALAM[[#This Row],[NAMA REKENING]]="","",TRANSHARI5_SOFTDRINKMALAM[[#This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IFERROR(VLOOKUP(TRANSHARI5_SOFTDRINKPAGI[[#This Row],[PRODUK]],DATA_SOFTDRINK[],7,FALSE),"")</f>
        <v/>
      </c>
      <c r="E210" s="374"/>
      <c r="F210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0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0" s="12"/>
      <c r="I210" s="386" t="str">
        <f>IFERROR(IF(TRANSHARI5_SOFTDRINKPAGI[[#This Row],[NAMA REKENING]]="","",TRANSHARI5_SOFTDRINKPAGI[[#This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IFERROR(VLOOKUP(TRANSHARI5_SOFTDRINKMALAM[[#This Row],[PRODUK]],DATA_SOFTDRINK[],7,FALSE),"")</f>
        <v/>
      </c>
      <c r="T210" s="374"/>
      <c r="U210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0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0" s="12"/>
      <c r="X210" s="386" t="str">
        <f>IFERROR(IF(TRANSHARI5_SOFTDRINKMALAM[[#This Row],[NAMA REKENING]]="","",TRANSHARI5_SOFTDRINKMALAM[[#This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IFERROR(VLOOKUP(TRANSHARI5_SOFTDRINKPAGI[[#This Row],[PRODUK]],DATA_SOFTDRINK[],7,FALSE),"")</f>
        <v/>
      </c>
      <c r="E211" s="374"/>
      <c r="F211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1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1" s="12"/>
      <c r="I211" s="384" t="str">
        <f>IFERROR(IF(TRANSHARI5_SOFTDRINKPAGI[[#This Row],[NAMA REKENING]]="","",TRANSHARI5_SOFTDRINKPAGI[[#This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IFERROR(VLOOKUP(TRANSHARI5_SOFTDRINKMALAM[[#This Row],[PRODUK]],DATA_SOFTDRINK[],7,FALSE),"")</f>
        <v/>
      </c>
      <c r="T211" s="374"/>
      <c r="U211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1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1" s="12"/>
      <c r="X211" s="384" t="str">
        <f>IFERROR(IF(TRANSHARI5_SOFTDRINKMALAM[[#This Row],[NAMA REKENING]]="","",TRANSHARI5_SOFTDRINKMALAM[[#This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IFERROR(VLOOKUP(TRANSHARI5_SOFTDRINKPAGI[[#This Row],[PRODUK]],DATA_SOFTDRINK[],7,FALSE),"")</f>
        <v/>
      </c>
      <c r="E212" s="374"/>
      <c r="F212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2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2" s="12"/>
      <c r="I212" s="386" t="str">
        <f>IFERROR(IF(TRANSHARI5_SOFTDRINKPAGI[[#This Row],[NAMA REKENING]]="","",TRANSHARI5_SOFTDRINKPAGI[[#This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IFERROR(VLOOKUP(TRANSHARI5_SOFTDRINKMALAM[[#This Row],[PRODUK]],DATA_SOFTDRINK[],7,FALSE),"")</f>
        <v/>
      </c>
      <c r="T212" s="374"/>
      <c r="U212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2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2" s="12"/>
      <c r="X212" s="386" t="str">
        <f>IFERROR(IF(TRANSHARI5_SOFTDRINKMALAM[[#This Row],[NAMA REKENING]]="","",TRANSHARI5_SOFTDRINKMALAM[[#This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IFERROR(VLOOKUP(TRANSHARI5_SOFTDRINKPAGI[[#This Row],[PRODUK]],DATA_SOFTDRINK[],7,FALSE),"")</f>
        <v/>
      </c>
      <c r="E213" s="374"/>
      <c r="F213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3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3" s="12"/>
      <c r="I213" s="384" t="str">
        <f>IFERROR(IF(TRANSHARI5_SOFTDRINKPAGI[[#This Row],[NAMA REKENING]]="","",TRANSHARI5_SOFTDRINKPAGI[[#This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IFERROR(VLOOKUP(TRANSHARI5_SOFTDRINKMALAM[[#This Row],[PRODUK]],DATA_SOFTDRINK[],7,FALSE),"")</f>
        <v/>
      </c>
      <c r="T213" s="374"/>
      <c r="U213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3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3" s="12"/>
      <c r="X213" s="384" t="str">
        <f>IFERROR(IF(TRANSHARI5_SOFTDRINKMALAM[[#This Row],[NAMA REKENING]]="","",TRANSHARI5_SOFTDRINKMALAM[[#This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IFERROR(VLOOKUP(TRANSHARI5_SOFTDRINKPAGI[[#This Row],[PRODUK]],DATA_SOFTDRINK[],7,FALSE),"")</f>
        <v/>
      </c>
      <c r="E214" s="374"/>
      <c r="F214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4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4" s="12"/>
      <c r="I214" s="386" t="str">
        <f>IFERROR(IF(TRANSHARI5_SOFTDRINKPAGI[[#This Row],[NAMA REKENING]]="","",TRANSHARI5_SOFTDRINKPAGI[[#This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IFERROR(VLOOKUP(TRANSHARI5_SOFTDRINKMALAM[[#This Row],[PRODUK]],DATA_SOFTDRINK[],7,FALSE),"")</f>
        <v/>
      </c>
      <c r="T214" s="374"/>
      <c r="U214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4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4" s="12"/>
      <c r="X214" s="386" t="str">
        <f>IFERROR(IF(TRANSHARI5_SOFTDRINKMALAM[[#This Row],[NAMA REKENING]]="","",TRANSHARI5_SOFTDRINKMALAM[[#This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IFERROR(VLOOKUP(TRANSHARI5_SOFTDRINKPAGI[[#This Row],[PRODUK]],DATA_SOFTDRINK[],7,FALSE),"")</f>
        <v/>
      </c>
      <c r="E215" s="374"/>
      <c r="F215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5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5" s="12"/>
      <c r="I215" s="384" t="str">
        <f>IFERROR(IF(TRANSHARI5_SOFTDRINKPAGI[[#This Row],[NAMA REKENING]]="","",TRANSHARI5_SOFTDRINKPAGI[[#This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IFERROR(VLOOKUP(TRANSHARI5_SOFTDRINKMALAM[[#This Row],[PRODUK]],DATA_SOFTDRINK[],7,FALSE),"")</f>
        <v/>
      </c>
      <c r="T215" s="374"/>
      <c r="U215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5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5" s="12"/>
      <c r="X215" s="384" t="str">
        <f>IFERROR(IF(TRANSHARI5_SOFTDRINKMALAM[[#This Row],[NAMA REKENING]]="","",TRANSHARI5_SOFTDRINKMALAM[[#This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IFERROR(VLOOKUP(TRANSHARI5_SOFTDRINKPAGI[[#This Row],[PRODUK]],DATA_SOFTDRINK[],7,FALSE),"")</f>
        <v/>
      </c>
      <c r="E216" s="374"/>
      <c r="F216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6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6" s="12"/>
      <c r="I216" s="386" t="str">
        <f>IFERROR(IF(TRANSHARI5_SOFTDRINKPAGI[[#This Row],[NAMA REKENING]]="","",TRANSHARI5_SOFTDRINKPAGI[[#This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IFERROR(VLOOKUP(TRANSHARI5_SOFTDRINKMALAM[[#This Row],[PRODUK]],DATA_SOFTDRINK[],7,FALSE),"")</f>
        <v/>
      </c>
      <c r="T216" s="374"/>
      <c r="U216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6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6" s="12"/>
      <c r="X216" s="386" t="str">
        <f>IFERROR(IF(TRANSHARI5_SOFTDRINKMALAM[[#This Row],[NAMA REKENING]]="","",TRANSHARI5_SOFTDRINKMALAM[[#This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IFERROR(VLOOKUP(TRANSHARI5_SOFTDRINKPAGI[[#This Row],[PRODUK]],DATA_SOFTDRINK[],7,FALSE),"")</f>
        <v/>
      </c>
      <c r="E217" s="374"/>
      <c r="F217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7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7" s="12"/>
      <c r="I217" s="384" t="str">
        <f>IFERROR(IF(TRANSHARI5_SOFTDRINKPAGI[[#This Row],[NAMA REKENING]]="","",TRANSHARI5_SOFTDRINKPAGI[[#This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IFERROR(VLOOKUP(TRANSHARI5_SOFTDRINKMALAM[[#This Row],[PRODUK]],DATA_SOFTDRINK[],7,FALSE),"")</f>
        <v/>
      </c>
      <c r="T217" s="374"/>
      <c r="U217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7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7" s="12"/>
      <c r="X217" s="384" t="str">
        <f>IFERROR(IF(TRANSHARI5_SOFTDRINKMALAM[[#This Row],[NAMA REKENING]]="","",TRANSHARI5_SOFTDRINKMALAM[[#This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IFERROR(VLOOKUP(TRANSHARI5_SOFTDRINKPAGI[[#This Row],[PRODUK]],DATA_SOFTDRINK[],7,FALSE),"")</f>
        <v/>
      </c>
      <c r="E218" s="374"/>
      <c r="F218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8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8" s="12"/>
      <c r="I218" s="386" t="str">
        <f>IFERROR(IF(TRANSHARI5_SOFTDRINKPAGI[[#This Row],[NAMA REKENING]]="","",TRANSHARI5_SOFTDRINKPAGI[[#This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IFERROR(VLOOKUP(TRANSHARI5_SOFTDRINKMALAM[[#This Row],[PRODUK]],DATA_SOFTDRINK[],7,FALSE),"")</f>
        <v/>
      </c>
      <c r="T218" s="374"/>
      <c r="U218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8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8" s="12"/>
      <c r="X218" s="386" t="str">
        <f>IFERROR(IF(TRANSHARI5_SOFTDRINKMALAM[[#This Row],[NAMA REKENING]]="","",TRANSHARI5_SOFTDRINKMALAM[[#This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IFERROR(VLOOKUP(TRANSHARI5_SOFTDRINKPAGI[[#This Row],[PRODUK]],DATA_SOFTDRINK[],7,FALSE),"")</f>
        <v/>
      </c>
      <c r="E219" s="374"/>
      <c r="F219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19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19" s="12"/>
      <c r="I219" s="384" t="str">
        <f>IFERROR(IF(TRANSHARI5_SOFTDRINKPAGI[[#This Row],[NAMA REKENING]]="","",TRANSHARI5_SOFTDRINKPAGI[[#This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IFERROR(VLOOKUP(TRANSHARI5_SOFTDRINKMALAM[[#This Row],[PRODUK]],DATA_SOFTDRINK[],7,FALSE),"")</f>
        <v/>
      </c>
      <c r="T219" s="374"/>
      <c r="U219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19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19" s="12"/>
      <c r="X219" s="384" t="str">
        <f>IFERROR(IF(TRANSHARI5_SOFTDRINKMALAM[[#This Row],[NAMA REKENING]]="","",TRANSHARI5_SOFTDRINKMALAM[[#This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IFERROR(VLOOKUP(TRANSHARI5_SOFTDRINKPAGI[[#This Row],[PRODUK]],DATA_SOFTDRINK[],7,FALSE),"")</f>
        <v/>
      </c>
      <c r="E220" s="374"/>
      <c r="F220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0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0" s="12"/>
      <c r="I220" s="386" t="str">
        <f>IFERROR(IF(TRANSHARI5_SOFTDRINKPAGI[[#This Row],[NAMA REKENING]]="","",TRANSHARI5_SOFTDRINKPAGI[[#This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IFERROR(VLOOKUP(TRANSHARI5_SOFTDRINKMALAM[[#This Row],[PRODUK]],DATA_SOFTDRINK[],7,FALSE),"")</f>
        <v/>
      </c>
      <c r="T220" s="374"/>
      <c r="U220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0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0" s="12"/>
      <c r="X220" s="386" t="str">
        <f>IFERROR(IF(TRANSHARI5_SOFTDRINKMALAM[[#This Row],[NAMA REKENING]]="","",TRANSHARI5_SOFTDRINKMALAM[[#This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IFERROR(VLOOKUP(TRANSHARI5_SOFTDRINKPAGI[[#This Row],[PRODUK]],DATA_SOFTDRINK[],7,FALSE),"")</f>
        <v/>
      </c>
      <c r="E221" s="374"/>
      <c r="F221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1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1" s="12"/>
      <c r="I221" s="384" t="str">
        <f>IFERROR(IF(TRANSHARI5_SOFTDRINKPAGI[[#This Row],[NAMA REKENING]]="","",TRANSHARI5_SOFTDRINKPAGI[[#This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IFERROR(VLOOKUP(TRANSHARI5_SOFTDRINKMALAM[[#This Row],[PRODUK]],DATA_SOFTDRINK[],7,FALSE),"")</f>
        <v/>
      </c>
      <c r="T221" s="374"/>
      <c r="U221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1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1" s="12"/>
      <c r="X221" s="384" t="str">
        <f>IFERROR(IF(TRANSHARI5_SOFTDRINKMALAM[[#This Row],[NAMA REKENING]]="","",TRANSHARI5_SOFTDRINKMALAM[[#This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IFERROR(VLOOKUP(TRANSHARI5_SOFTDRINKPAGI[[#This Row],[PRODUK]],DATA_SOFTDRINK[],7,FALSE),"")</f>
        <v/>
      </c>
      <c r="E222" s="374"/>
      <c r="F222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2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2" s="12"/>
      <c r="I222" s="386" t="str">
        <f>IFERROR(IF(TRANSHARI5_SOFTDRINKPAGI[[#This Row],[NAMA REKENING]]="","",TRANSHARI5_SOFTDRINKPAGI[[#This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IFERROR(VLOOKUP(TRANSHARI5_SOFTDRINKMALAM[[#This Row],[PRODUK]],DATA_SOFTDRINK[],7,FALSE),"")</f>
        <v/>
      </c>
      <c r="T222" s="374"/>
      <c r="U222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2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2" s="12"/>
      <c r="X222" s="386" t="str">
        <f>IFERROR(IF(TRANSHARI5_SOFTDRINKMALAM[[#This Row],[NAMA REKENING]]="","",TRANSHARI5_SOFTDRINKMALAM[[#This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IFERROR(VLOOKUP(TRANSHARI5_SOFTDRINKPAGI[[#This Row],[PRODUK]],DATA_SOFTDRINK[],7,FALSE),"")</f>
        <v/>
      </c>
      <c r="E223" s="374"/>
      <c r="F223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3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3" s="12"/>
      <c r="I223" s="384" t="str">
        <f>IFERROR(IF(TRANSHARI5_SOFTDRINKPAGI[[#This Row],[NAMA REKENING]]="","",TRANSHARI5_SOFTDRINKPAGI[[#This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IFERROR(VLOOKUP(TRANSHARI5_SOFTDRINKMALAM[[#This Row],[PRODUK]],DATA_SOFTDRINK[],7,FALSE),"")</f>
        <v/>
      </c>
      <c r="T223" s="374"/>
      <c r="U223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3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3" s="12"/>
      <c r="X223" s="384" t="str">
        <f>IFERROR(IF(TRANSHARI5_SOFTDRINKMALAM[[#This Row],[NAMA REKENING]]="","",TRANSHARI5_SOFTDRINKMALAM[[#This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IFERROR(VLOOKUP(TRANSHARI5_SOFTDRINKPAGI[[#This Row],[PRODUK]],DATA_SOFTDRINK[],7,FALSE),"")</f>
        <v/>
      </c>
      <c r="E224" s="376"/>
      <c r="F224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4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4" s="377"/>
      <c r="I224" s="386" t="str">
        <f>IFERROR(IF(TRANSHARI5_SOFTDRINKPAGI[[#This Row],[NAMA REKENING]]="","",TRANSHARI5_SOFTDRINKPAGI[[#This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IFERROR(VLOOKUP(TRANSHARI5_SOFTDRINKMALAM[[#This Row],[PRODUK]],DATA_SOFTDRINK[],7,FALSE),"")</f>
        <v/>
      </c>
      <c r="T224" s="376"/>
      <c r="U224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4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4" s="377"/>
      <c r="X224" s="386" t="str">
        <f>IFERROR(IF(TRANSHARI5_SOFTDRINKMALAM[[#This Row],[NAMA REKENING]]="","",TRANSHARI5_SOFTDRINKMALAM[[#This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IFERROR(VLOOKUP(TRANSHARI5_SOFTDRINKPAGI[[#This Row],[PRODUK]],DATA_SOFTDRINK[],7,FALSE),"")</f>
        <v/>
      </c>
      <c r="E225" s="374"/>
      <c r="F225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5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5" s="12"/>
      <c r="I225" s="384" t="str">
        <f>IFERROR(IF(TRANSHARI5_SOFTDRINKPAGI[[#This Row],[NAMA REKENING]]="","",TRANSHARI5_SOFTDRINKPAGI[[#This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IFERROR(VLOOKUP(TRANSHARI5_SOFTDRINKMALAM[[#This Row],[PRODUK]],DATA_SOFTDRINK[],7,FALSE),"")</f>
        <v/>
      </c>
      <c r="T225" s="374"/>
      <c r="U225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5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5" s="12"/>
      <c r="X225" s="384" t="str">
        <f>IFERROR(IF(TRANSHARI5_SOFTDRINKMALAM[[#This Row],[NAMA REKENING]]="","",TRANSHARI5_SOFTDRINKMALAM[[#This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IFERROR(VLOOKUP(TRANSHARI5_SOFTDRINKPAGI[[#This Row],[PRODUK]],DATA_SOFTDRINK[],7,FALSE),"")</f>
        <v/>
      </c>
      <c r="E226" s="374"/>
      <c r="F226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6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6" s="12"/>
      <c r="I226" s="386" t="str">
        <f>IFERROR(IF(TRANSHARI5_SOFTDRINKPAGI[[#This Row],[NAMA REKENING]]="","",TRANSHARI5_SOFTDRINKPAGI[[#This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IFERROR(VLOOKUP(TRANSHARI5_SOFTDRINKMALAM[[#This Row],[PRODUK]],DATA_SOFTDRINK[],7,FALSE),"")</f>
        <v/>
      </c>
      <c r="T226" s="374"/>
      <c r="U226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6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6" s="12"/>
      <c r="X226" s="386" t="str">
        <f>IFERROR(IF(TRANSHARI5_SOFTDRINKMALAM[[#This Row],[NAMA REKENING]]="","",TRANSHARI5_SOFTDRINKMALAM[[#This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IFERROR(VLOOKUP(TRANSHARI5_SOFTDRINKPAGI[[#This Row],[PRODUK]],DATA_SOFTDRINK[],7,FALSE),"")</f>
        <v/>
      </c>
      <c r="E227" s="374"/>
      <c r="F227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7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7" s="12"/>
      <c r="I227" s="384" t="str">
        <f>IFERROR(IF(TRANSHARI5_SOFTDRINKPAGI[[#This Row],[NAMA REKENING]]="","",TRANSHARI5_SOFTDRINKPAGI[[#This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IFERROR(VLOOKUP(TRANSHARI5_SOFTDRINKMALAM[[#This Row],[PRODUK]],DATA_SOFTDRINK[],7,FALSE),"")</f>
        <v/>
      </c>
      <c r="T227" s="374"/>
      <c r="U227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7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7" s="12"/>
      <c r="X227" s="384" t="str">
        <f>IFERROR(IF(TRANSHARI5_SOFTDRINKMALAM[[#This Row],[NAMA REKENING]]="","",TRANSHARI5_SOFTDRINKMALAM[[#This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IFERROR(VLOOKUP(TRANSHARI5_SOFTDRINKPAGI[[#This Row],[PRODUK]],DATA_SOFTDRINK[],7,FALSE),"")</f>
        <v/>
      </c>
      <c r="E228" s="374"/>
      <c r="F228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8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8" s="12"/>
      <c r="I228" s="386" t="str">
        <f>IFERROR(IF(TRANSHARI5_SOFTDRINKPAGI[[#This Row],[NAMA REKENING]]="","",TRANSHARI5_SOFTDRINKPAGI[[#This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IFERROR(VLOOKUP(TRANSHARI5_SOFTDRINKMALAM[[#This Row],[PRODUK]],DATA_SOFTDRINK[],7,FALSE),"")</f>
        <v/>
      </c>
      <c r="T228" s="374"/>
      <c r="U228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8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8" s="12"/>
      <c r="X228" s="386" t="str">
        <f>IFERROR(IF(TRANSHARI5_SOFTDRINKMALAM[[#This Row],[NAMA REKENING]]="","",TRANSHARI5_SOFTDRINKMALAM[[#This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IFERROR(VLOOKUP(TRANSHARI5_SOFTDRINKPAGI[[#This Row],[PRODUK]],DATA_SOFTDRINK[],7,FALSE),"")</f>
        <v/>
      </c>
      <c r="E229" s="374"/>
      <c r="F229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29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29" s="12"/>
      <c r="I229" s="384" t="str">
        <f>IFERROR(IF(TRANSHARI5_SOFTDRINKPAGI[[#This Row],[NAMA REKENING]]="","",TRANSHARI5_SOFTDRINKPAGI[[#This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IFERROR(VLOOKUP(TRANSHARI5_SOFTDRINKMALAM[[#This Row],[PRODUK]],DATA_SOFTDRINK[],7,FALSE),"")</f>
        <v/>
      </c>
      <c r="T229" s="374"/>
      <c r="U229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29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29" s="12"/>
      <c r="X229" s="384" t="str">
        <f>IFERROR(IF(TRANSHARI5_SOFTDRINKMALAM[[#This Row],[NAMA REKENING]]="","",TRANSHARI5_SOFTDRINKMALAM[[#This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IFERROR(VLOOKUP(TRANSHARI5_SOFTDRINKPAGI[[#This Row],[PRODUK]],DATA_SOFTDRINK[],7,FALSE),"")</f>
        <v/>
      </c>
      <c r="E230" s="374"/>
      <c r="F230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0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0" s="12"/>
      <c r="I230" s="386" t="str">
        <f>IFERROR(IF(TRANSHARI5_SOFTDRINKPAGI[[#This Row],[NAMA REKENING]]="","",TRANSHARI5_SOFTDRINKPAGI[[#This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IFERROR(VLOOKUP(TRANSHARI5_SOFTDRINKMALAM[[#This Row],[PRODUK]],DATA_SOFTDRINK[],7,FALSE),"")</f>
        <v/>
      </c>
      <c r="T230" s="374"/>
      <c r="U230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0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0" s="12"/>
      <c r="X230" s="386" t="str">
        <f>IFERROR(IF(TRANSHARI5_SOFTDRINKMALAM[[#This Row],[NAMA REKENING]]="","",TRANSHARI5_SOFTDRINKMALAM[[#This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IFERROR(VLOOKUP(TRANSHARI5_SOFTDRINKPAGI[[#This Row],[PRODUK]],DATA_SOFTDRINK[],7,FALSE),"")</f>
        <v/>
      </c>
      <c r="E231" s="374"/>
      <c r="F231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1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1" s="12"/>
      <c r="I231" s="384" t="str">
        <f>IFERROR(IF(TRANSHARI5_SOFTDRINKPAGI[[#This Row],[NAMA REKENING]]="","",TRANSHARI5_SOFTDRINKPAGI[[#This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IFERROR(VLOOKUP(TRANSHARI5_SOFTDRINKMALAM[[#This Row],[PRODUK]],DATA_SOFTDRINK[],7,FALSE),"")</f>
        <v/>
      </c>
      <c r="T231" s="374"/>
      <c r="U231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1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1" s="12"/>
      <c r="X231" s="384" t="str">
        <f>IFERROR(IF(TRANSHARI5_SOFTDRINKMALAM[[#This Row],[NAMA REKENING]]="","",TRANSHARI5_SOFTDRINKMALAM[[#This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IFERROR(VLOOKUP(TRANSHARI5_SOFTDRINKPAGI[[#This Row],[PRODUK]],DATA_SOFTDRINK[],7,FALSE),"")</f>
        <v/>
      </c>
      <c r="E232" s="374"/>
      <c r="F232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2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2" s="12"/>
      <c r="I232" s="386" t="str">
        <f>IFERROR(IF(TRANSHARI5_SOFTDRINKPAGI[[#This Row],[NAMA REKENING]]="","",TRANSHARI5_SOFTDRINKPAGI[[#This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IFERROR(VLOOKUP(TRANSHARI5_SOFTDRINKMALAM[[#This Row],[PRODUK]],DATA_SOFTDRINK[],7,FALSE),"")</f>
        <v/>
      </c>
      <c r="T232" s="374"/>
      <c r="U232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2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2" s="12"/>
      <c r="X232" s="386" t="str">
        <f>IFERROR(IF(TRANSHARI5_SOFTDRINKMALAM[[#This Row],[NAMA REKENING]]="","",TRANSHARI5_SOFTDRINKMALAM[[#This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IFERROR(VLOOKUP(TRANSHARI5_SOFTDRINKPAGI[[#This Row],[PRODUK]],DATA_SOFTDRINK[],7,FALSE),"")</f>
        <v/>
      </c>
      <c r="E233" s="374"/>
      <c r="F233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3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3" s="12"/>
      <c r="I233" s="384" t="str">
        <f>IFERROR(IF(TRANSHARI5_SOFTDRINKPAGI[[#This Row],[NAMA REKENING]]="","",TRANSHARI5_SOFTDRINKPAGI[[#This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IFERROR(VLOOKUP(TRANSHARI5_SOFTDRINKMALAM[[#This Row],[PRODUK]],DATA_SOFTDRINK[],7,FALSE),"")</f>
        <v/>
      </c>
      <c r="T233" s="374"/>
      <c r="U233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3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3" s="12"/>
      <c r="X233" s="384" t="str">
        <f>IFERROR(IF(TRANSHARI5_SOFTDRINKMALAM[[#This Row],[NAMA REKENING]]="","",TRANSHARI5_SOFTDRINKMALAM[[#This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IFERROR(VLOOKUP(TRANSHARI5_SOFTDRINKPAGI[[#This Row],[PRODUK]],DATA_SOFTDRINK[],7,FALSE),"")</f>
        <v/>
      </c>
      <c r="E234" s="374"/>
      <c r="F234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4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4" s="12"/>
      <c r="I234" s="386" t="str">
        <f>IFERROR(IF(TRANSHARI5_SOFTDRINKPAGI[[#This Row],[NAMA REKENING]]="","",TRANSHARI5_SOFTDRINKPAGI[[#This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IFERROR(VLOOKUP(TRANSHARI5_SOFTDRINKMALAM[[#This Row],[PRODUK]],DATA_SOFTDRINK[],7,FALSE),"")</f>
        <v/>
      </c>
      <c r="T234" s="374"/>
      <c r="U234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4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4" s="12"/>
      <c r="X234" s="386" t="str">
        <f>IFERROR(IF(TRANSHARI5_SOFTDRINKMALAM[[#This Row],[NAMA REKENING]]="","",TRANSHARI5_SOFTDRINKMALAM[[#This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IFERROR(VLOOKUP(TRANSHARI5_SOFTDRINKPAGI[[#This Row],[PRODUK]],DATA_SOFTDRINK[],7,FALSE),"")</f>
        <v/>
      </c>
      <c r="E235" s="374"/>
      <c r="F235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5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5" s="12"/>
      <c r="I235" s="384" t="str">
        <f>IFERROR(IF(TRANSHARI5_SOFTDRINKPAGI[[#This Row],[NAMA REKENING]]="","",TRANSHARI5_SOFTDRINKPAGI[[#This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IFERROR(VLOOKUP(TRANSHARI5_SOFTDRINKMALAM[[#This Row],[PRODUK]],DATA_SOFTDRINK[],7,FALSE),"")</f>
        <v/>
      </c>
      <c r="T235" s="374"/>
      <c r="U235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5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5" s="12"/>
      <c r="X235" s="384" t="str">
        <f>IFERROR(IF(TRANSHARI5_SOFTDRINKMALAM[[#This Row],[NAMA REKENING]]="","",TRANSHARI5_SOFTDRINKMALAM[[#This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IFERROR(VLOOKUP(TRANSHARI5_SOFTDRINKPAGI[[#This Row],[PRODUK]],DATA_SOFTDRINK[],7,FALSE),"")</f>
        <v/>
      </c>
      <c r="E236" s="374"/>
      <c r="F236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6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6" s="12"/>
      <c r="I236" s="386" t="str">
        <f>IFERROR(IF(TRANSHARI5_SOFTDRINKPAGI[[#This Row],[NAMA REKENING]]="","",TRANSHARI5_SOFTDRINKPAGI[[#This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IFERROR(VLOOKUP(TRANSHARI5_SOFTDRINKMALAM[[#This Row],[PRODUK]],DATA_SOFTDRINK[],7,FALSE),"")</f>
        <v/>
      </c>
      <c r="T236" s="374"/>
      <c r="U236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6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6" s="12"/>
      <c r="X236" s="386" t="str">
        <f>IFERROR(IF(TRANSHARI5_SOFTDRINKMALAM[[#This Row],[NAMA REKENING]]="","",TRANSHARI5_SOFTDRINKMALAM[[#This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IFERROR(VLOOKUP(TRANSHARI5_SOFTDRINKPAGI[[#This Row],[PRODUK]],DATA_SOFTDRINK[],7,FALSE),"")</f>
        <v/>
      </c>
      <c r="E237" s="374"/>
      <c r="F237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7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7" s="12"/>
      <c r="I237" s="384" t="str">
        <f>IFERROR(IF(TRANSHARI5_SOFTDRINKPAGI[[#This Row],[NAMA REKENING]]="","",TRANSHARI5_SOFTDRINKPAGI[[#This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IFERROR(VLOOKUP(TRANSHARI5_SOFTDRINKMALAM[[#This Row],[PRODUK]],DATA_SOFTDRINK[],7,FALSE),"")</f>
        <v/>
      </c>
      <c r="T237" s="374"/>
      <c r="U237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7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7" s="12"/>
      <c r="X237" s="384" t="str">
        <f>IFERROR(IF(TRANSHARI5_SOFTDRINKMALAM[[#This Row],[NAMA REKENING]]="","",TRANSHARI5_SOFTDRINKMALAM[[#This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IFERROR(VLOOKUP(TRANSHARI5_SOFTDRINKPAGI[[#This Row],[PRODUK]],DATA_SOFTDRINK[],7,FALSE),"")</f>
        <v/>
      </c>
      <c r="E238" s="374"/>
      <c r="F238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8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8" s="12"/>
      <c r="I238" s="386" t="str">
        <f>IFERROR(IF(TRANSHARI5_SOFTDRINKPAGI[[#This Row],[NAMA REKENING]]="","",TRANSHARI5_SOFTDRINKPAGI[[#This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IFERROR(VLOOKUP(TRANSHARI5_SOFTDRINKMALAM[[#This Row],[PRODUK]],DATA_SOFTDRINK[],7,FALSE),"")</f>
        <v/>
      </c>
      <c r="T238" s="374"/>
      <c r="U238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8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8" s="12"/>
      <c r="X238" s="386" t="str">
        <f>IFERROR(IF(TRANSHARI5_SOFTDRINKMALAM[[#This Row],[NAMA REKENING]]="","",TRANSHARI5_SOFTDRINKMALAM[[#This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IFERROR(VLOOKUP(TRANSHARI5_SOFTDRINKPAGI[[#This Row],[PRODUK]],DATA_SOFTDRINK[],7,FALSE),"")</f>
        <v/>
      </c>
      <c r="E239" s="374"/>
      <c r="F239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39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39" s="12"/>
      <c r="I239" s="384" t="str">
        <f>IFERROR(IF(TRANSHARI5_SOFTDRINKPAGI[[#This Row],[NAMA REKENING]]="","",TRANSHARI5_SOFTDRINKPAGI[[#This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IFERROR(VLOOKUP(TRANSHARI5_SOFTDRINKMALAM[[#This Row],[PRODUK]],DATA_SOFTDRINK[],7,FALSE),"")</f>
        <v/>
      </c>
      <c r="T239" s="374"/>
      <c r="U239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39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39" s="12"/>
      <c r="X239" s="384" t="str">
        <f>IFERROR(IF(TRANSHARI5_SOFTDRINKMALAM[[#This Row],[NAMA REKENING]]="","",TRANSHARI5_SOFTDRINKMALAM[[#This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IFERROR(VLOOKUP(TRANSHARI5_SOFTDRINKPAGI[[#This Row],[PRODUK]],DATA_SOFTDRINK[],7,FALSE),"")</f>
        <v/>
      </c>
      <c r="E240" s="374"/>
      <c r="F240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0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0" s="12"/>
      <c r="I240" s="386" t="str">
        <f>IFERROR(IF(TRANSHARI5_SOFTDRINKPAGI[[#This Row],[NAMA REKENING]]="","",TRANSHARI5_SOFTDRINKPAGI[[#This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IFERROR(VLOOKUP(TRANSHARI5_SOFTDRINKMALAM[[#This Row],[PRODUK]],DATA_SOFTDRINK[],7,FALSE),"")</f>
        <v/>
      </c>
      <c r="T240" s="374"/>
      <c r="U240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0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0" s="12"/>
      <c r="X240" s="386" t="str">
        <f>IFERROR(IF(TRANSHARI5_SOFTDRINKMALAM[[#This Row],[NAMA REKENING]]="","",TRANSHARI5_SOFTDRINKMALAM[[#This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IFERROR(VLOOKUP(TRANSHARI5_SOFTDRINKPAGI[[#This Row],[PRODUK]],DATA_SOFTDRINK[],7,FALSE),"")</f>
        <v/>
      </c>
      <c r="E241" s="374"/>
      <c r="F241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1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1" s="12"/>
      <c r="I241" s="384" t="str">
        <f>IFERROR(IF(TRANSHARI5_SOFTDRINKPAGI[[#This Row],[NAMA REKENING]]="","",TRANSHARI5_SOFTDRINKPAGI[[#This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IFERROR(VLOOKUP(TRANSHARI5_SOFTDRINKMALAM[[#This Row],[PRODUK]],DATA_SOFTDRINK[],7,FALSE),"")</f>
        <v/>
      </c>
      <c r="T241" s="374"/>
      <c r="U241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1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1" s="12"/>
      <c r="X241" s="384" t="str">
        <f>IFERROR(IF(TRANSHARI5_SOFTDRINKMALAM[[#This Row],[NAMA REKENING]]="","",TRANSHARI5_SOFTDRINKMALAM[[#This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IFERROR(VLOOKUP(TRANSHARI5_SOFTDRINKPAGI[[#This Row],[PRODUK]],DATA_SOFTDRINK[],7,FALSE),"")</f>
        <v/>
      </c>
      <c r="E242" s="374"/>
      <c r="F242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2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2" s="12"/>
      <c r="I242" s="386" t="str">
        <f>IFERROR(IF(TRANSHARI5_SOFTDRINKPAGI[[#This Row],[NAMA REKENING]]="","",TRANSHARI5_SOFTDRINKPAGI[[#This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IFERROR(VLOOKUP(TRANSHARI5_SOFTDRINKMALAM[[#This Row],[PRODUK]],DATA_SOFTDRINK[],7,FALSE),"")</f>
        <v/>
      </c>
      <c r="T242" s="374"/>
      <c r="U242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2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2" s="12"/>
      <c r="X242" s="386" t="str">
        <f>IFERROR(IF(TRANSHARI5_SOFTDRINKMALAM[[#This Row],[NAMA REKENING]]="","",TRANSHARI5_SOFTDRINKMALAM[[#This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IFERROR(VLOOKUP(TRANSHARI5_SOFTDRINKPAGI[[#This Row],[PRODUK]],DATA_SOFTDRINK[],7,FALSE),"")</f>
        <v/>
      </c>
      <c r="E243" s="374"/>
      <c r="F243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3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3" s="12"/>
      <c r="I243" s="384" t="str">
        <f>IFERROR(IF(TRANSHARI5_SOFTDRINKPAGI[[#This Row],[NAMA REKENING]]="","",TRANSHARI5_SOFTDRINKPAGI[[#This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IFERROR(VLOOKUP(TRANSHARI5_SOFTDRINKMALAM[[#This Row],[PRODUK]],DATA_SOFTDRINK[],7,FALSE),"")</f>
        <v/>
      </c>
      <c r="T243" s="374"/>
      <c r="U243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3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3" s="12"/>
      <c r="X243" s="384" t="str">
        <f>IFERROR(IF(TRANSHARI5_SOFTDRINKMALAM[[#This Row],[NAMA REKENING]]="","",TRANSHARI5_SOFTDRINKMALAM[[#This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IFERROR(VLOOKUP(TRANSHARI5_SOFTDRINKPAGI[[#This Row],[PRODUK]],DATA_SOFTDRINK[],7,FALSE),"")</f>
        <v/>
      </c>
      <c r="E244" s="374"/>
      <c r="F244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4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4" s="12"/>
      <c r="I244" s="386" t="str">
        <f>IFERROR(IF(TRANSHARI5_SOFTDRINKPAGI[[#This Row],[NAMA REKENING]]="","",TRANSHARI5_SOFTDRINKPAGI[[#This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IFERROR(VLOOKUP(TRANSHARI5_SOFTDRINKMALAM[[#This Row],[PRODUK]],DATA_SOFTDRINK[],7,FALSE),"")</f>
        <v/>
      </c>
      <c r="T244" s="374"/>
      <c r="U244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4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4" s="12"/>
      <c r="X244" s="386" t="str">
        <f>IFERROR(IF(TRANSHARI5_SOFTDRINKMALAM[[#This Row],[NAMA REKENING]]="","",TRANSHARI5_SOFTDRINKMALAM[[#This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IFERROR(VLOOKUP(TRANSHARI5_SOFTDRINKPAGI[[#This Row],[PRODUK]],DATA_SOFTDRINK[],7,FALSE),"")</f>
        <v/>
      </c>
      <c r="E245" s="374"/>
      <c r="F245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5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5" s="12"/>
      <c r="I245" s="384" t="str">
        <f>IFERROR(IF(TRANSHARI5_SOFTDRINKPAGI[[#This Row],[NAMA REKENING]]="","",TRANSHARI5_SOFTDRINKPAGI[[#This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IFERROR(VLOOKUP(TRANSHARI5_SOFTDRINKMALAM[[#This Row],[PRODUK]],DATA_SOFTDRINK[],7,FALSE),"")</f>
        <v/>
      </c>
      <c r="T245" s="374"/>
      <c r="U245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5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5" s="12"/>
      <c r="X245" s="384" t="str">
        <f>IFERROR(IF(TRANSHARI5_SOFTDRINKMALAM[[#This Row],[NAMA REKENING]]="","",TRANSHARI5_SOFTDRINKMALAM[[#This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IFERROR(VLOOKUP(TRANSHARI5_SOFTDRINKPAGI[[#This Row],[PRODUK]],DATA_SOFTDRINK[],7,FALSE),"")</f>
        <v/>
      </c>
      <c r="E246" s="374"/>
      <c r="F246" s="373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6" s="373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6" s="12"/>
      <c r="I246" s="386" t="str">
        <f>IFERROR(IF(TRANSHARI5_SOFTDRINKPAGI[[#This Row],[NAMA REKENING]]="","",TRANSHARI5_SOFTDRINKPAGI[[#This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IFERROR(VLOOKUP(TRANSHARI5_SOFTDRINKMALAM[[#This Row],[PRODUK]],DATA_SOFTDRINK[],7,FALSE),"")</f>
        <v/>
      </c>
      <c r="T246" s="374"/>
      <c r="U246" s="373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6" s="373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6" s="12"/>
      <c r="X246" s="386" t="str">
        <f>IFERROR(IF(TRANSHARI5_SOFTDRINKMALAM[[#This Row],[NAMA REKENING]]="","",TRANSHARI5_SOFTDRINKMALAM[[#This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IFERROR(VLOOKUP(TRANSHARI5_SOFTDRINKPAGI[[#This Row],[PRODUK]],DATA_SOFTDRINK[],7,FALSE),"")</f>
        <v/>
      </c>
      <c r="E247" s="374"/>
      <c r="F247" s="369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7" s="369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7" s="12"/>
      <c r="I247" s="384" t="str">
        <f>IFERROR(IF(TRANSHARI5_SOFTDRINKPAGI[[#This Row],[NAMA REKENING]]="","",TRANSHARI5_SOFTDRINKPAGI[[#This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IFERROR(VLOOKUP(TRANSHARI5_SOFTDRINKMALAM[[#This Row],[PRODUK]],DATA_SOFTDRINK[],7,FALSE),"")</f>
        <v/>
      </c>
      <c r="T247" s="374"/>
      <c r="U247" s="369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7" s="369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7" s="12"/>
      <c r="X247" s="384" t="str">
        <f>IFERROR(IF(TRANSHARI5_SOFTDRINKMALAM[[#This Row],[NAMA REKENING]]="","",TRANSHARI5_SOFTDRINKMALAM[[#This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IFERROR(VLOOKUP(TRANSHARI5_SOFTDRINKPAGI[[#This Row],[PRODUK]],DATA_SOFTDRINK[],7,FALSE),"")</f>
        <v/>
      </c>
      <c r="E248" s="376"/>
      <c r="F248" s="394" t="str">
        <f>IFERROR(IF(TRANSHARI5_SOFTDRINKPAGI[[#This Row],[NAMA PENGHUTANG]]="",((TRANSHARI5_SOFTDRINKPAGI[[#This Row],[HARGA]]*TRANSHARI5_SOFTDRINKPAGI[[#This Row],[QUANTITY]])+TRANSHARI5_SOFTDRINKPAGI[[#This Row],[PRICE TOLERANCE]]),""),"")</f>
        <v/>
      </c>
      <c r="G248" s="394" t="str">
        <f>IFERROR(IF(TRANSHARI5_SOFTDRINKPAGI[[#This Row],[NAMA PENGHUTANG]]="","",((TRANSHARI5_SOFTDRINKPAGI[[#This Row],[HARGA]]*TRANSHARI5_SOFTDRINKPAGI[[#This Row],[QUANTITY]])+TRANSHARI5_SOFTDRINKPAGI[[#This Row],[PRICE TOLERANCE]])),"")</f>
        <v/>
      </c>
      <c r="H248" s="377"/>
      <c r="I248" s="399" t="str">
        <f>IFERROR(IF(TRANSHARI5_SOFTDRINKPAGI[[#This Row],[NAMA REKENING]]="","",TRANSHARI5_SOFTDRINKPAGI[[#This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IFERROR(VLOOKUP(TRANSHARI5_SOFTDRINKMALAM[[#This Row],[PRODUK]],DATA_SOFTDRINK[],7,FALSE),"")</f>
        <v/>
      </c>
      <c r="T248" s="376"/>
      <c r="U248" s="394" t="str">
        <f>IFERROR(IF(TRANSHARI5_SOFTDRINKMALAM[[#This Row],[NAMA PENGHUTANG]]="",((TRANSHARI5_SOFTDRINKMALAM[[#This Row],[HARGA]]*TRANSHARI5_SOFTDRINKMALAM[[#This Row],[QUANTITY]])+TRANSHARI5_SOFTDRINKMALAM[[#This Row],[PRICE TOLERANCE]]),""),"")</f>
        <v/>
      </c>
      <c r="V248" s="394" t="str">
        <f>IFERROR(IF(TRANSHARI5_SOFTDRINKMALAM[[#This Row],[NAMA PENGHUTANG]]="","",((TRANSHARI5_SOFTDRINKMALAM[[#This Row],[HARGA]]*TRANSHARI5_SOFTDRINKMALAM[[#This Row],[QUANTITY]])+TRANSHARI5_SOFTDRINKMALAM[[#This Row],[PRICE TOLERANCE]])),"")</f>
        <v/>
      </c>
      <c r="W248" s="377"/>
      <c r="X248" s="399" t="str">
        <f>IFERROR(IF(TRANSHARI5_SOFTDRINKMALAM[[#This Row],[NAMA REKENING]]="","",TRANSHARI5_SOFTDRINKMALAM[[#This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SUM(TRANSHARI5_SOFTDRINKPAGI[QUANTITY])</f>
        <v>0</v>
      </c>
      <c r="E249" s="398">
        <f>SUM(TRANSHARI5_SOFTDRINKPAGI[PRICE TOLERANCE])</f>
        <v>0</v>
      </c>
      <c r="F249" s="396">
        <f>SUM(TRANSHARI5_SOFTDRINKPAGI[DEBIT])</f>
        <v>0</v>
      </c>
      <c r="G249" s="396">
        <f>SUM(TRANSHARI5_SOFTDRINKPAGI[KREDIT])</f>
        <v>0</v>
      </c>
      <c r="I249" s="396">
        <f>SUM(TRANSHARI5_SOFTDRINKPAGI[NOMINAL TRANSFER])</f>
        <v>0</v>
      </c>
      <c r="O249" s="324"/>
      <c r="P249" s="303" t="s">
        <v>78</v>
      </c>
      <c r="Q249" s="316"/>
      <c r="R249" s="395">
        <f>SUM(TRANSHARI5_SOFTDRINKMALAM[QUANTITY])</f>
        <v>0</v>
      </c>
      <c r="T249" s="398">
        <f>SUM(TRANSHARI5_SOFTDRINKMALAM[PRICE TOLERANCE])</f>
        <v>0</v>
      </c>
      <c r="U249" s="396">
        <f>SUM(TRANSHARI5_SOFTDRINKMALAM[DEBIT])</f>
        <v>0</v>
      </c>
      <c r="V249" s="396">
        <f>SUM(TRANSHARI5_SOFTDRINKMALAM[KREDIT])</f>
        <v>0</v>
      </c>
      <c r="X249" s="396">
        <f>SUM(TRANSHARI5_SOFTDRINKMALAM[NOMINAL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">
        <v>208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">
        <v>209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IFERROR(VLOOKUP(TRANSHARI5_ICECREAMPAGI[[#This Row],[PRODUK]],DATA_ICECREAM[],7,FALSE),"")</f>
        <v/>
      </c>
      <c r="E256" s="370"/>
      <c r="F256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56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56" s="371"/>
      <c r="I256" s="384" t="str">
        <f>IFERROR(IF(TRANSHARI5_ICECREAMPAGI[[#This Row],[NAMA REKENING]]="","",TRANSHARI5_ICECREAMPAGI[[#This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IFERROR(VLOOKUP(TRANSHARI5_ICECREAMMALAM[[#This Row],[PRODUK]],DATA_ICECREAM[],7,FALSE),"")</f>
        <v/>
      </c>
      <c r="T256" s="370"/>
      <c r="U256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56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56" s="371"/>
      <c r="X256" s="384" t="str">
        <f>IFERROR(IF(TRANSHARI5_ICECREAMMALAM[[#This Row],[NAMA REKENING]]="","",TRANSHARI5_ICECREAMMALAM[[#This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IFERROR(VLOOKUP(TRANSHARI5_ICECREAMPAGI[[#This Row],[PRODUK]],DATA_ICECREAM[],7,FALSE),"")</f>
        <v/>
      </c>
      <c r="E257" s="374"/>
      <c r="F257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57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57" s="12"/>
      <c r="I257" s="386" t="str">
        <f>IFERROR(IF(TRANSHARI5_ICECREAMPAGI[[#This Row],[NAMA REKENING]]="","",TRANSHARI5_ICECREAMPAGI[[#This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IFERROR(VLOOKUP(TRANSHARI5_ICECREAMMALAM[[#This Row],[PRODUK]],DATA_ICECREAM[],7,FALSE),"")</f>
        <v/>
      </c>
      <c r="T257" s="374"/>
      <c r="U257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57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57" s="12"/>
      <c r="X257" s="386" t="str">
        <f>IFERROR(IF(TRANSHARI5_ICECREAMMALAM[[#This Row],[NAMA REKENING]]="","",TRANSHARI5_ICECREAMMALAM[[#This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IFERROR(VLOOKUP(TRANSHARI5_ICECREAMPAGI[[#This Row],[PRODUK]],DATA_ICECREAM[],7,FALSE),"")</f>
        <v/>
      </c>
      <c r="E258" s="374"/>
      <c r="F258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58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58" s="12"/>
      <c r="I258" s="384" t="str">
        <f>IFERROR(IF(TRANSHARI5_ICECREAMPAGI[[#This Row],[NAMA REKENING]]="","",TRANSHARI5_ICECREAMPAGI[[#This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IFERROR(VLOOKUP(TRANSHARI5_ICECREAMMALAM[[#This Row],[PRODUK]],DATA_ICECREAM[],7,FALSE),"")</f>
        <v/>
      </c>
      <c r="T258" s="374"/>
      <c r="U258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58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58" s="12"/>
      <c r="X258" s="384" t="str">
        <f>IFERROR(IF(TRANSHARI5_ICECREAMMALAM[[#This Row],[NAMA REKENING]]="","",TRANSHARI5_ICECREAMMALAM[[#This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IFERROR(VLOOKUP(TRANSHARI5_ICECREAMPAGI[[#This Row],[PRODUK]],DATA_ICECREAM[],7,FALSE),"")</f>
        <v/>
      </c>
      <c r="E259" s="374"/>
      <c r="F259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59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59" s="12"/>
      <c r="I259" s="386" t="str">
        <f>IFERROR(IF(TRANSHARI5_ICECREAMPAGI[[#This Row],[NAMA REKENING]]="","",TRANSHARI5_ICECREAMPAGI[[#This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IFERROR(VLOOKUP(TRANSHARI5_ICECREAMMALAM[[#This Row],[PRODUK]],DATA_ICECREAM[],7,FALSE),"")</f>
        <v/>
      </c>
      <c r="T259" s="374"/>
      <c r="U259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59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59" s="12"/>
      <c r="X259" s="386" t="str">
        <f>IFERROR(IF(TRANSHARI5_ICECREAMMALAM[[#This Row],[NAMA REKENING]]="","",TRANSHARI5_ICECREAMMALAM[[#This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IFERROR(VLOOKUP(TRANSHARI5_ICECREAMPAGI[[#This Row],[PRODUK]],DATA_ICECREAM[],7,FALSE),"")</f>
        <v/>
      </c>
      <c r="E260" s="374"/>
      <c r="F260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0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0" s="12"/>
      <c r="I260" s="384" t="str">
        <f>IFERROR(IF(TRANSHARI5_ICECREAMPAGI[[#This Row],[NAMA REKENING]]="","",TRANSHARI5_ICECREAMPAGI[[#This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IFERROR(VLOOKUP(TRANSHARI5_ICECREAMMALAM[[#This Row],[PRODUK]],DATA_ICECREAM[],7,FALSE),"")</f>
        <v/>
      </c>
      <c r="T260" s="374"/>
      <c r="U260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0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0" s="12"/>
      <c r="X260" s="384" t="str">
        <f>IFERROR(IF(TRANSHARI5_ICECREAMMALAM[[#This Row],[NAMA REKENING]]="","",TRANSHARI5_ICECREAMMALAM[[#This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IFERROR(VLOOKUP(TRANSHARI5_ICECREAMPAGI[[#This Row],[PRODUK]],DATA_ICECREAM[],7,FALSE),"")</f>
        <v/>
      </c>
      <c r="E261" s="374"/>
      <c r="F261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1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1" s="12"/>
      <c r="I261" s="386" t="str">
        <f>IFERROR(IF(TRANSHARI5_ICECREAMPAGI[[#This Row],[NAMA REKENING]]="","",TRANSHARI5_ICECREAMPAGI[[#This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IFERROR(VLOOKUP(TRANSHARI5_ICECREAMMALAM[[#This Row],[PRODUK]],DATA_ICECREAM[],7,FALSE),"")</f>
        <v/>
      </c>
      <c r="T261" s="374"/>
      <c r="U261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1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1" s="12"/>
      <c r="X261" s="386" t="str">
        <f>IFERROR(IF(TRANSHARI5_ICECREAMMALAM[[#This Row],[NAMA REKENING]]="","",TRANSHARI5_ICECREAMMALAM[[#This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IFERROR(VLOOKUP(TRANSHARI5_ICECREAMPAGI[[#This Row],[PRODUK]],DATA_ICECREAM[],7,FALSE),"")</f>
        <v/>
      </c>
      <c r="E262" s="374"/>
      <c r="F262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2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2" s="12"/>
      <c r="I262" s="384" t="str">
        <f>IFERROR(IF(TRANSHARI5_ICECREAMPAGI[[#This Row],[NAMA REKENING]]="","",TRANSHARI5_ICECREAMPAGI[[#This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IFERROR(VLOOKUP(TRANSHARI5_ICECREAMMALAM[[#This Row],[PRODUK]],DATA_ICECREAM[],7,FALSE),"")</f>
        <v/>
      </c>
      <c r="T262" s="374"/>
      <c r="U262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2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2" s="12"/>
      <c r="X262" s="384" t="str">
        <f>IFERROR(IF(TRANSHARI5_ICECREAMMALAM[[#This Row],[NAMA REKENING]]="","",TRANSHARI5_ICECREAMMALAM[[#This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IFERROR(VLOOKUP(TRANSHARI5_ICECREAMPAGI[[#This Row],[PRODUK]],DATA_ICECREAM[],7,FALSE),"")</f>
        <v/>
      </c>
      <c r="E263" s="374"/>
      <c r="F263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3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3" s="12"/>
      <c r="I263" s="386" t="str">
        <f>IFERROR(IF(TRANSHARI5_ICECREAMPAGI[[#This Row],[NAMA REKENING]]="","",TRANSHARI5_ICECREAMPAGI[[#This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IFERROR(VLOOKUP(TRANSHARI5_ICECREAMMALAM[[#This Row],[PRODUK]],DATA_ICECREAM[],7,FALSE),"")</f>
        <v/>
      </c>
      <c r="T263" s="374"/>
      <c r="U263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3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3" s="12"/>
      <c r="X263" s="386" t="str">
        <f>IFERROR(IF(TRANSHARI5_ICECREAMMALAM[[#This Row],[NAMA REKENING]]="","",TRANSHARI5_ICECREAMMALAM[[#This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IFERROR(VLOOKUP(TRANSHARI5_ICECREAMPAGI[[#This Row],[PRODUK]],DATA_ICECREAM[],7,FALSE),"")</f>
        <v/>
      </c>
      <c r="E264" s="374"/>
      <c r="F264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4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4" s="12"/>
      <c r="I264" s="384" t="str">
        <f>IFERROR(IF(TRANSHARI5_ICECREAMPAGI[[#This Row],[NAMA REKENING]]="","",TRANSHARI5_ICECREAMPAGI[[#This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IFERROR(VLOOKUP(TRANSHARI5_ICECREAMMALAM[[#This Row],[PRODUK]],DATA_ICECREAM[],7,FALSE),"")</f>
        <v/>
      </c>
      <c r="T264" s="374"/>
      <c r="U264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4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4" s="12"/>
      <c r="X264" s="384" t="str">
        <f>IFERROR(IF(TRANSHARI5_ICECREAMMALAM[[#This Row],[NAMA REKENING]]="","",TRANSHARI5_ICECREAMMALAM[[#This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IFERROR(VLOOKUP(TRANSHARI5_ICECREAMPAGI[[#This Row],[PRODUK]],DATA_ICECREAM[],7,FALSE),"")</f>
        <v/>
      </c>
      <c r="E265" s="374"/>
      <c r="F265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5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5" s="12"/>
      <c r="I265" s="386" t="str">
        <f>IFERROR(IF(TRANSHARI5_ICECREAMPAGI[[#This Row],[NAMA REKENING]]="","",TRANSHARI5_ICECREAMPAGI[[#This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IFERROR(VLOOKUP(TRANSHARI5_ICECREAMMALAM[[#This Row],[PRODUK]],DATA_ICECREAM[],7,FALSE),"")</f>
        <v/>
      </c>
      <c r="T265" s="374"/>
      <c r="U265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5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5" s="12"/>
      <c r="X265" s="386" t="str">
        <f>IFERROR(IF(TRANSHARI5_ICECREAMMALAM[[#This Row],[NAMA REKENING]]="","",TRANSHARI5_ICECREAMMALAM[[#This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IFERROR(VLOOKUP(TRANSHARI5_ICECREAMPAGI[[#This Row],[PRODUK]],DATA_ICECREAM[],7,FALSE),"")</f>
        <v/>
      </c>
      <c r="E266" s="374"/>
      <c r="F266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6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6" s="12"/>
      <c r="I266" s="384" t="str">
        <f>IFERROR(IF(TRANSHARI5_ICECREAMPAGI[[#This Row],[NAMA REKENING]]="","",TRANSHARI5_ICECREAMPAGI[[#This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IFERROR(VLOOKUP(TRANSHARI5_ICECREAMMALAM[[#This Row],[PRODUK]],DATA_ICECREAM[],7,FALSE),"")</f>
        <v/>
      </c>
      <c r="T266" s="374"/>
      <c r="U266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6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6" s="12"/>
      <c r="X266" s="384" t="str">
        <f>IFERROR(IF(TRANSHARI5_ICECREAMMALAM[[#This Row],[NAMA REKENING]]="","",TRANSHARI5_ICECREAMMALAM[[#This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IFERROR(VLOOKUP(TRANSHARI5_ICECREAMPAGI[[#This Row],[PRODUK]],DATA_ICECREAM[],7,FALSE),"")</f>
        <v/>
      </c>
      <c r="E267" s="374"/>
      <c r="F267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7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7" s="12"/>
      <c r="I267" s="386" t="str">
        <f>IFERROR(IF(TRANSHARI5_ICECREAMPAGI[[#This Row],[NAMA REKENING]]="","",TRANSHARI5_ICECREAMPAGI[[#This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IFERROR(VLOOKUP(TRANSHARI5_ICECREAMMALAM[[#This Row],[PRODUK]],DATA_ICECREAM[],7,FALSE),"")</f>
        <v/>
      </c>
      <c r="T267" s="374"/>
      <c r="U267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7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7" s="12"/>
      <c r="X267" s="386" t="str">
        <f>IFERROR(IF(TRANSHARI5_ICECREAMMALAM[[#This Row],[NAMA REKENING]]="","",TRANSHARI5_ICECREAMMALAM[[#This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IFERROR(VLOOKUP(TRANSHARI5_ICECREAMPAGI[[#This Row],[PRODUK]],DATA_ICECREAM[],7,FALSE),"")</f>
        <v/>
      </c>
      <c r="E268" s="374"/>
      <c r="F268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8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8" s="12"/>
      <c r="I268" s="384" t="str">
        <f>IFERROR(IF(TRANSHARI5_ICECREAMPAGI[[#This Row],[NAMA REKENING]]="","",TRANSHARI5_ICECREAMPAGI[[#This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IFERROR(VLOOKUP(TRANSHARI5_ICECREAMMALAM[[#This Row],[PRODUK]],DATA_ICECREAM[],7,FALSE),"")</f>
        <v/>
      </c>
      <c r="T268" s="374"/>
      <c r="U268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8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8" s="12"/>
      <c r="X268" s="384" t="str">
        <f>IFERROR(IF(TRANSHARI5_ICECREAMMALAM[[#This Row],[NAMA REKENING]]="","",TRANSHARI5_ICECREAMMALAM[[#This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IFERROR(VLOOKUP(TRANSHARI5_ICECREAMPAGI[[#This Row],[PRODUK]],DATA_ICECREAM[],7,FALSE),"")</f>
        <v/>
      </c>
      <c r="E269" s="374"/>
      <c r="F269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69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69" s="12"/>
      <c r="I269" s="386" t="str">
        <f>IFERROR(IF(TRANSHARI5_ICECREAMPAGI[[#This Row],[NAMA REKENING]]="","",TRANSHARI5_ICECREAMPAGI[[#This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IFERROR(VLOOKUP(TRANSHARI5_ICECREAMMALAM[[#This Row],[PRODUK]],DATA_ICECREAM[],7,FALSE),"")</f>
        <v/>
      </c>
      <c r="T269" s="374"/>
      <c r="U269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69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69" s="12"/>
      <c r="X269" s="386" t="str">
        <f>IFERROR(IF(TRANSHARI5_ICECREAMMALAM[[#This Row],[NAMA REKENING]]="","",TRANSHARI5_ICECREAMMALAM[[#This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IFERROR(VLOOKUP(TRANSHARI5_ICECREAMPAGI[[#This Row],[PRODUK]],DATA_ICECREAM[],7,FALSE),"")</f>
        <v/>
      </c>
      <c r="E270" s="374"/>
      <c r="F270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0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0" s="12"/>
      <c r="I270" s="384" t="str">
        <f>IFERROR(IF(TRANSHARI5_ICECREAMPAGI[[#This Row],[NAMA REKENING]]="","",TRANSHARI5_ICECREAMPAGI[[#This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IFERROR(VLOOKUP(TRANSHARI5_ICECREAMMALAM[[#This Row],[PRODUK]],DATA_ICECREAM[],7,FALSE),"")</f>
        <v/>
      </c>
      <c r="T270" s="374"/>
      <c r="U270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0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0" s="12"/>
      <c r="X270" s="384" t="str">
        <f>IFERROR(IF(TRANSHARI5_ICECREAMMALAM[[#This Row],[NAMA REKENING]]="","",TRANSHARI5_ICECREAMMALAM[[#This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IFERROR(VLOOKUP(TRANSHARI5_ICECREAMPAGI[[#This Row],[PRODUK]],DATA_ICECREAM[],7,FALSE),"")</f>
        <v/>
      </c>
      <c r="E271" s="374"/>
      <c r="F271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1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1" s="12"/>
      <c r="I271" s="386" t="str">
        <f>IFERROR(IF(TRANSHARI5_ICECREAMPAGI[[#This Row],[NAMA REKENING]]="","",TRANSHARI5_ICECREAMPAGI[[#This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IFERROR(VLOOKUP(TRANSHARI5_ICECREAMMALAM[[#This Row],[PRODUK]],DATA_ICECREAM[],7,FALSE),"")</f>
        <v/>
      </c>
      <c r="T271" s="374"/>
      <c r="U271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1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1" s="12"/>
      <c r="X271" s="386" t="str">
        <f>IFERROR(IF(TRANSHARI5_ICECREAMMALAM[[#This Row],[NAMA REKENING]]="","",TRANSHARI5_ICECREAMMALAM[[#This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IFERROR(VLOOKUP(TRANSHARI5_ICECREAMPAGI[[#This Row],[PRODUK]],DATA_ICECREAM[],7,FALSE),"")</f>
        <v/>
      </c>
      <c r="E272" s="374"/>
      <c r="F272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2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2" s="12"/>
      <c r="I272" s="384" t="str">
        <f>IFERROR(IF(TRANSHARI5_ICECREAMPAGI[[#This Row],[NAMA REKENING]]="","",TRANSHARI5_ICECREAMPAGI[[#This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IFERROR(VLOOKUP(TRANSHARI5_ICECREAMMALAM[[#This Row],[PRODUK]],DATA_ICECREAM[],7,FALSE),"")</f>
        <v/>
      </c>
      <c r="T272" s="374"/>
      <c r="U272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2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2" s="12"/>
      <c r="X272" s="384" t="str">
        <f>IFERROR(IF(TRANSHARI5_ICECREAMMALAM[[#This Row],[NAMA REKENING]]="","",TRANSHARI5_ICECREAMMALAM[[#This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IFERROR(VLOOKUP(TRANSHARI5_ICECREAMPAGI[[#This Row],[PRODUK]],DATA_ICECREAM[],7,FALSE),"")</f>
        <v/>
      </c>
      <c r="E273" s="374"/>
      <c r="F273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3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3" s="12"/>
      <c r="I273" s="386" t="str">
        <f>IFERROR(IF(TRANSHARI5_ICECREAMPAGI[[#This Row],[NAMA REKENING]]="","",TRANSHARI5_ICECREAMPAGI[[#This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IFERROR(VLOOKUP(TRANSHARI5_ICECREAMMALAM[[#This Row],[PRODUK]],DATA_ICECREAM[],7,FALSE),"")</f>
        <v/>
      </c>
      <c r="T273" s="374"/>
      <c r="U273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3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3" s="12"/>
      <c r="X273" s="386" t="str">
        <f>IFERROR(IF(TRANSHARI5_ICECREAMMALAM[[#This Row],[NAMA REKENING]]="","",TRANSHARI5_ICECREAMMALAM[[#This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IFERROR(VLOOKUP(TRANSHARI5_ICECREAMPAGI[[#This Row],[PRODUK]],DATA_ICECREAM[],7,FALSE),"")</f>
        <v/>
      </c>
      <c r="E274" s="374"/>
      <c r="F274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4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4" s="12"/>
      <c r="I274" s="384" t="str">
        <f>IFERROR(IF(TRANSHARI5_ICECREAMPAGI[[#This Row],[NAMA REKENING]]="","",TRANSHARI5_ICECREAMPAGI[[#This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IFERROR(VLOOKUP(TRANSHARI5_ICECREAMMALAM[[#This Row],[PRODUK]],DATA_ICECREAM[],7,FALSE),"")</f>
        <v/>
      </c>
      <c r="T274" s="374"/>
      <c r="U274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4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4" s="12"/>
      <c r="X274" s="384" t="str">
        <f>IFERROR(IF(TRANSHARI5_ICECREAMMALAM[[#This Row],[NAMA REKENING]]="","",TRANSHARI5_ICECREAMMALAM[[#This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IFERROR(VLOOKUP(TRANSHARI5_ICECREAMPAGI[[#This Row],[PRODUK]],DATA_ICECREAM[],7,FALSE),"")</f>
        <v/>
      </c>
      <c r="E275" s="374"/>
      <c r="F275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5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5" s="12"/>
      <c r="I275" s="386" t="str">
        <f>IFERROR(IF(TRANSHARI5_ICECREAMPAGI[[#This Row],[NAMA REKENING]]="","",TRANSHARI5_ICECREAMPAGI[[#This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IFERROR(VLOOKUP(TRANSHARI5_ICECREAMMALAM[[#This Row],[PRODUK]],DATA_ICECREAM[],7,FALSE),"")</f>
        <v/>
      </c>
      <c r="T275" s="374"/>
      <c r="U275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5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5" s="12"/>
      <c r="X275" s="386" t="str">
        <f>IFERROR(IF(TRANSHARI5_ICECREAMMALAM[[#This Row],[NAMA REKENING]]="","",TRANSHARI5_ICECREAMMALAM[[#This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IFERROR(VLOOKUP(TRANSHARI5_ICECREAMPAGI[[#This Row],[PRODUK]],DATA_ICECREAM[],7,FALSE),"")</f>
        <v/>
      </c>
      <c r="E276" s="374"/>
      <c r="F276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6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6" s="12"/>
      <c r="I276" s="384" t="str">
        <f>IFERROR(IF(TRANSHARI5_ICECREAMPAGI[[#This Row],[NAMA REKENING]]="","",TRANSHARI5_ICECREAMPAGI[[#This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IFERROR(VLOOKUP(TRANSHARI5_ICECREAMMALAM[[#This Row],[PRODUK]],DATA_ICECREAM[],7,FALSE),"")</f>
        <v/>
      </c>
      <c r="T276" s="374"/>
      <c r="U276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6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6" s="12"/>
      <c r="X276" s="384" t="str">
        <f>IFERROR(IF(TRANSHARI5_ICECREAMMALAM[[#This Row],[NAMA REKENING]]="","",TRANSHARI5_ICECREAMMALAM[[#This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IFERROR(VLOOKUP(TRANSHARI5_ICECREAMPAGI[[#This Row],[PRODUK]],DATA_ICECREAM[],7,FALSE),"")</f>
        <v/>
      </c>
      <c r="E277" s="374"/>
      <c r="F277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7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7" s="12"/>
      <c r="I277" s="386" t="str">
        <f>IFERROR(IF(TRANSHARI5_ICECREAMPAGI[[#This Row],[NAMA REKENING]]="","",TRANSHARI5_ICECREAMPAGI[[#This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IFERROR(VLOOKUP(TRANSHARI5_ICECREAMMALAM[[#This Row],[PRODUK]],DATA_ICECREAM[],7,FALSE),"")</f>
        <v/>
      </c>
      <c r="T277" s="374"/>
      <c r="U277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7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7" s="12"/>
      <c r="X277" s="386" t="str">
        <f>IFERROR(IF(TRANSHARI5_ICECREAMMALAM[[#This Row],[NAMA REKENING]]="","",TRANSHARI5_ICECREAMMALAM[[#This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IFERROR(VLOOKUP(TRANSHARI5_ICECREAMPAGI[[#This Row],[PRODUK]],DATA_ICECREAM[],7,FALSE),"")</f>
        <v/>
      </c>
      <c r="E278" s="374"/>
      <c r="F278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8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8" s="12"/>
      <c r="I278" s="384" t="str">
        <f>IFERROR(IF(TRANSHARI5_ICECREAMPAGI[[#This Row],[NAMA REKENING]]="","",TRANSHARI5_ICECREAMPAGI[[#This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IFERROR(VLOOKUP(TRANSHARI5_ICECREAMMALAM[[#This Row],[PRODUK]],DATA_ICECREAM[],7,FALSE),"")</f>
        <v/>
      </c>
      <c r="T278" s="374"/>
      <c r="U278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8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8" s="12"/>
      <c r="X278" s="384" t="str">
        <f>IFERROR(IF(TRANSHARI5_ICECREAMMALAM[[#This Row],[NAMA REKENING]]="","",TRANSHARI5_ICECREAMMALAM[[#This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IFERROR(VLOOKUP(TRANSHARI5_ICECREAMPAGI[[#This Row],[PRODUK]],DATA_ICECREAM[],7,FALSE),"")</f>
        <v/>
      </c>
      <c r="E279" s="374"/>
      <c r="F279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79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79" s="12"/>
      <c r="I279" s="386" t="str">
        <f>IFERROR(IF(TRANSHARI5_ICECREAMPAGI[[#This Row],[NAMA REKENING]]="","",TRANSHARI5_ICECREAMPAGI[[#This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IFERROR(VLOOKUP(TRANSHARI5_ICECREAMMALAM[[#This Row],[PRODUK]],DATA_ICECREAM[],7,FALSE),"")</f>
        <v/>
      </c>
      <c r="T279" s="374"/>
      <c r="U279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79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79" s="12"/>
      <c r="X279" s="386" t="str">
        <f>IFERROR(IF(TRANSHARI5_ICECREAMMALAM[[#This Row],[NAMA REKENING]]="","",TRANSHARI5_ICECREAMMALAM[[#This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IFERROR(VLOOKUP(TRANSHARI5_ICECREAMPAGI[[#This Row],[PRODUK]],DATA_ICECREAM[],7,FALSE),"")</f>
        <v/>
      </c>
      <c r="E280" s="374"/>
      <c r="F280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0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0" s="12"/>
      <c r="I280" s="384" t="str">
        <f>IFERROR(IF(TRANSHARI5_ICECREAMPAGI[[#This Row],[NAMA REKENING]]="","",TRANSHARI5_ICECREAMPAGI[[#This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IFERROR(VLOOKUP(TRANSHARI5_ICECREAMMALAM[[#This Row],[PRODUK]],DATA_ICECREAM[],7,FALSE),"")</f>
        <v/>
      </c>
      <c r="T280" s="374"/>
      <c r="U280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0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0" s="12"/>
      <c r="X280" s="384" t="str">
        <f>IFERROR(IF(TRANSHARI5_ICECREAMMALAM[[#This Row],[NAMA REKENING]]="","",TRANSHARI5_ICECREAMMALAM[[#This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IFERROR(VLOOKUP(TRANSHARI5_ICECREAMPAGI[[#This Row],[PRODUK]],DATA_ICECREAM[],7,FALSE),"")</f>
        <v/>
      </c>
      <c r="E281" s="376"/>
      <c r="F281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1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1" s="377"/>
      <c r="I281" s="386" t="str">
        <f>IFERROR(IF(TRANSHARI5_ICECREAMPAGI[[#This Row],[NAMA REKENING]]="","",TRANSHARI5_ICECREAMPAGI[[#This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IFERROR(VLOOKUP(TRANSHARI5_ICECREAMMALAM[[#This Row],[PRODUK]],DATA_ICECREAM[],7,FALSE),"")</f>
        <v/>
      </c>
      <c r="T281" s="376"/>
      <c r="U281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1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1" s="377"/>
      <c r="X281" s="386" t="str">
        <f>IFERROR(IF(TRANSHARI5_ICECREAMMALAM[[#This Row],[NAMA REKENING]]="","",TRANSHARI5_ICECREAMMALAM[[#This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IFERROR(VLOOKUP(TRANSHARI5_ICECREAMPAGI[[#This Row],[PRODUK]],DATA_ICECREAM[],7,FALSE),"")</f>
        <v/>
      </c>
      <c r="E282" s="374"/>
      <c r="F282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2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2" s="12"/>
      <c r="I282" s="384" t="str">
        <f>IFERROR(IF(TRANSHARI5_ICECREAMPAGI[[#This Row],[NAMA REKENING]]="","",TRANSHARI5_ICECREAMPAGI[[#This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IFERROR(VLOOKUP(TRANSHARI5_ICECREAMMALAM[[#This Row],[PRODUK]],DATA_ICECREAM[],7,FALSE),"")</f>
        <v/>
      </c>
      <c r="T282" s="374"/>
      <c r="U282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2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2" s="12"/>
      <c r="X282" s="384" t="str">
        <f>IFERROR(IF(TRANSHARI5_ICECREAMMALAM[[#This Row],[NAMA REKENING]]="","",TRANSHARI5_ICECREAMMALAM[[#This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IFERROR(VLOOKUP(TRANSHARI5_ICECREAMPAGI[[#This Row],[PRODUK]],DATA_ICECREAM[],7,FALSE),"")</f>
        <v/>
      </c>
      <c r="E283" s="374"/>
      <c r="F283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3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3" s="12"/>
      <c r="I283" s="386" t="str">
        <f>IFERROR(IF(TRANSHARI5_ICECREAMPAGI[[#This Row],[NAMA REKENING]]="","",TRANSHARI5_ICECREAMPAGI[[#This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IFERROR(VLOOKUP(TRANSHARI5_ICECREAMMALAM[[#This Row],[PRODUK]],DATA_ICECREAM[],7,FALSE),"")</f>
        <v/>
      </c>
      <c r="T283" s="374"/>
      <c r="U283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3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3" s="12"/>
      <c r="X283" s="386" t="str">
        <f>IFERROR(IF(TRANSHARI5_ICECREAMMALAM[[#This Row],[NAMA REKENING]]="","",TRANSHARI5_ICECREAMMALAM[[#This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IFERROR(VLOOKUP(TRANSHARI5_ICECREAMPAGI[[#This Row],[PRODUK]],DATA_ICECREAM[],7,FALSE),"")</f>
        <v/>
      </c>
      <c r="E284" s="374"/>
      <c r="F284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4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4" s="12"/>
      <c r="I284" s="384" t="str">
        <f>IFERROR(IF(TRANSHARI5_ICECREAMPAGI[[#This Row],[NAMA REKENING]]="","",TRANSHARI5_ICECREAMPAGI[[#This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IFERROR(VLOOKUP(TRANSHARI5_ICECREAMMALAM[[#This Row],[PRODUK]],DATA_ICECREAM[],7,FALSE),"")</f>
        <v/>
      </c>
      <c r="T284" s="374"/>
      <c r="U284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4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4" s="12"/>
      <c r="X284" s="384" t="str">
        <f>IFERROR(IF(TRANSHARI5_ICECREAMMALAM[[#This Row],[NAMA REKENING]]="","",TRANSHARI5_ICECREAMMALAM[[#This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IFERROR(VLOOKUP(TRANSHARI5_ICECREAMPAGI[[#This Row],[PRODUK]],DATA_ICECREAM[],7,FALSE),"")</f>
        <v/>
      </c>
      <c r="E285" s="374"/>
      <c r="F285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5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5" s="12"/>
      <c r="I285" s="386" t="str">
        <f>IFERROR(IF(TRANSHARI5_ICECREAMPAGI[[#This Row],[NAMA REKENING]]="","",TRANSHARI5_ICECREAMPAGI[[#This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IFERROR(VLOOKUP(TRANSHARI5_ICECREAMMALAM[[#This Row],[PRODUK]],DATA_ICECREAM[],7,FALSE),"")</f>
        <v/>
      </c>
      <c r="T285" s="374"/>
      <c r="U285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5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5" s="12"/>
      <c r="X285" s="386" t="str">
        <f>IFERROR(IF(TRANSHARI5_ICECREAMMALAM[[#This Row],[NAMA REKENING]]="","",TRANSHARI5_ICECREAMMALAM[[#This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IFERROR(VLOOKUP(TRANSHARI5_ICECREAMPAGI[[#This Row],[PRODUK]],DATA_ICECREAM[],7,FALSE),"")</f>
        <v/>
      </c>
      <c r="E286" s="374"/>
      <c r="F286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6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6" s="12"/>
      <c r="I286" s="384" t="str">
        <f>IFERROR(IF(TRANSHARI5_ICECREAMPAGI[[#This Row],[NAMA REKENING]]="","",TRANSHARI5_ICECREAMPAGI[[#This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IFERROR(VLOOKUP(TRANSHARI5_ICECREAMMALAM[[#This Row],[PRODUK]],DATA_ICECREAM[],7,FALSE),"")</f>
        <v/>
      </c>
      <c r="T286" s="374"/>
      <c r="U286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6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6" s="12"/>
      <c r="X286" s="384" t="str">
        <f>IFERROR(IF(TRANSHARI5_ICECREAMMALAM[[#This Row],[NAMA REKENING]]="","",TRANSHARI5_ICECREAMMALAM[[#This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IFERROR(VLOOKUP(TRANSHARI5_ICECREAMPAGI[[#This Row],[PRODUK]],DATA_ICECREAM[],7,FALSE),"")</f>
        <v/>
      </c>
      <c r="E287" s="374"/>
      <c r="F287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7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7" s="12"/>
      <c r="I287" s="386" t="str">
        <f>IFERROR(IF(TRANSHARI5_ICECREAMPAGI[[#This Row],[NAMA REKENING]]="","",TRANSHARI5_ICECREAMPAGI[[#This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IFERROR(VLOOKUP(TRANSHARI5_ICECREAMMALAM[[#This Row],[PRODUK]],DATA_ICECREAM[],7,FALSE),"")</f>
        <v/>
      </c>
      <c r="T287" s="374"/>
      <c r="U287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7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7" s="12"/>
      <c r="X287" s="386" t="str">
        <f>IFERROR(IF(TRANSHARI5_ICECREAMMALAM[[#This Row],[NAMA REKENING]]="","",TRANSHARI5_ICECREAMMALAM[[#This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IFERROR(VLOOKUP(TRANSHARI5_ICECREAMPAGI[[#This Row],[PRODUK]],DATA_ICECREAM[],7,FALSE),"")</f>
        <v/>
      </c>
      <c r="E288" s="374"/>
      <c r="F288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8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8" s="12"/>
      <c r="I288" s="384" t="str">
        <f>IFERROR(IF(TRANSHARI5_ICECREAMPAGI[[#This Row],[NAMA REKENING]]="","",TRANSHARI5_ICECREAMPAGI[[#This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IFERROR(VLOOKUP(TRANSHARI5_ICECREAMMALAM[[#This Row],[PRODUK]],DATA_ICECREAM[],7,FALSE),"")</f>
        <v/>
      </c>
      <c r="T288" s="374"/>
      <c r="U288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8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8" s="12"/>
      <c r="X288" s="384" t="str">
        <f>IFERROR(IF(TRANSHARI5_ICECREAMMALAM[[#This Row],[NAMA REKENING]]="","",TRANSHARI5_ICECREAMMALAM[[#This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IFERROR(VLOOKUP(TRANSHARI5_ICECREAMPAGI[[#This Row],[PRODUK]],DATA_ICECREAM[],7,FALSE),"")</f>
        <v/>
      </c>
      <c r="E289" s="374"/>
      <c r="F289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89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89" s="12"/>
      <c r="I289" s="386" t="str">
        <f>IFERROR(IF(TRANSHARI5_ICECREAMPAGI[[#This Row],[NAMA REKENING]]="","",TRANSHARI5_ICECREAMPAGI[[#This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IFERROR(VLOOKUP(TRANSHARI5_ICECREAMMALAM[[#This Row],[PRODUK]],DATA_ICECREAM[],7,FALSE),"")</f>
        <v/>
      </c>
      <c r="T289" s="374"/>
      <c r="U289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89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89" s="12"/>
      <c r="X289" s="386" t="str">
        <f>IFERROR(IF(TRANSHARI5_ICECREAMMALAM[[#This Row],[NAMA REKENING]]="","",TRANSHARI5_ICECREAMMALAM[[#This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IFERROR(VLOOKUP(TRANSHARI5_ICECREAMPAGI[[#This Row],[PRODUK]],DATA_ICECREAM[],7,FALSE),"")</f>
        <v/>
      </c>
      <c r="E290" s="374"/>
      <c r="F290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0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0" s="12"/>
      <c r="I290" s="384" t="str">
        <f>IFERROR(IF(TRANSHARI5_ICECREAMPAGI[[#This Row],[NAMA REKENING]]="","",TRANSHARI5_ICECREAMPAGI[[#This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IFERROR(VLOOKUP(TRANSHARI5_ICECREAMMALAM[[#This Row],[PRODUK]],DATA_ICECREAM[],7,FALSE),"")</f>
        <v/>
      </c>
      <c r="T290" s="374"/>
      <c r="U290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0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0" s="12"/>
      <c r="X290" s="384" t="str">
        <f>IFERROR(IF(TRANSHARI5_ICECREAMMALAM[[#This Row],[NAMA REKENING]]="","",TRANSHARI5_ICECREAMMALAM[[#This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IFERROR(VLOOKUP(TRANSHARI5_ICECREAMPAGI[[#This Row],[PRODUK]],DATA_ICECREAM[],7,FALSE),"")</f>
        <v/>
      </c>
      <c r="E291" s="374"/>
      <c r="F291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1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1" s="12"/>
      <c r="I291" s="386" t="str">
        <f>IFERROR(IF(TRANSHARI5_ICECREAMPAGI[[#This Row],[NAMA REKENING]]="","",TRANSHARI5_ICECREAMPAGI[[#This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IFERROR(VLOOKUP(TRANSHARI5_ICECREAMMALAM[[#This Row],[PRODUK]],DATA_ICECREAM[],7,FALSE),"")</f>
        <v/>
      </c>
      <c r="T291" s="374"/>
      <c r="U291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1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1" s="12"/>
      <c r="X291" s="386" t="str">
        <f>IFERROR(IF(TRANSHARI5_ICECREAMMALAM[[#This Row],[NAMA REKENING]]="","",TRANSHARI5_ICECREAMMALAM[[#This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IFERROR(VLOOKUP(TRANSHARI5_ICECREAMPAGI[[#This Row],[PRODUK]],DATA_ICECREAM[],7,FALSE),"")</f>
        <v/>
      </c>
      <c r="E292" s="374"/>
      <c r="F292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2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2" s="12"/>
      <c r="I292" s="384" t="str">
        <f>IFERROR(IF(TRANSHARI5_ICECREAMPAGI[[#This Row],[NAMA REKENING]]="","",TRANSHARI5_ICECREAMPAGI[[#This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IFERROR(VLOOKUP(TRANSHARI5_ICECREAMMALAM[[#This Row],[PRODUK]],DATA_ICECREAM[],7,FALSE),"")</f>
        <v/>
      </c>
      <c r="T292" s="374"/>
      <c r="U292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2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2" s="12"/>
      <c r="X292" s="384" t="str">
        <f>IFERROR(IF(TRANSHARI5_ICECREAMMALAM[[#This Row],[NAMA REKENING]]="","",TRANSHARI5_ICECREAMMALAM[[#This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IFERROR(VLOOKUP(TRANSHARI5_ICECREAMPAGI[[#This Row],[PRODUK]],DATA_ICECREAM[],7,FALSE),"")</f>
        <v/>
      </c>
      <c r="E293" s="374"/>
      <c r="F293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3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3" s="12"/>
      <c r="I293" s="386" t="str">
        <f>IFERROR(IF(TRANSHARI5_ICECREAMPAGI[[#This Row],[NAMA REKENING]]="","",TRANSHARI5_ICECREAMPAGI[[#This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IFERROR(VLOOKUP(TRANSHARI5_ICECREAMMALAM[[#This Row],[PRODUK]],DATA_ICECREAM[],7,FALSE),"")</f>
        <v/>
      </c>
      <c r="T293" s="374"/>
      <c r="U293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3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3" s="12"/>
      <c r="X293" s="386" t="str">
        <f>IFERROR(IF(TRANSHARI5_ICECREAMMALAM[[#This Row],[NAMA REKENING]]="","",TRANSHARI5_ICECREAMMALAM[[#This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IFERROR(VLOOKUP(TRANSHARI5_ICECREAMPAGI[[#This Row],[PRODUK]],DATA_ICECREAM[],7,FALSE),"")</f>
        <v/>
      </c>
      <c r="E294" s="374"/>
      <c r="F294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4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4" s="12"/>
      <c r="I294" s="384" t="str">
        <f>IFERROR(IF(TRANSHARI5_ICECREAMPAGI[[#This Row],[NAMA REKENING]]="","",TRANSHARI5_ICECREAMPAGI[[#This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IFERROR(VLOOKUP(TRANSHARI5_ICECREAMMALAM[[#This Row],[PRODUK]],DATA_ICECREAM[],7,FALSE),"")</f>
        <v/>
      </c>
      <c r="T294" s="374"/>
      <c r="U294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4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4" s="12"/>
      <c r="X294" s="384" t="str">
        <f>IFERROR(IF(TRANSHARI5_ICECREAMMALAM[[#This Row],[NAMA REKENING]]="","",TRANSHARI5_ICECREAMMALAM[[#This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IFERROR(VLOOKUP(TRANSHARI5_ICECREAMPAGI[[#This Row],[PRODUK]],DATA_ICECREAM[],7,FALSE),"")</f>
        <v/>
      </c>
      <c r="E295" s="374"/>
      <c r="F295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5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5" s="12"/>
      <c r="I295" s="386" t="str">
        <f>IFERROR(IF(TRANSHARI5_ICECREAMPAGI[[#This Row],[NAMA REKENING]]="","",TRANSHARI5_ICECREAMPAGI[[#This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IFERROR(VLOOKUP(TRANSHARI5_ICECREAMMALAM[[#This Row],[PRODUK]],DATA_ICECREAM[],7,FALSE),"")</f>
        <v/>
      </c>
      <c r="T295" s="374"/>
      <c r="U295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5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5" s="12"/>
      <c r="X295" s="386" t="str">
        <f>IFERROR(IF(TRANSHARI5_ICECREAMMALAM[[#This Row],[NAMA REKENING]]="","",TRANSHARI5_ICECREAMMALAM[[#This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IFERROR(VLOOKUP(TRANSHARI5_ICECREAMPAGI[[#This Row],[PRODUK]],DATA_ICECREAM[],7,FALSE),"")</f>
        <v/>
      </c>
      <c r="E296" s="374"/>
      <c r="F296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6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6" s="12"/>
      <c r="I296" s="384" t="str">
        <f>IFERROR(IF(TRANSHARI5_ICECREAMPAGI[[#This Row],[NAMA REKENING]]="","",TRANSHARI5_ICECREAMPAGI[[#This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IFERROR(VLOOKUP(TRANSHARI5_ICECREAMMALAM[[#This Row],[PRODUK]],DATA_ICECREAM[],7,FALSE),"")</f>
        <v/>
      </c>
      <c r="T296" s="374"/>
      <c r="U296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6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6" s="12"/>
      <c r="X296" s="384" t="str">
        <f>IFERROR(IF(TRANSHARI5_ICECREAMMALAM[[#This Row],[NAMA REKENING]]="","",TRANSHARI5_ICECREAMMALAM[[#This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IFERROR(VLOOKUP(TRANSHARI5_ICECREAMPAGI[[#This Row],[PRODUK]],DATA_ICECREAM[],7,FALSE),"")</f>
        <v/>
      </c>
      <c r="E297" s="374"/>
      <c r="F297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7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7" s="12"/>
      <c r="I297" s="386" t="str">
        <f>IFERROR(IF(TRANSHARI5_ICECREAMPAGI[[#This Row],[NAMA REKENING]]="","",TRANSHARI5_ICECREAMPAGI[[#This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IFERROR(VLOOKUP(TRANSHARI5_ICECREAMMALAM[[#This Row],[PRODUK]],DATA_ICECREAM[],7,FALSE),"")</f>
        <v/>
      </c>
      <c r="T297" s="374"/>
      <c r="U297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7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7" s="12"/>
      <c r="X297" s="386" t="str">
        <f>IFERROR(IF(TRANSHARI5_ICECREAMMALAM[[#This Row],[NAMA REKENING]]="","",TRANSHARI5_ICECREAMMALAM[[#This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IFERROR(VLOOKUP(TRANSHARI5_ICECREAMPAGI[[#This Row],[PRODUK]],DATA_ICECREAM[],7,FALSE),"")</f>
        <v/>
      </c>
      <c r="E298" s="374"/>
      <c r="F298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8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8" s="12"/>
      <c r="I298" s="384" t="str">
        <f>IFERROR(IF(TRANSHARI5_ICECREAMPAGI[[#This Row],[NAMA REKENING]]="","",TRANSHARI5_ICECREAMPAGI[[#This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IFERROR(VLOOKUP(TRANSHARI5_ICECREAMMALAM[[#This Row],[PRODUK]],DATA_ICECREAM[],7,FALSE),"")</f>
        <v/>
      </c>
      <c r="T298" s="374"/>
      <c r="U298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8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8" s="12"/>
      <c r="X298" s="384" t="str">
        <f>IFERROR(IF(TRANSHARI5_ICECREAMMALAM[[#This Row],[NAMA REKENING]]="","",TRANSHARI5_ICECREAMMALAM[[#This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IFERROR(VLOOKUP(TRANSHARI5_ICECREAMPAGI[[#This Row],[PRODUK]],DATA_ICECREAM[],7,FALSE),"")</f>
        <v/>
      </c>
      <c r="E299" s="374"/>
      <c r="F299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299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299" s="12"/>
      <c r="I299" s="386" t="str">
        <f>IFERROR(IF(TRANSHARI5_ICECREAMPAGI[[#This Row],[NAMA REKENING]]="","",TRANSHARI5_ICECREAMPAGI[[#This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IFERROR(VLOOKUP(TRANSHARI5_ICECREAMMALAM[[#This Row],[PRODUK]],DATA_ICECREAM[],7,FALSE),"")</f>
        <v/>
      </c>
      <c r="T299" s="374"/>
      <c r="U299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299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299" s="12"/>
      <c r="X299" s="386" t="str">
        <f>IFERROR(IF(TRANSHARI5_ICECREAMMALAM[[#This Row],[NAMA REKENING]]="","",TRANSHARI5_ICECREAMMALAM[[#This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IFERROR(VLOOKUP(TRANSHARI5_ICECREAMPAGI[[#This Row],[PRODUK]],DATA_ICECREAM[],7,FALSE),"")</f>
        <v/>
      </c>
      <c r="E300" s="374"/>
      <c r="F300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300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300" s="12"/>
      <c r="I300" s="384" t="str">
        <f>IFERROR(IF(TRANSHARI5_ICECREAMPAGI[[#This Row],[NAMA REKENING]]="","",TRANSHARI5_ICECREAMPAGI[[#This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IFERROR(VLOOKUP(TRANSHARI5_ICECREAMMALAM[[#This Row],[PRODUK]],DATA_ICECREAM[],7,FALSE),"")</f>
        <v/>
      </c>
      <c r="T300" s="374"/>
      <c r="U300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300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300" s="12"/>
      <c r="X300" s="384" t="str">
        <f>IFERROR(IF(TRANSHARI5_ICECREAMMALAM[[#This Row],[NAMA REKENING]]="","",TRANSHARI5_ICECREAMMALAM[[#This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IFERROR(VLOOKUP(TRANSHARI5_ICECREAMPAGI[[#This Row],[PRODUK]],DATA_ICECREAM[],7,FALSE),"")</f>
        <v/>
      </c>
      <c r="E301" s="374"/>
      <c r="F301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301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301" s="12"/>
      <c r="I301" s="386" t="str">
        <f>IFERROR(IF(TRANSHARI5_ICECREAMPAGI[[#This Row],[NAMA REKENING]]="","",TRANSHARI5_ICECREAMPAGI[[#This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IFERROR(VLOOKUP(TRANSHARI5_ICECREAMMALAM[[#This Row],[PRODUK]],DATA_ICECREAM[],7,FALSE),"")</f>
        <v/>
      </c>
      <c r="T301" s="374"/>
      <c r="U301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301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301" s="12"/>
      <c r="X301" s="386" t="str">
        <f>IFERROR(IF(TRANSHARI5_ICECREAMMALAM[[#This Row],[NAMA REKENING]]="","",TRANSHARI5_ICECREAMMALAM[[#This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IFERROR(VLOOKUP(TRANSHARI5_ICECREAMPAGI[[#This Row],[PRODUK]],DATA_ICECREAM[],7,FALSE),"")</f>
        <v/>
      </c>
      <c r="E302" s="374"/>
      <c r="F302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302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302" s="12"/>
      <c r="I302" s="384" t="str">
        <f>IFERROR(IF(TRANSHARI5_ICECREAMPAGI[[#This Row],[NAMA REKENING]]="","",TRANSHARI5_ICECREAMPAGI[[#This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IFERROR(VLOOKUP(TRANSHARI5_ICECREAMMALAM[[#This Row],[PRODUK]],DATA_ICECREAM[],7,FALSE),"")</f>
        <v/>
      </c>
      <c r="T302" s="374"/>
      <c r="U302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302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302" s="12"/>
      <c r="X302" s="384" t="str">
        <f>IFERROR(IF(TRANSHARI5_ICECREAMMALAM[[#This Row],[NAMA REKENING]]="","",TRANSHARI5_ICECREAMMALAM[[#This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IFERROR(VLOOKUP(TRANSHARI5_ICECREAMPAGI[[#This Row],[PRODUK]],DATA_ICECREAM[],7,FALSE),"")</f>
        <v/>
      </c>
      <c r="E303" s="374"/>
      <c r="F303" s="373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303" s="373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303" s="12"/>
      <c r="I303" s="386" t="str">
        <f>IFERROR(IF(TRANSHARI5_ICECREAMPAGI[[#This Row],[NAMA REKENING]]="","",TRANSHARI5_ICECREAMPAGI[[#This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IFERROR(VLOOKUP(TRANSHARI5_ICECREAMMALAM[[#This Row],[PRODUK]],DATA_ICECREAM[],7,FALSE),"")</f>
        <v/>
      </c>
      <c r="T303" s="374"/>
      <c r="U303" s="373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303" s="373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303" s="12"/>
      <c r="X303" s="386" t="str">
        <f>IFERROR(IF(TRANSHARI5_ICECREAMMALAM[[#This Row],[NAMA REKENING]]="","",TRANSHARI5_ICECREAMMALAM[[#This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IFERROR(VLOOKUP(TRANSHARI5_ICECREAMPAGI[[#This Row],[PRODUK]],DATA_ICECREAM[],7,FALSE),"")</f>
        <v/>
      </c>
      <c r="E304" s="374"/>
      <c r="F304" s="369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304" s="369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304" s="12"/>
      <c r="I304" s="384" t="str">
        <f>IFERROR(IF(TRANSHARI5_ICECREAMPAGI[[#This Row],[NAMA REKENING]]="","",TRANSHARI5_ICECREAMPAGI[[#This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IFERROR(VLOOKUP(TRANSHARI5_ICECREAMMALAM[[#This Row],[PRODUK]],DATA_ICECREAM[],7,FALSE),"")</f>
        <v/>
      </c>
      <c r="T304" s="374"/>
      <c r="U304" s="369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304" s="369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304" s="12"/>
      <c r="X304" s="384" t="str">
        <f>IFERROR(IF(TRANSHARI5_ICECREAMMALAM[[#This Row],[NAMA REKENING]]="","",TRANSHARI5_ICECREAMMALAM[[#This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IFERROR(VLOOKUP(TRANSHARI5_ICECREAMPAGI[[#This Row],[PRODUK]],DATA_ICECREAM[],7,FALSE),"")</f>
        <v/>
      </c>
      <c r="E305" s="376"/>
      <c r="F305" s="394" t="str">
        <f>IFERROR(IF(TRANSHARI5_ICECREAMPAGI[[#This Row],[NAMA PENGHUTANG]]="",((TRANSHARI5_ICECREAMPAGI[[#This Row],[HARGA]]*TRANSHARI5_ICECREAMPAGI[[#This Row],[QUANTITY]])+TRANSHARI5_ICECREAMPAGI[[#This Row],[PRICE TOLERANCE]]),""),"")</f>
        <v/>
      </c>
      <c r="G305" s="394" t="str">
        <f>IFERROR(IF(TRANSHARI5_ICECREAMPAGI[[#This Row],[NAMA PENGHUTANG]]="","",((TRANSHARI5_ICECREAMPAGI[[#This Row],[HARGA]]*TRANSHARI5_ICECREAMPAGI[[#This Row],[QUANTITY]])+TRANSHARI5_ICECREAMPAGI[[#This Row],[PRICE TOLERANCE]])),"")</f>
        <v/>
      </c>
      <c r="H305" s="377"/>
      <c r="I305" s="399" t="str">
        <f>IFERROR(IF(TRANSHARI5_ICECREAMPAGI[[#This Row],[NAMA REKENING]]="","",TRANSHARI5_ICECREAMPAGI[[#This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IFERROR(VLOOKUP(TRANSHARI5_ICECREAMMALAM[[#This Row],[PRODUK]],DATA_ICECREAM[],7,FALSE),"")</f>
        <v/>
      </c>
      <c r="T305" s="376"/>
      <c r="U305" s="394" t="str">
        <f>IFERROR(IF(TRANSHARI5_ICECREAMMALAM[[#This Row],[NAMA PENGHUTANG]]="",((TRANSHARI5_ICECREAMMALAM[[#This Row],[HARGA]]*TRANSHARI5_ICECREAMMALAM[[#This Row],[QUANTITY]])+TRANSHARI5_ICECREAMMALAM[[#This Row],[PRICE TOLERANCE]]),""),"")</f>
        <v/>
      </c>
      <c r="V305" s="394" t="str">
        <f>IFERROR(IF(TRANSHARI5_ICECREAMMALAM[[#This Row],[NAMA PENGHUTANG]]="","",((TRANSHARI5_ICECREAMMALAM[[#This Row],[HARGA]]*TRANSHARI5_ICECREAMMALAM[[#This Row],[QUANTITY]])+TRANSHARI5_ICECREAMMALAM[[#This Row],[PRICE TOLERANCE]])),"")</f>
        <v/>
      </c>
      <c r="W305" s="377"/>
      <c r="X305" s="399" t="str">
        <f>IFERROR(IF(TRANSHARI5_ICECREAMMALAM[[#This Row],[NAMA REKENING]]="","",TRANSHARI5_ICECREAMMALAM[[#This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SUM(TRANSHARI5_ICECREAMPAGI[QUANTITY])</f>
        <v>0</v>
      </c>
      <c r="E306" s="398">
        <f>SUM(TRANSHARI5_ICECREAMPAGI[PRICE TOLERANCE])</f>
        <v>0</v>
      </c>
      <c r="F306" s="396">
        <f>SUM(TRANSHARI5_ICECREAMPAGI[DEBIT])</f>
        <v>0</v>
      </c>
      <c r="G306" s="396">
        <f>SUM(TRANSHARI5_ICECREAMPAGI[KREDIT])</f>
        <v>0</v>
      </c>
      <c r="I306" s="396">
        <f>SUM(TRANSHARI5_ICECREAMPAGI[NOMINAL TRANSFER])</f>
        <v>0</v>
      </c>
      <c r="O306" s="324"/>
      <c r="P306" s="303" t="s">
        <v>78</v>
      </c>
      <c r="Q306" s="316"/>
      <c r="R306" s="395">
        <f>SUM(TRANSHARI5_ICECREAMMALAM[QUANTITY])</f>
        <v>0</v>
      </c>
      <c r="T306" s="398">
        <f>SUM(TRANSHARI5_ICECREAMMALAM[PRICE TOLERANCE])</f>
        <v>0</v>
      </c>
      <c r="U306" s="396">
        <f>SUM(TRANSHARI5_ICECREAMMALAM[DEBIT])</f>
        <v>0</v>
      </c>
      <c r="V306" s="396">
        <f>SUM(TRANSHARI5_ICECREAMMALAM[KREDIT])</f>
        <v>0</v>
      </c>
      <c r="X306" s="396">
        <f>SUM(TRANSHARI5_ICECREAMMALAM[NOMINAL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">
        <v>208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">
        <v>209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IFERROR(VLOOKUP(TRANSHARI5_ACCPAGI[[#This Row],[PRODUK]],DATA_ACC[],7,FALSE),"")</f>
        <v/>
      </c>
      <c r="E313" s="370"/>
      <c r="F313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13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13" s="371"/>
      <c r="I313" s="384" t="str">
        <f>IFERROR(IF(TRANSHARI5_ACCPAGI[[#This Row],[NAMA REKENING]]="","",TRANSHARI5_ACCPAGI[[#This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IFERROR(VLOOKUP(TRANSHARI5_ACCMALAM[[#This Row],[PRODUK]],DATA_ACC[],7,FALSE),"")</f>
        <v/>
      </c>
      <c r="T313" s="370"/>
      <c r="U313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13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13" s="371"/>
      <c r="X313" s="384" t="str">
        <f>IFERROR(IF(TRANSHARI5_ACCMALAM[[#This Row],[NAMA REKENING]]="","",TRANSHARI5_ACCMALAM[[#This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IFERROR(VLOOKUP(TRANSHARI5_ACCPAGI[[#This Row],[PRODUK]],DATA_ACC[],7,FALSE),"")</f>
        <v/>
      </c>
      <c r="E314" s="374"/>
      <c r="F314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14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14" s="12"/>
      <c r="I314" s="386" t="str">
        <f>IFERROR(IF(TRANSHARI5_ACCPAGI[[#This Row],[NAMA REKENING]]="","",TRANSHARI5_ACCPAGI[[#This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IFERROR(VLOOKUP(TRANSHARI5_ACCMALAM[[#This Row],[PRODUK]],DATA_ACC[],7,FALSE),"")</f>
        <v/>
      </c>
      <c r="T314" s="374"/>
      <c r="U314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14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14" s="12"/>
      <c r="X314" s="386" t="str">
        <f>IFERROR(IF(TRANSHARI5_ACCMALAM[[#This Row],[NAMA REKENING]]="","",TRANSHARI5_ACCMALAM[[#This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IFERROR(VLOOKUP(TRANSHARI5_ACCPAGI[[#This Row],[PRODUK]],DATA_ACC[],7,FALSE),"")</f>
        <v/>
      </c>
      <c r="E315" s="374"/>
      <c r="F315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15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15" s="12"/>
      <c r="I315" s="384" t="str">
        <f>IFERROR(IF(TRANSHARI5_ACCPAGI[[#This Row],[NAMA REKENING]]="","",TRANSHARI5_ACCPAGI[[#This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IFERROR(VLOOKUP(TRANSHARI5_ACCMALAM[[#This Row],[PRODUK]],DATA_ACC[],7,FALSE),"")</f>
        <v/>
      </c>
      <c r="T315" s="374"/>
      <c r="U315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15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15" s="12"/>
      <c r="X315" s="384" t="str">
        <f>IFERROR(IF(TRANSHARI5_ACCMALAM[[#This Row],[NAMA REKENING]]="","",TRANSHARI5_ACCMALAM[[#This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IFERROR(VLOOKUP(TRANSHARI5_ACCPAGI[[#This Row],[PRODUK]],DATA_ACC[],7,FALSE),"")</f>
        <v/>
      </c>
      <c r="E316" s="374"/>
      <c r="F316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16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16" s="12"/>
      <c r="I316" s="386" t="str">
        <f>IFERROR(IF(TRANSHARI5_ACCPAGI[[#This Row],[NAMA REKENING]]="","",TRANSHARI5_ACCPAGI[[#This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IFERROR(VLOOKUP(TRANSHARI5_ACCMALAM[[#This Row],[PRODUK]],DATA_ACC[],7,FALSE),"")</f>
        <v/>
      </c>
      <c r="T316" s="374"/>
      <c r="U316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16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16" s="12"/>
      <c r="X316" s="386" t="str">
        <f>IFERROR(IF(TRANSHARI5_ACCMALAM[[#This Row],[NAMA REKENING]]="","",TRANSHARI5_ACCMALAM[[#This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IFERROR(VLOOKUP(TRANSHARI5_ACCPAGI[[#This Row],[PRODUK]],DATA_ACC[],7,FALSE),"")</f>
        <v/>
      </c>
      <c r="E317" s="374"/>
      <c r="F317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17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17" s="12"/>
      <c r="I317" s="384" t="str">
        <f>IFERROR(IF(TRANSHARI5_ACCPAGI[[#This Row],[NAMA REKENING]]="","",TRANSHARI5_ACCPAGI[[#This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IFERROR(VLOOKUP(TRANSHARI5_ACCMALAM[[#This Row],[PRODUK]],DATA_ACC[],7,FALSE),"")</f>
        <v/>
      </c>
      <c r="T317" s="374"/>
      <c r="U317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17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17" s="12"/>
      <c r="X317" s="384" t="str">
        <f>IFERROR(IF(TRANSHARI5_ACCMALAM[[#This Row],[NAMA REKENING]]="","",TRANSHARI5_ACCMALAM[[#This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IFERROR(VLOOKUP(TRANSHARI5_ACCPAGI[[#This Row],[PRODUK]],DATA_ACC[],7,FALSE),"")</f>
        <v/>
      </c>
      <c r="E318" s="374"/>
      <c r="F318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18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18" s="12"/>
      <c r="I318" s="386" t="str">
        <f>IFERROR(IF(TRANSHARI5_ACCPAGI[[#This Row],[NAMA REKENING]]="","",TRANSHARI5_ACCPAGI[[#This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IFERROR(VLOOKUP(TRANSHARI5_ACCMALAM[[#This Row],[PRODUK]],DATA_ACC[],7,FALSE),"")</f>
        <v/>
      </c>
      <c r="T318" s="374"/>
      <c r="U318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18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18" s="12"/>
      <c r="X318" s="386" t="str">
        <f>IFERROR(IF(TRANSHARI5_ACCMALAM[[#This Row],[NAMA REKENING]]="","",TRANSHARI5_ACCMALAM[[#This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IFERROR(VLOOKUP(TRANSHARI5_ACCPAGI[[#This Row],[PRODUK]],DATA_ACC[],7,FALSE),"")</f>
        <v/>
      </c>
      <c r="E319" s="374"/>
      <c r="F319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19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19" s="12"/>
      <c r="I319" s="384" t="str">
        <f>IFERROR(IF(TRANSHARI5_ACCPAGI[[#This Row],[NAMA REKENING]]="","",TRANSHARI5_ACCPAGI[[#This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IFERROR(VLOOKUP(TRANSHARI5_ACCMALAM[[#This Row],[PRODUK]],DATA_ACC[],7,FALSE),"")</f>
        <v/>
      </c>
      <c r="T319" s="374"/>
      <c r="U319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19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19" s="12"/>
      <c r="X319" s="384" t="str">
        <f>IFERROR(IF(TRANSHARI5_ACCMALAM[[#This Row],[NAMA REKENING]]="","",TRANSHARI5_ACCMALAM[[#This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IFERROR(VLOOKUP(TRANSHARI5_ACCPAGI[[#This Row],[PRODUK]],DATA_ACC[],7,FALSE),"")</f>
        <v/>
      </c>
      <c r="E320" s="374"/>
      <c r="F320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20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20" s="12"/>
      <c r="I320" s="386" t="str">
        <f>IFERROR(IF(TRANSHARI5_ACCPAGI[[#This Row],[NAMA REKENING]]="","",TRANSHARI5_ACCPAGI[[#This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IFERROR(VLOOKUP(TRANSHARI5_ACCMALAM[[#This Row],[PRODUK]],DATA_ACC[],7,FALSE),"")</f>
        <v/>
      </c>
      <c r="T320" s="374"/>
      <c r="U320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20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20" s="12"/>
      <c r="X320" s="386" t="str">
        <f>IFERROR(IF(TRANSHARI5_ACCMALAM[[#This Row],[NAMA REKENING]]="","",TRANSHARI5_ACCMALAM[[#This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IFERROR(VLOOKUP(TRANSHARI5_ACCPAGI[[#This Row],[PRODUK]],DATA_ACC[],7,FALSE),"")</f>
        <v/>
      </c>
      <c r="E321" s="374"/>
      <c r="F321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21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21" s="12"/>
      <c r="I321" s="384" t="str">
        <f>IFERROR(IF(TRANSHARI5_ACCPAGI[[#This Row],[NAMA REKENING]]="","",TRANSHARI5_ACCPAGI[[#This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IFERROR(VLOOKUP(TRANSHARI5_ACCMALAM[[#This Row],[PRODUK]],DATA_ACC[],7,FALSE),"")</f>
        <v/>
      </c>
      <c r="T321" s="374"/>
      <c r="U321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21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21" s="12"/>
      <c r="X321" s="384" t="str">
        <f>IFERROR(IF(TRANSHARI5_ACCMALAM[[#This Row],[NAMA REKENING]]="","",TRANSHARI5_ACCMALAM[[#This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IFERROR(VLOOKUP(TRANSHARI5_ACCPAGI[[#This Row],[PRODUK]],DATA_ACC[],7,FALSE),"")</f>
        <v/>
      </c>
      <c r="E322" s="374"/>
      <c r="F322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22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22" s="12"/>
      <c r="I322" s="386" t="str">
        <f>IFERROR(IF(TRANSHARI5_ACCPAGI[[#This Row],[NAMA REKENING]]="","",TRANSHARI5_ACCPAGI[[#This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IFERROR(VLOOKUP(TRANSHARI5_ACCMALAM[[#This Row],[PRODUK]],DATA_ACC[],7,FALSE),"")</f>
        <v/>
      </c>
      <c r="T322" s="374"/>
      <c r="U322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22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22" s="12"/>
      <c r="X322" s="386" t="str">
        <f>IFERROR(IF(TRANSHARI5_ACCMALAM[[#This Row],[NAMA REKENING]]="","",TRANSHARI5_ACCMALAM[[#This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IFERROR(VLOOKUP(TRANSHARI5_ACCPAGI[[#This Row],[PRODUK]],DATA_ACC[],7,FALSE),"")</f>
        <v/>
      </c>
      <c r="E323" s="374"/>
      <c r="F323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23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23" s="12"/>
      <c r="I323" s="384" t="str">
        <f>IFERROR(IF(TRANSHARI5_ACCPAGI[[#This Row],[NAMA REKENING]]="","",TRANSHARI5_ACCPAGI[[#This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IFERROR(VLOOKUP(TRANSHARI5_ACCMALAM[[#This Row],[PRODUK]],DATA_ACC[],7,FALSE),"")</f>
        <v/>
      </c>
      <c r="T323" s="374"/>
      <c r="U323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23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23" s="12"/>
      <c r="X323" s="384" t="str">
        <f>IFERROR(IF(TRANSHARI5_ACCMALAM[[#This Row],[NAMA REKENING]]="","",TRANSHARI5_ACCMALAM[[#This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IFERROR(VLOOKUP(TRANSHARI5_ACCPAGI[[#This Row],[PRODUK]],DATA_ACC[],7,FALSE),"")</f>
        <v/>
      </c>
      <c r="E324" s="374"/>
      <c r="F324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24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24" s="12"/>
      <c r="I324" s="386" t="str">
        <f>IFERROR(IF(TRANSHARI5_ACCPAGI[[#This Row],[NAMA REKENING]]="","",TRANSHARI5_ACCPAGI[[#This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IFERROR(VLOOKUP(TRANSHARI5_ACCMALAM[[#This Row],[PRODUK]],DATA_ACC[],7,FALSE),"")</f>
        <v/>
      </c>
      <c r="T324" s="374"/>
      <c r="U324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24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24" s="12"/>
      <c r="X324" s="386" t="str">
        <f>IFERROR(IF(TRANSHARI5_ACCMALAM[[#This Row],[NAMA REKENING]]="","",TRANSHARI5_ACCMALAM[[#This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IFERROR(VLOOKUP(TRANSHARI5_ACCPAGI[[#This Row],[PRODUK]],DATA_ACC[],7,FALSE),"")</f>
        <v/>
      </c>
      <c r="E325" s="374"/>
      <c r="F325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25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25" s="12"/>
      <c r="I325" s="384" t="str">
        <f>IFERROR(IF(TRANSHARI5_ACCPAGI[[#This Row],[NAMA REKENING]]="","",TRANSHARI5_ACCPAGI[[#This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IFERROR(VLOOKUP(TRANSHARI5_ACCMALAM[[#This Row],[PRODUK]],DATA_ACC[],7,FALSE),"")</f>
        <v/>
      </c>
      <c r="T325" s="374"/>
      <c r="U325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25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25" s="12"/>
      <c r="X325" s="384" t="str">
        <f>IFERROR(IF(TRANSHARI5_ACCMALAM[[#This Row],[NAMA REKENING]]="","",TRANSHARI5_ACCMALAM[[#This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IFERROR(VLOOKUP(TRANSHARI5_ACCPAGI[[#This Row],[PRODUK]],DATA_ACC[],7,FALSE),"")</f>
        <v/>
      </c>
      <c r="E326" s="374"/>
      <c r="F326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26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26" s="12"/>
      <c r="I326" s="386" t="str">
        <f>IFERROR(IF(TRANSHARI5_ACCPAGI[[#This Row],[NAMA REKENING]]="","",TRANSHARI5_ACCPAGI[[#This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IFERROR(VLOOKUP(TRANSHARI5_ACCMALAM[[#This Row],[PRODUK]],DATA_ACC[],7,FALSE),"")</f>
        <v/>
      </c>
      <c r="T326" s="374"/>
      <c r="U326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26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26" s="12"/>
      <c r="X326" s="386" t="str">
        <f>IFERROR(IF(TRANSHARI5_ACCMALAM[[#This Row],[NAMA REKENING]]="","",TRANSHARI5_ACCMALAM[[#This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IFERROR(VLOOKUP(TRANSHARI5_ACCPAGI[[#This Row],[PRODUK]],DATA_ACC[],7,FALSE),"")</f>
        <v/>
      </c>
      <c r="E327" s="374"/>
      <c r="F327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27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27" s="12"/>
      <c r="I327" s="384" t="str">
        <f>IFERROR(IF(TRANSHARI5_ACCPAGI[[#This Row],[NAMA REKENING]]="","",TRANSHARI5_ACCPAGI[[#This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IFERROR(VLOOKUP(TRANSHARI5_ACCMALAM[[#This Row],[PRODUK]],DATA_ACC[],7,FALSE),"")</f>
        <v/>
      </c>
      <c r="T327" s="374"/>
      <c r="U327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27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27" s="12"/>
      <c r="X327" s="384" t="str">
        <f>IFERROR(IF(TRANSHARI5_ACCMALAM[[#This Row],[NAMA REKENING]]="","",TRANSHARI5_ACCMALAM[[#This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IFERROR(VLOOKUP(TRANSHARI5_ACCPAGI[[#This Row],[PRODUK]],DATA_ACC[],7,FALSE),"")</f>
        <v/>
      </c>
      <c r="E328" s="374"/>
      <c r="F328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28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28" s="12"/>
      <c r="I328" s="386" t="str">
        <f>IFERROR(IF(TRANSHARI5_ACCPAGI[[#This Row],[NAMA REKENING]]="","",TRANSHARI5_ACCPAGI[[#This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IFERROR(VLOOKUP(TRANSHARI5_ACCMALAM[[#This Row],[PRODUK]],DATA_ACC[],7,FALSE),"")</f>
        <v/>
      </c>
      <c r="T328" s="374"/>
      <c r="U328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28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28" s="12"/>
      <c r="X328" s="386" t="str">
        <f>IFERROR(IF(TRANSHARI5_ACCMALAM[[#This Row],[NAMA REKENING]]="","",TRANSHARI5_ACCMALAM[[#This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IFERROR(VLOOKUP(TRANSHARI5_ACCPAGI[[#This Row],[PRODUK]],DATA_ACC[],7,FALSE),"")</f>
        <v/>
      </c>
      <c r="E329" s="374"/>
      <c r="F329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29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29" s="12"/>
      <c r="I329" s="384" t="str">
        <f>IFERROR(IF(TRANSHARI5_ACCPAGI[[#This Row],[NAMA REKENING]]="","",TRANSHARI5_ACCPAGI[[#This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IFERROR(VLOOKUP(TRANSHARI5_ACCMALAM[[#This Row],[PRODUK]],DATA_ACC[],7,FALSE),"")</f>
        <v/>
      </c>
      <c r="T329" s="374"/>
      <c r="U329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29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29" s="12"/>
      <c r="X329" s="384" t="str">
        <f>IFERROR(IF(TRANSHARI5_ACCMALAM[[#This Row],[NAMA REKENING]]="","",TRANSHARI5_ACCMALAM[[#This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IFERROR(VLOOKUP(TRANSHARI5_ACCPAGI[[#This Row],[PRODUK]],DATA_ACC[],7,FALSE),"")</f>
        <v/>
      </c>
      <c r="E330" s="374"/>
      <c r="F330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30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30" s="12"/>
      <c r="I330" s="386" t="str">
        <f>IFERROR(IF(TRANSHARI5_ACCPAGI[[#This Row],[NAMA REKENING]]="","",TRANSHARI5_ACCPAGI[[#This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IFERROR(VLOOKUP(TRANSHARI5_ACCMALAM[[#This Row],[PRODUK]],DATA_ACC[],7,FALSE),"")</f>
        <v/>
      </c>
      <c r="T330" s="374"/>
      <c r="U330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30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30" s="12"/>
      <c r="X330" s="386" t="str">
        <f>IFERROR(IF(TRANSHARI5_ACCMALAM[[#This Row],[NAMA REKENING]]="","",TRANSHARI5_ACCMALAM[[#This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IFERROR(VLOOKUP(TRANSHARI5_ACCPAGI[[#This Row],[PRODUK]],DATA_ACC[],7,FALSE),"")</f>
        <v/>
      </c>
      <c r="E331" s="374"/>
      <c r="F331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31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31" s="12"/>
      <c r="I331" s="384" t="str">
        <f>IFERROR(IF(TRANSHARI5_ACCPAGI[[#This Row],[NAMA REKENING]]="","",TRANSHARI5_ACCPAGI[[#This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IFERROR(VLOOKUP(TRANSHARI5_ACCMALAM[[#This Row],[PRODUK]],DATA_ACC[],7,FALSE),"")</f>
        <v/>
      </c>
      <c r="T331" s="374"/>
      <c r="U331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31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31" s="12"/>
      <c r="X331" s="384" t="str">
        <f>IFERROR(IF(TRANSHARI5_ACCMALAM[[#This Row],[NAMA REKENING]]="","",TRANSHARI5_ACCMALAM[[#This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IFERROR(VLOOKUP(TRANSHARI5_ACCPAGI[[#This Row],[PRODUK]],DATA_ACC[],7,FALSE),"")</f>
        <v/>
      </c>
      <c r="E332" s="374"/>
      <c r="F332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32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32" s="12"/>
      <c r="I332" s="386" t="str">
        <f>IFERROR(IF(TRANSHARI5_ACCPAGI[[#This Row],[NAMA REKENING]]="","",TRANSHARI5_ACCPAGI[[#This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IFERROR(VLOOKUP(TRANSHARI5_ACCMALAM[[#This Row],[PRODUK]],DATA_ACC[],7,FALSE),"")</f>
        <v/>
      </c>
      <c r="T332" s="374"/>
      <c r="U332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32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32" s="12"/>
      <c r="X332" s="386" t="str">
        <f>IFERROR(IF(TRANSHARI5_ACCMALAM[[#This Row],[NAMA REKENING]]="","",TRANSHARI5_ACCMALAM[[#This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IFERROR(VLOOKUP(TRANSHARI5_ACCPAGI[[#This Row],[PRODUK]],DATA_ACC[],7,FALSE),"")</f>
        <v/>
      </c>
      <c r="E333" s="374"/>
      <c r="F333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33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33" s="12"/>
      <c r="I333" s="384" t="str">
        <f>IFERROR(IF(TRANSHARI5_ACCPAGI[[#This Row],[NAMA REKENING]]="","",TRANSHARI5_ACCPAGI[[#This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IFERROR(VLOOKUP(TRANSHARI5_ACCMALAM[[#This Row],[PRODUK]],DATA_ACC[],7,FALSE),"")</f>
        <v/>
      </c>
      <c r="T333" s="374"/>
      <c r="U333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33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33" s="12"/>
      <c r="X333" s="384" t="str">
        <f>IFERROR(IF(TRANSHARI5_ACCMALAM[[#This Row],[NAMA REKENING]]="","",TRANSHARI5_ACCMALAM[[#This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IFERROR(VLOOKUP(TRANSHARI5_ACCPAGI[[#This Row],[PRODUK]],DATA_ACC[],7,FALSE),"")</f>
        <v/>
      </c>
      <c r="E334" s="374"/>
      <c r="F334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34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34" s="12"/>
      <c r="I334" s="386" t="str">
        <f>IFERROR(IF(TRANSHARI5_ACCPAGI[[#This Row],[NAMA REKENING]]="","",TRANSHARI5_ACCPAGI[[#This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IFERROR(VLOOKUP(TRANSHARI5_ACCMALAM[[#This Row],[PRODUK]],DATA_ACC[],7,FALSE),"")</f>
        <v/>
      </c>
      <c r="T334" s="374"/>
      <c r="U334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34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34" s="12"/>
      <c r="X334" s="386" t="str">
        <f>IFERROR(IF(TRANSHARI5_ACCMALAM[[#This Row],[NAMA REKENING]]="","",TRANSHARI5_ACCMALAM[[#This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IFERROR(VLOOKUP(TRANSHARI5_ACCPAGI[[#This Row],[PRODUK]],DATA_ACC[],7,FALSE),"")</f>
        <v/>
      </c>
      <c r="E335" s="374"/>
      <c r="F335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35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35" s="12"/>
      <c r="I335" s="384" t="str">
        <f>IFERROR(IF(TRANSHARI5_ACCPAGI[[#This Row],[NAMA REKENING]]="","",TRANSHARI5_ACCPAGI[[#This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IFERROR(VLOOKUP(TRANSHARI5_ACCMALAM[[#This Row],[PRODUK]],DATA_ACC[],7,FALSE),"")</f>
        <v/>
      </c>
      <c r="T335" s="374"/>
      <c r="U335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35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35" s="12"/>
      <c r="X335" s="384" t="str">
        <f>IFERROR(IF(TRANSHARI5_ACCMALAM[[#This Row],[NAMA REKENING]]="","",TRANSHARI5_ACCMALAM[[#This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IFERROR(VLOOKUP(TRANSHARI5_ACCPAGI[[#This Row],[PRODUK]],DATA_ACC[],7,FALSE),"")</f>
        <v/>
      </c>
      <c r="E336" s="374"/>
      <c r="F336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36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36" s="12"/>
      <c r="I336" s="386" t="str">
        <f>IFERROR(IF(TRANSHARI5_ACCPAGI[[#This Row],[NAMA REKENING]]="","",TRANSHARI5_ACCPAGI[[#This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IFERROR(VLOOKUP(TRANSHARI5_ACCMALAM[[#This Row],[PRODUK]],DATA_ACC[],7,FALSE),"")</f>
        <v/>
      </c>
      <c r="T336" s="374"/>
      <c r="U336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36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36" s="12"/>
      <c r="X336" s="386" t="str">
        <f>IFERROR(IF(TRANSHARI5_ACCMALAM[[#This Row],[NAMA REKENING]]="","",TRANSHARI5_ACCMALAM[[#This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IFERROR(VLOOKUP(TRANSHARI5_ACCPAGI[[#This Row],[PRODUK]],DATA_ACC[],7,FALSE),"")</f>
        <v/>
      </c>
      <c r="E337" s="374"/>
      <c r="F337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37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37" s="12"/>
      <c r="I337" s="384" t="str">
        <f>IFERROR(IF(TRANSHARI5_ACCPAGI[[#This Row],[NAMA REKENING]]="","",TRANSHARI5_ACCPAGI[[#This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IFERROR(VLOOKUP(TRANSHARI5_ACCMALAM[[#This Row],[PRODUK]],DATA_ACC[],7,FALSE),"")</f>
        <v/>
      </c>
      <c r="T337" s="374"/>
      <c r="U337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37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37" s="12"/>
      <c r="X337" s="384" t="str">
        <f>IFERROR(IF(TRANSHARI5_ACCMALAM[[#This Row],[NAMA REKENING]]="","",TRANSHARI5_ACCMALAM[[#This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IFERROR(VLOOKUP(TRANSHARI5_ACCPAGI[[#This Row],[PRODUK]],DATA_ACC[],7,FALSE),"")</f>
        <v/>
      </c>
      <c r="E338" s="376"/>
      <c r="F338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38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38" s="377"/>
      <c r="I338" s="386" t="str">
        <f>IFERROR(IF(TRANSHARI5_ACCPAGI[[#This Row],[NAMA REKENING]]="","",TRANSHARI5_ACCPAGI[[#This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IFERROR(VLOOKUP(TRANSHARI5_ACCMALAM[[#This Row],[PRODUK]],DATA_ACC[],7,FALSE),"")</f>
        <v/>
      </c>
      <c r="T338" s="376"/>
      <c r="U338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38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38" s="377"/>
      <c r="X338" s="386" t="str">
        <f>IFERROR(IF(TRANSHARI5_ACCMALAM[[#This Row],[NAMA REKENING]]="","",TRANSHARI5_ACCMALAM[[#This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IFERROR(VLOOKUP(TRANSHARI5_ACCPAGI[[#This Row],[PRODUK]],DATA_ACC[],7,FALSE),"")</f>
        <v/>
      </c>
      <c r="E339" s="374"/>
      <c r="F339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39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39" s="12"/>
      <c r="I339" s="384" t="str">
        <f>IFERROR(IF(TRANSHARI5_ACCPAGI[[#This Row],[NAMA REKENING]]="","",TRANSHARI5_ACCPAGI[[#This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IFERROR(VLOOKUP(TRANSHARI5_ACCMALAM[[#This Row],[PRODUK]],DATA_ACC[],7,FALSE),"")</f>
        <v/>
      </c>
      <c r="T339" s="374"/>
      <c r="U339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39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39" s="12"/>
      <c r="X339" s="384" t="str">
        <f>IFERROR(IF(TRANSHARI5_ACCMALAM[[#This Row],[NAMA REKENING]]="","",TRANSHARI5_ACCMALAM[[#This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IFERROR(VLOOKUP(TRANSHARI5_ACCPAGI[[#This Row],[PRODUK]],DATA_ACC[],7,FALSE),"")</f>
        <v/>
      </c>
      <c r="E340" s="374"/>
      <c r="F340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40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40" s="12"/>
      <c r="I340" s="386" t="str">
        <f>IFERROR(IF(TRANSHARI5_ACCPAGI[[#This Row],[NAMA REKENING]]="","",TRANSHARI5_ACCPAGI[[#This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IFERROR(VLOOKUP(TRANSHARI5_ACCMALAM[[#This Row],[PRODUK]],DATA_ACC[],7,FALSE),"")</f>
        <v/>
      </c>
      <c r="T340" s="374"/>
      <c r="U340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40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40" s="12"/>
      <c r="X340" s="386" t="str">
        <f>IFERROR(IF(TRANSHARI5_ACCMALAM[[#This Row],[NAMA REKENING]]="","",TRANSHARI5_ACCMALAM[[#This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IFERROR(VLOOKUP(TRANSHARI5_ACCPAGI[[#This Row],[PRODUK]],DATA_ACC[],7,FALSE),"")</f>
        <v/>
      </c>
      <c r="E341" s="374"/>
      <c r="F341" s="369" t="str">
        <f>IFERROR(IF(TRANSHARI5_ACCPAGI[[#This Row],[NAMA PENGHUTANG]]="",((TRANSHARI5_ACCPAGI[[#This Row],[HARGA]]*TRANSHARI5_ACCPAGI[[#This Row],[QUANTITY]])+TRANSHARI5_ACCPAGI[[#This Row],[PRICE TOLERANCE]]),""),"")</f>
        <v/>
      </c>
      <c r="G341" s="369" t="str">
        <f>IFERROR(IF(TRANSHARI5_ACCPAGI[[#This Row],[NAMA PENGHUTANG]]="","",((TRANSHARI5_ACCPAGI[[#This Row],[HARGA]]*TRANSHARI5_ACCPAGI[[#This Row],[QUANTITY]])+TRANSHARI5_ACCPAGI[[#This Row],[PRICE TOLERANCE]])),"")</f>
        <v/>
      </c>
      <c r="H341" s="12"/>
      <c r="I341" s="384" t="str">
        <f>IFERROR(IF(TRANSHARI5_ACCPAGI[[#This Row],[NAMA REKENING]]="","",TRANSHARI5_ACCPAGI[[#This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IFERROR(VLOOKUP(TRANSHARI5_ACCMALAM[[#This Row],[PRODUK]],DATA_ACC[],7,FALSE),"")</f>
        <v/>
      </c>
      <c r="T341" s="374"/>
      <c r="U341" s="369" t="str">
        <f>IFERROR(IF(TRANSHARI5_ACCMALAM[[#This Row],[NAMA PENGHUTANG]]="",((TRANSHARI5_ACCMALAM[[#This Row],[HARGA]]*TRANSHARI5_ACCMALAM[[#This Row],[QUANTITY]])+TRANSHARI5_ACCMALAM[[#This Row],[PRICE TOLERANCE]]),""),"")</f>
        <v/>
      </c>
      <c r="V341" s="369" t="str">
        <f>IFERROR(IF(TRANSHARI5_ACCMALAM[[#This Row],[NAMA PENGHUTANG]]="","",((TRANSHARI5_ACCMALAM[[#This Row],[HARGA]]*TRANSHARI5_ACCMALAM[[#This Row],[QUANTITY]])+TRANSHARI5_ACCMALAM[[#This Row],[PRICE TOLERANCE]])),"")</f>
        <v/>
      </c>
      <c r="W341" s="12"/>
      <c r="X341" s="384" t="str">
        <f>IFERROR(IF(TRANSHARI5_ACCMALAM[[#This Row],[NAMA REKENING]]="","",TRANSHARI5_ACCMALAM[[#This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IFERROR(VLOOKUP(TRANSHARI5_ACCPAGI[[#This Row],[PRODUK]],DATA_ACC[],7,FALSE),"")</f>
        <v/>
      </c>
      <c r="E342" s="374"/>
      <c r="F342" s="373" t="str">
        <f>IFERROR(IF(TRANSHARI5_ACCPAGI[[#This Row],[NAMA PENGHUTANG]]="",((TRANSHARI5_ACCPAGI[[#This Row],[HARGA]]*TRANSHARI5_ACCPAGI[[#This Row],[QUANTITY]])+TRANSHARI5_ACCPAGI[[#This Row],[PRICE TOLERANCE]]),""),"")</f>
        <v/>
      </c>
      <c r="G342" s="373" t="str">
        <f>IFERROR(IF(TRANSHARI5_ACCPAGI[[#This Row],[NAMA PENGHUTANG]]="","",((TRANSHARI5_ACCPAGI[[#This Row],[HARGA]]*TRANSHARI5_ACCPAGI[[#This Row],[QUANTITY]])+TRANSHARI5_ACCPAGI[[#This Row],[PRICE TOLERANCE]])),"")</f>
        <v/>
      </c>
      <c r="H342" s="12"/>
      <c r="I342" s="386" t="str">
        <f>IFERROR(IF(TRANSHARI5_ACCPAGI[[#This Row],[NAMA REKENING]]="","",TRANSHARI5_ACCPAGI[[#This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IFERROR(VLOOKUP(TRANSHARI5_ACCMALAM[[#This Row],[PRODUK]],DATA_ACC[],7,FALSE),"")</f>
        <v/>
      </c>
      <c r="T342" s="374"/>
      <c r="U342" s="373" t="str">
        <f>IFERROR(IF(TRANSHARI5_ACCMALAM[[#This Row],[NAMA PENGHUTANG]]="",((TRANSHARI5_ACCMALAM[[#This Row],[HARGA]]*TRANSHARI5_ACCMALAM[[#This Row],[QUANTITY]])+TRANSHARI5_ACCMALAM[[#This Row],[PRICE TOLERANCE]]),""),"")</f>
        <v/>
      </c>
      <c r="V342" s="373" t="str">
        <f>IFERROR(IF(TRANSHARI5_ACCMALAM[[#This Row],[NAMA PENGHUTANG]]="","",((TRANSHARI5_ACCMALAM[[#This Row],[HARGA]]*TRANSHARI5_ACCMALAM[[#This Row],[QUANTITY]])+TRANSHARI5_ACCMALAM[[#This Row],[PRICE TOLERANCE]])),"")</f>
        <v/>
      </c>
      <c r="W342" s="12"/>
      <c r="X342" s="386" t="str">
        <f>IFERROR(IF(TRANSHARI5_ACCMALAM[[#This Row],[NAMA REKENING]]="","",TRANSHARI5_ACCMALAM[[#This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SUM(TRANSHARI5_ACCPAGI[QUANTITY])</f>
        <v>0</v>
      </c>
      <c r="E343" s="398">
        <f>SUM(TRANSHARI5_ACCPAGI[PRICE TOLERANCE])</f>
        <v>0</v>
      </c>
      <c r="F343" s="396">
        <f>SUM(TRANSHARI5_ACCPAGI[DEBIT])</f>
        <v>0</v>
      </c>
      <c r="G343" s="396">
        <f>SUM(TRANSHARI5_ACCPAGI[KREDIT])</f>
        <v>0</v>
      </c>
      <c r="I343" s="396">
        <f>SUM(TRANSHARI5_ACCPAGI[NOMINAL TRANSFER])</f>
        <v>0</v>
      </c>
      <c r="O343" s="324"/>
      <c r="P343" s="303" t="s">
        <v>78</v>
      </c>
      <c r="Q343" s="316"/>
      <c r="R343" s="395">
        <f>SUM(TRANSHARI5_ACCMALAM[QUANTITY])</f>
        <v>0</v>
      </c>
      <c r="T343" s="398">
        <f>SUM(TRANSHARI5_ACCMALAM[PRICE TOLERANCE])</f>
        <v>0</v>
      </c>
      <c r="U343" s="396">
        <f>SUM(TRANSHARI5_ACCMALAM[DEBIT])</f>
        <v>0</v>
      </c>
      <c r="V343" s="396">
        <f>SUM(TRANSHARI5_ACCMALAM[KREDIT])</f>
        <v>0</v>
      </c>
      <c r="X343" s="396">
        <f>SUM(TRANSHARI5_ACCMALAM[NOMINAL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">
        <v>208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">
        <v>209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IFERROR(VLOOKUP(TRANSHARI5_HYDROPAGI[[#This Row],[PRODUK]],DATA_HYDRO[],7,FALSE),"")</f>
        <v/>
      </c>
      <c r="E350" s="370"/>
      <c r="F350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0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0" s="371"/>
      <c r="I350" s="384" t="str">
        <f>IFERROR(IF(TRANSHARI5_HYDROPAGI[[#This Row],[NAMA REKENING]]="","",TRANSHARI5_HYDROPAGI[[#This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IFERROR(VLOOKUP(TRANSHARI5_HYDROMALAM[[#This Row],[PRODUK]],DATA_HYDRO[],7,FALSE),"")</f>
        <v/>
      </c>
      <c r="T350" s="370"/>
      <c r="U350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0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0" s="371"/>
      <c r="X350" s="384" t="str">
        <f>IFERROR(IF(TRANSHARI5_HYDROMALAM[[#This Row],[NAMA REKENING]]="","",TRANSHARI5_HYDROMALAM[[#This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IFERROR(VLOOKUP(TRANSHARI5_HYDROPAGI[[#This Row],[PRODUK]],DATA_HYDRO[],7,FALSE),"")</f>
        <v/>
      </c>
      <c r="E351" s="374"/>
      <c r="F351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1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1" s="12"/>
      <c r="I351" s="386" t="str">
        <f>IFERROR(IF(TRANSHARI5_HYDROPAGI[[#This Row],[NAMA REKENING]]="","",TRANSHARI5_HYDROPAGI[[#This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IFERROR(VLOOKUP(TRANSHARI5_HYDROMALAM[[#This Row],[PRODUK]],DATA_HYDRO[],7,FALSE),"")</f>
        <v/>
      </c>
      <c r="T351" s="374"/>
      <c r="U351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1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1" s="12"/>
      <c r="X351" s="386" t="str">
        <f>IFERROR(IF(TRANSHARI5_HYDROMALAM[[#This Row],[NAMA REKENING]]="","",TRANSHARI5_HYDROMALAM[[#This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IFERROR(VLOOKUP(TRANSHARI5_HYDROPAGI[[#This Row],[PRODUK]],DATA_HYDRO[],7,FALSE),"")</f>
        <v/>
      </c>
      <c r="E352" s="374"/>
      <c r="F352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2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2" s="12"/>
      <c r="I352" s="384" t="str">
        <f>IFERROR(IF(TRANSHARI5_HYDROPAGI[[#This Row],[NAMA REKENING]]="","",TRANSHARI5_HYDROPAGI[[#This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IFERROR(VLOOKUP(TRANSHARI5_HYDROMALAM[[#This Row],[PRODUK]],DATA_HYDRO[],7,FALSE),"")</f>
        <v/>
      </c>
      <c r="T352" s="374"/>
      <c r="U352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2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2" s="12"/>
      <c r="X352" s="384" t="str">
        <f>IFERROR(IF(TRANSHARI5_HYDROMALAM[[#This Row],[NAMA REKENING]]="","",TRANSHARI5_HYDROMALAM[[#This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IFERROR(VLOOKUP(TRANSHARI5_HYDROPAGI[[#This Row],[PRODUK]],DATA_HYDRO[],7,FALSE),"")</f>
        <v/>
      </c>
      <c r="E353" s="374"/>
      <c r="F353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3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3" s="12"/>
      <c r="I353" s="386" t="str">
        <f>IFERROR(IF(TRANSHARI5_HYDROPAGI[[#This Row],[NAMA REKENING]]="","",TRANSHARI5_HYDROPAGI[[#This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IFERROR(VLOOKUP(TRANSHARI5_HYDROMALAM[[#This Row],[PRODUK]],DATA_HYDRO[],7,FALSE),"")</f>
        <v/>
      </c>
      <c r="T353" s="374"/>
      <c r="U353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3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3" s="12"/>
      <c r="X353" s="386" t="str">
        <f>IFERROR(IF(TRANSHARI5_HYDROMALAM[[#This Row],[NAMA REKENING]]="","",TRANSHARI5_HYDROMALAM[[#This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IFERROR(VLOOKUP(TRANSHARI5_HYDROPAGI[[#This Row],[PRODUK]],DATA_HYDRO[],7,FALSE),"")</f>
        <v/>
      </c>
      <c r="E354" s="374"/>
      <c r="F354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4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4" s="12"/>
      <c r="I354" s="384" t="str">
        <f>IFERROR(IF(TRANSHARI5_HYDROPAGI[[#This Row],[NAMA REKENING]]="","",TRANSHARI5_HYDROPAGI[[#This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IFERROR(VLOOKUP(TRANSHARI5_HYDROMALAM[[#This Row],[PRODUK]],DATA_HYDRO[],7,FALSE),"")</f>
        <v/>
      </c>
      <c r="T354" s="374"/>
      <c r="U354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4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4" s="12"/>
      <c r="X354" s="384" t="str">
        <f>IFERROR(IF(TRANSHARI5_HYDROMALAM[[#This Row],[NAMA REKENING]]="","",TRANSHARI5_HYDROMALAM[[#This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IFERROR(VLOOKUP(TRANSHARI5_HYDROPAGI[[#This Row],[PRODUK]],DATA_HYDRO[],7,FALSE),"")</f>
        <v/>
      </c>
      <c r="E355" s="374"/>
      <c r="F355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5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5" s="12"/>
      <c r="I355" s="386" t="str">
        <f>IFERROR(IF(TRANSHARI5_HYDROPAGI[[#This Row],[NAMA REKENING]]="","",TRANSHARI5_HYDROPAGI[[#This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IFERROR(VLOOKUP(TRANSHARI5_HYDROMALAM[[#This Row],[PRODUK]],DATA_HYDRO[],7,FALSE),"")</f>
        <v/>
      </c>
      <c r="T355" s="374"/>
      <c r="U355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5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5" s="12"/>
      <c r="X355" s="386" t="str">
        <f>IFERROR(IF(TRANSHARI5_HYDROMALAM[[#This Row],[NAMA REKENING]]="","",TRANSHARI5_HYDROMALAM[[#This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IFERROR(VLOOKUP(TRANSHARI5_HYDROPAGI[[#This Row],[PRODUK]],DATA_HYDRO[],7,FALSE),"")</f>
        <v/>
      </c>
      <c r="E356" s="374"/>
      <c r="F356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6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6" s="12"/>
      <c r="I356" s="384" t="str">
        <f>IFERROR(IF(TRANSHARI5_HYDROPAGI[[#This Row],[NAMA REKENING]]="","",TRANSHARI5_HYDROPAGI[[#This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IFERROR(VLOOKUP(TRANSHARI5_HYDROMALAM[[#This Row],[PRODUK]],DATA_HYDRO[],7,FALSE),"")</f>
        <v/>
      </c>
      <c r="T356" s="374"/>
      <c r="U356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6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6" s="12"/>
      <c r="X356" s="384" t="str">
        <f>IFERROR(IF(TRANSHARI5_HYDROMALAM[[#This Row],[NAMA REKENING]]="","",TRANSHARI5_HYDROMALAM[[#This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IFERROR(VLOOKUP(TRANSHARI5_HYDROPAGI[[#This Row],[PRODUK]],DATA_HYDRO[],7,FALSE),"")</f>
        <v/>
      </c>
      <c r="E357" s="374"/>
      <c r="F357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7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7" s="12"/>
      <c r="I357" s="386" t="str">
        <f>IFERROR(IF(TRANSHARI5_HYDROPAGI[[#This Row],[NAMA REKENING]]="","",TRANSHARI5_HYDROPAGI[[#This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IFERROR(VLOOKUP(TRANSHARI5_HYDROMALAM[[#This Row],[PRODUK]],DATA_HYDRO[],7,FALSE),"")</f>
        <v/>
      </c>
      <c r="T357" s="374"/>
      <c r="U357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7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7" s="12"/>
      <c r="X357" s="386" t="str">
        <f>IFERROR(IF(TRANSHARI5_HYDROMALAM[[#This Row],[NAMA REKENING]]="","",TRANSHARI5_HYDROMALAM[[#This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IFERROR(VLOOKUP(TRANSHARI5_HYDROPAGI[[#This Row],[PRODUK]],DATA_HYDRO[],7,FALSE),"")</f>
        <v/>
      </c>
      <c r="E358" s="374"/>
      <c r="F358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8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8" s="12"/>
      <c r="I358" s="384" t="str">
        <f>IFERROR(IF(TRANSHARI5_HYDROPAGI[[#This Row],[NAMA REKENING]]="","",TRANSHARI5_HYDROPAGI[[#This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IFERROR(VLOOKUP(TRANSHARI5_HYDROMALAM[[#This Row],[PRODUK]],DATA_HYDRO[],7,FALSE),"")</f>
        <v/>
      </c>
      <c r="T358" s="374"/>
      <c r="U358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8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8" s="12"/>
      <c r="X358" s="384" t="str">
        <f>IFERROR(IF(TRANSHARI5_HYDROMALAM[[#This Row],[NAMA REKENING]]="","",TRANSHARI5_HYDROMALAM[[#This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IFERROR(VLOOKUP(TRANSHARI5_HYDROPAGI[[#This Row],[PRODUK]],DATA_HYDRO[],7,FALSE),"")</f>
        <v/>
      </c>
      <c r="E359" s="374"/>
      <c r="F359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59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59" s="12"/>
      <c r="I359" s="386" t="str">
        <f>IFERROR(IF(TRANSHARI5_HYDROPAGI[[#This Row],[NAMA REKENING]]="","",TRANSHARI5_HYDROPAGI[[#This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IFERROR(VLOOKUP(TRANSHARI5_HYDROMALAM[[#This Row],[PRODUK]],DATA_HYDRO[],7,FALSE),"")</f>
        <v/>
      </c>
      <c r="T359" s="374"/>
      <c r="U359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59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59" s="12"/>
      <c r="X359" s="386" t="str">
        <f>IFERROR(IF(TRANSHARI5_HYDROMALAM[[#This Row],[NAMA REKENING]]="","",TRANSHARI5_HYDROMALAM[[#This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IFERROR(VLOOKUP(TRANSHARI5_HYDROPAGI[[#This Row],[PRODUK]],DATA_HYDRO[],7,FALSE),"")</f>
        <v/>
      </c>
      <c r="E360" s="374"/>
      <c r="F360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0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0" s="12"/>
      <c r="I360" s="384" t="str">
        <f>IFERROR(IF(TRANSHARI5_HYDROPAGI[[#This Row],[NAMA REKENING]]="","",TRANSHARI5_HYDROPAGI[[#This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IFERROR(VLOOKUP(TRANSHARI5_HYDROMALAM[[#This Row],[PRODUK]],DATA_HYDRO[],7,FALSE),"")</f>
        <v/>
      </c>
      <c r="T360" s="374"/>
      <c r="U360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0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0" s="12"/>
      <c r="X360" s="384" t="str">
        <f>IFERROR(IF(TRANSHARI5_HYDROMALAM[[#This Row],[NAMA REKENING]]="","",TRANSHARI5_HYDROMALAM[[#This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IFERROR(VLOOKUP(TRANSHARI5_HYDROPAGI[[#This Row],[PRODUK]],DATA_HYDRO[],7,FALSE),"")</f>
        <v/>
      </c>
      <c r="E361" s="374"/>
      <c r="F361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1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1" s="12"/>
      <c r="I361" s="386" t="str">
        <f>IFERROR(IF(TRANSHARI5_HYDROPAGI[[#This Row],[NAMA REKENING]]="","",TRANSHARI5_HYDROPAGI[[#This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IFERROR(VLOOKUP(TRANSHARI5_HYDROMALAM[[#This Row],[PRODUK]],DATA_HYDRO[],7,FALSE),"")</f>
        <v/>
      </c>
      <c r="T361" s="374"/>
      <c r="U361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1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1" s="12"/>
      <c r="X361" s="386" t="str">
        <f>IFERROR(IF(TRANSHARI5_HYDROMALAM[[#This Row],[NAMA REKENING]]="","",TRANSHARI5_HYDROMALAM[[#This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IFERROR(VLOOKUP(TRANSHARI5_HYDROPAGI[[#This Row],[PRODUK]],DATA_HYDRO[],7,FALSE),"")</f>
        <v/>
      </c>
      <c r="E362" s="374"/>
      <c r="F362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2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2" s="12"/>
      <c r="I362" s="384" t="str">
        <f>IFERROR(IF(TRANSHARI5_HYDROPAGI[[#This Row],[NAMA REKENING]]="","",TRANSHARI5_HYDROPAGI[[#This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IFERROR(VLOOKUP(TRANSHARI5_HYDROMALAM[[#This Row],[PRODUK]],DATA_HYDRO[],7,FALSE),"")</f>
        <v/>
      </c>
      <c r="T362" s="374"/>
      <c r="U362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2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2" s="12"/>
      <c r="X362" s="384" t="str">
        <f>IFERROR(IF(TRANSHARI5_HYDROMALAM[[#This Row],[NAMA REKENING]]="","",TRANSHARI5_HYDROMALAM[[#This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IFERROR(VLOOKUP(TRANSHARI5_HYDROPAGI[[#This Row],[PRODUK]],DATA_HYDRO[],7,FALSE),"")</f>
        <v/>
      </c>
      <c r="E363" s="374"/>
      <c r="F363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3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3" s="12"/>
      <c r="I363" s="386" t="str">
        <f>IFERROR(IF(TRANSHARI5_HYDROPAGI[[#This Row],[NAMA REKENING]]="","",TRANSHARI5_HYDROPAGI[[#This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IFERROR(VLOOKUP(TRANSHARI5_HYDROMALAM[[#This Row],[PRODUK]],DATA_HYDRO[],7,FALSE),"")</f>
        <v/>
      </c>
      <c r="T363" s="374"/>
      <c r="U363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3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3" s="12"/>
      <c r="X363" s="386" t="str">
        <f>IFERROR(IF(TRANSHARI5_HYDROMALAM[[#This Row],[NAMA REKENING]]="","",TRANSHARI5_HYDROMALAM[[#This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IFERROR(VLOOKUP(TRANSHARI5_HYDROPAGI[[#This Row],[PRODUK]],DATA_HYDRO[],7,FALSE),"")</f>
        <v/>
      </c>
      <c r="E364" s="374"/>
      <c r="F364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4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4" s="12"/>
      <c r="I364" s="384" t="str">
        <f>IFERROR(IF(TRANSHARI5_HYDROPAGI[[#This Row],[NAMA REKENING]]="","",TRANSHARI5_HYDROPAGI[[#This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IFERROR(VLOOKUP(TRANSHARI5_HYDROMALAM[[#This Row],[PRODUK]],DATA_HYDRO[],7,FALSE),"")</f>
        <v/>
      </c>
      <c r="T364" s="374"/>
      <c r="U364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4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4" s="12"/>
      <c r="X364" s="384" t="str">
        <f>IFERROR(IF(TRANSHARI5_HYDROMALAM[[#This Row],[NAMA REKENING]]="","",TRANSHARI5_HYDROMALAM[[#This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IFERROR(VLOOKUP(TRANSHARI5_HYDROPAGI[[#This Row],[PRODUK]],DATA_HYDRO[],7,FALSE),"")</f>
        <v/>
      </c>
      <c r="E365" s="374"/>
      <c r="F365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5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5" s="12"/>
      <c r="I365" s="386" t="str">
        <f>IFERROR(IF(TRANSHARI5_HYDROPAGI[[#This Row],[NAMA REKENING]]="","",TRANSHARI5_HYDROPAGI[[#This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IFERROR(VLOOKUP(TRANSHARI5_HYDROMALAM[[#This Row],[PRODUK]],DATA_HYDRO[],7,FALSE),"")</f>
        <v/>
      </c>
      <c r="T365" s="374"/>
      <c r="U365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5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5" s="12"/>
      <c r="X365" s="386" t="str">
        <f>IFERROR(IF(TRANSHARI5_HYDROMALAM[[#This Row],[NAMA REKENING]]="","",TRANSHARI5_HYDROMALAM[[#This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IFERROR(VLOOKUP(TRANSHARI5_HYDROPAGI[[#This Row],[PRODUK]],DATA_HYDRO[],7,FALSE),"")</f>
        <v/>
      </c>
      <c r="E366" s="374"/>
      <c r="F366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6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6" s="12"/>
      <c r="I366" s="384" t="str">
        <f>IFERROR(IF(TRANSHARI5_HYDROPAGI[[#This Row],[NAMA REKENING]]="","",TRANSHARI5_HYDROPAGI[[#This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IFERROR(VLOOKUP(TRANSHARI5_HYDROMALAM[[#This Row],[PRODUK]],DATA_HYDRO[],7,FALSE),"")</f>
        <v/>
      </c>
      <c r="T366" s="374"/>
      <c r="U366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6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6" s="12"/>
      <c r="X366" s="384" t="str">
        <f>IFERROR(IF(TRANSHARI5_HYDROMALAM[[#This Row],[NAMA REKENING]]="","",TRANSHARI5_HYDROMALAM[[#This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IFERROR(VLOOKUP(TRANSHARI5_HYDROPAGI[[#This Row],[PRODUK]],DATA_HYDRO[],7,FALSE),"")</f>
        <v/>
      </c>
      <c r="E367" s="374"/>
      <c r="F367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7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7" s="12"/>
      <c r="I367" s="386" t="str">
        <f>IFERROR(IF(TRANSHARI5_HYDROPAGI[[#This Row],[NAMA REKENING]]="","",TRANSHARI5_HYDROPAGI[[#This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IFERROR(VLOOKUP(TRANSHARI5_HYDROMALAM[[#This Row],[PRODUK]],DATA_HYDRO[],7,FALSE),"")</f>
        <v/>
      </c>
      <c r="T367" s="374"/>
      <c r="U367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7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7" s="12"/>
      <c r="X367" s="386" t="str">
        <f>IFERROR(IF(TRANSHARI5_HYDROMALAM[[#This Row],[NAMA REKENING]]="","",TRANSHARI5_HYDROMALAM[[#This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IFERROR(VLOOKUP(TRANSHARI5_HYDROPAGI[[#This Row],[PRODUK]],DATA_HYDRO[],7,FALSE),"")</f>
        <v/>
      </c>
      <c r="E368" s="374"/>
      <c r="F368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8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8" s="12"/>
      <c r="I368" s="384" t="str">
        <f>IFERROR(IF(TRANSHARI5_HYDROPAGI[[#This Row],[NAMA REKENING]]="","",TRANSHARI5_HYDROPAGI[[#This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IFERROR(VLOOKUP(TRANSHARI5_HYDROMALAM[[#This Row],[PRODUK]],DATA_HYDRO[],7,FALSE),"")</f>
        <v/>
      </c>
      <c r="T368" s="374"/>
      <c r="U368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8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8" s="12"/>
      <c r="X368" s="384" t="str">
        <f>IFERROR(IF(TRANSHARI5_HYDROMALAM[[#This Row],[NAMA REKENING]]="","",TRANSHARI5_HYDROMALAM[[#This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IFERROR(VLOOKUP(TRANSHARI5_HYDROPAGI[[#This Row],[PRODUK]],DATA_HYDRO[],7,FALSE),"")</f>
        <v/>
      </c>
      <c r="E369" s="374"/>
      <c r="F369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69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69" s="12"/>
      <c r="I369" s="386" t="str">
        <f>IFERROR(IF(TRANSHARI5_HYDROPAGI[[#This Row],[NAMA REKENING]]="","",TRANSHARI5_HYDROPAGI[[#This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IFERROR(VLOOKUP(TRANSHARI5_HYDROMALAM[[#This Row],[PRODUK]],DATA_HYDRO[],7,FALSE),"")</f>
        <v/>
      </c>
      <c r="T369" s="374"/>
      <c r="U369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69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69" s="12"/>
      <c r="X369" s="386" t="str">
        <f>IFERROR(IF(TRANSHARI5_HYDROMALAM[[#This Row],[NAMA REKENING]]="","",TRANSHARI5_HYDROMALAM[[#This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IFERROR(VLOOKUP(TRANSHARI5_HYDROPAGI[[#This Row],[PRODUK]],DATA_HYDRO[],7,FALSE),"")</f>
        <v/>
      </c>
      <c r="E370" s="374"/>
      <c r="F370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0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0" s="12"/>
      <c r="I370" s="384" t="str">
        <f>IFERROR(IF(TRANSHARI5_HYDROPAGI[[#This Row],[NAMA REKENING]]="","",TRANSHARI5_HYDROPAGI[[#This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IFERROR(VLOOKUP(TRANSHARI5_HYDROMALAM[[#This Row],[PRODUK]],DATA_HYDRO[],7,FALSE),"")</f>
        <v/>
      </c>
      <c r="T370" s="374"/>
      <c r="U370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0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0" s="12"/>
      <c r="X370" s="384" t="str">
        <f>IFERROR(IF(TRANSHARI5_HYDROMALAM[[#This Row],[NAMA REKENING]]="","",TRANSHARI5_HYDROMALAM[[#This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IFERROR(VLOOKUP(TRANSHARI5_HYDROPAGI[[#This Row],[PRODUK]],DATA_HYDRO[],7,FALSE),"")</f>
        <v/>
      </c>
      <c r="E371" s="374"/>
      <c r="F371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1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1" s="12"/>
      <c r="I371" s="386" t="str">
        <f>IFERROR(IF(TRANSHARI5_HYDROPAGI[[#This Row],[NAMA REKENING]]="","",TRANSHARI5_HYDROPAGI[[#This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IFERROR(VLOOKUP(TRANSHARI5_HYDROMALAM[[#This Row],[PRODUK]],DATA_HYDRO[],7,FALSE),"")</f>
        <v/>
      </c>
      <c r="T371" s="374"/>
      <c r="U371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1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1" s="12"/>
      <c r="X371" s="386" t="str">
        <f>IFERROR(IF(TRANSHARI5_HYDROMALAM[[#This Row],[NAMA REKENING]]="","",TRANSHARI5_HYDROMALAM[[#This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IFERROR(VLOOKUP(TRANSHARI5_HYDROPAGI[[#This Row],[PRODUK]],DATA_HYDRO[],7,FALSE),"")</f>
        <v/>
      </c>
      <c r="E372" s="374"/>
      <c r="F372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2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2" s="12"/>
      <c r="I372" s="384" t="str">
        <f>IFERROR(IF(TRANSHARI5_HYDROPAGI[[#This Row],[NAMA REKENING]]="","",TRANSHARI5_HYDROPAGI[[#This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IFERROR(VLOOKUP(TRANSHARI5_HYDROMALAM[[#This Row],[PRODUK]],DATA_HYDRO[],7,FALSE),"")</f>
        <v/>
      </c>
      <c r="T372" s="374"/>
      <c r="U372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2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2" s="12"/>
      <c r="X372" s="384" t="str">
        <f>IFERROR(IF(TRANSHARI5_HYDROMALAM[[#This Row],[NAMA REKENING]]="","",TRANSHARI5_HYDROMALAM[[#This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IFERROR(VLOOKUP(TRANSHARI5_HYDROPAGI[[#This Row],[PRODUK]],DATA_HYDRO[],7,FALSE),"")</f>
        <v/>
      </c>
      <c r="E373" s="374"/>
      <c r="F373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3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3" s="12"/>
      <c r="I373" s="386" t="str">
        <f>IFERROR(IF(TRANSHARI5_HYDROPAGI[[#This Row],[NAMA REKENING]]="","",TRANSHARI5_HYDROPAGI[[#This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IFERROR(VLOOKUP(TRANSHARI5_HYDROMALAM[[#This Row],[PRODUK]],DATA_HYDRO[],7,FALSE),"")</f>
        <v/>
      </c>
      <c r="T373" s="374"/>
      <c r="U373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3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3" s="12"/>
      <c r="X373" s="386" t="str">
        <f>IFERROR(IF(TRANSHARI5_HYDROMALAM[[#This Row],[NAMA REKENING]]="","",TRANSHARI5_HYDROMALAM[[#This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IFERROR(VLOOKUP(TRANSHARI5_HYDROPAGI[[#This Row],[PRODUK]],DATA_HYDRO[],7,FALSE),"")</f>
        <v/>
      </c>
      <c r="E374" s="374"/>
      <c r="F374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4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4" s="12"/>
      <c r="I374" s="384" t="str">
        <f>IFERROR(IF(TRANSHARI5_HYDROPAGI[[#This Row],[NAMA REKENING]]="","",TRANSHARI5_HYDROPAGI[[#This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IFERROR(VLOOKUP(TRANSHARI5_HYDROMALAM[[#This Row],[PRODUK]],DATA_HYDRO[],7,FALSE),"")</f>
        <v/>
      </c>
      <c r="T374" s="374"/>
      <c r="U374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4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4" s="12"/>
      <c r="X374" s="384" t="str">
        <f>IFERROR(IF(TRANSHARI5_HYDROMALAM[[#This Row],[NAMA REKENING]]="","",TRANSHARI5_HYDROMALAM[[#This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IFERROR(VLOOKUP(TRANSHARI5_HYDROPAGI[[#This Row],[PRODUK]],DATA_HYDRO[],7,FALSE),"")</f>
        <v/>
      </c>
      <c r="E375" s="376"/>
      <c r="F375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5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5" s="377"/>
      <c r="I375" s="386" t="str">
        <f>IFERROR(IF(TRANSHARI5_HYDROPAGI[[#This Row],[NAMA REKENING]]="","",TRANSHARI5_HYDROPAGI[[#This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IFERROR(VLOOKUP(TRANSHARI5_HYDROMALAM[[#This Row],[PRODUK]],DATA_HYDRO[],7,FALSE),"")</f>
        <v/>
      </c>
      <c r="T375" s="376"/>
      <c r="U375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5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5" s="377"/>
      <c r="X375" s="386" t="str">
        <f>IFERROR(IF(TRANSHARI5_HYDROMALAM[[#This Row],[NAMA REKENING]]="","",TRANSHARI5_HYDROMALAM[[#This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IFERROR(VLOOKUP(TRANSHARI5_HYDROPAGI[[#This Row],[PRODUK]],DATA_HYDRO[],7,FALSE),"")</f>
        <v/>
      </c>
      <c r="E376" s="374"/>
      <c r="F376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6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6" s="12"/>
      <c r="I376" s="384" t="str">
        <f>IFERROR(IF(TRANSHARI5_HYDROPAGI[[#This Row],[NAMA REKENING]]="","",TRANSHARI5_HYDROPAGI[[#This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IFERROR(VLOOKUP(TRANSHARI5_HYDROMALAM[[#This Row],[PRODUK]],DATA_HYDRO[],7,FALSE),"")</f>
        <v/>
      </c>
      <c r="T376" s="374"/>
      <c r="U376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6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6" s="12"/>
      <c r="X376" s="384" t="str">
        <f>IFERROR(IF(TRANSHARI5_HYDROMALAM[[#This Row],[NAMA REKENING]]="","",TRANSHARI5_HYDROMALAM[[#This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IFERROR(VLOOKUP(TRANSHARI5_HYDROPAGI[[#This Row],[PRODUK]],DATA_HYDRO[],7,FALSE),"")</f>
        <v/>
      </c>
      <c r="E377" s="374"/>
      <c r="F377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7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7" s="12"/>
      <c r="I377" s="386" t="str">
        <f>IFERROR(IF(TRANSHARI5_HYDROPAGI[[#This Row],[NAMA REKENING]]="","",TRANSHARI5_HYDROPAGI[[#This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IFERROR(VLOOKUP(TRANSHARI5_HYDROMALAM[[#This Row],[PRODUK]],DATA_HYDRO[],7,FALSE),"")</f>
        <v/>
      </c>
      <c r="T377" s="374"/>
      <c r="U377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7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7" s="12"/>
      <c r="X377" s="386" t="str">
        <f>IFERROR(IF(TRANSHARI5_HYDROMALAM[[#This Row],[NAMA REKENING]]="","",TRANSHARI5_HYDROMALAM[[#This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IFERROR(VLOOKUP(TRANSHARI5_HYDROPAGI[[#This Row],[PRODUK]],DATA_HYDRO[],7,FALSE),"")</f>
        <v/>
      </c>
      <c r="E378" s="374"/>
      <c r="F378" s="369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8" s="369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8" s="12"/>
      <c r="I378" s="384" t="str">
        <f>IFERROR(IF(TRANSHARI5_HYDROPAGI[[#This Row],[NAMA REKENING]]="","",TRANSHARI5_HYDROPAGI[[#This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IFERROR(VLOOKUP(TRANSHARI5_HYDROMALAM[[#This Row],[PRODUK]],DATA_HYDRO[],7,FALSE),"")</f>
        <v/>
      </c>
      <c r="T378" s="374"/>
      <c r="U378" s="369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8" s="369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8" s="12"/>
      <c r="X378" s="384" t="str">
        <f>IFERROR(IF(TRANSHARI5_HYDROMALAM[[#This Row],[NAMA REKENING]]="","",TRANSHARI5_HYDROMALAM[[#This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IFERROR(VLOOKUP(TRANSHARI5_HYDROPAGI[[#This Row],[PRODUK]],DATA_HYDRO[],7,FALSE),"")</f>
        <v/>
      </c>
      <c r="E379" s="374"/>
      <c r="F379" s="373" t="str">
        <f>IFERROR(IF(TRANSHARI5_HYDROPAGI[[#This Row],[NAMA PENGHUTANG]]="",((TRANSHARI5_HYDROPAGI[[#This Row],[HARGA]]*TRANSHARI5_HYDROPAGI[[#This Row],[QUANTITY]])+TRANSHARI5_HYDROPAGI[[#This Row],[PRICE TOLERANCE]]),""),"")</f>
        <v/>
      </c>
      <c r="G379" s="373" t="str">
        <f>IFERROR(IF(TRANSHARI5_HYDROPAGI[[#This Row],[NAMA PENGHUTANG]]="","",((TRANSHARI5_HYDROPAGI[[#This Row],[HARGA]]*TRANSHARI5_HYDROPAGI[[#This Row],[QUANTITY]])+TRANSHARI5_HYDROPAGI[[#This Row],[PRICE TOLERANCE]])),"")</f>
        <v/>
      </c>
      <c r="H379" s="12"/>
      <c r="I379" s="386" t="str">
        <f>IFERROR(IF(TRANSHARI5_HYDROPAGI[[#This Row],[NAMA REKENING]]="","",TRANSHARI5_HYDROPAGI[[#This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IFERROR(VLOOKUP(TRANSHARI5_HYDROMALAM[[#This Row],[PRODUK]],DATA_HYDRO[],7,FALSE),"")</f>
        <v/>
      </c>
      <c r="T379" s="374"/>
      <c r="U379" s="373" t="str">
        <f>IFERROR(IF(TRANSHARI5_HYDROMALAM[[#This Row],[NAMA PENGHUTANG]]="",((TRANSHARI5_HYDROMALAM[[#This Row],[HARGA]]*TRANSHARI5_HYDROMALAM[[#This Row],[QUANTITY]])+TRANSHARI5_HYDROMALAM[[#This Row],[PRICE TOLERANCE]]),""),"")</f>
        <v/>
      </c>
      <c r="V379" s="373" t="str">
        <f>IFERROR(IF(TRANSHARI5_HYDROMALAM[[#This Row],[NAMA PENGHUTANG]]="","",((TRANSHARI5_HYDROMALAM[[#This Row],[HARGA]]*TRANSHARI5_HYDROMALAM[[#This Row],[QUANTITY]])+TRANSHARI5_HYDROMALAM[[#This Row],[PRICE TOLERANCE]])),"")</f>
        <v/>
      </c>
      <c r="W379" s="12"/>
      <c r="X379" s="386" t="str">
        <f>IFERROR(IF(TRANSHARI5_HYDROMALAM[[#This Row],[NAMA REKENING]]="","",TRANSHARI5_HYDROMALAM[[#This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SUM(TRANSHARI5_HYDROPAGI[QUANTITY])</f>
        <v>0</v>
      </c>
      <c r="E380" s="398">
        <f>SUM(TRANSHARI5_HYDROPAGI[PRICE TOLERANCE])</f>
        <v>0</v>
      </c>
      <c r="F380" s="396">
        <f>SUM(TRANSHARI5_HYDROPAGI[DEBIT])</f>
        <v>0</v>
      </c>
      <c r="G380" s="396">
        <f>SUM(TRANSHARI5_HYDROPAGI[KREDIT])</f>
        <v>0</v>
      </c>
      <c r="I380" s="396">
        <f>SUM(TRANSHARI5_HYDROPAGI[NOMINAL TRANSFER])</f>
        <v>0</v>
      </c>
      <c r="O380" s="324"/>
      <c r="P380" s="303" t="s">
        <v>78</v>
      </c>
      <c r="Q380" s="316"/>
      <c r="R380" s="395">
        <f>SUM(TRANSHARI5_HYDROMALAM[QUANTITY])</f>
        <v>0</v>
      </c>
      <c r="T380" s="398">
        <f>SUM(TRANSHARI5_HYDROMALAM[PRICE TOLERANCE])</f>
        <v>0</v>
      </c>
      <c r="U380" s="396">
        <f>SUM(TRANSHARI5_HYDROMALAM[DEBIT])</f>
        <v>0</v>
      </c>
      <c r="V380" s="396">
        <f>SUM(TRANSHARI5_HYDROMALAM[KREDIT])</f>
        <v>0</v>
      </c>
      <c r="X380" s="396">
        <f>SUM(TRANSHARI5_HYDROMALAM[NOMINAL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211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212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SUM(TRANSHARI5_PULSAPAGI[DEBIT])</f>
        <v>0</v>
      </c>
      <c r="D390" s="431">
        <f>SUM(TRANSHARI5_PULSAPAGI[KREDIT])</f>
        <v>0</v>
      </c>
      <c r="E390" s="432">
        <f>SUM(TRANSHARI5_PULSAPAGI[NOMINAL TRANSFER])</f>
        <v>0</v>
      </c>
      <c r="F390" s="433">
        <f>0</f>
        <v>0</v>
      </c>
      <c r="G390" s="434">
        <f>COUNTA(TRANSHARI5_PULSAPAGI[[DEBIT]:[KREDIT]])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SUM(TRANSHARI5_PULSAMALAM[DEBIT])</f>
        <v>0</v>
      </c>
      <c r="S390" s="431">
        <f>SUM(TRANSHARI5_PULSAMALAM[KREDIT])</f>
        <v>0</v>
      </c>
      <c r="T390" s="432">
        <f>SUM(TRANSHARI5_PULSAMALAM[NOMINAL TRANSFER])</f>
        <v>0</v>
      </c>
      <c r="U390" s="433">
        <f>0</f>
        <v>0</v>
      </c>
      <c r="V390" s="434">
        <f>COUNTA(TRANSHARI5_PULSAMALAM[[DEBIT]:[KREDIT]])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SUM(TRANSHARI5_ROKOKPAGI[DEBIT])</f>
        <v>0</v>
      </c>
      <c r="D391" s="431">
        <f>SUM(TRANSHARI5_ROKOKPAGI[KREDIT])</f>
        <v>0</v>
      </c>
      <c r="E391" s="432">
        <f>SUM(TRANSHARI5_ROKOKPAGI[NOMINAL TRANSFER])</f>
        <v>0</v>
      </c>
      <c r="F391" s="433">
        <f>SUM(TRANSHARI5_ROKOKPAGI[PRICE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SUM(TRANSHARI5_ROKOKMALAM[DEBIT])</f>
        <v>0</v>
      </c>
      <c r="S391" s="431">
        <f>SUM(TRANSHARI5_ROKOKMALAM[KREDIT])</f>
        <v>0</v>
      </c>
      <c r="T391" s="432">
        <f>SUM(TRANSHARI5_ROKOKMALAM[NOMINAL TRANSFER])</f>
        <v>0</v>
      </c>
      <c r="U391" s="433">
        <f>SUM(TRANSHARI5_ROKOKMALAM[PRICE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SUM(TRANSHARI5_SPVOUPAGI[DEBIT])</f>
        <v>0</v>
      </c>
      <c r="D392" s="431">
        <f>SUM(TRANSHARI5_SPVOUPAGI[KREDIT])</f>
        <v>0</v>
      </c>
      <c r="E392" s="432">
        <f>SUM(TRANSHARI5_SPVOUPAGI[NOMINAL TRANSFER])</f>
        <v>0</v>
      </c>
      <c r="F392" s="433">
        <f>SUM(TRANSHARI5_SPVOUPAGI[PRICE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SUM(TRANSHARI5_SPVOUMALAM[DEBIT])</f>
        <v>0</v>
      </c>
      <c r="S392" s="431">
        <f>SUM(TRANSHARI5_SPVOUMALAM[KREDIT])</f>
        <v>0</v>
      </c>
      <c r="T392" s="432">
        <f>SUM(TRANSHARI5_SPVOUMALAM[NOMINAL TRANSFER])</f>
        <v>0</v>
      </c>
      <c r="U392" s="433">
        <f>SUM(TRANSHARI5_SPVOUMALAM[PRICE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SUM(TRANSHARI5_SOFTDRINKPAGI[DEBIT])</f>
        <v>0</v>
      </c>
      <c r="D393" s="431">
        <f>SUM(TRANSHARI5_SOFTDRINKPAGI[KREDIT])</f>
        <v>0</v>
      </c>
      <c r="E393" s="432">
        <f>SUM(TRANSHARI5_SOFTDRINKPAGI[NOMINAL TRANSFER])</f>
        <v>0</v>
      </c>
      <c r="F393" s="433">
        <f>SUM(TRANSHARI5_SOFTDRINKPAGI[PRICE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SUM(TRANSHARI5_SOFTDRINKMALAM[DEBIT])</f>
        <v>0</v>
      </c>
      <c r="S393" s="431">
        <f>SUM(TRANSHARI5_SOFTDRINKMALAM[KREDIT])</f>
        <v>0</v>
      </c>
      <c r="T393" s="432">
        <f>SUM(TRANSHARI5_SOFTDRINKMALAM[NOMINAL TRANSFER])</f>
        <v>0</v>
      </c>
      <c r="U393" s="433">
        <f>SUM(TRANSHARI5_SOFTDRINKMALAM[PRICE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SUM(TRANSHARI5_ICECREAMPAGI[DEBIT])</f>
        <v>0</v>
      </c>
      <c r="D394" s="431">
        <f>SUM(TRANSHARI5_ICECREAMPAGI[KREDIT])</f>
        <v>0</v>
      </c>
      <c r="E394" s="432">
        <f>SUM(TRANSHARI5_ICECREAMPAGI[NOMINAL TRANSFER])</f>
        <v>0</v>
      </c>
      <c r="F394" s="433">
        <f>SUM(TRANSHARI5_ICECREAMPAGI[PRICE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SUM(TRANSHARI5_ICECREAMMALAM[DEBIT])</f>
        <v>0</v>
      </c>
      <c r="S394" s="431">
        <f>SUM(TRANSHARI5_ICECREAMMALAM[KREDIT])</f>
        <v>0</v>
      </c>
      <c r="T394" s="432">
        <f>SUM(TRANSHARI5_ICECREAMMALAM[NOMINAL TRANSFER])</f>
        <v>0</v>
      </c>
      <c r="U394" s="433">
        <f>SUM(TRANSHARI5_ICECREAMMALAM[PRICE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SUM(TRANSHARI5_ACCPAGI[DEBIT])</f>
        <v>0</v>
      </c>
      <c r="D395" s="431">
        <f>SUM(TRANSHARI5_ACCPAGI[KREDIT])</f>
        <v>0</v>
      </c>
      <c r="E395" s="432">
        <f>SUM(TRANSHARI5_ACCPAGI[NOMINAL TRANSFER])</f>
        <v>0</v>
      </c>
      <c r="F395" s="433">
        <f>SUM(TRANSHARI5_ACCPAGI[PRICE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SUM(TRANSHARI5_ACCMALAM[DEBIT])</f>
        <v>0</v>
      </c>
      <c r="S395" s="431">
        <f>SUM(TRANSHARI5_ACCMALAM[KREDIT])</f>
        <v>0</v>
      </c>
      <c r="T395" s="432">
        <f>SUM(TRANSHARI5_ACCMALAM[NOMINAL TRANSFER])</f>
        <v>0</v>
      </c>
      <c r="U395" s="433">
        <f>SUM(TRANSHARI5_ACCMALAM[PRICE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SUM(TRANSHARI5_HYDROPAGI[DEBIT])</f>
        <v>0</v>
      </c>
      <c r="D396" s="437">
        <f>SUM(TRANSHARI5_HYDROPAGI[KREDIT])</f>
        <v>0</v>
      </c>
      <c r="E396" s="438">
        <f>SUM(TRANSHARI5_HYDROPAGI[NOMINAL TRANSFER])</f>
        <v>0</v>
      </c>
      <c r="F396" s="439">
        <f>SUM(TRANSHARI5_HYDROPAGI[PRICE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SUM(TRANSHARI5_HYDROMALAM[DEBIT])</f>
        <v>0</v>
      </c>
      <c r="S396" s="437">
        <f>SUM(TRANSHARI5_HYDROMALAM[KREDIT])</f>
        <v>0</v>
      </c>
      <c r="T396" s="438">
        <f>SUM(TRANSHARI5_HYDROMALAM[NOMINAL TRANSFER])</f>
        <v>0</v>
      </c>
      <c r="U396" s="439">
        <f>SUM(TRANSHARI5_HYDROMALAM[PRICE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4'!T430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JbkiIRjX2r+sV8mUjWFPxZhseu+nswcSEk7VMPBHGf5TH9boKHFnCfl1AaSioKhxaxQmUdK4ZNzoznMoylA+fw==" saltValue="UEWCPLKBGrw5WAj6IBB2/Q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24:AC447"/>
  <sheetViews>
    <sheetView showGridLines="0" zoomScale="93" zoomScaleNormal="93" topLeftCell="U408" workbookViewId="0">
      <selection activeCell="R365" sqref="R365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213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214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IFERROR(IF(TRANSHARI6_PULSAPAGI[[#This Row],[NAMA REKENING]]="","",TRANSHARI6_PULSAPAGI[[#This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IFERROR(IF(TRANSHARI6_PULSAMALAM[[#This Row],[NAMA REKENING]]="","",TRANSHARI6_PULSAMALAM[[#This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IFERROR(IF(TRANSHARI6_PULSAPAGI[[#This Row],[NAMA REKENING]]="","",TRANSHARI6_PULSAPAGI[[#This Row],[DEBIT]]),"")</f>
        <v/>
      </c>
      <c r="I29" s="311"/>
      <c r="J29" s="326"/>
      <c r="K29" s="330" t="s">
        <v>27</v>
      </c>
      <c r="L29" s="331">
        <f>'HARI 5'!AA33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IFERROR(IF(TRANSHARI6_PULSAMALAM[[#This Row],[NAMA REKENING]]="","",TRANSHARI6_PULSAMALAM[[#This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IFERROR(IF(TRANSHARI6_PULSAPAGI[[#This Row],[NAMA REKENING]]="","",TRANSHARI6_PULSAPAGI[[#This Row],[DEBIT]]),"")</f>
        <v/>
      </c>
      <c r="I30" s="311"/>
      <c r="J30" s="326"/>
      <c r="K30" s="332" t="s">
        <v>30</v>
      </c>
      <c r="L30" s="333">
        <f>SUMIF(TRANSHARI6_PULSAPAGI[APLIKASI],K28,TRANSHARI6_PULSAPAGI[SALDO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IFERROR(IF(TRANSHARI6_PULSAMALAM[[#This Row],[NAMA REKENING]]="","",TRANSHARI6_PULSAMALAM[[#This Row],[DEBIT]]),"")</f>
        <v/>
      </c>
      <c r="X30" s="311"/>
      <c r="Y30" s="326"/>
      <c r="Z30" s="332" t="s">
        <v>30</v>
      </c>
      <c r="AA30" s="333">
        <f>SUMIF(TRANSHARI6_PULSAMALAM[APLIKASI],Z28,TRANSHARI6_PULSAMALAM[SALDO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IFERROR(IF(TRANSHARI6_PULSAPAGI[[#This Row],[NAMA REKENING]]="","",TRANSHARI6_PULSAPAGI[[#This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IFERROR(IF(TRANSHARI6_PULSAMALAM[[#This Row],[NAMA REKENING]]="","",TRANSHARI6_PULSAMALAM[[#This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IFERROR(IF(TRANSHARI6_PULSAPAGI[[#This Row],[NAMA REKENING]]="","",TRANSHARI6_PULSAPAGI[[#This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IFERROR(IF(TRANSHARI6_PULSAMALAM[[#This Row],[NAMA REKENING]]="","",TRANSHARI6_PULSAMALAM[[#This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IFERROR(IF(TRANSHARI6_PULSAPAGI[[#This Row],[NAMA REKENING]]="","",TRANSHARI6_PULSAPAGI[[#This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IFERROR(IF(TRANSHARI6_PULSAMALAM[[#This Row],[NAMA REKENING]]="","",TRANSHARI6_PULSAMALAM[[#This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IFERROR(IF(TRANSHARI6_PULSAPAGI[[#This Row],[NAMA REKENING]]="","",TRANSHARI6_PULSAPAGI[[#This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IFERROR(IF(TRANSHARI6_PULSAMALAM[[#This Row],[NAMA REKENING]]="","",TRANSHARI6_PULSAMALAM[[#This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IFERROR(IF(TRANSHARI6_PULSAPAGI[[#This Row],[NAMA REKENING]]="","",TRANSHARI6_PULSAPAGI[[#This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IFERROR(IF(TRANSHARI6_PULSAMALAM[[#This Row],[NAMA REKENING]]="","",TRANSHARI6_PULSAMALAM[[#This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IFERROR(IF(TRANSHARI6_PULSAPAGI[[#This Row],[NAMA REKENING]]="","",TRANSHARI6_PULSAPAGI[[#This Row],[DEBIT]]),"")</f>
        <v/>
      </c>
      <c r="I36" s="311"/>
      <c r="J36" s="326"/>
      <c r="K36" s="330" t="s">
        <v>27</v>
      </c>
      <c r="L36" s="331">
        <f>'HARI 5'!AA40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IFERROR(IF(TRANSHARI6_PULSAMALAM[[#This Row],[NAMA REKENING]]="","",TRANSHARI6_PULSAMALAM[[#This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IFERROR(IF(TRANSHARI6_PULSAPAGI[[#This Row],[NAMA REKENING]]="","",TRANSHARI6_PULSAPAGI[[#This Row],[DEBIT]]),"")</f>
        <v/>
      </c>
      <c r="I37" s="311"/>
      <c r="J37" s="326"/>
      <c r="K37" s="332" t="s">
        <v>30</v>
      </c>
      <c r="L37" s="333">
        <f>SUMIF(TRANSHARI6_PULSAPAGI[APLIKASI],K35,TRANSHARI6_PULSAPAGI[SALDO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IFERROR(IF(TRANSHARI6_PULSAMALAM[[#This Row],[NAMA REKENING]]="","",TRANSHARI6_PULSAMALAM[[#This Row],[DEBIT]]),"")</f>
        <v/>
      </c>
      <c r="X37" s="311"/>
      <c r="Y37" s="326"/>
      <c r="Z37" s="332" t="s">
        <v>30</v>
      </c>
      <c r="AA37" s="333">
        <f>SUMIF(TRANSHARI6_PULSAMALAM[APLIKASI],Z35,TRANSHARI6_PULSAMALAM[SALDO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IFERROR(IF(TRANSHARI6_PULSAPAGI[[#This Row],[NAMA REKENING]]="","",TRANSHARI6_PULSAPAGI[[#This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IFERROR(IF(TRANSHARI6_PULSAMALAM[[#This Row],[NAMA REKENING]]="","",TRANSHARI6_PULSAMALAM[[#This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IFERROR(IF(TRANSHARI6_PULSAPAGI[[#This Row],[NAMA REKENING]]="","",TRANSHARI6_PULSAPAGI[[#This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IFERROR(IF(TRANSHARI6_PULSAMALAM[[#This Row],[NAMA REKENING]]="","",TRANSHARI6_PULSAMALAM[[#This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IFERROR(IF(TRANSHARI6_PULSAPAGI[[#This Row],[NAMA REKENING]]="","",TRANSHARI6_PULSAPAGI[[#This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IFERROR(IF(TRANSHARI6_PULSAMALAM[[#This Row],[NAMA REKENING]]="","",TRANSHARI6_PULSAMALAM[[#This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IFERROR(IF(TRANSHARI6_PULSAPAGI[[#This Row],[NAMA REKENING]]="","",TRANSHARI6_PULSAPAGI[[#This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IFERROR(IF(TRANSHARI6_PULSAMALAM[[#This Row],[NAMA REKENING]]="","",TRANSHARI6_PULSAMALAM[[#This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IFERROR(IF(TRANSHARI6_PULSAPAGI[[#This Row],[NAMA REKENING]]="","",TRANSHARI6_PULSAPAGI[[#This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IFERROR(IF(TRANSHARI6_PULSAMALAM[[#This Row],[NAMA REKENING]]="","",TRANSHARI6_PULSAMALAM[[#This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IFERROR(IF(TRANSHARI6_PULSAPAGI[[#This Row],[NAMA REKENING]]="","",TRANSHARI6_PULSAPAGI[[#This Row],[DEBIT]]),"")</f>
        <v/>
      </c>
      <c r="I43" s="311"/>
      <c r="J43" s="326"/>
      <c r="K43" s="330" t="s">
        <v>27</v>
      </c>
      <c r="L43" s="331">
        <f>'HARI 5'!AA47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IFERROR(IF(TRANSHARI6_PULSAMALAM[[#This Row],[NAMA REKENING]]="","",TRANSHARI6_PULSAMALAM[[#This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IFERROR(IF(TRANSHARI6_PULSAPAGI[[#This Row],[NAMA REKENING]]="","",TRANSHARI6_PULSAPAGI[[#This Row],[DEBIT]]),"")</f>
        <v/>
      </c>
      <c r="I44" s="311"/>
      <c r="J44" s="326"/>
      <c r="K44" s="332" t="s">
        <v>30</v>
      </c>
      <c r="L44" s="333">
        <f>SUMIF(TRANSHARI6_PULSAPAGI[APLIKASI],K42,TRANSHARI6_PULSAPAGI[SALDO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IFERROR(IF(TRANSHARI6_PULSAMALAM[[#This Row],[NAMA REKENING]]="","",TRANSHARI6_PULSAMALAM[[#This Row],[DEBIT]]),"")</f>
        <v/>
      </c>
      <c r="X44" s="311"/>
      <c r="Y44" s="326"/>
      <c r="Z44" s="332" t="s">
        <v>30</v>
      </c>
      <c r="AA44" s="333">
        <f>SUMIF(TRANSHARI6_PULSAMALAM[APLIKASI],Z42,TRANSHARI6_PULSAMALAM[SALDO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IFERROR(IF(TRANSHARI6_PULSAPAGI[[#This Row],[NAMA REKENING]]="","",TRANSHARI6_PULSAPAGI[[#This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IFERROR(IF(TRANSHARI6_PULSAMALAM[[#This Row],[NAMA REKENING]]="","",TRANSHARI6_PULSAMALAM[[#This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IFERROR(IF(TRANSHARI6_PULSAPAGI[[#This Row],[NAMA REKENING]]="","",TRANSHARI6_PULSAPAGI[[#This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IFERROR(IF(TRANSHARI6_PULSAMALAM[[#This Row],[NAMA REKENING]]="","",TRANSHARI6_PULSAMALAM[[#This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IFERROR(IF(TRANSHARI6_PULSAPAGI[[#This Row],[NAMA REKENING]]="","",TRANSHARI6_PULSAPAGI[[#This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IFERROR(IF(TRANSHARI6_PULSAMALAM[[#This Row],[NAMA REKENING]]="","",TRANSHARI6_PULSAMALAM[[#This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IFERROR(IF(TRANSHARI6_PULSAPAGI[[#This Row],[NAMA REKENING]]="","",TRANSHARI6_PULSAPAGI[[#This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IFERROR(IF(TRANSHARI6_PULSAMALAM[[#This Row],[NAMA REKENING]]="","",TRANSHARI6_PULSAMALAM[[#This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IFERROR(IF(TRANSHARI6_PULSAPAGI[[#This Row],[NAMA REKENING]]="","",TRANSHARI6_PULSAPAGI[[#This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IFERROR(IF(TRANSHARI6_PULSAMALAM[[#This Row],[NAMA REKENING]]="","",TRANSHARI6_PULSAMALAM[[#This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IFERROR(IF(TRANSHARI6_PULSAPAGI[[#This Row],[NAMA REKENING]]="","",TRANSHARI6_PULSAPAGI[[#This Row],[DEBIT]]),"")</f>
        <v/>
      </c>
      <c r="I50" s="311"/>
      <c r="J50" s="326"/>
      <c r="K50" s="330" t="s">
        <v>27</v>
      </c>
      <c r="L50" s="331">
        <f>'HARI 5'!AA54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IFERROR(IF(TRANSHARI6_PULSAMALAM[[#This Row],[NAMA REKENING]]="","",TRANSHARI6_PULSAMALAM[[#This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IFERROR(IF(TRANSHARI6_PULSAPAGI[[#This Row],[NAMA REKENING]]="","",TRANSHARI6_PULSAPAGI[[#This Row],[DEBIT]]),"")</f>
        <v/>
      </c>
      <c r="I51" s="311"/>
      <c r="J51" s="326"/>
      <c r="K51" s="332" t="s">
        <v>30</v>
      </c>
      <c r="L51" s="333">
        <f>SUMIF(TRANSHARI6_PULSAPAGI[APLIKASI],K49,TRANSHARI6_PULSAPAGI[SALDO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IFERROR(IF(TRANSHARI6_PULSAMALAM[[#This Row],[NAMA REKENING]]="","",TRANSHARI6_PULSAMALAM[[#This Row],[DEBIT]]),"")</f>
        <v/>
      </c>
      <c r="X51" s="311"/>
      <c r="Y51" s="326"/>
      <c r="Z51" s="332" t="s">
        <v>30</v>
      </c>
      <c r="AA51" s="333">
        <f>SUMIF(TRANSHARI6_PULSAMALAM[APLIKASI],Z49,TRANSHARI6_PULSAMALAM[SALDO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IFERROR(IF(TRANSHARI6_PULSAPAGI[[#This Row],[NAMA REKENING]]="","",TRANSHARI6_PULSAPAGI[[#This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IFERROR(IF(TRANSHARI6_PULSAMALAM[[#This Row],[NAMA REKENING]]="","",TRANSHARI6_PULSAMALAM[[#This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IFERROR(IF(TRANSHARI6_PULSAPAGI[[#This Row],[NAMA REKENING]]="","",TRANSHARI6_PULSAPAGI[[#This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IFERROR(IF(TRANSHARI6_PULSAMALAM[[#This Row],[NAMA REKENING]]="","",TRANSHARI6_PULSAMALAM[[#This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IFERROR(IF(TRANSHARI6_PULSAPAGI[[#This Row],[NAMA REKENING]]="","",TRANSHARI6_PULSAPAGI[[#This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IFERROR(IF(TRANSHARI6_PULSAMALAM[[#This Row],[NAMA REKENING]]="","",TRANSHARI6_PULSAMALAM[[#This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IFERROR(IF(TRANSHARI6_PULSAPAGI[[#This Row],[NAMA REKENING]]="","",TRANSHARI6_PULSAPAGI[[#This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IFERROR(IF(TRANSHARI6_PULSAMALAM[[#This Row],[NAMA REKENING]]="","",TRANSHARI6_PULSAMALAM[[#This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IFERROR(IF(TRANSHARI6_PULSAPAGI[[#This Row],[NAMA REKENING]]="","",TRANSHARI6_PULSAPAGI[[#This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IFERROR(IF(TRANSHARI6_PULSAMALAM[[#This Row],[NAMA REKENING]]="","",TRANSHARI6_PULSAMALAM[[#This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IFERROR(IF(TRANSHARI6_PULSAPAGI[[#This Row],[NAMA REKENING]]="","",TRANSHARI6_PULSAPAGI[[#This Row],[DEBIT]]),"")</f>
        <v/>
      </c>
      <c r="I57" s="311"/>
      <c r="J57" s="326"/>
      <c r="K57" s="330" t="s">
        <v>27</v>
      </c>
      <c r="L57" s="331">
        <f>'HARI 5'!AA61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IFERROR(IF(TRANSHARI6_PULSAMALAM[[#This Row],[NAMA REKENING]]="","",TRANSHARI6_PULSAMALAM[[#This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IFERROR(IF(TRANSHARI6_PULSAPAGI[[#This Row],[NAMA REKENING]]="","",TRANSHARI6_PULSAPAGI[[#This Row],[DEBIT]]),"")</f>
        <v/>
      </c>
      <c r="I58" s="311"/>
      <c r="J58" s="326"/>
      <c r="K58" s="332" t="s">
        <v>30</v>
      </c>
      <c r="L58" s="333">
        <f>SUMIF(TRANSHARI6_PULSAPAGI[APLIKASI],K56,TRANSHARI6_PULSAPAGI[SALDO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IFERROR(IF(TRANSHARI6_PULSAMALAM[[#This Row],[NAMA REKENING]]="","",TRANSHARI6_PULSAMALAM[[#This Row],[DEBIT]]),"")</f>
        <v/>
      </c>
      <c r="X58" s="311"/>
      <c r="Y58" s="326"/>
      <c r="Z58" s="332" t="s">
        <v>30</v>
      </c>
      <c r="AA58" s="333">
        <f>SUMIF(TRANSHARI6_PULSAMALAM[APLIKASI],Z56,TRANSHARI6_PULSAMALAM[SALDO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IFERROR(IF(TRANSHARI6_PULSAPAGI[[#This Row],[NAMA REKENING]]="","",TRANSHARI6_PULSAPAGI[[#This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IFERROR(IF(TRANSHARI6_PULSAMALAM[[#This Row],[NAMA REKENING]]="","",TRANSHARI6_PULSAMALAM[[#This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IFERROR(IF(TRANSHARI6_PULSAPAGI[[#This Row],[NAMA REKENING]]="","",TRANSHARI6_PULSAPAGI[[#This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IFERROR(IF(TRANSHARI6_PULSAMALAM[[#This Row],[NAMA REKENING]]="","",TRANSHARI6_PULSAMALAM[[#This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IFERROR(IF(TRANSHARI6_PULSAPAGI[[#This Row],[NAMA REKENING]]="","",TRANSHARI6_PULSAPAGI[[#This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IFERROR(IF(TRANSHARI6_PULSAMALAM[[#This Row],[NAMA REKENING]]="","",TRANSHARI6_PULSAMALAM[[#This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IFERROR(IF(TRANSHARI6_PULSAPAGI[[#This Row],[NAMA REKENING]]="","",TRANSHARI6_PULSAPAGI[[#This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IFERROR(IF(TRANSHARI6_PULSAMALAM[[#This Row],[NAMA REKENING]]="","",TRANSHARI6_PULSAMALAM[[#This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IFERROR(IF(TRANSHARI6_PULSAPAGI[[#This Row],[NAMA REKENING]]="","",TRANSHARI6_PULSAPAGI[[#This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IFERROR(IF(TRANSHARI6_PULSAMALAM[[#This Row],[NAMA REKENING]]="","",TRANSHARI6_PULSAMALAM[[#This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IFERROR(IF(TRANSHARI6_PULSAPAGI[[#This Row],[NAMA REKENING]]="","",TRANSHARI6_PULSAPAGI[[#This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IFERROR(IF(TRANSHARI6_PULSAMALAM[[#This Row],[NAMA REKENING]]="","",TRANSHARI6_PULSAMALAM[[#This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IFERROR(IF(TRANSHARI6_PULSAPAGI[[#This Row],[NAMA REKENING]]="","",TRANSHARI6_PULSAPAGI[[#This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IFERROR(IF(TRANSHARI6_PULSAMALAM[[#This Row],[NAMA REKENING]]="","",TRANSHARI6_PULSAMALAM[[#This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IFERROR(IF(TRANSHARI6_PULSAPAGI[[#This Row],[NAMA REKENING]]="","",TRANSHARI6_PULSAPAGI[[#This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IFERROR(IF(TRANSHARI6_PULSAMALAM[[#This Row],[NAMA REKENING]]="","",TRANSHARI6_PULSAMALAM[[#This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IFERROR(IF(TRANSHARI6_PULSAPAGI[[#This Row],[NAMA REKENING]]="","",TRANSHARI6_PULSAPAGI[[#This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IFERROR(IF(TRANSHARI6_PULSAMALAM[[#This Row],[NAMA REKENING]]="","",TRANSHARI6_PULSAMALAM[[#This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IFERROR(IF(TRANSHARI6_PULSAPAGI[[#This Row],[NAMA REKENING]]="","",TRANSHARI6_PULSAPAGI[[#This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IFERROR(IF(TRANSHARI6_PULSAMALAM[[#This Row],[NAMA REKENING]]="","",TRANSHARI6_PULSAMALAM[[#This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IFERROR(IF(TRANSHARI6_PULSAPAGI[[#This Row],[NAMA REKENING]]="","",TRANSHARI6_PULSAPAGI[[#This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IFERROR(IF(TRANSHARI6_PULSAMALAM[[#This Row],[NAMA REKENING]]="","",TRANSHARI6_PULSAMALAM[[#This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IFERROR(IF(TRANSHARI6_PULSAPAGI[[#This Row],[NAMA REKENING]]="","",TRANSHARI6_PULSAPAGI[[#This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IFERROR(IF(TRANSHARI6_PULSAMALAM[[#This Row],[NAMA REKENING]]="","",TRANSHARI6_PULSAMALAM[[#This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IFERROR(IF(TRANSHARI6_PULSAPAGI[[#This Row],[NAMA REKENING]]="","",TRANSHARI6_PULSAPAGI[[#This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IFERROR(IF(TRANSHARI6_PULSAMALAM[[#This Row],[NAMA REKENING]]="","",TRANSHARI6_PULSAMALAM[[#This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IFERROR(IF(TRANSHARI6_PULSAPAGI[[#This Row],[NAMA REKENING]]="","",TRANSHARI6_PULSAPAGI[[#This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IFERROR(IF(TRANSHARI6_PULSAMALAM[[#This Row],[NAMA REKENING]]="","",TRANSHARI6_PULSAMALAM[[#This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IFERROR(IF(TRANSHARI6_PULSAPAGI[[#This Row],[NAMA REKENING]]="","",TRANSHARI6_PULSAPAGI[[#This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IFERROR(IF(TRANSHARI6_PULSAMALAM[[#This Row],[NAMA REKENING]]="","",TRANSHARI6_PULSAMALAM[[#This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IFERROR(IF(TRANSHARI6_PULSAPAGI[[#This Row],[NAMA REKENING]]="","",TRANSHARI6_PULSAPAGI[[#This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IFERROR(IF(TRANSHARI6_PULSAMALAM[[#This Row],[NAMA REKENING]]="","",TRANSHARI6_PULSAMALAM[[#This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IFERROR(IF(TRANSHARI6_PULSAPAGI[[#This Row],[NAMA REKENING]]="","",TRANSHARI6_PULSAPAGI[[#This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IFERROR(IF(TRANSHARI6_PULSAMALAM[[#This Row],[NAMA REKENING]]="","",TRANSHARI6_PULSAMALAM[[#This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IFERROR(IF(TRANSHARI6_PULSAPAGI[[#This Row],[NAMA REKENING]]="","",TRANSHARI6_PULSAPAGI[[#This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IFERROR(IF(TRANSHARI6_PULSAMALAM[[#This Row],[NAMA REKENING]]="","",TRANSHARI6_PULSAMALAM[[#This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IFERROR(IF(TRANSHARI6_PULSAPAGI[[#This Row],[NAMA REKENING]]="","",TRANSHARI6_PULSAPAGI[[#This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IFERROR(IF(TRANSHARI6_PULSAMALAM[[#This Row],[NAMA REKENING]]="","",TRANSHARI6_PULSAMALAM[[#This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SUM(TRANSHARI6_PULSAPAGI[DEBIT])</f>
        <v>0</v>
      </c>
      <c r="D78" s="353">
        <f>SUM(TRANSHARI6_PULSAPAGI[KREDIT])</f>
        <v>0</v>
      </c>
      <c r="E78" s="167"/>
      <c r="F78" s="354">
        <f>SUM(TRANSHARI6_PULSAPAGI[SALDO MINUS])</f>
        <v>0</v>
      </c>
      <c r="G78" s="167"/>
      <c r="H78" s="355">
        <f>SUM(TRANSHARI6_PULSAPAGI[NOMINAL TRANSFER])</f>
        <v>0</v>
      </c>
      <c r="I78" s="167"/>
      <c r="O78" s="324"/>
      <c r="P78" s="379" t="s">
        <v>64</v>
      </c>
      <c r="Q78" s="352"/>
      <c r="R78" s="353">
        <f>SUM(TRANSHARI6_PULSAMALAM[DEBIT])</f>
        <v>0</v>
      </c>
      <c r="S78" s="353">
        <f>SUM(TRANSHARI6_PULSAMALAM[KREDIT])</f>
        <v>0</v>
      </c>
      <c r="T78" s="167"/>
      <c r="U78" s="354">
        <f>SUM(TRANSHARI6_PULSAMALAM[SALDO MINUS])</f>
        <v>0</v>
      </c>
      <c r="V78" s="167"/>
      <c r="W78" s="355">
        <f>SUM(TRANSHARI6_PULSAMALAM[NOMINAL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">
        <v>213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">
        <v>214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IFERROR(VLOOKUP(TRANSHARI6_ROKOKPAGI[[#This Row],[PRODUK]],DATA_ROKOK[],8,FALSE),"")</f>
        <v/>
      </c>
      <c r="E85" s="370"/>
      <c r="F85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85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85" s="371"/>
      <c r="I85" s="384" t="str">
        <f>IFERROR(IF(TRANSHARI6_ROKOKPAGI[[#This Row],[NAMA REKENING]]="","",TRANSHARI6_ROKOKPAGI[[#This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IFERROR(VLOOKUP(TRANSHARI6_ROKOKMALAM[[#This Row],[PRODUK]],DATA_ROKOK[],8,FALSE),"")</f>
        <v/>
      </c>
      <c r="T85" s="370"/>
      <c r="U85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85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85" s="371"/>
      <c r="X85" s="384" t="str">
        <f>IFERROR(IF(TRANSHARI6_ROKOKMALAM[[#This Row],[NAMA REKENING]]="","",TRANSHARI6_ROKOKMALAM[[#This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IFERROR(VLOOKUP(TRANSHARI6_ROKOKPAGI[[#This Row],[PRODUK]],DATA_ROKOK[],8,FALSE),"")</f>
        <v/>
      </c>
      <c r="E86" s="374"/>
      <c r="F86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86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86" s="12"/>
      <c r="I86" s="386" t="str">
        <f>IFERROR(IF(TRANSHARI6_ROKOKPAGI[[#This Row],[NAMA REKENING]]="","",TRANSHARI6_ROKOKPAGI[[#This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IFERROR(VLOOKUP(TRANSHARI6_ROKOKMALAM[[#This Row],[PRODUK]],DATA_ROKOK[],8,FALSE),"")</f>
        <v/>
      </c>
      <c r="T86" s="374"/>
      <c r="U86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86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86" s="12"/>
      <c r="X86" s="386" t="str">
        <f>IFERROR(IF(TRANSHARI6_ROKOKMALAM[[#This Row],[NAMA REKENING]]="","",TRANSHARI6_ROKOKMALAM[[#This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IFERROR(VLOOKUP(TRANSHARI6_ROKOKPAGI[[#This Row],[PRODUK]],DATA_ROKOK[],8,FALSE),"")</f>
        <v/>
      </c>
      <c r="E87" s="374"/>
      <c r="F87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87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87" s="12"/>
      <c r="I87" s="384" t="str">
        <f>IFERROR(IF(TRANSHARI6_ROKOKPAGI[[#This Row],[NAMA REKENING]]="","",TRANSHARI6_ROKOKPAGI[[#This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IFERROR(VLOOKUP(TRANSHARI6_ROKOKMALAM[[#This Row],[PRODUK]],DATA_ROKOK[],8,FALSE),"")</f>
        <v/>
      </c>
      <c r="T87" s="374"/>
      <c r="U87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87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87" s="12"/>
      <c r="X87" s="384" t="str">
        <f>IFERROR(IF(TRANSHARI6_ROKOKMALAM[[#This Row],[NAMA REKENING]]="","",TRANSHARI6_ROKOKMALAM[[#This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IFERROR(VLOOKUP(TRANSHARI6_ROKOKPAGI[[#This Row],[PRODUK]],DATA_ROKOK[],8,FALSE),"")</f>
        <v/>
      </c>
      <c r="E88" s="374"/>
      <c r="F88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88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88" s="12"/>
      <c r="I88" s="386" t="str">
        <f>IFERROR(IF(TRANSHARI6_ROKOKPAGI[[#This Row],[NAMA REKENING]]="","",TRANSHARI6_ROKOKPAGI[[#This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IFERROR(VLOOKUP(TRANSHARI6_ROKOKMALAM[[#This Row],[PRODUK]],DATA_ROKOK[],8,FALSE),"")</f>
        <v/>
      </c>
      <c r="T88" s="374"/>
      <c r="U88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88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88" s="12"/>
      <c r="X88" s="386" t="str">
        <f>IFERROR(IF(TRANSHARI6_ROKOKMALAM[[#This Row],[NAMA REKENING]]="","",TRANSHARI6_ROKOKMALAM[[#This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IFERROR(VLOOKUP(TRANSHARI6_ROKOKPAGI[[#This Row],[PRODUK]],DATA_ROKOK[],8,FALSE),"")</f>
        <v/>
      </c>
      <c r="E89" s="374"/>
      <c r="F89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89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89" s="12"/>
      <c r="I89" s="384" t="str">
        <f>IFERROR(IF(TRANSHARI6_ROKOKPAGI[[#This Row],[NAMA REKENING]]="","",TRANSHARI6_ROKOKPAGI[[#This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IFERROR(VLOOKUP(TRANSHARI6_ROKOKMALAM[[#This Row],[PRODUK]],DATA_ROKOK[],8,FALSE),"")</f>
        <v/>
      </c>
      <c r="T89" s="374"/>
      <c r="U89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89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89" s="12"/>
      <c r="X89" s="384" t="str">
        <f>IFERROR(IF(TRANSHARI6_ROKOKMALAM[[#This Row],[NAMA REKENING]]="","",TRANSHARI6_ROKOKMALAM[[#This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IFERROR(VLOOKUP(TRANSHARI6_ROKOKPAGI[[#This Row],[PRODUK]],DATA_ROKOK[],8,FALSE),"")</f>
        <v/>
      </c>
      <c r="E90" s="374"/>
      <c r="F90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0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0" s="12"/>
      <c r="I90" s="386" t="str">
        <f>IFERROR(IF(TRANSHARI6_ROKOKPAGI[[#This Row],[NAMA REKENING]]="","",TRANSHARI6_ROKOKPAGI[[#This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IFERROR(VLOOKUP(TRANSHARI6_ROKOKMALAM[[#This Row],[PRODUK]],DATA_ROKOK[],8,FALSE),"")</f>
        <v/>
      </c>
      <c r="T90" s="374"/>
      <c r="U90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0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0" s="12"/>
      <c r="X90" s="386" t="str">
        <f>IFERROR(IF(TRANSHARI6_ROKOKMALAM[[#This Row],[NAMA REKENING]]="","",TRANSHARI6_ROKOKMALAM[[#This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IFERROR(VLOOKUP(TRANSHARI6_ROKOKPAGI[[#This Row],[PRODUK]],DATA_ROKOK[],8,FALSE),"")</f>
        <v/>
      </c>
      <c r="E91" s="374"/>
      <c r="F91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1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1" s="12"/>
      <c r="I91" s="384" t="str">
        <f>IFERROR(IF(TRANSHARI6_ROKOKPAGI[[#This Row],[NAMA REKENING]]="","",TRANSHARI6_ROKOKPAGI[[#This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IFERROR(VLOOKUP(TRANSHARI6_ROKOKMALAM[[#This Row],[PRODUK]],DATA_ROKOK[],8,FALSE),"")</f>
        <v/>
      </c>
      <c r="T91" s="374"/>
      <c r="U91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1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1" s="12"/>
      <c r="X91" s="384" t="str">
        <f>IFERROR(IF(TRANSHARI6_ROKOKMALAM[[#This Row],[NAMA REKENING]]="","",TRANSHARI6_ROKOKMALAM[[#This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IFERROR(VLOOKUP(TRANSHARI6_ROKOKPAGI[[#This Row],[PRODUK]],DATA_ROKOK[],8,FALSE),"")</f>
        <v/>
      </c>
      <c r="E92" s="374"/>
      <c r="F92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2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2" s="12"/>
      <c r="I92" s="386" t="str">
        <f>IFERROR(IF(TRANSHARI6_ROKOKPAGI[[#This Row],[NAMA REKENING]]="","",TRANSHARI6_ROKOKPAGI[[#This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IFERROR(VLOOKUP(TRANSHARI6_ROKOKMALAM[[#This Row],[PRODUK]],DATA_ROKOK[],8,FALSE),"")</f>
        <v/>
      </c>
      <c r="T92" s="374"/>
      <c r="U92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2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2" s="12"/>
      <c r="X92" s="386" t="str">
        <f>IFERROR(IF(TRANSHARI6_ROKOKMALAM[[#This Row],[NAMA REKENING]]="","",TRANSHARI6_ROKOKMALAM[[#This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IFERROR(VLOOKUP(TRANSHARI6_ROKOKPAGI[[#This Row],[PRODUK]],DATA_ROKOK[],8,FALSE),"")</f>
        <v/>
      </c>
      <c r="E93" s="374"/>
      <c r="F93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3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3" s="12"/>
      <c r="I93" s="384" t="str">
        <f>IFERROR(IF(TRANSHARI6_ROKOKPAGI[[#This Row],[NAMA REKENING]]="","",TRANSHARI6_ROKOKPAGI[[#This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IFERROR(VLOOKUP(TRANSHARI6_ROKOKMALAM[[#This Row],[PRODUK]],DATA_ROKOK[],8,FALSE),"")</f>
        <v/>
      </c>
      <c r="T93" s="374"/>
      <c r="U93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3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3" s="12"/>
      <c r="X93" s="384" t="str">
        <f>IFERROR(IF(TRANSHARI6_ROKOKMALAM[[#This Row],[NAMA REKENING]]="","",TRANSHARI6_ROKOKMALAM[[#This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IFERROR(VLOOKUP(TRANSHARI6_ROKOKPAGI[[#This Row],[PRODUK]],DATA_ROKOK[],8,FALSE),"")</f>
        <v/>
      </c>
      <c r="E94" s="374"/>
      <c r="F94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4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4" s="12"/>
      <c r="I94" s="386" t="str">
        <f>IFERROR(IF(TRANSHARI6_ROKOKPAGI[[#This Row],[NAMA REKENING]]="","",TRANSHARI6_ROKOKPAGI[[#This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IFERROR(VLOOKUP(TRANSHARI6_ROKOKMALAM[[#This Row],[PRODUK]],DATA_ROKOK[],8,FALSE),"")</f>
        <v/>
      </c>
      <c r="T94" s="374"/>
      <c r="U94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4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4" s="12"/>
      <c r="X94" s="386" t="str">
        <f>IFERROR(IF(TRANSHARI6_ROKOKMALAM[[#This Row],[NAMA REKENING]]="","",TRANSHARI6_ROKOKMALAM[[#This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IFERROR(VLOOKUP(TRANSHARI6_ROKOKPAGI[[#This Row],[PRODUK]],DATA_ROKOK[],8,FALSE),"")</f>
        <v/>
      </c>
      <c r="E95" s="374"/>
      <c r="F95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5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5" s="12"/>
      <c r="I95" s="384" t="str">
        <f>IFERROR(IF(TRANSHARI6_ROKOKPAGI[[#This Row],[NAMA REKENING]]="","",TRANSHARI6_ROKOKPAGI[[#This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IFERROR(VLOOKUP(TRANSHARI6_ROKOKMALAM[[#This Row],[PRODUK]],DATA_ROKOK[],8,FALSE),"")</f>
        <v/>
      </c>
      <c r="T95" s="374"/>
      <c r="U95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5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5" s="12"/>
      <c r="X95" s="384" t="str">
        <f>IFERROR(IF(TRANSHARI6_ROKOKMALAM[[#This Row],[NAMA REKENING]]="","",TRANSHARI6_ROKOKMALAM[[#This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IFERROR(VLOOKUP(TRANSHARI6_ROKOKPAGI[[#This Row],[PRODUK]],DATA_ROKOK[],8,FALSE),"")</f>
        <v/>
      </c>
      <c r="E96" s="374"/>
      <c r="F96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6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6" s="12"/>
      <c r="I96" s="386" t="str">
        <f>IFERROR(IF(TRANSHARI6_ROKOKPAGI[[#This Row],[NAMA REKENING]]="","",TRANSHARI6_ROKOKPAGI[[#This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IFERROR(VLOOKUP(TRANSHARI6_ROKOKMALAM[[#This Row],[PRODUK]],DATA_ROKOK[],8,FALSE),"")</f>
        <v/>
      </c>
      <c r="T96" s="374"/>
      <c r="U96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6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6" s="12"/>
      <c r="X96" s="386" t="str">
        <f>IFERROR(IF(TRANSHARI6_ROKOKMALAM[[#This Row],[NAMA REKENING]]="","",TRANSHARI6_ROKOKMALAM[[#This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IFERROR(VLOOKUP(TRANSHARI6_ROKOKPAGI[[#This Row],[PRODUK]],DATA_ROKOK[],8,FALSE),"")</f>
        <v/>
      </c>
      <c r="E97" s="374"/>
      <c r="F97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7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7" s="12"/>
      <c r="I97" s="384" t="str">
        <f>IFERROR(IF(TRANSHARI6_ROKOKPAGI[[#This Row],[NAMA REKENING]]="","",TRANSHARI6_ROKOKPAGI[[#This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IFERROR(VLOOKUP(TRANSHARI6_ROKOKMALAM[[#This Row],[PRODUK]],DATA_ROKOK[],8,FALSE),"")</f>
        <v/>
      </c>
      <c r="T97" s="374"/>
      <c r="U97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7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7" s="12"/>
      <c r="X97" s="384" t="str">
        <f>IFERROR(IF(TRANSHARI6_ROKOKMALAM[[#This Row],[NAMA REKENING]]="","",TRANSHARI6_ROKOKMALAM[[#This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IFERROR(VLOOKUP(TRANSHARI6_ROKOKPAGI[[#This Row],[PRODUK]],DATA_ROKOK[],8,FALSE),"")</f>
        <v/>
      </c>
      <c r="E98" s="374"/>
      <c r="F98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8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8" s="12"/>
      <c r="I98" s="386" t="str">
        <f>IFERROR(IF(TRANSHARI6_ROKOKPAGI[[#This Row],[NAMA REKENING]]="","",TRANSHARI6_ROKOKPAGI[[#This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IFERROR(VLOOKUP(TRANSHARI6_ROKOKMALAM[[#This Row],[PRODUK]],DATA_ROKOK[],8,FALSE),"")</f>
        <v/>
      </c>
      <c r="T98" s="374"/>
      <c r="U98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8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8" s="12"/>
      <c r="X98" s="386" t="str">
        <f>IFERROR(IF(TRANSHARI6_ROKOKMALAM[[#This Row],[NAMA REKENING]]="","",TRANSHARI6_ROKOKMALAM[[#This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IFERROR(VLOOKUP(TRANSHARI6_ROKOKPAGI[[#This Row],[PRODUK]],DATA_ROKOK[],8,FALSE),"")</f>
        <v/>
      </c>
      <c r="E99" s="374"/>
      <c r="F99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99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99" s="12"/>
      <c r="I99" s="384" t="str">
        <f>IFERROR(IF(TRANSHARI6_ROKOKPAGI[[#This Row],[NAMA REKENING]]="","",TRANSHARI6_ROKOKPAGI[[#This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IFERROR(VLOOKUP(TRANSHARI6_ROKOKMALAM[[#This Row],[PRODUK]],DATA_ROKOK[],8,FALSE),"")</f>
        <v/>
      </c>
      <c r="T99" s="374"/>
      <c r="U99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99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99" s="12"/>
      <c r="X99" s="384" t="str">
        <f>IFERROR(IF(TRANSHARI6_ROKOKMALAM[[#This Row],[NAMA REKENING]]="","",TRANSHARI6_ROKOKMALAM[[#This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IFERROR(VLOOKUP(TRANSHARI6_ROKOKPAGI[[#This Row],[PRODUK]],DATA_ROKOK[],8,FALSE),"")</f>
        <v/>
      </c>
      <c r="E100" s="374"/>
      <c r="F100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0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0" s="12"/>
      <c r="I100" s="386" t="str">
        <f>IFERROR(IF(TRANSHARI6_ROKOKPAGI[[#This Row],[NAMA REKENING]]="","",TRANSHARI6_ROKOKPAGI[[#This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IFERROR(VLOOKUP(TRANSHARI6_ROKOKMALAM[[#This Row],[PRODUK]],DATA_ROKOK[],8,FALSE),"")</f>
        <v/>
      </c>
      <c r="T100" s="374"/>
      <c r="U100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0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0" s="12"/>
      <c r="X100" s="386" t="str">
        <f>IFERROR(IF(TRANSHARI6_ROKOKMALAM[[#This Row],[NAMA REKENING]]="","",TRANSHARI6_ROKOKMALAM[[#This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IFERROR(VLOOKUP(TRANSHARI6_ROKOKPAGI[[#This Row],[PRODUK]],DATA_ROKOK[],8,FALSE),"")</f>
        <v/>
      </c>
      <c r="E101" s="374"/>
      <c r="F101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1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1" s="12"/>
      <c r="I101" s="384" t="str">
        <f>IFERROR(IF(TRANSHARI6_ROKOKPAGI[[#This Row],[NAMA REKENING]]="","",TRANSHARI6_ROKOKPAGI[[#This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IFERROR(VLOOKUP(TRANSHARI6_ROKOKMALAM[[#This Row],[PRODUK]],DATA_ROKOK[],8,FALSE),"")</f>
        <v/>
      </c>
      <c r="T101" s="374"/>
      <c r="U101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1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1" s="12"/>
      <c r="X101" s="384" t="str">
        <f>IFERROR(IF(TRANSHARI6_ROKOKMALAM[[#This Row],[NAMA REKENING]]="","",TRANSHARI6_ROKOKMALAM[[#This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IFERROR(VLOOKUP(TRANSHARI6_ROKOKPAGI[[#This Row],[PRODUK]],DATA_ROKOK[],8,FALSE),"")</f>
        <v/>
      </c>
      <c r="E102" s="374"/>
      <c r="F102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2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2" s="12"/>
      <c r="I102" s="386" t="str">
        <f>IFERROR(IF(TRANSHARI6_ROKOKPAGI[[#This Row],[NAMA REKENING]]="","",TRANSHARI6_ROKOKPAGI[[#This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IFERROR(VLOOKUP(TRANSHARI6_ROKOKMALAM[[#This Row],[PRODUK]],DATA_ROKOK[],8,FALSE),"")</f>
        <v/>
      </c>
      <c r="T102" s="374"/>
      <c r="U102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2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2" s="12"/>
      <c r="X102" s="386" t="str">
        <f>IFERROR(IF(TRANSHARI6_ROKOKMALAM[[#This Row],[NAMA REKENING]]="","",TRANSHARI6_ROKOKMALAM[[#This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IFERROR(VLOOKUP(TRANSHARI6_ROKOKPAGI[[#This Row],[PRODUK]],DATA_ROKOK[],8,FALSE),"")</f>
        <v/>
      </c>
      <c r="E103" s="374"/>
      <c r="F103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3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3" s="12"/>
      <c r="I103" s="384" t="str">
        <f>IFERROR(IF(TRANSHARI6_ROKOKPAGI[[#This Row],[NAMA REKENING]]="","",TRANSHARI6_ROKOKPAGI[[#This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IFERROR(VLOOKUP(TRANSHARI6_ROKOKMALAM[[#This Row],[PRODUK]],DATA_ROKOK[],8,FALSE),"")</f>
        <v/>
      </c>
      <c r="T103" s="374"/>
      <c r="U103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3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3" s="12"/>
      <c r="X103" s="384" t="str">
        <f>IFERROR(IF(TRANSHARI6_ROKOKMALAM[[#This Row],[NAMA REKENING]]="","",TRANSHARI6_ROKOKMALAM[[#This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IFERROR(VLOOKUP(TRANSHARI6_ROKOKPAGI[[#This Row],[PRODUK]],DATA_ROKOK[],8,FALSE),"")</f>
        <v/>
      </c>
      <c r="E104" s="374"/>
      <c r="F104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4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4" s="12"/>
      <c r="I104" s="386" t="str">
        <f>IFERROR(IF(TRANSHARI6_ROKOKPAGI[[#This Row],[NAMA REKENING]]="","",TRANSHARI6_ROKOKPAGI[[#This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IFERROR(VLOOKUP(TRANSHARI6_ROKOKMALAM[[#This Row],[PRODUK]],DATA_ROKOK[],8,FALSE),"")</f>
        <v/>
      </c>
      <c r="T104" s="374"/>
      <c r="U104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4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4" s="12"/>
      <c r="X104" s="386" t="str">
        <f>IFERROR(IF(TRANSHARI6_ROKOKMALAM[[#This Row],[NAMA REKENING]]="","",TRANSHARI6_ROKOKMALAM[[#This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IFERROR(VLOOKUP(TRANSHARI6_ROKOKPAGI[[#This Row],[PRODUK]],DATA_ROKOK[],8,FALSE),"")</f>
        <v/>
      </c>
      <c r="E105" s="374"/>
      <c r="F105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5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5" s="12"/>
      <c r="I105" s="384" t="str">
        <f>IFERROR(IF(TRANSHARI6_ROKOKPAGI[[#This Row],[NAMA REKENING]]="","",TRANSHARI6_ROKOKPAGI[[#This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IFERROR(VLOOKUP(TRANSHARI6_ROKOKMALAM[[#This Row],[PRODUK]],DATA_ROKOK[],8,FALSE),"")</f>
        <v/>
      </c>
      <c r="T105" s="374"/>
      <c r="U105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5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5" s="12"/>
      <c r="X105" s="384" t="str">
        <f>IFERROR(IF(TRANSHARI6_ROKOKMALAM[[#This Row],[NAMA REKENING]]="","",TRANSHARI6_ROKOKMALAM[[#This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IFERROR(VLOOKUP(TRANSHARI6_ROKOKPAGI[[#This Row],[PRODUK]],DATA_ROKOK[],8,FALSE),"")</f>
        <v/>
      </c>
      <c r="E106" s="374"/>
      <c r="F106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6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6" s="12"/>
      <c r="I106" s="386" t="str">
        <f>IFERROR(IF(TRANSHARI6_ROKOKPAGI[[#This Row],[NAMA REKENING]]="","",TRANSHARI6_ROKOKPAGI[[#This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IFERROR(VLOOKUP(TRANSHARI6_ROKOKMALAM[[#This Row],[PRODUK]],DATA_ROKOK[],8,FALSE),"")</f>
        <v/>
      </c>
      <c r="T106" s="374"/>
      <c r="U106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6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6" s="12"/>
      <c r="X106" s="386" t="str">
        <f>IFERROR(IF(TRANSHARI6_ROKOKMALAM[[#This Row],[NAMA REKENING]]="","",TRANSHARI6_ROKOKMALAM[[#This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IFERROR(VLOOKUP(TRANSHARI6_ROKOKPAGI[[#This Row],[PRODUK]],DATA_ROKOK[],8,FALSE),"")</f>
        <v/>
      </c>
      <c r="E107" s="374"/>
      <c r="F107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7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7" s="12"/>
      <c r="I107" s="384" t="str">
        <f>IFERROR(IF(TRANSHARI6_ROKOKPAGI[[#This Row],[NAMA REKENING]]="","",TRANSHARI6_ROKOKPAGI[[#This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IFERROR(VLOOKUP(TRANSHARI6_ROKOKMALAM[[#This Row],[PRODUK]],DATA_ROKOK[],8,FALSE),"")</f>
        <v/>
      </c>
      <c r="T107" s="374"/>
      <c r="U107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7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7" s="12"/>
      <c r="X107" s="384" t="str">
        <f>IFERROR(IF(TRANSHARI6_ROKOKMALAM[[#This Row],[NAMA REKENING]]="","",TRANSHARI6_ROKOKMALAM[[#This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IFERROR(VLOOKUP(TRANSHARI6_ROKOKPAGI[[#This Row],[PRODUK]],DATA_ROKOK[],8,FALSE),"")</f>
        <v/>
      </c>
      <c r="E108" s="374"/>
      <c r="F108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8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8" s="12"/>
      <c r="I108" s="386" t="str">
        <f>IFERROR(IF(TRANSHARI6_ROKOKPAGI[[#This Row],[NAMA REKENING]]="","",TRANSHARI6_ROKOKPAGI[[#This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IFERROR(VLOOKUP(TRANSHARI6_ROKOKMALAM[[#This Row],[PRODUK]],DATA_ROKOK[],8,FALSE),"")</f>
        <v/>
      </c>
      <c r="T108" s="374"/>
      <c r="U108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8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8" s="12"/>
      <c r="X108" s="386" t="str">
        <f>IFERROR(IF(TRANSHARI6_ROKOKMALAM[[#This Row],[NAMA REKENING]]="","",TRANSHARI6_ROKOKMALAM[[#This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IFERROR(VLOOKUP(TRANSHARI6_ROKOKPAGI[[#This Row],[PRODUK]],DATA_ROKOK[],8,FALSE),"")</f>
        <v/>
      </c>
      <c r="E109" s="374"/>
      <c r="F109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09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09" s="12"/>
      <c r="I109" s="384" t="str">
        <f>IFERROR(IF(TRANSHARI6_ROKOKPAGI[[#This Row],[NAMA REKENING]]="","",TRANSHARI6_ROKOKPAGI[[#This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IFERROR(VLOOKUP(TRANSHARI6_ROKOKMALAM[[#This Row],[PRODUK]],DATA_ROKOK[],8,FALSE),"")</f>
        <v/>
      </c>
      <c r="T109" s="374"/>
      <c r="U109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09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09" s="12"/>
      <c r="X109" s="384" t="str">
        <f>IFERROR(IF(TRANSHARI6_ROKOKMALAM[[#This Row],[NAMA REKENING]]="","",TRANSHARI6_ROKOKMALAM[[#This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IFERROR(VLOOKUP(TRANSHARI6_ROKOKPAGI[[#This Row],[PRODUK]],DATA_ROKOK[],8,FALSE),"")</f>
        <v/>
      </c>
      <c r="E110" s="376"/>
      <c r="F110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0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0" s="377"/>
      <c r="I110" s="386" t="str">
        <f>IFERROR(IF(TRANSHARI6_ROKOKPAGI[[#This Row],[NAMA REKENING]]="","",TRANSHARI6_ROKOKPAGI[[#This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IFERROR(VLOOKUP(TRANSHARI6_ROKOKMALAM[[#This Row],[PRODUK]],DATA_ROKOK[],8,FALSE),"")</f>
        <v/>
      </c>
      <c r="T110" s="376"/>
      <c r="U110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0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0" s="377"/>
      <c r="X110" s="386" t="str">
        <f>IFERROR(IF(TRANSHARI6_ROKOKMALAM[[#This Row],[NAMA REKENING]]="","",TRANSHARI6_ROKOKMALAM[[#This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IFERROR(VLOOKUP(TRANSHARI6_ROKOKPAGI[[#This Row],[PRODUK]],DATA_ROKOK[],8,FALSE),"")</f>
        <v/>
      </c>
      <c r="E111" s="374"/>
      <c r="F111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1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1" s="12"/>
      <c r="I111" s="384" t="str">
        <f>IFERROR(IF(TRANSHARI6_ROKOKPAGI[[#This Row],[NAMA REKENING]]="","",TRANSHARI6_ROKOKPAGI[[#This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IFERROR(VLOOKUP(TRANSHARI6_ROKOKMALAM[[#This Row],[PRODUK]],DATA_ROKOK[],8,FALSE),"")</f>
        <v/>
      </c>
      <c r="T111" s="374"/>
      <c r="U111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1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1" s="12"/>
      <c r="X111" s="384" t="str">
        <f>IFERROR(IF(TRANSHARI6_ROKOKMALAM[[#This Row],[NAMA REKENING]]="","",TRANSHARI6_ROKOKMALAM[[#This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IFERROR(VLOOKUP(TRANSHARI6_ROKOKPAGI[[#This Row],[PRODUK]],DATA_ROKOK[],8,FALSE),"")</f>
        <v/>
      </c>
      <c r="E112" s="374"/>
      <c r="F112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2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2" s="12"/>
      <c r="I112" s="386" t="str">
        <f>IFERROR(IF(TRANSHARI6_ROKOKPAGI[[#This Row],[NAMA REKENING]]="","",TRANSHARI6_ROKOKPAGI[[#This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IFERROR(VLOOKUP(TRANSHARI6_ROKOKMALAM[[#This Row],[PRODUK]],DATA_ROKOK[],8,FALSE),"")</f>
        <v/>
      </c>
      <c r="T112" s="374"/>
      <c r="U112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2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2" s="12"/>
      <c r="X112" s="386" t="str">
        <f>IFERROR(IF(TRANSHARI6_ROKOKMALAM[[#This Row],[NAMA REKENING]]="","",TRANSHARI6_ROKOKMALAM[[#This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IFERROR(VLOOKUP(TRANSHARI6_ROKOKPAGI[[#This Row],[PRODUK]],DATA_ROKOK[],8,FALSE),"")</f>
        <v/>
      </c>
      <c r="E113" s="374"/>
      <c r="F113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3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3" s="12"/>
      <c r="I113" s="384" t="str">
        <f>IFERROR(IF(TRANSHARI6_ROKOKPAGI[[#This Row],[NAMA REKENING]]="","",TRANSHARI6_ROKOKPAGI[[#This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IFERROR(VLOOKUP(TRANSHARI6_ROKOKMALAM[[#This Row],[PRODUK]],DATA_ROKOK[],8,FALSE),"")</f>
        <v/>
      </c>
      <c r="T113" s="374"/>
      <c r="U113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3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3" s="12"/>
      <c r="X113" s="384" t="str">
        <f>IFERROR(IF(TRANSHARI6_ROKOKMALAM[[#This Row],[NAMA REKENING]]="","",TRANSHARI6_ROKOKMALAM[[#This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IFERROR(VLOOKUP(TRANSHARI6_ROKOKPAGI[[#This Row],[PRODUK]],DATA_ROKOK[],8,FALSE),"")</f>
        <v/>
      </c>
      <c r="E114" s="374"/>
      <c r="F114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4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4" s="12"/>
      <c r="I114" s="386" t="str">
        <f>IFERROR(IF(TRANSHARI6_ROKOKPAGI[[#This Row],[NAMA REKENING]]="","",TRANSHARI6_ROKOKPAGI[[#This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IFERROR(VLOOKUP(TRANSHARI6_ROKOKMALAM[[#This Row],[PRODUK]],DATA_ROKOK[],8,FALSE),"")</f>
        <v/>
      </c>
      <c r="T114" s="374"/>
      <c r="U114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4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4" s="12"/>
      <c r="X114" s="386" t="str">
        <f>IFERROR(IF(TRANSHARI6_ROKOKMALAM[[#This Row],[NAMA REKENING]]="","",TRANSHARI6_ROKOKMALAM[[#This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IFERROR(VLOOKUP(TRANSHARI6_ROKOKPAGI[[#This Row],[PRODUK]],DATA_ROKOK[],8,FALSE),"")</f>
        <v/>
      </c>
      <c r="E115" s="374"/>
      <c r="F115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5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5" s="12"/>
      <c r="I115" s="384" t="str">
        <f>IFERROR(IF(TRANSHARI6_ROKOKPAGI[[#This Row],[NAMA REKENING]]="","",TRANSHARI6_ROKOKPAGI[[#This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IFERROR(VLOOKUP(TRANSHARI6_ROKOKMALAM[[#This Row],[PRODUK]],DATA_ROKOK[],8,FALSE),"")</f>
        <v/>
      </c>
      <c r="T115" s="374"/>
      <c r="U115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5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5" s="12"/>
      <c r="X115" s="384" t="str">
        <f>IFERROR(IF(TRANSHARI6_ROKOKMALAM[[#This Row],[NAMA REKENING]]="","",TRANSHARI6_ROKOKMALAM[[#This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IFERROR(VLOOKUP(TRANSHARI6_ROKOKPAGI[[#This Row],[PRODUK]],DATA_ROKOK[],8,FALSE),"")</f>
        <v/>
      </c>
      <c r="E116" s="374"/>
      <c r="F116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6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6" s="12"/>
      <c r="I116" s="386" t="str">
        <f>IFERROR(IF(TRANSHARI6_ROKOKPAGI[[#This Row],[NAMA REKENING]]="","",TRANSHARI6_ROKOKPAGI[[#This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IFERROR(VLOOKUP(TRANSHARI6_ROKOKMALAM[[#This Row],[PRODUK]],DATA_ROKOK[],8,FALSE),"")</f>
        <v/>
      </c>
      <c r="T116" s="374"/>
      <c r="U116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6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6" s="12"/>
      <c r="X116" s="386" t="str">
        <f>IFERROR(IF(TRANSHARI6_ROKOKMALAM[[#This Row],[NAMA REKENING]]="","",TRANSHARI6_ROKOKMALAM[[#This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IFERROR(VLOOKUP(TRANSHARI6_ROKOKPAGI[[#This Row],[PRODUK]],DATA_ROKOK[],8,FALSE),"")</f>
        <v/>
      </c>
      <c r="E117" s="374"/>
      <c r="F117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7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7" s="12"/>
      <c r="I117" s="384" t="str">
        <f>IFERROR(IF(TRANSHARI6_ROKOKPAGI[[#This Row],[NAMA REKENING]]="","",TRANSHARI6_ROKOKPAGI[[#This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IFERROR(VLOOKUP(TRANSHARI6_ROKOKMALAM[[#This Row],[PRODUK]],DATA_ROKOK[],8,FALSE),"")</f>
        <v/>
      </c>
      <c r="T117" s="374"/>
      <c r="U117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7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7" s="12"/>
      <c r="X117" s="384" t="str">
        <f>IFERROR(IF(TRANSHARI6_ROKOKMALAM[[#This Row],[NAMA REKENING]]="","",TRANSHARI6_ROKOKMALAM[[#This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IFERROR(VLOOKUP(TRANSHARI6_ROKOKPAGI[[#This Row],[PRODUK]],DATA_ROKOK[],8,FALSE),"")</f>
        <v/>
      </c>
      <c r="E118" s="374"/>
      <c r="F118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8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8" s="12"/>
      <c r="I118" s="386" t="str">
        <f>IFERROR(IF(TRANSHARI6_ROKOKPAGI[[#This Row],[NAMA REKENING]]="","",TRANSHARI6_ROKOKPAGI[[#This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IFERROR(VLOOKUP(TRANSHARI6_ROKOKMALAM[[#This Row],[PRODUK]],DATA_ROKOK[],8,FALSE),"")</f>
        <v/>
      </c>
      <c r="T118" s="374"/>
      <c r="U118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8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8" s="12"/>
      <c r="X118" s="386" t="str">
        <f>IFERROR(IF(TRANSHARI6_ROKOKMALAM[[#This Row],[NAMA REKENING]]="","",TRANSHARI6_ROKOKMALAM[[#This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IFERROR(VLOOKUP(TRANSHARI6_ROKOKPAGI[[#This Row],[PRODUK]],DATA_ROKOK[],8,FALSE),"")</f>
        <v/>
      </c>
      <c r="E119" s="374"/>
      <c r="F119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19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19" s="12"/>
      <c r="I119" s="384" t="str">
        <f>IFERROR(IF(TRANSHARI6_ROKOKPAGI[[#This Row],[NAMA REKENING]]="","",TRANSHARI6_ROKOKPAGI[[#This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IFERROR(VLOOKUP(TRANSHARI6_ROKOKMALAM[[#This Row],[PRODUK]],DATA_ROKOK[],8,FALSE),"")</f>
        <v/>
      </c>
      <c r="T119" s="374"/>
      <c r="U119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19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19" s="12"/>
      <c r="X119" s="384" t="str">
        <f>IFERROR(IF(TRANSHARI6_ROKOKMALAM[[#This Row],[NAMA REKENING]]="","",TRANSHARI6_ROKOKMALAM[[#This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IFERROR(VLOOKUP(TRANSHARI6_ROKOKPAGI[[#This Row],[PRODUK]],DATA_ROKOK[],8,FALSE),"")</f>
        <v/>
      </c>
      <c r="E120" s="374"/>
      <c r="F120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0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0" s="12"/>
      <c r="I120" s="386" t="str">
        <f>IFERROR(IF(TRANSHARI6_ROKOKPAGI[[#This Row],[NAMA REKENING]]="","",TRANSHARI6_ROKOKPAGI[[#This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IFERROR(VLOOKUP(TRANSHARI6_ROKOKMALAM[[#This Row],[PRODUK]],DATA_ROKOK[],8,FALSE),"")</f>
        <v/>
      </c>
      <c r="T120" s="374"/>
      <c r="U120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0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0" s="12"/>
      <c r="X120" s="386" t="str">
        <f>IFERROR(IF(TRANSHARI6_ROKOKMALAM[[#This Row],[NAMA REKENING]]="","",TRANSHARI6_ROKOKMALAM[[#This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IFERROR(VLOOKUP(TRANSHARI6_ROKOKPAGI[[#This Row],[PRODUK]],DATA_ROKOK[],8,FALSE),"")</f>
        <v/>
      </c>
      <c r="E121" s="374"/>
      <c r="F121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1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1" s="12"/>
      <c r="I121" s="384" t="str">
        <f>IFERROR(IF(TRANSHARI6_ROKOKPAGI[[#This Row],[NAMA REKENING]]="","",TRANSHARI6_ROKOKPAGI[[#This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IFERROR(VLOOKUP(TRANSHARI6_ROKOKMALAM[[#This Row],[PRODUK]],DATA_ROKOK[],8,FALSE),"")</f>
        <v/>
      </c>
      <c r="T121" s="374"/>
      <c r="U121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1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1" s="12"/>
      <c r="X121" s="384" t="str">
        <f>IFERROR(IF(TRANSHARI6_ROKOKMALAM[[#This Row],[NAMA REKENING]]="","",TRANSHARI6_ROKOKMALAM[[#This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IFERROR(VLOOKUP(TRANSHARI6_ROKOKPAGI[[#This Row],[PRODUK]],DATA_ROKOK[],8,FALSE),"")</f>
        <v/>
      </c>
      <c r="E122" s="374"/>
      <c r="F122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2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2" s="12"/>
      <c r="I122" s="386" t="str">
        <f>IFERROR(IF(TRANSHARI6_ROKOKPAGI[[#This Row],[NAMA REKENING]]="","",TRANSHARI6_ROKOKPAGI[[#This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IFERROR(VLOOKUP(TRANSHARI6_ROKOKMALAM[[#This Row],[PRODUK]],DATA_ROKOK[],8,FALSE),"")</f>
        <v/>
      </c>
      <c r="T122" s="374"/>
      <c r="U122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2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2" s="12"/>
      <c r="X122" s="386" t="str">
        <f>IFERROR(IF(TRANSHARI6_ROKOKMALAM[[#This Row],[NAMA REKENING]]="","",TRANSHARI6_ROKOKMALAM[[#This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IFERROR(VLOOKUP(TRANSHARI6_ROKOKPAGI[[#This Row],[PRODUK]],DATA_ROKOK[],8,FALSE),"")</f>
        <v/>
      </c>
      <c r="E123" s="374"/>
      <c r="F123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3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3" s="12"/>
      <c r="I123" s="384" t="str">
        <f>IFERROR(IF(TRANSHARI6_ROKOKPAGI[[#This Row],[NAMA REKENING]]="","",TRANSHARI6_ROKOKPAGI[[#This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IFERROR(VLOOKUP(TRANSHARI6_ROKOKMALAM[[#This Row],[PRODUK]],DATA_ROKOK[],8,FALSE),"")</f>
        <v/>
      </c>
      <c r="T123" s="374"/>
      <c r="U123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3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3" s="12"/>
      <c r="X123" s="384" t="str">
        <f>IFERROR(IF(TRANSHARI6_ROKOKMALAM[[#This Row],[NAMA REKENING]]="","",TRANSHARI6_ROKOKMALAM[[#This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IFERROR(VLOOKUP(TRANSHARI6_ROKOKPAGI[[#This Row],[PRODUK]],DATA_ROKOK[],8,FALSE),"")</f>
        <v/>
      </c>
      <c r="E124" s="374"/>
      <c r="F124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4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4" s="12"/>
      <c r="I124" s="386" t="str">
        <f>IFERROR(IF(TRANSHARI6_ROKOKPAGI[[#This Row],[NAMA REKENING]]="","",TRANSHARI6_ROKOKPAGI[[#This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IFERROR(VLOOKUP(TRANSHARI6_ROKOKMALAM[[#This Row],[PRODUK]],DATA_ROKOK[],8,FALSE),"")</f>
        <v/>
      </c>
      <c r="T124" s="374"/>
      <c r="U124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4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4" s="12"/>
      <c r="X124" s="386" t="str">
        <f>IFERROR(IF(TRANSHARI6_ROKOKMALAM[[#This Row],[NAMA REKENING]]="","",TRANSHARI6_ROKOKMALAM[[#This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IFERROR(VLOOKUP(TRANSHARI6_ROKOKPAGI[[#This Row],[PRODUK]],DATA_ROKOK[],8,FALSE),"")</f>
        <v/>
      </c>
      <c r="E125" s="374"/>
      <c r="F125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5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5" s="12"/>
      <c r="I125" s="384" t="str">
        <f>IFERROR(IF(TRANSHARI6_ROKOKPAGI[[#This Row],[NAMA REKENING]]="","",TRANSHARI6_ROKOKPAGI[[#This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IFERROR(VLOOKUP(TRANSHARI6_ROKOKMALAM[[#This Row],[PRODUK]],DATA_ROKOK[],8,FALSE),"")</f>
        <v/>
      </c>
      <c r="T125" s="374"/>
      <c r="U125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5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5" s="12"/>
      <c r="X125" s="384" t="str">
        <f>IFERROR(IF(TRANSHARI6_ROKOKMALAM[[#This Row],[NAMA REKENING]]="","",TRANSHARI6_ROKOKMALAM[[#This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IFERROR(VLOOKUP(TRANSHARI6_ROKOKPAGI[[#This Row],[PRODUK]],DATA_ROKOK[],8,FALSE),"")</f>
        <v/>
      </c>
      <c r="E126" s="374"/>
      <c r="F126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6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6" s="12"/>
      <c r="I126" s="386" t="str">
        <f>IFERROR(IF(TRANSHARI6_ROKOKPAGI[[#This Row],[NAMA REKENING]]="","",TRANSHARI6_ROKOKPAGI[[#This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IFERROR(VLOOKUP(TRANSHARI6_ROKOKMALAM[[#This Row],[PRODUK]],DATA_ROKOK[],8,FALSE),"")</f>
        <v/>
      </c>
      <c r="T126" s="374"/>
      <c r="U126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6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6" s="12"/>
      <c r="X126" s="386" t="str">
        <f>IFERROR(IF(TRANSHARI6_ROKOKMALAM[[#This Row],[NAMA REKENING]]="","",TRANSHARI6_ROKOKMALAM[[#This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IFERROR(VLOOKUP(TRANSHARI6_ROKOKPAGI[[#This Row],[PRODUK]],DATA_ROKOK[],8,FALSE),"")</f>
        <v/>
      </c>
      <c r="E127" s="374"/>
      <c r="F127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7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7" s="12"/>
      <c r="I127" s="384" t="str">
        <f>IFERROR(IF(TRANSHARI6_ROKOKPAGI[[#This Row],[NAMA REKENING]]="","",TRANSHARI6_ROKOKPAGI[[#This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IFERROR(VLOOKUP(TRANSHARI6_ROKOKMALAM[[#This Row],[PRODUK]],DATA_ROKOK[],8,FALSE),"")</f>
        <v/>
      </c>
      <c r="T127" s="374"/>
      <c r="U127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7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7" s="12"/>
      <c r="X127" s="384" t="str">
        <f>IFERROR(IF(TRANSHARI6_ROKOKMALAM[[#This Row],[NAMA REKENING]]="","",TRANSHARI6_ROKOKMALAM[[#This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IFERROR(VLOOKUP(TRANSHARI6_ROKOKPAGI[[#This Row],[PRODUK]],DATA_ROKOK[],8,FALSE),"")</f>
        <v/>
      </c>
      <c r="E128" s="374"/>
      <c r="F128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8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8" s="12"/>
      <c r="I128" s="386" t="str">
        <f>IFERROR(IF(TRANSHARI6_ROKOKPAGI[[#This Row],[NAMA REKENING]]="","",TRANSHARI6_ROKOKPAGI[[#This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IFERROR(VLOOKUP(TRANSHARI6_ROKOKMALAM[[#This Row],[PRODUK]],DATA_ROKOK[],8,FALSE),"")</f>
        <v/>
      </c>
      <c r="T128" s="374"/>
      <c r="U128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8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8" s="12"/>
      <c r="X128" s="386" t="str">
        <f>IFERROR(IF(TRANSHARI6_ROKOKMALAM[[#This Row],[NAMA REKENING]]="","",TRANSHARI6_ROKOKMALAM[[#This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IFERROR(VLOOKUP(TRANSHARI6_ROKOKPAGI[[#This Row],[PRODUK]],DATA_ROKOK[],8,FALSE),"")</f>
        <v/>
      </c>
      <c r="E129" s="374"/>
      <c r="F129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29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29" s="12"/>
      <c r="I129" s="384" t="str">
        <f>IFERROR(IF(TRANSHARI6_ROKOKPAGI[[#This Row],[NAMA REKENING]]="","",TRANSHARI6_ROKOKPAGI[[#This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IFERROR(VLOOKUP(TRANSHARI6_ROKOKMALAM[[#This Row],[PRODUK]],DATA_ROKOK[],8,FALSE),"")</f>
        <v/>
      </c>
      <c r="T129" s="374"/>
      <c r="U129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29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29" s="12"/>
      <c r="X129" s="384" t="str">
        <f>IFERROR(IF(TRANSHARI6_ROKOKMALAM[[#This Row],[NAMA REKENING]]="","",TRANSHARI6_ROKOKMALAM[[#This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IFERROR(VLOOKUP(TRANSHARI6_ROKOKPAGI[[#This Row],[PRODUK]],DATA_ROKOK[],8,FALSE),"")</f>
        <v/>
      </c>
      <c r="E130" s="374"/>
      <c r="F130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30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30" s="12"/>
      <c r="I130" s="386" t="str">
        <f>IFERROR(IF(TRANSHARI6_ROKOKPAGI[[#This Row],[NAMA REKENING]]="","",TRANSHARI6_ROKOKPAGI[[#This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IFERROR(VLOOKUP(TRANSHARI6_ROKOKMALAM[[#This Row],[PRODUK]],DATA_ROKOK[],8,FALSE),"")</f>
        <v/>
      </c>
      <c r="T130" s="374"/>
      <c r="U130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30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30" s="12"/>
      <c r="X130" s="386" t="str">
        <f>IFERROR(IF(TRANSHARI6_ROKOKMALAM[[#This Row],[NAMA REKENING]]="","",TRANSHARI6_ROKOKMALAM[[#This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IFERROR(VLOOKUP(TRANSHARI6_ROKOKPAGI[[#This Row],[PRODUK]],DATA_ROKOK[],8,FALSE),"")</f>
        <v/>
      </c>
      <c r="E131" s="374"/>
      <c r="F131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31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31" s="12"/>
      <c r="I131" s="384" t="str">
        <f>IFERROR(IF(TRANSHARI6_ROKOKPAGI[[#This Row],[NAMA REKENING]]="","",TRANSHARI6_ROKOKPAGI[[#This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IFERROR(VLOOKUP(TRANSHARI6_ROKOKMALAM[[#This Row],[PRODUK]],DATA_ROKOK[],8,FALSE),"")</f>
        <v/>
      </c>
      <c r="T131" s="374"/>
      <c r="U131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31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31" s="12"/>
      <c r="X131" s="384" t="str">
        <f>IFERROR(IF(TRANSHARI6_ROKOKMALAM[[#This Row],[NAMA REKENING]]="","",TRANSHARI6_ROKOKMALAM[[#This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IFERROR(VLOOKUP(TRANSHARI6_ROKOKPAGI[[#This Row],[PRODUK]],DATA_ROKOK[],8,FALSE),"")</f>
        <v/>
      </c>
      <c r="E132" s="374"/>
      <c r="F132" s="373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32" s="373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32" s="12"/>
      <c r="I132" s="386" t="str">
        <f>IFERROR(IF(TRANSHARI6_ROKOKPAGI[[#This Row],[NAMA REKENING]]="","",TRANSHARI6_ROKOKPAGI[[#This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IFERROR(VLOOKUP(TRANSHARI6_ROKOKMALAM[[#This Row],[PRODUK]],DATA_ROKOK[],8,FALSE),"")</f>
        <v/>
      </c>
      <c r="T132" s="374"/>
      <c r="U132" s="373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32" s="373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32" s="12"/>
      <c r="X132" s="386" t="str">
        <f>IFERROR(IF(TRANSHARI6_ROKOKMALAM[[#This Row],[NAMA REKENING]]="","",TRANSHARI6_ROKOKMALAM[[#This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IFERROR(VLOOKUP(TRANSHARI6_ROKOKPAGI[[#This Row],[PRODUK]],DATA_ROKOK[],8,FALSE),"")</f>
        <v/>
      </c>
      <c r="E133" s="374"/>
      <c r="F133" s="369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33" s="369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33" s="12"/>
      <c r="I133" s="384" t="str">
        <f>IFERROR(IF(TRANSHARI6_ROKOKPAGI[[#This Row],[NAMA REKENING]]="","",TRANSHARI6_ROKOKPAGI[[#This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IFERROR(VLOOKUP(TRANSHARI6_ROKOKMALAM[[#This Row],[PRODUK]],DATA_ROKOK[],8,FALSE),"")</f>
        <v/>
      </c>
      <c r="T133" s="374"/>
      <c r="U133" s="369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33" s="369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33" s="12"/>
      <c r="X133" s="384" t="str">
        <f>IFERROR(IF(TRANSHARI6_ROKOKMALAM[[#This Row],[NAMA REKENING]]="","",TRANSHARI6_ROKOKMALAM[[#This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IFERROR(VLOOKUP(TRANSHARI6_ROKOKPAGI[[#This Row],[PRODUK]],DATA_ROKOK[],8,FALSE),"")</f>
        <v/>
      </c>
      <c r="E134" s="376"/>
      <c r="F134" s="394" t="str">
        <f>IFERROR(IF(TRANSHARI6_ROKOKPAGI[[#This Row],[NAMA PENGHUTANG]]="",((TRANSHARI6_ROKOKPAGI[[#This Row],[HARGA]]*TRANSHARI6_ROKOKPAGI[[#This Row],[QUANTITY]])+TRANSHARI6_ROKOKPAGI[[#This Row],[PRICE TOLERANCE]]),""),"")</f>
        <v/>
      </c>
      <c r="G134" s="394" t="str">
        <f>IFERROR(IF(TRANSHARI6_ROKOKPAGI[[#This Row],[NAMA PENGHUTANG]]="","",((TRANSHARI6_ROKOKPAGI[[#This Row],[HARGA]]*TRANSHARI6_ROKOKPAGI[[#This Row],[QUANTITY]])+TRANSHARI6_ROKOKPAGI[[#This Row],[PRICE TOLERANCE]])),"")</f>
        <v/>
      </c>
      <c r="H134" s="377"/>
      <c r="I134" s="399" t="str">
        <f>IFERROR(IF(TRANSHARI6_ROKOKPAGI[[#This Row],[NAMA REKENING]]="","",TRANSHARI6_ROKOKPAGI[[#This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IFERROR(VLOOKUP(TRANSHARI6_ROKOKMALAM[[#This Row],[PRODUK]],DATA_ROKOK[],8,FALSE),"")</f>
        <v/>
      </c>
      <c r="T134" s="376"/>
      <c r="U134" s="394" t="str">
        <f>IFERROR(IF(TRANSHARI6_ROKOKMALAM[[#This Row],[NAMA PENGHUTANG]]="",((TRANSHARI6_ROKOKMALAM[[#This Row],[HARGA]]*TRANSHARI6_ROKOKMALAM[[#This Row],[QUANTITY]])+TRANSHARI6_ROKOKMALAM[[#This Row],[PRICE TOLERANCE]]),""),"")</f>
        <v/>
      </c>
      <c r="V134" s="394" t="str">
        <f>IFERROR(IF(TRANSHARI6_ROKOKMALAM[[#This Row],[NAMA PENGHUTANG]]="","",((TRANSHARI6_ROKOKMALAM[[#This Row],[HARGA]]*TRANSHARI6_ROKOKMALAM[[#This Row],[QUANTITY]])+TRANSHARI6_ROKOKMALAM[[#This Row],[PRICE TOLERANCE]])),"")</f>
        <v/>
      </c>
      <c r="W134" s="377"/>
      <c r="X134" s="399" t="str">
        <f>IFERROR(IF(TRANSHARI6_ROKOKMALAM[[#This Row],[NAMA REKENING]]="","",TRANSHARI6_ROKOKMALAM[[#This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SUM(TRANSHARI6_ROKOKPAGI[QUANTITY])</f>
        <v>0</v>
      </c>
      <c r="E135" s="396">
        <f>SUM(TRANSHARI6_ROKOKPAGI[PRICE TOLERANCE])</f>
        <v>0</v>
      </c>
      <c r="F135" s="396">
        <f>SUM(TRANSHARI6_ROKOKPAGI[DEBIT])</f>
        <v>0</v>
      </c>
      <c r="G135" s="396">
        <f>SUM(TRANSHARI6_ROKOKPAGI[KREDIT])</f>
        <v>0</v>
      </c>
      <c r="I135" s="396">
        <f>SUM(TRANSHARI6_ROKOKPAGI[NOMINAL TRANSFER])</f>
        <v>0</v>
      </c>
      <c r="O135" s="324"/>
      <c r="P135" s="303" t="s">
        <v>78</v>
      </c>
      <c r="Q135" s="316"/>
      <c r="R135" s="395">
        <f>SUM(TRANSHARI6_ROKOKMALAM[QUANTITY])</f>
        <v>0</v>
      </c>
      <c r="T135" s="396">
        <f>SUM(TRANSHARI6_ROKOKMALAM[PRICE TOLERANCE])</f>
        <v>0</v>
      </c>
      <c r="U135" s="396">
        <f>SUM(TRANSHARI6_ROKOKMALAM[DEBIT])</f>
        <v>0</v>
      </c>
      <c r="V135" s="396">
        <f>SUM(TRANSHARI6_ROKOKMALAM[KREDIT])</f>
        <v>0</v>
      </c>
      <c r="X135" s="396">
        <f>SUM(TRANSHARI6_ROKOKMALAM[NOMINAL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">
        <v>213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">
        <v>214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IFERROR(VLOOKUP(TRANSHARI6_SPVOUPAGI[[#This Row],[PRODUK]],DATA_SPVOU[],8,FALSE),"")</f>
        <v/>
      </c>
      <c r="E142" s="370"/>
      <c r="F142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2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2" s="371"/>
      <c r="I142" s="384" t="str">
        <f>IFERROR(IF(TRANSHARI6_SPVOUPAGI[[#This Row],[NAMA REKENING]]="","",TRANSHARI6_SPVOUPAGI[[#This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IFERROR(VLOOKUP(TRANSHARI6_SPVOUMALAM[[#This Row],[PRODUK]],DATA_SPVOU[],8,FALSE),"")</f>
        <v/>
      </c>
      <c r="T142" s="370"/>
      <c r="U142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2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2" s="371"/>
      <c r="X142" s="384" t="str">
        <f>IFERROR(IF(TRANSHARI6_SPVOUMALAM[[#This Row],[NAMA REKENING]]="","",TRANSHARI6_SPVOUMALAM[[#This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IFERROR(VLOOKUP(TRANSHARI6_SPVOUPAGI[[#This Row],[PRODUK]],DATA_SPVOU[],8,FALSE),"")</f>
        <v/>
      </c>
      <c r="E143" s="374"/>
      <c r="F143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3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3" s="12"/>
      <c r="I143" s="386" t="str">
        <f>IFERROR(IF(TRANSHARI6_SPVOUPAGI[[#This Row],[NAMA REKENING]]="","",TRANSHARI6_SPVOUPAGI[[#This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IFERROR(VLOOKUP(TRANSHARI6_SPVOUMALAM[[#This Row],[PRODUK]],DATA_SPVOU[],8,FALSE),"")</f>
        <v/>
      </c>
      <c r="T143" s="374"/>
      <c r="U143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3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3" s="12"/>
      <c r="X143" s="386" t="str">
        <f>IFERROR(IF(TRANSHARI6_SPVOUMALAM[[#This Row],[NAMA REKENING]]="","",TRANSHARI6_SPVOUMALAM[[#This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IFERROR(VLOOKUP(TRANSHARI6_SPVOUPAGI[[#This Row],[PRODUK]],DATA_SPVOU[],8,FALSE),"")</f>
        <v/>
      </c>
      <c r="E144" s="374"/>
      <c r="F144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4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4" s="12"/>
      <c r="I144" s="384" t="str">
        <f>IFERROR(IF(TRANSHARI6_SPVOUPAGI[[#This Row],[NAMA REKENING]]="","",TRANSHARI6_SPVOUPAGI[[#This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IFERROR(VLOOKUP(TRANSHARI6_SPVOUMALAM[[#This Row],[PRODUK]],DATA_SPVOU[],8,FALSE),"")</f>
        <v/>
      </c>
      <c r="T144" s="374"/>
      <c r="U144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4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4" s="12"/>
      <c r="X144" s="384" t="str">
        <f>IFERROR(IF(TRANSHARI6_SPVOUMALAM[[#This Row],[NAMA REKENING]]="","",TRANSHARI6_SPVOUMALAM[[#This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IFERROR(VLOOKUP(TRANSHARI6_SPVOUPAGI[[#This Row],[PRODUK]],DATA_SPVOU[],8,FALSE),"")</f>
        <v/>
      </c>
      <c r="E145" s="374"/>
      <c r="F145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5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5" s="12"/>
      <c r="I145" s="386" t="str">
        <f>IFERROR(IF(TRANSHARI6_SPVOUPAGI[[#This Row],[NAMA REKENING]]="","",TRANSHARI6_SPVOUPAGI[[#This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IFERROR(VLOOKUP(TRANSHARI6_SPVOUMALAM[[#This Row],[PRODUK]],DATA_SPVOU[],8,FALSE),"")</f>
        <v/>
      </c>
      <c r="T145" s="374"/>
      <c r="U145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5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5" s="12"/>
      <c r="X145" s="386" t="str">
        <f>IFERROR(IF(TRANSHARI6_SPVOUMALAM[[#This Row],[NAMA REKENING]]="","",TRANSHARI6_SPVOUMALAM[[#This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IFERROR(VLOOKUP(TRANSHARI6_SPVOUPAGI[[#This Row],[PRODUK]],DATA_SPVOU[],8,FALSE),"")</f>
        <v/>
      </c>
      <c r="E146" s="374"/>
      <c r="F146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6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6" s="12"/>
      <c r="I146" s="384" t="str">
        <f>IFERROR(IF(TRANSHARI6_SPVOUPAGI[[#This Row],[NAMA REKENING]]="","",TRANSHARI6_SPVOUPAGI[[#This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IFERROR(VLOOKUP(TRANSHARI6_SPVOUMALAM[[#This Row],[PRODUK]],DATA_SPVOU[],8,FALSE),"")</f>
        <v/>
      </c>
      <c r="T146" s="374"/>
      <c r="U146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6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6" s="12"/>
      <c r="X146" s="384" t="str">
        <f>IFERROR(IF(TRANSHARI6_SPVOUMALAM[[#This Row],[NAMA REKENING]]="","",TRANSHARI6_SPVOUMALAM[[#This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IFERROR(VLOOKUP(TRANSHARI6_SPVOUPAGI[[#This Row],[PRODUK]],DATA_SPVOU[],8,FALSE),"")</f>
        <v/>
      </c>
      <c r="E147" s="374"/>
      <c r="F147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7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7" s="12"/>
      <c r="I147" s="386" t="str">
        <f>IFERROR(IF(TRANSHARI6_SPVOUPAGI[[#This Row],[NAMA REKENING]]="","",TRANSHARI6_SPVOUPAGI[[#This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IFERROR(VLOOKUP(TRANSHARI6_SPVOUMALAM[[#This Row],[PRODUK]],DATA_SPVOU[],8,FALSE),"")</f>
        <v/>
      </c>
      <c r="T147" s="374"/>
      <c r="U147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7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7" s="12"/>
      <c r="X147" s="386" t="str">
        <f>IFERROR(IF(TRANSHARI6_SPVOUMALAM[[#This Row],[NAMA REKENING]]="","",TRANSHARI6_SPVOUMALAM[[#This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IFERROR(VLOOKUP(TRANSHARI6_SPVOUPAGI[[#This Row],[PRODUK]],DATA_SPVOU[],8,FALSE),"")</f>
        <v/>
      </c>
      <c r="E148" s="374"/>
      <c r="F148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8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8" s="12"/>
      <c r="I148" s="384" t="str">
        <f>IFERROR(IF(TRANSHARI6_SPVOUPAGI[[#This Row],[NAMA REKENING]]="","",TRANSHARI6_SPVOUPAGI[[#This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IFERROR(VLOOKUP(TRANSHARI6_SPVOUMALAM[[#This Row],[PRODUK]],DATA_SPVOU[],8,FALSE),"")</f>
        <v/>
      </c>
      <c r="T148" s="374"/>
      <c r="U148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8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8" s="12"/>
      <c r="X148" s="384" t="str">
        <f>IFERROR(IF(TRANSHARI6_SPVOUMALAM[[#This Row],[NAMA REKENING]]="","",TRANSHARI6_SPVOUMALAM[[#This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IFERROR(VLOOKUP(TRANSHARI6_SPVOUPAGI[[#This Row],[PRODUK]],DATA_SPVOU[],8,FALSE),"")</f>
        <v/>
      </c>
      <c r="E149" s="374"/>
      <c r="F149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49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49" s="12"/>
      <c r="I149" s="386" t="str">
        <f>IFERROR(IF(TRANSHARI6_SPVOUPAGI[[#This Row],[NAMA REKENING]]="","",TRANSHARI6_SPVOUPAGI[[#This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IFERROR(VLOOKUP(TRANSHARI6_SPVOUMALAM[[#This Row],[PRODUK]],DATA_SPVOU[],8,FALSE),"")</f>
        <v/>
      </c>
      <c r="T149" s="374"/>
      <c r="U149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49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49" s="12"/>
      <c r="X149" s="386" t="str">
        <f>IFERROR(IF(TRANSHARI6_SPVOUMALAM[[#This Row],[NAMA REKENING]]="","",TRANSHARI6_SPVOUMALAM[[#This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IFERROR(VLOOKUP(TRANSHARI6_SPVOUPAGI[[#This Row],[PRODUK]],DATA_SPVOU[],8,FALSE),"")</f>
        <v/>
      </c>
      <c r="E150" s="374"/>
      <c r="F150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0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0" s="12"/>
      <c r="I150" s="384" t="str">
        <f>IFERROR(IF(TRANSHARI6_SPVOUPAGI[[#This Row],[NAMA REKENING]]="","",TRANSHARI6_SPVOUPAGI[[#This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IFERROR(VLOOKUP(TRANSHARI6_SPVOUMALAM[[#This Row],[PRODUK]],DATA_SPVOU[],8,FALSE),"")</f>
        <v/>
      </c>
      <c r="T150" s="374"/>
      <c r="U150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0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0" s="12"/>
      <c r="X150" s="384" t="str">
        <f>IFERROR(IF(TRANSHARI6_SPVOUMALAM[[#This Row],[NAMA REKENING]]="","",TRANSHARI6_SPVOUMALAM[[#This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IFERROR(VLOOKUP(TRANSHARI6_SPVOUPAGI[[#This Row],[PRODUK]],DATA_SPVOU[],8,FALSE),"")</f>
        <v/>
      </c>
      <c r="E151" s="374"/>
      <c r="F151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1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1" s="12"/>
      <c r="I151" s="386" t="str">
        <f>IFERROR(IF(TRANSHARI6_SPVOUPAGI[[#This Row],[NAMA REKENING]]="","",TRANSHARI6_SPVOUPAGI[[#This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IFERROR(VLOOKUP(TRANSHARI6_SPVOUMALAM[[#This Row],[PRODUK]],DATA_SPVOU[],8,FALSE),"")</f>
        <v/>
      </c>
      <c r="T151" s="374"/>
      <c r="U151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1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1" s="12"/>
      <c r="X151" s="386" t="str">
        <f>IFERROR(IF(TRANSHARI6_SPVOUMALAM[[#This Row],[NAMA REKENING]]="","",TRANSHARI6_SPVOUMALAM[[#This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IFERROR(VLOOKUP(TRANSHARI6_SPVOUPAGI[[#This Row],[PRODUK]],DATA_SPVOU[],8,FALSE),"")</f>
        <v/>
      </c>
      <c r="E152" s="374"/>
      <c r="F152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2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2" s="12"/>
      <c r="I152" s="384" t="str">
        <f>IFERROR(IF(TRANSHARI6_SPVOUPAGI[[#This Row],[NAMA REKENING]]="","",TRANSHARI6_SPVOUPAGI[[#This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IFERROR(VLOOKUP(TRANSHARI6_SPVOUMALAM[[#This Row],[PRODUK]],DATA_SPVOU[],8,FALSE),"")</f>
        <v/>
      </c>
      <c r="T152" s="374"/>
      <c r="U152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2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2" s="12"/>
      <c r="X152" s="384" t="str">
        <f>IFERROR(IF(TRANSHARI6_SPVOUMALAM[[#This Row],[NAMA REKENING]]="","",TRANSHARI6_SPVOUMALAM[[#This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IFERROR(VLOOKUP(TRANSHARI6_SPVOUPAGI[[#This Row],[PRODUK]],DATA_SPVOU[],8,FALSE),"")</f>
        <v/>
      </c>
      <c r="E153" s="374"/>
      <c r="F153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3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3" s="12"/>
      <c r="I153" s="386" t="str">
        <f>IFERROR(IF(TRANSHARI6_SPVOUPAGI[[#This Row],[NAMA REKENING]]="","",TRANSHARI6_SPVOUPAGI[[#This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IFERROR(VLOOKUP(TRANSHARI6_SPVOUMALAM[[#This Row],[PRODUK]],DATA_SPVOU[],8,FALSE),"")</f>
        <v/>
      </c>
      <c r="T153" s="374"/>
      <c r="U153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3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3" s="12"/>
      <c r="X153" s="386" t="str">
        <f>IFERROR(IF(TRANSHARI6_SPVOUMALAM[[#This Row],[NAMA REKENING]]="","",TRANSHARI6_SPVOUMALAM[[#This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IFERROR(VLOOKUP(TRANSHARI6_SPVOUPAGI[[#This Row],[PRODUK]],DATA_SPVOU[],8,FALSE),"")</f>
        <v/>
      </c>
      <c r="E154" s="374"/>
      <c r="F154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4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4" s="12"/>
      <c r="I154" s="384" t="str">
        <f>IFERROR(IF(TRANSHARI6_SPVOUPAGI[[#This Row],[NAMA REKENING]]="","",TRANSHARI6_SPVOUPAGI[[#This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IFERROR(VLOOKUP(TRANSHARI6_SPVOUMALAM[[#This Row],[PRODUK]],DATA_SPVOU[],8,FALSE),"")</f>
        <v/>
      </c>
      <c r="T154" s="374"/>
      <c r="U154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4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4" s="12"/>
      <c r="X154" s="384" t="str">
        <f>IFERROR(IF(TRANSHARI6_SPVOUMALAM[[#This Row],[NAMA REKENING]]="","",TRANSHARI6_SPVOUMALAM[[#This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IFERROR(VLOOKUP(TRANSHARI6_SPVOUPAGI[[#This Row],[PRODUK]],DATA_SPVOU[],8,FALSE),"")</f>
        <v/>
      </c>
      <c r="E155" s="374"/>
      <c r="F155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5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5" s="12"/>
      <c r="I155" s="386" t="str">
        <f>IFERROR(IF(TRANSHARI6_SPVOUPAGI[[#This Row],[NAMA REKENING]]="","",TRANSHARI6_SPVOUPAGI[[#This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IFERROR(VLOOKUP(TRANSHARI6_SPVOUMALAM[[#This Row],[PRODUK]],DATA_SPVOU[],8,FALSE),"")</f>
        <v/>
      </c>
      <c r="T155" s="374"/>
      <c r="U155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5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5" s="12"/>
      <c r="X155" s="386" t="str">
        <f>IFERROR(IF(TRANSHARI6_SPVOUMALAM[[#This Row],[NAMA REKENING]]="","",TRANSHARI6_SPVOUMALAM[[#This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IFERROR(VLOOKUP(TRANSHARI6_SPVOUPAGI[[#This Row],[PRODUK]],DATA_SPVOU[],8,FALSE),"")</f>
        <v/>
      </c>
      <c r="E156" s="374"/>
      <c r="F156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6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6" s="12"/>
      <c r="I156" s="384" t="str">
        <f>IFERROR(IF(TRANSHARI6_SPVOUPAGI[[#This Row],[NAMA REKENING]]="","",TRANSHARI6_SPVOUPAGI[[#This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IFERROR(VLOOKUP(TRANSHARI6_SPVOUMALAM[[#This Row],[PRODUK]],DATA_SPVOU[],8,FALSE),"")</f>
        <v/>
      </c>
      <c r="T156" s="374"/>
      <c r="U156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6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6" s="12"/>
      <c r="X156" s="384" t="str">
        <f>IFERROR(IF(TRANSHARI6_SPVOUMALAM[[#This Row],[NAMA REKENING]]="","",TRANSHARI6_SPVOUMALAM[[#This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IFERROR(VLOOKUP(TRANSHARI6_SPVOUPAGI[[#This Row],[PRODUK]],DATA_SPVOU[],8,FALSE),"")</f>
        <v/>
      </c>
      <c r="E157" s="374"/>
      <c r="F157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7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7" s="12"/>
      <c r="I157" s="386" t="str">
        <f>IFERROR(IF(TRANSHARI6_SPVOUPAGI[[#This Row],[NAMA REKENING]]="","",TRANSHARI6_SPVOUPAGI[[#This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IFERROR(VLOOKUP(TRANSHARI6_SPVOUMALAM[[#This Row],[PRODUK]],DATA_SPVOU[],8,FALSE),"")</f>
        <v/>
      </c>
      <c r="T157" s="374"/>
      <c r="U157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7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7" s="12"/>
      <c r="X157" s="386" t="str">
        <f>IFERROR(IF(TRANSHARI6_SPVOUMALAM[[#This Row],[NAMA REKENING]]="","",TRANSHARI6_SPVOUMALAM[[#This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IFERROR(VLOOKUP(TRANSHARI6_SPVOUPAGI[[#This Row],[PRODUK]],DATA_SPVOU[],8,FALSE),"")</f>
        <v/>
      </c>
      <c r="E158" s="374"/>
      <c r="F158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8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8" s="12"/>
      <c r="I158" s="384" t="str">
        <f>IFERROR(IF(TRANSHARI6_SPVOUPAGI[[#This Row],[NAMA REKENING]]="","",TRANSHARI6_SPVOUPAGI[[#This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IFERROR(VLOOKUP(TRANSHARI6_SPVOUMALAM[[#This Row],[PRODUK]],DATA_SPVOU[],8,FALSE),"")</f>
        <v/>
      </c>
      <c r="T158" s="374"/>
      <c r="U158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8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8" s="12"/>
      <c r="X158" s="384" t="str">
        <f>IFERROR(IF(TRANSHARI6_SPVOUMALAM[[#This Row],[NAMA REKENING]]="","",TRANSHARI6_SPVOUMALAM[[#This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IFERROR(VLOOKUP(TRANSHARI6_SPVOUPAGI[[#This Row],[PRODUK]],DATA_SPVOU[],8,FALSE),"")</f>
        <v/>
      </c>
      <c r="E159" s="374"/>
      <c r="F159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59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59" s="12"/>
      <c r="I159" s="386" t="str">
        <f>IFERROR(IF(TRANSHARI6_SPVOUPAGI[[#This Row],[NAMA REKENING]]="","",TRANSHARI6_SPVOUPAGI[[#This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IFERROR(VLOOKUP(TRANSHARI6_SPVOUMALAM[[#This Row],[PRODUK]],DATA_SPVOU[],8,FALSE),"")</f>
        <v/>
      </c>
      <c r="T159" s="374"/>
      <c r="U159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59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59" s="12"/>
      <c r="X159" s="386" t="str">
        <f>IFERROR(IF(TRANSHARI6_SPVOUMALAM[[#This Row],[NAMA REKENING]]="","",TRANSHARI6_SPVOUMALAM[[#This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IFERROR(VLOOKUP(TRANSHARI6_SPVOUPAGI[[#This Row],[PRODUK]],DATA_SPVOU[],8,FALSE),"")</f>
        <v/>
      </c>
      <c r="E160" s="374"/>
      <c r="F160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0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0" s="12"/>
      <c r="I160" s="384" t="str">
        <f>IFERROR(IF(TRANSHARI6_SPVOUPAGI[[#This Row],[NAMA REKENING]]="","",TRANSHARI6_SPVOUPAGI[[#This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IFERROR(VLOOKUP(TRANSHARI6_SPVOUMALAM[[#This Row],[PRODUK]],DATA_SPVOU[],8,FALSE),"")</f>
        <v/>
      </c>
      <c r="T160" s="374"/>
      <c r="U160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0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0" s="12"/>
      <c r="X160" s="384" t="str">
        <f>IFERROR(IF(TRANSHARI6_SPVOUMALAM[[#This Row],[NAMA REKENING]]="","",TRANSHARI6_SPVOUMALAM[[#This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IFERROR(VLOOKUP(TRANSHARI6_SPVOUPAGI[[#This Row],[PRODUK]],DATA_SPVOU[],8,FALSE),"")</f>
        <v/>
      </c>
      <c r="E161" s="374"/>
      <c r="F161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1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1" s="12"/>
      <c r="I161" s="386" t="str">
        <f>IFERROR(IF(TRANSHARI6_SPVOUPAGI[[#This Row],[NAMA REKENING]]="","",TRANSHARI6_SPVOUPAGI[[#This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IFERROR(VLOOKUP(TRANSHARI6_SPVOUMALAM[[#This Row],[PRODUK]],DATA_SPVOU[],8,FALSE),"")</f>
        <v/>
      </c>
      <c r="T161" s="374"/>
      <c r="U161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1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1" s="12"/>
      <c r="X161" s="386" t="str">
        <f>IFERROR(IF(TRANSHARI6_SPVOUMALAM[[#This Row],[NAMA REKENING]]="","",TRANSHARI6_SPVOUMALAM[[#This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IFERROR(VLOOKUP(TRANSHARI6_SPVOUPAGI[[#This Row],[PRODUK]],DATA_SPVOU[],8,FALSE),"")</f>
        <v/>
      </c>
      <c r="E162" s="374"/>
      <c r="F162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2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2" s="12"/>
      <c r="I162" s="384" t="str">
        <f>IFERROR(IF(TRANSHARI6_SPVOUPAGI[[#This Row],[NAMA REKENING]]="","",TRANSHARI6_SPVOUPAGI[[#This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IFERROR(VLOOKUP(TRANSHARI6_SPVOUMALAM[[#This Row],[PRODUK]],DATA_SPVOU[],8,FALSE),"")</f>
        <v/>
      </c>
      <c r="T162" s="374"/>
      <c r="U162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2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2" s="12"/>
      <c r="X162" s="384" t="str">
        <f>IFERROR(IF(TRANSHARI6_SPVOUMALAM[[#This Row],[NAMA REKENING]]="","",TRANSHARI6_SPVOUMALAM[[#This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IFERROR(VLOOKUP(TRANSHARI6_SPVOUPAGI[[#This Row],[PRODUK]],DATA_SPVOU[],8,FALSE),"")</f>
        <v/>
      </c>
      <c r="E163" s="374"/>
      <c r="F163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3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3" s="12"/>
      <c r="I163" s="386" t="str">
        <f>IFERROR(IF(TRANSHARI6_SPVOUPAGI[[#This Row],[NAMA REKENING]]="","",TRANSHARI6_SPVOUPAGI[[#This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IFERROR(VLOOKUP(TRANSHARI6_SPVOUMALAM[[#This Row],[PRODUK]],DATA_SPVOU[],8,FALSE),"")</f>
        <v/>
      </c>
      <c r="T163" s="374"/>
      <c r="U163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3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3" s="12"/>
      <c r="X163" s="386" t="str">
        <f>IFERROR(IF(TRANSHARI6_SPVOUMALAM[[#This Row],[NAMA REKENING]]="","",TRANSHARI6_SPVOUMALAM[[#This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IFERROR(VLOOKUP(TRANSHARI6_SPVOUPAGI[[#This Row],[PRODUK]],DATA_SPVOU[],8,FALSE),"")</f>
        <v/>
      </c>
      <c r="E164" s="374"/>
      <c r="F164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4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4" s="12"/>
      <c r="I164" s="384" t="str">
        <f>IFERROR(IF(TRANSHARI6_SPVOUPAGI[[#This Row],[NAMA REKENING]]="","",TRANSHARI6_SPVOUPAGI[[#This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IFERROR(VLOOKUP(TRANSHARI6_SPVOUMALAM[[#This Row],[PRODUK]],DATA_SPVOU[],8,FALSE),"")</f>
        <v/>
      </c>
      <c r="T164" s="374"/>
      <c r="U164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4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4" s="12"/>
      <c r="X164" s="384" t="str">
        <f>IFERROR(IF(TRANSHARI6_SPVOUMALAM[[#This Row],[NAMA REKENING]]="","",TRANSHARI6_SPVOUMALAM[[#This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IFERROR(VLOOKUP(TRANSHARI6_SPVOUPAGI[[#This Row],[PRODUK]],DATA_SPVOU[],8,FALSE),"")</f>
        <v/>
      </c>
      <c r="E165" s="374"/>
      <c r="F165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5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5" s="12"/>
      <c r="I165" s="386" t="str">
        <f>IFERROR(IF(TRANSHARI6_SPVOUPAGI[[#This Row],[NAMA REKENING]]="","",TRANSHARI6_SPVOUPAGI[[#This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IFERROR(VLOOKUP(TRANSHARI6_SPVOUMALAM[[#This Row],[PRODUK]],DATA_SPVOU[],8,FALSE),"")</f>
        <v/>
      </c>
      <c r="T165" s="374"/>
      <c r="U165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5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5" s="12"/>
      <c r="X165" s="386" t="str">
        <f>IFERROR(IF(TRANSHARI6_SPVOUMALAM[[#This Row],[NAMA REKENING]]="","",TRANSHARI6_SPVOUMALAM[[#This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IFERROR(VLOOKUP(TRANSHARI6_SPVOUPAGI[[#This Row],[PRODUK]],DATA_SPVOU[],8,FALSE),"")</f>
        <v/>
      </c>
      <c r="E166" s="374"/>
      <c r="F166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6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6" s="12"/>
      <c r="I166" s="384" t="str">
        <f>IFERROR(IF(TRANSHARI6_SPVOUPAGI[[#This Row],[NAMA REKENING]]="","",TRANSHARI6_SPVOUPAGI[[#This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IFERROR(VLOOKUP(TRANSHARI6_SPVOUMALAM[[#This Row],[PRODUK]],DATA_SPVOU[],8,FALSE),"")</f>
        <v/>
      </c>
      <c r="T166" s="374"/>
      <c r="U166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6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6" s="12"/>
      <c r="X166" s="384" t="str">
        <f>IFERROR(IF(TRANSHARI6_SPVOUMALAM[[#This Row],[NAMA REKENING]]="","",TRANSHARI6_SPVOUMALAM[[#This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IFERROR(VLOOKUP(TRANSHARI6_SPVOUPAGI[[#This Row],[PRODUK]],DATA_SPVOU[],8,FALSE),"")</f>
        <v/>
      </c>
      <c r="E167" s="376"/>
      <c r="F167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7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7" s="377"/>
      <c r="I167" s="386" t="str">
        <f>IFERROR(IF(TRANSHARI6_SPVOUPAGI[[#This Row],[NAMA REKENING]]="","",TRANSHARI6_SPVOUPAGI[[#This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IFERROR(VLOOKUP(TRANSHARI6_SPVOUMALAM[[#This Row],[PRODUK]],DATA_SPVOU[],8,FALSE),"")</f>
        <v/>
      </c>
      <c r="T167" s="376"/>
      <c r="U167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7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7" s="377"/>
      <c r="X167" s="386" t="str">
        <f>IFERROR(IF(TRANSHARI6_SPVOUMALAM[[#This Row],[NAMA REKENING]]="","",TRANSHARI6_SPVOUMALAM[[#This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IFERROR(VLOOKUP(TRANSHARI6_SPVOUPAGI[[#This Row],[PRODUK]],DATA_SPVOU[],8,FALSE),"")</f>
        <v/>
      </c>
      <c r="E168" s="374"/>
      <c r="F168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8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8" s="12"/>
      <c r="I168" s="384" t="str">
        <f>IFERROR(IF(TRANSHARI6_SPVOUPAGI[[#This Row],[NAMA REKENING]]="","",TRANSHARI6_SPVOUPAGI[[#This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IFERROR(VLOOKUP(TRANSHARI6_SPVOUMALAM[[#This Row],[PRODUK]],DATA_SPVOU[],8,FALSE),"")</f>
        <v/>
      </c>
      <c r="T168" s="374"/>
      <c r="U168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8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8" s="12"/>
      <c r="X168" s="384" t="str">
        <f>IFERROR(IF(TRANSHARI6_SPVOUMALAM[[#This Row],[NAMA REKENING]]="","",TRANSHARI6_SPVOUMALAM[[#This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IFERROR(VLOOKUP(TRANSHARI6_SPVOUPAGI[[#This Row],[PRODUK]],DATA_SPVOU[],8,FALSE),"")</f>
        <v/>
      </c>
      <c r="E169" s="374"/>
      <c r="F169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69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69" s="12"/>
      <c r="I169" s="386" t="str">
        <f>IFERROR(IF(TRANSHARI6_SPVOUPAGI[[#This Row],[NAMA REKENING]]="","",TRANSHARI6_SPVOUPAGI[[#This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IFERROR(VLOOKUP(TRANSHARI6_SPVOUMALAM[[#This Row],[PRODUK]],DATA_SPVOU[],8,FALSE),"")</f>
        <v/>
      </c>
      <c r="T169" s="374"/>
      <c r="U169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69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69" s="12"/>
      <c r="X169" s="386" t="str">
        <f>IFERROR(IF(TRANSHARI6_SPVOUMALAM[[#This Row],[NAMA REKENING]]="","",TRANSHARI6_SPVOUMALAM[[#This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IFERROR(VLOOKUP(TRANSHARI6_SPVOUPAGI[[#This Row],[PRODUK]],DATA_SPVOU[],8,FALSE),"")</f>
        <v/>
      </c>
      <c r="E170" s="374"/>
      <c r="F170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0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0" s="12"/>
      <c r="I170" s="384" t="str">
        <f>IFERROR(IF(TRANSHARI6_SPVOUPAGI[[#This Row],[NAMA REKENING]]="","",TRANSHARI6_SPVOUPAGI[[#This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IFERROR(VLOOKUP(TRANSHARI6_SPVOUMALAM[[#This Row],[PRODUK]],DATA_SPVOU[],8,FALSE),"")</f>
        <v/>
      </c>
      <c r="T170" s="374"/>
      <c r="U170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0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0" s="12"/>
      <c r="X170" s="384" t="str">
        <f>IFERROR(IF(TRANSHARI6_SPVOUMALAM[[#This Row],[NAMA REKENING]]="","",TRANSHARI6_SPVOUMALAM[[#This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IFERROR(VLOOKUP(TRANSHARI6_SPVOUPAGI[[#This Row],[PRODUK]],DATA_SPVOU[],8,FALSE),"")</f>
        <v/>
      </c>
      <c r="E171" s="374"/>
      <c r="F171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1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1" s="12"/>
      <c r="I171" s="386" t="str">
        <f>IFERROR(IF(TRANSHARI6_SPVOUPAGI[[#This Row],[NAMA REKENING]]="","",TRANSHARI6_SPVOUPAGI[[#This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IFERROR(VLOOKUP(TRANSHARI6_SPVOUMALAM[[#This Row],[PRODUK]],DATA_SPVOU[],8,FALSE),"")</f>
        <v/>
      </c>
      <c r="T171" s="374"/>
      <c r="U171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1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1" s="12"/>
      <c r="X171" s="386" t="str">
        <f>IFERROR(IF(TRANSHARI6_SPVOUMALAM[[#This Row],[NAMA REKENING]]="","",TRANSHARI6_SPVOUMALAM[[#This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IFERROR(VLOOKUP(TRANSHARI6_SPVOUPAGI[[#This Row],[PRODUK]],DATA_SPVOU[],8,FALSE),"")</f>
        <v/>
      </c>
      <c r="E172" s="374"/>
      <c r="F172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2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2" s="12"/>
      <c r="I172" s="384" t="str">
        <f>IFERROR(IF(TRANSHARI6_SPVOUPAGI[[#This Row],[NAMA REKENING]]="","",TRANSHARI6_SPVOUPAGI[[#This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IFERROR(VLOOKUP(TRANSHARI6_SPVOUMALAM[[#This Row],[PRODUK]],DATA_SPVOU[],8,FALSE),"")</f>
        <v/>
      </c>
      <c r="T172" s="374"/>
      <c r="U172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2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2" s="12"/>
      <c r="X172" s="384" t="str">
        <f>IFERROR(IF(TRANSHARI6_SPVOUMALAM[[#This Row],[NAMA REKENING]]="","",TRANSHARI6_SPVOUMALAM[[#This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IFERROR(VLOOKUP(TRANSHARI6_SPVOUPAGI[[#This Row],[PRODUK]],DATA_SPVOU[],8,FALSE),"")</f>
        <v/>
      </c>
      <c r="E173" s="374"/>
      <c r="F173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3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3" s="12"/>
      <c r="I173" s="386" t="str">
        <f>IFERROR(IF(TRANSHARI6_SPVOUPAGI[[#This Row],[NAMA REKENING]]="","",TRANSHARI6_SPVOUPAGI[[#This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IFERROR(VLOOKUP(TRANSHARI6_SPVOUMALAM[[#This Row],[PRODUK]],DATA_SPVOU[],8,FALSE),"")</f>
        <v/>
      </c>
      <c r="T173" s="374"/>
      <c r="U173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3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3" s="12"/>
      <c r="X173" s="386" t="str">
        <f>IFERROR(IF(TRANSHARI6_SPVOUMALAM[[#This Row],[NAMA REKENING]]="","",TRANSHARI6_SPVOUMALAM[[#This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IFERROR(VLOOKUP(TRANSHARI6_SPVOUPAGI[[#This Row],[PRODUK]],DATA_SPVOU[],8,FALSE),"")</f>
        <v/>
      </c>
      <c r="E174" s="374"/>
      <c r="F174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4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4" s="12"/>
      <c r="I174" s="384" t="str">
        <f>IFERROR(IF(TRANSHARI6_SPVOUPAGI[[#This Row],[NAMA REKENING]]="","",TRANSHARI6_SPVOUPAGI[[#This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IFERROR(VLOOKUP(TRANSHARI6_SPVOUMALAM[[#This Row],[PRODUK]],DATA_SPVOU[],8,FALSE),"")</f>
        <v/>
      </c>
      <c r="T174" s="374"/>
      <c r="U174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4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4" s="12"/>
      <c r="X174" s="384" t="str">
        <f>IFERROR(IF(TRANSHARI6_SPVOUMALAM[[#This Row],[NAMA REKENING]]="","",TRANSHARI6_SPVOUMALAM[[#This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IFERROR(VLOOKUP(TRANSHARI6_SPVOUPAGI[[#This Row],[PRODUK]],DATA_SPVOU[],8,FALSE),"")</f>
        <v/>
      </c>
      <c r="E175" s="374"/>
      <c r="F175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5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5" s="12"/>
      <c r="I175" s="386" t="str">
        <f>IFERROR(IF(TRANSHARI6_SPVOUPAGI[[#This Row],[NAMA REKENING]]="","",TRANSHARI6_SPVOUPAGI[[#This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IFERROR(VLOOKUP(TRANSHARI6_SPVOUMALAM[[#This Row],[PRODUK]],DATA_SPVOU[],8,FALSE),"")</f>
        <v/>
      </c>
      <c r="T175" s="374"/>
      <c r="U175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5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5" s="12"/>
      <c r="X175" s="386" t="str">
        <f>IFERROR(IF(TRANSHARI6_SPVOUMALAM[[#This Row],[NAMA REKENING]]="","",TRANSHARI6_SPVOUMALAM[[#This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IFERROR(VLOOKUP(TRANSHARI6_SPVOUPAGI[[#This Row],[PRODUK]],DATA_SPVOU[],8,FALSE),"")</f>
        <v/>
      </c>
      <c r="E176" s="374"/>
      <c r="F176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6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6" s="12"/>
      <c r="I176" s="384" t="str">
        <f>IFERROR(IF(TRANSHARI6_SPVOUPAGI[[#This Row],[NAMA REKENING]]="","",TRANSHARI6_SPVOUPAGI[[#This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IFERROR(VLOOKUP(TRANSHARI6_SPVOUMALAM[[#This Row],[PRODUK]],DATA_SPVOU[],8,FALSE),"")</f>
        <v/>
      </c>
      <c r="T176" s="374"/>
      <c r="U176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6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6" s="12"/>
      <c r="X176" s="384" t="str">
        <f>IFERROR(IF(TRANSHARI6_SPVOUMALAM[[#This Row],[NAMA REKENING]]="","",TRANSHARI6_SPVOUMALAM[[#This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IFERROR(VLOOKUP(TRANSHARI6_SPVOUPAGI[[#This Row],[PRODUK]],DATA_SPVOU[],8,FALSE),"")</f>
        <v/>
      </c>
      <c r="E177" s="374"/>
      <c r="F177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7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7" s="12"/>
      <c r="I177" s="386" t="str">
        <f>IFERROR(IF(TRANSHARI6_SPVOUPAGI[[#This Row],[NAMA REKENING]]="","",TRANSHARI6_SPVOUPAGI[[#This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IFERROR(VLOOKUP(TRANSHARI6_SPVOUMALAM[[#This Row],[PRODUK]],DATA_SPVOU[],8,FALSE),"")</f>
        <v/>
      </c>
      <c r="T177" s="374"/>
      <c r="U177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7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7" s="12"/>
      <c r="X177" s="386" t="str">
        <f>IFERROR(IF(TRANSHARI6_SPVOUMALAM[[#This Row],[NAMA REKENING]]="","",TRANSHARI6_SPVOUMALAM[[#This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IFERROR(VLOOKUP(TRANSHARI6_SPVOUPAGI[[#This Row],[PRODUK]],DATA_SPVOU[],8,FALSE),"")</f>
        <v/>
      </c>
      <c r="E178" s="374"/>
      <c r="F178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8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8" s="12"/>
      <c r="I178" s="384" t="str">
        <f>IFERROR(IF(TRANSHARI6_SPVOUPAGI[[#This Row],[NAMA REKENING]]="","",TRANSHARI6_SPVOUPAGI[[#This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IFERROR(VLOOKUP(TRANSHARI6_SPVOUMALAM[[#This Row],[PRODUK]],DATA_SPVOU[],8,FALSE),"")</f>
        <v/>
      </c>
      <c r="T178" s="374"/>
      <c r="U178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8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8" s="12"/>
      <c r="X178" s="384" t="str">
        <f>IFERROR(IF(TRANSHARI6_SPVOUMALAM[[#This Row],[NAMA REKENING]]="","",TRANSHARI6_SPVOUMALAM[[#This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IFERROR(VLOOKUP(TRANSHARI6_SPVOUPAGI[[#This Row],[PRODUK]],DATA_SPVOU[],8,FALSE),"")</f>
        <v/>
      </c>
      <c r="E179" s="374"/>
      <c r="F179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79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79" s="12"/>
      <c r="I179" s="386" t="str">
        <f>IFERROR(IF(TRANSHARI6_SPVOUPAGI[[#This Row],[NAMA REKENING]]="","",TRANSHARI6_SPVOUPAGI[[#This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IFERROR(VLOOKUP(TRANSHARI6_SPVOUMALAM[[#This Row],[PRODUK]],DATA_SPVOU[],8,FALSE),"")</f>
        <v/>
      </c>
      <c r="T179" s="374"/>
      <c r="U179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79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79" s="12"/>
      <c r="X179" s="386" t="str">
        <f>IFERROR(IF(TRANSHARI6_SPVOUMALAM[[#This Row],[NAMA REKENING]]="","",TRANSHARI6_SPVOUMALAM[[#This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IFERROR(VLOOKUP(TRANSHARI6_SPVOUPAGI[[#This Row],[PRODUK]],DATA_SPVOU[],8,FALSE),"")</f>
        <v/>
      </c>
      <c r="E180" s="374"/>
      <c r="F180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0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0" s="12"/>
      <c r="I180" s="384" t="str">
        <f>IFERROR(IF(TRANSHARI6_SPVOUPAGI[[#This Row],[NAMA REKENING]]="","",TRANSHARI6_SPVOUPAGI[[#This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IFERROR(VLOOKUP(TRANSHARI6_SPVOUMALAM[[#This Row],[PRODUK]],DATA_SPVOU[],8,FALSE),"")</f>
        <v/>
      </c>
      <c r="T180" s="374"/>
      <c r="U180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0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0" s="12"/>
      <c r="X180" s="384" t="str">
        <f>IFERROR(IF(TRANSHARI6_SPVOUMALAM[[#This Row],[NAMA REKENING]]="","",TRANSHARI6_SPVOUMALAM[[#This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IFERROR(VLOOKUP(TRANSHARI6_SPVOUPAGI[[#This Row],[PRODUK]],DATA_SPVOU[],8,FALSE),"")</f>
        <v/>
      </c>
      <c r="E181" s="374"/>
      <c r="F181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1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1" s="12"/>
      <c r="I181" s="386" t="str">
        <f>IFERROR(IF(TRANSHARI6_SPVOUPAGI[[#This Row],[NAMA REKENING]]="","",TRANSHARI6_SPVOUPAGI[[#This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IFERROR(VLOOKUP(TRANSHARI6_SPVOUMALAM[[#This Row],[PRODUK]],DATA_SPVOU[],8,FALSE),"")</f>
        <v/>
      </c>
      <c r="T181" s="374"/>
      <c r="U181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1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1" s="12"/>
      <c r="X181" s="386" t="str">
        <f>IFERROR(IF(TRANSHARI6_SPVOUMALAM[[#This Row],[NAMA REKENING]]="","",TRANSHARI6_SPVOUMALAM[[#This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IFERROR(VLOOKUP(TRANSHARI6_SPVOUPAGI[[#This Row],[PRODUK]],DATA_SPVOU[],8,FALSE),"")</f>
        <v/>
      </c>
      <c r="E182" s="374"/>
      <c r="F182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2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2" s="12"/>
      <c r="I182" s="384" t="str">
        <f>IFERROR(IF(TRANSHARI6_SPVOUPAGI[[#This Row],[NAMA REKENING]]="","",TRANSHARI6_SPVOUPAGI[[#This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IFERROR(VLOOKUP(TRANSHARI6_SPVOUMALAM[[#This Row],[PRODUK]],DATA_SPVOU[],8,FALSE),"")</f>
        <v/>
      </c>
      <c r="T182" s="374"/>
      <c r="U182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2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2" s="12"/>
      <c r="X182" s="384" t="str">
        <f>IFERROR(IF(TRANSHARI6_SPVOUMALAM[[#This Row],[NAMA REKENING]]="","",TRANSHARI6_SPVOUMALAM[[#This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IFERROR(VLOOKUP(TRANSHARI6_SPVOUPAGI[[#This Row],[PRODUK]],DATA_SPVOU[],8,FALSE),"")</f>
        <v/>
      </c>
      <c r="E183" s="374"/>
      <c r="F183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3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3" s="12"/>
      <c r="I183" s="386" t="str">
        <f>IFERROR(IF(TRANSHARI6_SPVOUPAGI[[#This Row],[NAMA REKENING]]="","",TRANSHARI6_SPVOUPAGI[[#This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IFERROR(VLOOKUP(TRANSHARI6_SPVOUMALAM[[#This Row],[PRODUK]],DATA_SPVOU[],8,FALSE),"")</f>
        <v/>
      </c>
      <c r="T183" s="374"/>
      <c r="U183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3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3" s="12"/>
      <c r="X183" s="386" t="str">
        <f>IFERROR(IF(TRANSHARI6_SPVOUMALAM[[#This Row],[NAMA REKENING]]="","",TRANSHARI6_SPVOUMALAM[[#This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IFERROR(VLOOKUP(TRANSHARI6_SPVOUPAGI[[#This Row],[PRODUK]],DATA_SPVOU[],8,FALSE),"")</f>
        <v/>
      </c>
      <c r="E184" s="374"/>
      <c r="F184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4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4" s="12"/>
      <c r="I184" s="384" t="str">
        <f>IFERROR(IF(TRANSHARI6_SPVOUPAGI[[#This Row],[NAMA REKENING]]="","",TRANSHARI6_SPVOUPAGI[[#This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IFERROR(VLOOKUP(TRANSHARI6_SPVOUMALAM[[#This Row],[PRODUK]],DATA_SPVOU[],8,FALSE),"")</f>
        <v/>
      </c>
      <c r="T184" s="374"/>
      <c r="U184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4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4" s="12"/>
      <c r="X184" s="384" t="str">
        <f>IFERROR(IF(TRANSHARI6_SPVOUMALAM[[#This Row],[NAMA REKENING]]="","",TRANSHARI6_SPVOUMALAM[[#This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IFERROR(VLOOKUP(TRANSHARI6_SPVOUPAGI[[#This Row],[PRODUK]],DATA_SPVOU[],8,FALSE),"")</f>
        <v/>
      </c>
      <c r="E185" s="374"/>
      <c r="F185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5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5" s="12"/>
      <c r="I185" s="386" t="str">
        <f>IFERROR(IF(TRANSHARI6_SPVOUPAGI[[#This Row],[NAMA REKENING]]="","",TRANSHARI6_SPVOUPAGI[[#This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IFERROR(VLOOKUP(TRANSHARI6_SPVOUMALAM[[#This Row],[PRODUK]],DATA_SPVOU[],8,FALSE),"")</f>
        <v/>
      </c>
      <c r="T185" s="374"/>
      <c r="U185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5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5" s="12"/>
      <c r="X185" s="386" t="str">
        <f>IFERROR(IF(TRANSHARI6_SPVOUMALAM[[#This Row],[NAMA REKENING]]="","",TRANSHARI6_SPVOUMALAM[[#This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IFERROR(VLOOKUP(TRANSHARI6_SPVOUPAGI[[#This Row],[PRODUK]],DATA_SPVOU[],8,FALSE),"")</f>
        <v/>
      </c>
      <c r="E186" s="374"/>
      <c r="F186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6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6" s="12"/>
      <c r="I186" s="384" t="str">
        <f>IFERROR(IF(TRANSHARI6_SPVOUPAGI[[#This Row],[NAMA REKENING]]="","",TRANSHARI6_SPVOUPAGI[[#This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IFERROR(VLOOKUP(TRANSHARI6_SPVOUMALAM[[#This Row],[PRODUK]],DATA_SPVOU[],8,FALSE),"")</f>
        <v/>
      </c>
      <c r="T186" s="374"/>
      <c r="U186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6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6" s="12"/>
      <c r="X186" s="384" t="str">
        <f>IFERROR(IF(TRANSHARI6_SPVOUMALAM[[#This Row],[NAMA REKENING]]="","",TRANSHARI6_SPVOUMALAM[[#This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IFERROR(VLOOKUP(TRANSHARI6_SPVOUPAGI[[#This Row],[PRODUK]],DATA_SPVOU[],8,FALSE),"")</f>
        <v/>
      </c>
      <c r="E187" s="374"/>
      <c r="F187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7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7" s="12"/>
      <c r="I187" s="386" t="str">
        <f>IFERROR(IF(TRANSHARI6_SPVOUPAGI[[#This Row],[NAMA REKENING]]="","",TRANSHARI6_SPVOUPAGI[[#This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IFERROR(VLOOKUP(TRANSHARI6_SPVOUMALAM[[#This Row],[PRODUK]],DATA_SPVOU[],8,FALSE),"")</f>
        <v/>
      </c>
      <c r="T187" s="374"/>
      <c r="U187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7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7" s="12"/>
      <c r="X187" s="386" t="str">
        <f>IFERROR(IF(TRANSHARI6_SPVOUMALAM[[#This Row],[NAMA REKENING]]="","",TRANSHARI6_SPVOUMALAM[[#This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IFERROR(VLOOKUP(TRANSHARI6_SPVOUPAGI[[#This Row],[PRODUK]],DATA_SPVOU[],8,FALSE),"")</f>
        <v/>
      </c>
      <c r="E188" s="374"/>
      <c r="F188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8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8" s="12"/>
      <c r="I188" s="384" t="str">
        <f>IFERROR(IF(TRANSHARI6_SPVOUPAGI[[#This Row],[NAMA REKENING]]="","",TRANSHARI6_SPVOUPAGI[[#This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IFERROR(VLOOKUP(TRANSHARI6_SPVOUMALAM[[#This Row],[PRODUK]],DATA_SPVOU[],8,FALSE),"")</f>
        <v/>
      </c>
      <c r="T188" s="374"/>
      <c r="U188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8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8" s="12"/>
      <c r="X188" s="384" t="str">
        <f>IFERROR(IF(TRANSHARI6_SPVOUMALAM[[#This Row],[NAMA REKENING]]="","",TRANSHARI6_SPVOUMALAM[[#This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IFERROR(VLOOKUP(TRANSHARI6_SPVOUPAGI[[#This Row],[PRODUK]],DATA_SPVOU[],8,FALSE),"")</f>
        <v/>
      </c>
      <c r="E189" s="374"/>
      <c r="F189" s="373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89" s="373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89" s="12"/>
      <c r="I189" s="386" t="str">
        <f>IFERROR(IF(TRANSHARI6_SPVOUPAGI[[#This Row],[NAMA REKENING]]="","",TRANSHARI6_SPVOUPAGI[[#This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IFERROR(VLOOKUP(TRANSHARI6_SPVOUMALAM[[#This Row],[PRODUK]],DATA_SPVOU[],8,FALSE),"")</f>
        <v/>
      </c>
      <c r="T189" s="374"/>
      <c r="U189" s="373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89" s="373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89" s="12"/>
      <c r="X189" s="386" t="str">
        <f>IFERROR(IF(TRANSHARI6_SPVOUMALAM[[#This Row],[NAMA REKENING]]="","",TRANSHARI6_SPVOUMALAM[[#This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IFERROR(VLOOKUP(TRANSHARI6_SPVOUPAGI[[#This Row],[PRODUK]],DATA_SPVOU[],8,FALSE),"")</f>
        <v/>
      </c>
      <c r="E190" s="374"/>
      <c r="F190" s="369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90" s="369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90" s="12"/>
      <c r="I190" s="384" t="str">
        <f>IFERROR(IF(TRANSHARI6_SPVOUPAGI[[#This Row],[NAMA REKENING]]="","",TRANSHARI6_SPVOUPAGI[[#This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IFERROR(VLOOKUP(TRANSHARI6_SPVOUMALAM[[#This Row],[PRODUK]],DATA_SPVOU[],8,FALSE),"")</f>
        <v/>
      </c>
      <c r="T190" s="374"/>
      <c r="U190" s="369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90" s="369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90" s="12"/>
      <c r="X190" s="384" t="str">
        <f>IFERROR(IF(TRANSHARI6_SPVOUMALAM[[#This Row],[NAMA REKENING]]="","",TRANSHARI6_SPVOUMALAM[[#This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IFERROR(VLOOKUP(TRANSHARI6_SPVOUPAGI[[#This Row],[PRODUK]],DATA_SPVOU[],8,FALSE),"")</f>
        <v/>
      </c>
      <c r="E191" s="376"/>
      <c r="F191" s="394" t="str">
        <f>IFERROR(IF(TRANSHARI6_SPVOUPAGI[[#This Row],[NAMA PENGHUTANG]]="",((TRANSHARI6_SPVOUPAGI[[#This Row],[HARGA]]*TRANSHARI6_SPVOUPAGI[[#This Row],[QUANTITY]])+TRANSHARI6_SPVOUPAGI[[#This Row],[PRICE TOLERANCE]]),""),"")</f>
        <v/>
      </c>
      <c r="G191" s="394" t="str">
        <f>IFERROR(IF(TRANSHARI6_SPVOUPAGI[[#This Row],[NAMA PENGHUTANG]]="","",((TRANSHARI6_SPVOUPAGI[[#This Row],[HARGA]]*TRANSHARI6_SPVOUPAGI[[#This Row],[QUANTITY]])+TRANSHARI6_SPVOUPAGI[[#This Row],[PRICE TOLERANCE]])),"")</f>
        <v/>
      </c>
      <c r="H191" s="377"/>
      <c r="I191" s="399" t="str">
        <f>IFERROR(IF(TRANSHARI6_SPVOUPAGI[[#This Row],[NAMA REKENING]]="","",TRANSHARI6_SPVOUPAGI[[#This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IFERROR(VLOOKUP(TRANSHARI6_SPVOUMALAM[[#This Row],[PRODUK]],DATA_SPVOU[],8,FALSE),"")</f>
        <v/>
      </c>
      <c r="T191" s="376"/>
      <c r="U191" s="394" t="str">
        <f>IFERROR(IF(TRANSHARI6_SPVOUMALAM[[#This Row],[NAMA PENGHUTANG]]="",((TRANSHARI6_SPVOUMALAM[[#This Row],[HARGA]]*TRANSHARI6_SPVOUMALAM[[#This Row],[QUANTITY]])+TRANSHARI6_SPVOUMALAM[[#This Row],[PRICE TOLERANCE]]),""),"")</f>
        <v/>
      </c>
      <c r="V191" s="394" t="str">
        <f>IFERROR(IF(TRANSHARI6_SPVOUMALAM[[#This Row],[NAMA PENGHUTANG]]="","",((TRANSHARI6_SPVOUMALAM[[#This Row],[HARGA]]*TRANSHARI6_SPVOUMALAM[[#This Row],[QUANTITY]])+TRANSHARI6_SPVOUMALAM[[#This Row],[PRICE TOLERANCE]])),"")</f>
        <v/>
      </c>
      <c r="W191" s="377"/>
      <c r="X191" s="399" t="str">
        <f>IFERROR(IF(TRANSHARI6_SPVOUMALAM[[#This Row],[NAMA REKENING]]="","",TRANSHARI6_SPVOUMALAM[[#This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SUM(TRANSHARI6_SPVOUPAGI[QUANTITY])</f>
        <v>0</v>
      </c>
      <c r="E192" s="398">
        <f>SUM(TRANSHARI6_SPVOUPAGI[PRICE TOLERANCE])</f>
        <v>0</v>
      </c>
      <c r="F192" s="396">
        <f>SUM(TRANSHARI6_SPVOUPAGI[DEBIT])</f>
        <v>0</v>
      </c>
      <c r="G192" s="396">
        <f>SUM(TRANSHARI6_SPVOUPAGI[KREDIT])</f>
        <v>0</v>
      </c>
      <c r="I192" s="396">
        <f>SUM(TRANSHARI6_SPVOUPAGI[NOMINAL TRANSFER])</f>
        <v>0</v>
      </c>
      <c r="O192" s="324"/>
      <c r="P192" s="303" t="s">
        <v>78</v>
      </c>
      <c r="Q192" s="316"/>
      <c r="R192" s="395">
        <f>SUM(TRANSHARI6_SPVOUMALAM[QUANTITY])</f>
        <v>0</v>
      </c>
      <c r="T192" s="398">
        <f>SUM(TRANSHARI6_SPVOUMALAM[PRICE TOLERANCE])</f>
        <v>0</v>
      </c>
      <c r="U192" s="396">
        <f>SUM(TRANSHARI6_SPVOUMALAM[DEBIT])</f>
        <v>0</v>
      </c>
      <c r="V192" s="396">
        <f>SUM(TRANSHARI6_SPVOUMALAM[KREDIT])</f>
        <v>0</v>
      </c>
      <c r="X192" s="396">
        <f>SUM(TRANSHARI6_SPVOUMALAM[NOMINAL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">
        <v>213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">
        <v>215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IFERROR(VLOOKUP(TRANSHARI6_SOFTDRINKPAGI[[#This Row],[PRODUK]],DATA_SOFTDRINK[],8,FALSE),"")</f>
        <v/>
      </c>
      <c r="E199" s="370"/>
      <c r="F199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199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199" s="371"/>
      <c r="I199" s="384" t="str">
        <f>IFERROR(IF(TRANSHARI6_SOFTDRINKPAGI[[#This Row],[NAMA REKENING]]="","",TRANSHARI6_SOFTDRINKPAGI[[#This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IFERROR(VLOOKUP(TRANSHARI6_SOFTDRINKMALAM[[#This Row],[PRODUK]],DATA_SOFTDRINK[],8,FALSE),"")</f>
        <v/>
      </c>
      <c r="T199" s="370"/>
      <c r="U199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199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199" s="371"/>
      <c r="X199" s="384" t="str">
        <f>IFERROR(IF(TRANSHARI6_SOFTDRINKMALAM[[#This Row],[NAMA REKENING]]="","",TRANSHARI6_SOFTDRINKMALAM[[#This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IFERROR(VLOOKUP(TRANSHARI6_SOFTDRINKPAGI[[#This Row],[PRODUK]],DATA_SOFTDRINK[],8,FALSE),"")</f>
        <v/>
      </c>
      <c r="E200" s="374"/>
      <c r="F200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0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0" s="12"/>
      <c r="I200" s="386" t="str">
        <f>IFERROR(IF(TRANSHARI6_SOFTDRINKPAGI[[#This Row],[NAMA REKENING]]="","",TRANSHARI6_SOFTDRINKPAGI[[#This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IFERROR(VLOOKUP(TRANSHARI6_SOFTDRINKMALAM[[#This Row],[PRODUK]],DATA_SOFTDRINK[],8,FALSE),"")</f>
        <v/>
      </c>
      <c r="T200" s="374"/>
      <c r="U200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0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0" s="12"/>
      <c r="X200" s="386" t="str">
        <f>IFERROR(IF(TRANSHARI6_SOFTDRINKMALAM[[#This Row],[NAMA REKENING]]="","",TRANSHARI6_SOFTDRINKMALAM[[#This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IFERROR(VLOOKUP(TRANSHARI6_SOFTDRINKPAGI[[#This Row],[PRODUK]],DATA_SOFTDRINK[],8,FALSE),"")</f>
        <v/>
      </c>
      <c r="E201" s="374"/>
      <c r="F201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1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1" s="12"/>
      <c r="I201" s="384" t="str">
        <f>IFERROR(IF(TRANSHARI6_SOFTDRINKPAGI[[#This Row],[NAMA REKENING]]="","",TRANSHARI6_SOFTDRINKPAGI[[#This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IFERROR(VLOOKUP(TRANSHARI6_SOFTDRINKMALAM[[#This Row],[PRODUK]],DATA_SOFTDRINK[],8,FALSE),"")</f>
        <v/>
      </c>
      <c r="T201" s="374"/>
      <c r="U201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1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1" s="12"/>
      <c r="X201" s="384" t="str">
        <f>IFERROR(IF(TRANSHARI6_SOFTDRINKMALAM[[#This Row],[NAMA REKENING]]="","",TRANSHARI6_SOFTDRINKMALAM[[#This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IFERROR(VLOOKUP(TRANSHARI6_SOFTDRINKPAGI[[#This Row],[PRODUK]],DATA_SOFTDRINK[],8,FALSE),"")</f>
        <v/>
      </c>
      <c r="E202" s="374"/>
      <c r="F202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2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2" s="12"/>
      <c r="I202" s="386" t="str">
        <f>IFERROR(IF(TRANSHARI6_SOFTDRINKPAGI[[#This Row],[NAMA REKENING]]="","",TRANSHARI6_SOFTDRINKPAGI[[#This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IFERROR(VLOOKUP(TRANSHARI6_SOFTDRINKMALAM[[#This Row],[PRODUK]],DATA_SOFTDRINK[],8,FALSE),"")</f>
        <v/>
      </c>
      <c r="T202" s="374"/>
      <c r="U202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2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2" s="12"/>
      <c r="X202" s="386" t="str">
        <f>IFERROR(IF(TRANSHARI6_SOFTDRINKMALAM[[#This Row],[NAMA REKENING]]="","",TRANSHARI6_SOFTDRINKMALAM[[#This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IFERROR(VLOOKUP(TRANSHARI6_SOFTDRINKPAGI[[#This Row],[PRODUK]],DATA_SOFTDRINK[],8,FALSE),"")</f>
        <v/>
      </c>
      <c r="E203" s="374"/>
      <c r="F203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3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3" s="12"/>
      <c r="I203" s="384" t="str">
        <f>IFERROR(IF(TRANSHARI6_SOFTDRINKPAGI[[#This Row],[NAMA REKENING]]="","",TRANSHARI6_SOFTDRINKPAGI[[#This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IFERROR(VLOOKUP(TRANSHARI6_SOFTDRINKMALAM[[#This Row],[PRODUK]],DATA_SOFTDRINK[],8,FALSE),"")</f>
        <v/>
      </c>
      <c r="T203" s="374"/>
      <c r="U203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3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3" s="12"/>
      <c r="X203" s="384" t="str">
        <f>IFERROR(IF(TRANSHARI6_SOFTDRINKMALAM[[#This Row],[NAMA REKENING]]="","",TRANSHARI6_SOFTDRINKMALAM[[#This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IFERROR(VLOOKUP(TRANSHARI6_SOFTDRINKPAGI[[#This Row],[PRODUK]],DATA_SOFTDRINK[],8,FALSE),"")</f>
        <v/>
      </c>
      <c r="E204" s="374"/>
      <c r="F204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4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4" s="12"/>
      <c r="I204" s="386" t="str">
        <f>IFERROR(IF(TRANSHARI6_SOFTDRINKPAGI[[#This Row],[NAMA REKENING]]="","",TRANSHARI6_SOFTDRINKPAGI[[#This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IFERROR(VLOOKUP(TRANSHARI6_SOFTDRINKMALAM[[#This Row],[PRODUK]],DATA_SOFTDRINK[],8,FALSE),"")</f>
        <v/>
      </c>
      <c r="T204" s="374"/>
      <c r="U204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4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4" s="12"/>
      <c r="X204" s="386" t="str">
        <f>IFERROR(IF(TRANSHARI6_SOFTDRINKMALAM[[#This Row],[NAMA REKENING]]="","",TRANSHARI6_SOFTDRINKMALAM[[#This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IFERROR(VLOOKUP(TRANSHARI6_SOFTDRINKPAGI[[#This Row],[PRODUK]],DATA_SOFTDRINK[],8,FALSE),"")</f>
        <v/>
      </c>
      <c r="E205" s="374"/>
      <c r="F205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5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5" s="12"/>
      <c r="I205" s="384" t="str">
        <f>IFERROR(IF(TRANSHARI6_SOFTDRINKPAGI[[#This Row],[NAMA REKENING]]="","",TRANSHARI6_SOFTDRINKPAGI[[#This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IFERROR(VLOOKUP(TRANSHARI6_SOFTDRINKMALAM[[#This Row],[PRODUK]],DATA_SOFTDRINK[],8,FALSE),"")</f>
        <v/>
      </c>
      <c r="T205" s="374"/>
      <c r="U205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5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5" s="12"/>
      <c r="X205" s="384" t="str">
        <f>IFERROR(IF(TRANSHARI6_SOFTDRINKMALAM[[#This Row],[NAMA REKENING]]="","",TRANSHARI6_SOFTDRINKMALAM[[#This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IFERROR(VLOOKUP(TRANSHARI6_SOFTDRINKPAGI[[#This Row],[PRODUK]],DATA_SOFTDRINK[],8,FALSE),"")</f>
        <v/>
      </c>
      <c r="E206" s="374"/>
      <c r="F206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6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6" s="12"/>
      <c r="I206" s="386" t="str">
        <f>IFERROR(IF(TRANSHARI6_SOFTDRINKPAGI[[#This Row],[NAMA REKENING]]="","",TRANSHARI6_SOFTDRINKPAGI[[#This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IFERROR(VLOOKUP(TRANSHARI6_SOFTDRINKMALAM[[#This Row],[PRODUK]],DATA_SOFTDRINK[],8,FALSE),"")</f>
        <v/>
      </c>
      <c r="T206" s="374"/>
      <c r="U206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6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6" s="12"/>
      <c r="X206" s="386" t="str">
        <f>IFERROR(IF(TRANSHARI6_SOFTDRINKMALAM[[#This Row],[NAMA REKENING]]="","",TRANSHARI6_SOFTDRINKMALAM[[#This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IFERROR(VLOOKUP(TRANSHARI6_SOFTDRINKPAGI[[#This Row],[PRODUK]],DATA_SOFTDRINK[],8,FALSE),"")</f>
        <v/>
      </c>
      <c r="E207" s="374"/>
      <c r="F207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7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7" s="12"/>
      <c r="I207" s="384" t="str">
        <f>IFERROR(IF(TRANSHARI6_SOFTDRINKPAGI[[#This Row],[NAMA REKENING]]="","",TRANSHARI6_SOFTDRINKPAGI[[#This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IFERROR(VLOOKUP(TRANSHARI6_SOFTDRINKMALAM[[#This Row],[PRODUK]],DATA_SOFTDRINK[],8,FALSE),"")</f>
        <v/>
      </c>
      <c r="T207" s="374"/>
      <c r="U207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7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7" s="12"/>
      <c r="X207" s="384" t="str">
        <f>IFERROR(IF(TRANSHARI6_SOFTDRINKMALAM[[#This Row],[NAMA REKENING]]="","",TRANSHARI6_SOFTDRINKMALAM[[#This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IFERROR(VLOOKUP(TRANSHARI6_SOFTDRINKPAGI[[#This Row],[PRODUK]],DATA_SOFTDRINK[],8,FALSE),"")</f>
        <v/>
      </c>
      <c r="E208" s="374"/>
      <c r="F208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8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8" s="12"/>
      <c r="I208" s="386" t="str">
        <f>IFERROR(IF(TRANSHARI6_SOFTDRINKPAGI[[#This Row],[NAMA REKENING]]="","",TRANSHARI6_SOFTDRINKPAGI[[#This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IFERROR(VLOOKUP(TRANSHARI6_SOFTDRINKMALAM[[#This Row],[PRODUK]],DATA_SOFTDRINK[],8,FALSE),"")</f>
        <v/>
      </c>
      <c r="T208" s="374"/>
      <c r="U208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8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8" s="12"/>
      <c r="X208" s="386" t="str">
        <f>IFERROR(IF(TRANSHARI6_SOFTDRINKMALAM[[#This Row],[NAMA REKENING]]="","",TRANSHARI6_SOFTDRINKMALAM[[#This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IFERROR(VLOOKUP(TRANSHARI6_SOFTDRINKPAGI[[#This Row],[PRODUK]],DATA_SOFTDRINK[],8,FALSE),"")</f>
        <v/>
      </c>
      <c r="E209" s="374"/>
      <c r="F209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09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09" s="12"/>
      <c r="I209" s="384" t="str">
        <f>IFERROR(IF(TRANSHARI6_SOFTDRINKPAGI[[#This Row],[NAMA REKENING]]="","",TRANSHARI6_SOFTDRINKPAGI[[#This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IFERROR(VLOOKUP(TRANSHARI6_SOFTDRINKMALAM[[#This Row],[PRODUK]],DATA_SOFTDRINK[],8,FALSE),"")</f>
        <v/>
      </c>
      <c r="T209" s="374"/>
      <c r="U209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09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09" s="12"/>
      <c r="X209" s="384" t="str">
        <f>IFERROR(IF(TRANSHARI6_SOFTDRINKMALAM[[#This Row],[NAMA REKENING]]="","",TRANSHARI6_SOFTDRINKMALAM[[#This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IFERROR(VLOOKUP(TRANSHARI6_SOFTDRINKPAGI[[#This Row],[PRODUK]],DATA_SOFTDRINK[],8,FALSE),"")</f>
        <v/>
      </c>
      <c r="E210" s="374"/>
      <c r="F210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0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0" s="12"/>
      <c r="I210" s="386" t="str">
        <f>IFERROR(IF(TRANSHARI6_SOFTDRINKPAGI[[#This Row],[NAMA REKENING]]="","",TRANSHARI6_SOFTDRINKPAGI[[#This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IFERROR(VLOOKUP(TRANSHARI6_SOFTDRINKMALAM[[#This Row],[PRODUK]],DATA_SOFTDRINK[],8,FALSE),"")</f>
        <v/>
      </c>
      <c r="T210" s="374"/>
      <c r="U210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0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0" s="12"/>
      <c r="X210" s="386" t="str">
        <f>IFERROR(IF(TRANSHARI6_SOFTDRINKMALAM[[#This Row],[NAMA REKENING]]="","",TRANSHARI6_SOFTDRINKMALAM[[#This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IFERROR(VLOOKUP(TRANSHARI6_SOFTDRINKPAGI[[#This Row],[PRODUK]],DATA_SOFTDRINK[],8,FALSE),"")</f>
        <v/>
      </c>
      <c r="E211" s="374"/>
      <c r="F211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1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1" s="12"/>
      <c r="I211" s="384" t="str">
        <f>IFERROR(IF(TRANSHARI6_SOFTDRINKPAGI[[#This Row],[NAMA REKENING]]="","",TRANSHARI6_SOFTDRINKPAGI[[#This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IFERROR(VLOOKUP(TRANSHARI6_SOFTDRINKMALAM[[#This Row],[PRODUK]],DATA_SOFTDRINK[],8,FALSE),"")</f>
        <v/>
      </c>
      <c r="T211" s="374"/>
      <c r="U211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1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1" s="12"/>
      <c r="X211" s="384" t="str">
        <f>IFERROR(IF(TRANSHARI6_SOFTDRINKMALAM[[#This Row],[NAMA REKENING]]="","",TRANSHARI6_SOFTDRINKMALAM[[#This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IFERROR(VLOOKUP(TRANSHARI6_SOFTDRINKPAGI[[#This Row],[PRODUK]],DATA_SOFTDRINK[],8,FALSE),"")</f>
        <v/>
      </c>
      <c r="E212" s="374"/>
      <c r="F212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2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2" s="12"/>
      <c r="I212" s="386" t="str">
        <f>IFERROR(IF(TRANSHARI6_SOFTDRINKPAGI[[#This Row],[NAMA REKENING]]="","",TRANSHARI6_SOFTDRINKPAGI[[#This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IFERROR(VLOOKUP(TRANSHARI6_SOFTDRINKMALAM[[#This Row],[PRODUK]],DATA_SOFTDRINK[],8,FALSE),"")</f>
        <v/>
      </c>
      <c r="T212" s="374"/>
      <c r="U212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2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2" s="12"/>
      <c r="X212" s="386" t="str">
        <f>IFERROR(IF(TRANSHARI6_SOFTDRINKMALAM[[#This Row],[NAMA REKENING]]="","",TRANSHARI6_SOFTDRINKMALAM[[#This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IFERROR(VLOOKUP(TRANSHARI6_SOFTDRINKPAGI[[#This Row],[PRODUK]],DATA_SOFTDRINK[],8,FALSE),"")</f>
        <v/>
      </c>
      <c r="E213" s="374"/>
      <c r="F213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3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3" s="12"/>
      <c r="I213" s="384" t="str">
        <f>IFERROR(IF(TRANSHARI6_SOFTDRINKPAGI[[#This Row],[NAMA REKENING]]="","",TRANSHARI6_SOFTDRINKPAGI[[#This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IFERROR(VLOOKUP(TRANSHARI6_SOFTDRINKMALAM[[#This Row],[PRODUK]],DATA_SOFTDRINK[],8,FALSE),"")</f>
        <v/>
      </c>
      <c r="T213" s="374"/>
      <c r="U213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3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3" s="12"/>
      <c r="X213" s="384" t="str">
        <f>IFERROR(IF(TRANSHARI6_SOFTDRINKMALAM[[#This Row],[NAMA REKENING]]="","",TRANSHARI6_SOFTDRINKMALAM[[#This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IFERROR(VLOOKUP(TRANSHARI6_SOFTDRINKPAGI[[#This Row],[PRODUK]],DATA_SOFTDRINK[],8,FALSE),"")</f>
        <v/>
      </c>
      <c r="E214" s="374"/>
      <c r="F214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4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4" s="12"/>
      <c r="I214" s="386" t="str">
        <f>IFERROR(IF(TRANSHARI6_SOFTDRINKPAGI[[#This Row],[NAMA REKENING]]="","",TRANSHARI6_SOFTDRINKPAGI[[#This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IFERROR(VLOOKUP(TRANSHARI6_SOFTDRINKMALAM[[#This Row],[PRODUK]],DATA_SOFTDRINK[],8,FALSE),"")</f>
        <v/>
      </c>
      <c r="T214" s="374"/>
      <c r="U214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4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4" s="12"/>
      <c r="X214" s="386" t="str">
        <f>IFERROR(IF(TRANSHARI6_SOFTDRINKMALAM[[#This Row],[NAMA REKENING]]="","",TRANSHARI6_SOFTDRINKMALAM[[#This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IFERROR(VLOOKUP(TRANSHARI6_SOFTDRINKPAGI[[#This Row],[PRODUK]],DATA_SOFTDRINK[],8,FALSE),"")</f>
        <v/>
      </c>
      <c r="E215" s="374"/>
      <c r="F215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5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5" s="12"/>
      <c r="I215" s="384" t="str">
        <f>IFERROR(IF(TRANSHARI6_SOFTDRINKPAGI[[#This Row],[NAMA REKENING]]="","",TRANSHARI6_SOFTDRINKPAGI[[#This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IFERROR(VLOOKUP(TRANSHARI6_SOFTDRINKMALAM[[#This Row],[PRODUK]],DATA_SOFTDRINK[],8,FALSE),"")</f>
        <v/>
      </c>
      <c r="T215" s="374"/>
      <c r="U215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5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5" s="12"/>
      <c r="X215" s="384" t="str">
        <f>IFERROR(IF(TRANSHARI6_SOFTDRINKMALAM[[#This Row],[NAMA REKENING]]="","",TRANSHARI6_SOFTDRINKMALAM[[#This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IFERROR(VLOOKUP(TRANSHARI6_SOFTDRINKPAGI[[#This Row],[PRODUK]],DATA_SOFTDRINK[],8,FALSE),"")</f>
        <v/>
      </c>
      <c r="E216" s="374"/>
      <c r="F216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6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6" s="12"/>
      <c r="I216" s="386" t="str">
        <f>IFERROR(IF(TRANSHARI6_SOFTDRINKPAGI[[#This Row],[NAMA REKENING]]="","",TRANSHARI6_SOFTDRINKPAGI[[#This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IFERROR(VLOOKUP(TRANSHARI6_SOFTDRINKMALAM[[#This Row],[PRODUK]],DATA_SOFTDRINK[],8,FALSE),"")</f>
        <v/>
      </c>
      <c r="T216" s="374"/>
      <c r="U216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6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6" s="12"/>
      <c r="X216" s="386" t="str">
        <f>IFERROR(IF(TRANSHARI6_SOFTDRINKMALAM[[#This Row],[NAMA REKENING]]="","",TRANSHARI6_SOFTDRINKMALAM[[#This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IFERROR(VLOOKUP(TRANSHARI6_SOFTDRINKPAGI[[#This Row],[PRODUK]],DATA_SOFTDRINK[],8,FALSE),"")</f>
        <v/>
      </c>
      <c r="E217" s="374"/>
      <c r="F217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7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7" s="12"/>
      <c r="I217" s="384" t="str">
        <f>IFERROR(IF(TRANSHARI6_SOFTDRINKPAGI[[#This Row],[NAMA REKENING]]="","",TRANSHARI6_SOFTDRINKPAGI[[#This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IFERROR(VLOOKUP(TRANSHARI6_SOFTDRINKMALAM[[#This Row],[PRODUK]],DATA_SOFTDRINK[],8,FALSE),"")</f>
        <v/>
      </c>
      <c r="T217" s="374"/>
      <c r="U217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7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7" s="12"/>
      <c r="X217" s="384" t="str">
        <f>IFERROR(IF(TRANSHARI6_SOFTDRINKMALAM[[#This Row],[NAMA REKENING]]="","",TRANSHARI6_SOFTDRINKMALAM[[#This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IFERROR(VLOOKUP(TRANSHARI6_SOFTDRINKPAGI[[#This Row],[PRODUK]],DATA_SOFTDRINK[],8,FALSE),"")</f>
        <v/>
      </c>
      <c r="E218" s="374"/>
      <c r="F218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8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8" s="12"/>
      <c r="I218" s="386" t="str">
        <f>IFERROR(IF(TRANSHARI6_SOFTDRINKPAGI[[#This Row],[NAMA REKENING]]="","",TRANSHARI6_SOFTDRINKPAGI[[#This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IFERROR(VLOOKUP(TRANSHARI6_SOFTDRINKMALAM[[#This Row],[PRODUK]],DATA_SOFTDRINK[],8,FALSE),"")</f>
        <v/>
      </c>
      <c r="T218" s="374"/>
      <c r="U218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8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8" s="12"/>
      <c r="X218" s="386" t="str">
        <f>IFERROR(IF(TRANSHARI6_SOFTDRINKMALAM[[#This Row],[NAMA REKENING]]="","",TRANSHARI6_SOFTDRINKMALAM[[#This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IFERROR(VLOOKUP(TRANSHARI6_SOFTDRINKPAGI[[#This Row],[PRODUK]],DATA_SOFTDRINK[],8,FALSE),"")</f>
        <v/>
      </c>
      <c r="E219" s="374"/>
      <c r="F219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19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19" s="12"/>
      <c r="I219" s="384" t="str">
        <f>IFERROR(IF(TRANSHARI6_SOFTDRINKPAGI[[#This Row],[NAMA REKENING]]="","",TRANSHARI6_SOFTDRINKPAGI[[#This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IFERROR(VLOOKUP(TRANSHARI6_SOFTDRINKMALAM[[#This Row],[PRODUK]],DATA_SOFTDRINK[],8,FALSE),"")</f>
        <v/>
      </c>
      <c r="T219" s="374"/>
      <c r="U219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19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19" s="12"/>
      <c r="X219" s="384" t="str">
        <f>IFERROR(IF(TRANSHARI6_SOFTDRINKMALAM[[#This Row],[NAMA REKENING]]="","",TRANSHARI6_SOFTDRINKMALAM[[#This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IFERROR(VLOOKUP(TRANSHARI6_SOFTDRINKPAGI[[#This Row],[PRODUK]],DATA_SOFTDRINK[],8,FALSE),"")</f>
        <v/>
      </c>
      <c r="E220" s="374"/>
      <c r="F220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0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0" s="12"/>
      <c r="I220" s="386" t="str">
        <f>IFERROR(IF(TRANSHARI6_SOFTDRINKPAGI[[#This Row],[NAMA REKENING]]="","",TRANSHARI6_SOFTDRINKPAGI[[#This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IFERROR(VLOOKUP(TRANSHARI6_SOFTDRINKMALAM[[#This Row],[PRODUK]],DATA_SOFTDRINK[],8,FALSE),"")</f>
        <v/>
      </c>
      <c r="T220" s="374"/>
      <c r="U220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0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0" s="12"/>
      <c r="X220" s="386" t="str">
        <f>IFERROR(IF(TRANSHARI6_SOFTDRINKMALAM[[#This Row],[NAMA REKENING]]="","",TRANSHARI6_SOFTDRINKMALAM[[#This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IFERROR(VLOOKUP(TRANSHARI6_SOFTDRINKPAGI[[#This Row],[PRODUK]],DATA_SOFTDRINK[],8,FALSE),"")</f>
        <v/>
      </c>
      <c r="E221" s="374"/>
      <c r="F221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1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1" s="12"/>
      <c r="I221" s="384" t="str">
        <f>IFERROR(IF(TRANSHARI6_SOFTDRINKPAGI[[#This Row],[NAMA REKENING]]="","",TRANSHARI6_SOFTDRINKPAGI[[#This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IFERROR(VLOOKUP(TRANSHARI6_SOFTDRINKMALAM[[#This Row],[PRODUK]],DATA_SOFTDRINK[],8,FALSE),"")</f>
        <v/>
      </c>
      <c r="T221" s="374"/>
      <c r="U221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1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1" s="12"/>
      <c r="X221" s="384" t="str">
        <f>IFERROR(IF(TRANSHARI6_SOFTDRINKMALAM[[#This Row],[NAMA REKENING]]="","",TRANSHARI6_SOFTDRINKMALAM[[#This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IFERROR(VLOOKUP(TRANSHARI6_SOFTDRINKPAGI[[#This Row],[PRODUK]],DATA_SOFTDRINK[],8,FALSE),"")</f>
        <v/>
      </c>
      <c r="E222" s="374"/>
      <c r="F222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2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2" s="12"/>
      <c r="I222" s="386" t="str">
        <f>IFERROR(IF(TRANSHARI6_SOFTDRINKPAGI[[#This Row],[NAMA REKENING]]="","",TRANSHARI6_SOFTDRINKPAGI[[#This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IFERROR(VLOOKUP(TRANSHARI6_SOFTDRINKMALAM[[#This Row],[PRODUK]],DATA_SOFTDRINK[],8,FALSE),"")</f>
        <v/>
      </c>
      <c r="T222" s="374"/>
      <c r="U222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2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2" s="12"/>
      <c r="X222" s="386" t="str">
        <f>IFERROR(IF(TRANSHARI6_SOFTDRINKMALAM[[#This Row],[NAMA REKENING]]="","",TRANSHARI6_SOFTDRINKMALAM[[#This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IFERROR(VLOOKUP(TRANSHARI6_SOFTDRINKPAGI[[#This Row],[PRODUK]],DATA_SOFTDRINK[],8,FALSE),"")</f>
        <v/>
      </c>
      <c r="E223" s="374"/>
      <c r="F223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3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3" s="12"/>
      <c r="I223" s="384" t="str">
        <f>IFERROR(IF(TRANSHARI6_SOFTDRINKPAGI[[#This Row],[NAMA REKENING]]="","",TRANSHARI6_SOFTDRINKPAGI[[#This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IFERROR(VLOOKUP(TRANSHARI6_SOFTDRINKMALAM[[#This Row],[PRODUK]],DATA_SOFTDRINK[],8,FALSE),"")</f>
        <v/>
      </c>
      <c r="T223" s="374"/>
      <c r="U223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3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3" s="12"/>
      <c r="X223" s="384" t="str">
        <f>IFERROR(IF(TRANSHARI6_SOFTDRINKMALAM[[#This Row],[NAMA REKENING]]="","",TRANSHARI6_SOFTDRINKMALAM[[#This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IFERROR(VLOOKUP(TRANSHARI6_SOFTDRINKPAGI[[#This Row],[PRODUK]],DATA_SOFTDRINK[],8,FALSE),"")</f>
        <v/>
      </c>
      <c r="E224" s="376"/>
      <c r="F224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4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4" s="377"/>
      <c r="I224" s="386" t="str">
        <f>IFERROR(IF(TRANSHARI6_SOFTDRINKPAGI[[#This Row],[NAMA REKENING]]="","",TRANSHARI6_SOFTDRINKPAGI[[#This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IFERROR(VLOOKUP(TRANSHARI6_SOFTDRINKMALAM[[#This Row],[PRODUK]],DATA_SOFTDRINK[],8,FALSE),"")</f>
        <v/>
      </c>
      <c r="T224" s="376"/>
      <c r="U224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4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4" s="377"/>
      <c r="X224" s="386" t="str">
        <f>IFERROR(IF(TRANSHARI6_SOFTDRINKMALAM[[#This Row],[NAMA REKENING]]="","",TRANSHARI6_SOFTDRINKMALAM[[#This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IFERROR(VLOOKUP(TRANSHARI6_SOFTDRINKPAGI[[#This Row],[PRODUK]],DATA_SOFTDRINK[],8,FALSE),"")</f>
        <v/>
      </c>
      <c r="E225" s="374"/>
      <c r="F225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5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5" s="12"/>
      <c r="I225" s="384" t="str">
        <f>IFERROR(IF(TRANSHARI6_SOFTDRINKPAGI[[#This Row],[NAMA REKENING]]="","",TRANSHARI6_SOFTDRINKPAGI[[#This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IFERROR(VLOOKUP(TRANSHARI6_SOFTDRINKMALAM[[#This Row],[PRODUK]],DATA_SOFTDRINK[],8,FALSE),"")</f>
        <v/>
      </c>
      <c r="T225" s="374"/>
      <c r="U225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5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5" s="12"/>
      <c r="X225" s="384" t="str">
        <f>IFERROR(IF(TRANSHARI6_SOFTDRINKMALAM[[#This Row],[NAMA REKENING]]="","",TRANSHARI6_SOFTDRINKMALAM[[#This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IFERROR(VLOOKUP(TRANSHARI6_SOFTDRINKPAGI[[#This Row],[PRODUK]],DATA_SOFTDRINK[],8,FALSE),"")</f>
        <v/>
      </c>
      <c r="E226" s="374"/>
      <c r="F226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6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6" s="12"/>
      <c r="I226" s="386" t="str">
        <f>IFERROR(IF(TRANSHARI6_SOFTDRINKPAGI[[#This Row],[NAMA REKENING]]="","",TRANSHARI6_SOFTDRINKPAGI[[#This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IFERROR(VLOOKUP(TRANSHARI6_SOFTDRINKMALAM[[#This Row],[PRODUK]],DATA_SOFTDRINK[],8,FALSE),"")</f>
        <v/>
      </c>
      <c r="T226" s="374"/>
      <c r="U226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6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6" s="12"/>
      <c r="X226" s="386" t="str">
        <f>IFERROR(IF(TRANSHARI6_SOFTDRINKMALAM[[#This Row],[NAMA REKENING]]="","",TRANSHARI6_SOFTDRINKMALAM[[#This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IFERROR(VLOOKUP(TRANSHARI6_SOFTDRINKPAGI[[#This Row],[PRODUK]],DATA_SOFTDRINK[],8,FALSE),"")</f>
        <v/>
      </c>
      <c r="E227" s="374"/>
      <c r="F227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7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7" s="12"/>
      <c r="I227" s="384" t="str">
        <f>IFERROR(IF(TRANSHARI6_SOFTDRINKPAGI[[#This Row],[NAMA REKENING]]="","",TRANSHARI6_SOFTDRINKPAGI[[#This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IFERROR(VLOOKUP(TRANSHARI6_SOFTDRINKMALAM[[#This Row],[PRODUK]],DATA_SOFTDRINK[],8,FALSE),"")</f>
        <v/>
      </c>
      <c r="T227" s="374"/>
      <c r="U227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7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7" s="12"/>
      <c r="X227" s="384" t="str">
        <f>IFERROR(IF(TRANSHARI6_SOFTDRINKMALAM[[#This Row],[NAMA REKENING]]="","",TRANSHARI6_SOFTDRINKMALAM[[#This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IFERROR(VLOOKUP(TRANSHARI6_SOFTDRINKPAGI[[#This Row],[PRODUK]],DATA_SOFTDRINK[],8,FALSE),"")</f>
        <v/>
      </c>
      <c r="E228" s="374"/>
      <c r="F228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8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8" s="12"/>
      <c r="I228" s="386" t="str">
        <f>IFERROR(IF(TRANSHARI6_SOFTDRINKPAGI[[#This Row],[NAMA REKENING]]="","",TRANSHARI6_SOFTDRINKPAGI[[#This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IFERROR(VLOOKUP(TRANSHARI6_SOFTDRINKMALAM[[#This Row],[PRODUK]],DATA_SOFTDRINK[],8,FALSE),"")</f>
        <v/>
      </c>
      <c r="T228" s="374"/>
      <c r="U228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8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8" s="12"/>
      <c r="X228" s="386" t="str">
        <f>IFERROR(IF(TRANSHARI6_SOFTDRINKMALAM[[#This Row],[NAMA REKENING]]="","",TRANSHARI6_SOFTDRINKMALAM[[#This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IFERROR(VLOOKUP(TRANSHARI6_SOFTDRINKPAGI[[#This Row],[PRODUK]],DATA_SOFTDRINK[],8,FALSE),"")</f>
        <v/>
      </c>
      <c r="E229" s="374"/>
      <c r="F229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29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29" s="12"/>
      <c r="I229" s="384" t="str">
        <f>IFERROR(IF(TRANSHARI6_SOFTDRINKPAGI[[#This Row],[NAMA REKENING]]="","",TRANSHARI6_SOFTDRINKPAGI[[#This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IFERROR(VLOOKUP(TRANSHARI6_SOFTDRINKMALAM[[#This Row],[PRODUK]],DATA_SOFTDRINK[],8,FALSE),"")</f>
        <v/>
      </c>
      <c r="T229" s="374"/>
      <c r="U229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29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29" s="12"/>
      <c r="X229" s="384" t="str">
        <f>IFERROR(IF(TRANSHARI6_SOFTDRINKMALAM[[#This Row],[NAMA REKENING]]="","",TRANSHARI6_SOFTDRINKMALAM[[#This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IFERROR(VLOOKUP(TRANSHARI6_SOFTDRINKPAGI[[#This Row],[PRODUK]],DATA_SOFTDRINK[],8,FALSE),"")</f>
        <v/>
      </c>
      <c r="E230" s="374"/>
      <c r="F230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0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0" s="12"/>
      <c r="I230" s="386" t="str">
        <f>IFERROR(IF(TRANSHARI6_SOFTDRINKPAGI[[#This Row],[NAMA REKENING]]="","",TRANSHARI6_SOFTDRINKPAGI[[#This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IFERROR(VLOOKUP(TRANSHARI6_SOFTDRINKMALAM[[#This Row],[PRODUK]],DATA_SOFTDRINK[],8,FALSE),"")</f>
        <v/>
      </c>
      <c r="T230" s="374"/>
      <c r="U230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0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0" s="12"/>
      <c r="X230" s="386" t="str">
        <f>IFERROR(IF(TRANSHARI6_SOFTDRINKMALAM[[#This Row],[NAMA REKENING]]="","",TRANSHARI6_SOFTDRINKMALAM[[#This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IFERROR(VLOOKUP(TRANSHARI6_SOFTDRINKPAGI[[#This Row],[PRODUK]],DATA_SOFTDRINK[],8,FALSE),"")</f>
        <v/>
      </c>
      <c r="E231" s="374"/>
      <c r="F231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1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1" s="12"/>
      <c r="I231" s="384" t="str">
        <f>IFERROR(IF(TRANSHARI6_SOFTDRINKPAGI[[#This Row],[NAMA REKENING]]="","",TRANSHARI6_SOFTDRINKPAGI[[#This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IFERROR(VLOOKUP(TRANSHARI6_SOFTDRINKMALAM[[#This Row],[PRODUK]],DATA_SOFTDRINK[],8,FALSE),"")</f>
        <v/>
      </c>
      <c r="T231" s="374"/>
      <c r="U231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1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1" s="12"/>
      <c r="X231" s="384" t="str">
        <f>IFERROR(IF(TRANSHARI6_SOFTDRINKMALAM[[#This Row],[NAMA REKENING]]="","",TRANSHARI6_SOFTDRINKMALAM[[#This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IFERROR(VLOOKUP(TRANSHARI6_SOFTDRINKPAGI[[#This Row],[PRODUK]],DATA_SOFTDRINK[],8,FALSE),"")</f>
        <v/>
      </c>
      <c r="E232" s="374"/>
      <c r="F232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2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2" s="12"/>
      <c r="I232" s="386" t="str">
        <f>IFERROR(IF(TRANSHARI6_SOFTDRINKPAGI[[#This Row],[NAMA REKENING]]="","",TRANSHARI6_SOFTDRINKPAGI[[#This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IFERROR(VLOOKUP(TRANSHARI6_SOFTDRINKMALAM[[#This Row],[PRODUK]],DATA_SOFTDRINK[],8,FALSE),"")</f>
        <v/>
      </c>
      <c r="T232" s="374"/>
      <c r="U232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2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2" s="12"/>
      <c r="X232" s="386" t="str">
        <f>IFERROR(IF(TRANSHARI6_SOFTDRINKMALAM[[#This Row],[NAMA REKENING]]="","",TRANSHARI6_SOFTDRINKMALAM[[#This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IFERROR(VLOOKUP(TRANSHARI6_SOFTDRINKPAGI[[#This Row],[PRODUK]],DATA_SOFTDRINK[],8,FALSE),"")</f>
        <v/>
      </c>
      <c r="E233" s="374"/>
      <c r="F233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3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3" s="12"/>
      <c r="I233" s="384" t="str">
        <f>IFERROR(IF(TRANSHARI6_SOFTDRINKPAGI[[#This Row],[NAMA REKENING]]="","",TRANSHARI6_SOFTDRINKPAGI[[#This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IFERROR(VLOOKUP(TRANSHARI6_SOFTDRINKMALAM[[#This Row],[PRODUK]],DATA_SOFTDRINK[],8,FALSE),"")</f>
        <v/>
      </c>
      <c r="T233" s="374"/>
      <c r="U233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3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3" s="12"/>
      <c r="X233" s="384" t="str">
        <f>IFERROR(IF(TRANSHARI6_SOFTDRINKMALAM[[#This Row],[NAMA REKENING]]="","",TRANSHARI6_SOFTDRINKMALAM[[#This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IFERROR(VLOOKUP(TRANSHARI6_SOFTDRINKPAGI[[#This Row],[PRODUK]],DATA_SOFTDRINK[],8,FALSE),"")</f>
        <v/>
      </c>
      <c r="E234" s="374"/>
      <c r="F234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4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4" s="12"/>
      <c r="I234" s="386" t="str">
        <f>IFERROR(IF(TRANSHARI6_SOFTDRINKPAGI[[#This Row],[NAMA REKENING]]="","",TRANSHARI6_SOFTDRINKPAGI[[#This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IFERROR(VLOOKUP(TRANSHARI6_SOFTDRINKMALAM[[#This Row],[PRODUK]],DATA_SOFTDRINK[],8,FALSE),"")</f>
        <v/>
      </c>
      <c r="T234" s="374"/>
      <c r="U234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4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4" s="12"/>
      <c r="X234" s="386" t="str">
        <f>IFERROR(IF(TRANSHARI6_SOFTDRINKMALAM[[#This Row],[NAMA REKENING]]="","",TRANSHARI6_SOFTDRINKMALAM[[#This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IFERROR(VLOOKUP(TRANSHARI6_SOFTDRINKPAGI[[#This Row],[PRODUK]],DATA_SOFTDRINK[],8,FALSE),"")</f>
        <v/>
      </c>
      <c r="E235" s="374"/>
      <c r="F235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5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5" s="12"/>
      <c r="I235" s="384" t="str">
        <f>IFERROR(IF(TRANSHARI6_SOFTDRINKPAGI[[#This Row],[NAMA REKENING]]="","",TRANSHARI6_SOFTDRINKPAGI[[#This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IFERROR(VLOOKUP(TRANSHARI6_SOFTDRINKMALAM[[#This Row],[PRODUK]],DATA_SOFTDRINK[],8,FALSE),"")</f>
        <v/>
      </c>
      <c r="T235" s="374"/>
      <c r="U235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5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5" s="12"/>
      <c r="X235" s="384" t="str">
        <f>IFERROR(IF(TRANSHARI6_SOFTDRINKMALAM[[#This Row],[NAMA REKENING]]="","",TRANSHARI6_SOFTDRINKMALAM[[#This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IFERROR(VLOOKUP(TRANSHARI6_SOFTDRINKPAGI[[#This Row],[PRODUK]],DATA_SOFTDRINK[],8,FALSE),"")</f>
        <v/>
      </c>
      <c r="E236" s="374"/>
      <c r="F236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6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6" s="12"/>
      <c r="I236" s="386" t="str">
        <f>IFERROR(IF(TRANSHARI6_SOFTDRINKPAGI[[#This Row],[NAMA REKENING]]="","",TRANSHARI6_SOFTDRINKPAGI[[#This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IFERROR(VLOOKUP(TRANSHARI6_SOFTDRINKMALAM[[#This Row],[PRODUK]],DATA_SOFTDRINK[],8,FALSE),"")</f>
        <v/>
      </c>
      <c r="T236" s="374"/>
      <c r="U236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6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6" s="12"/>
      <c r="X236" s="386" t="str">
        <f>IFERROR(IF(TRANSHARI6_SOFTDRINKMALAM[[#This Row],[NAMA REKENING]]="","",TRANSHARI6_SOFTDRINKMALAM[[#This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IFERROR(VLOOKUP(TRANSHARI6_SOFTDRINKPAGI[[#This Row],[PRODUK]],DATA_SOFTDRINK[],8,FALSE),"")</f>
        <v/>
      </c>
      <c r="E237" s="374"/>
      <c r="F237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7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7" s="12"/>
      <c r="I237" s="384" t="str">
        <f>IFERROR(IF(TRANSHARI6_SOFTDRINKPAGI[[#This Row],[NAMA REKENING]]="","",TRANSHARI6_SOFTDRINKPAGI[[#This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IFERROR(VLOOKUP(TRANSHARI6_SOFTDRINKMALAM[[#This Row],[PRODUK]],DATA_SOFTDRINK[],8,FALSE),"")</f>
        <v/>
      </c>
      <c r="T237" s="374"/>
      <c r="U237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7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7" s="12"/>
      <c r="X237" s="384" t="str">
        <f>IFERROR(IF(TRANSHARI6_SOFTDRINKMALAM[[#This Row],[NAMA REKENING]]="","",TRANSHARI6_SOFTDRINKMALAM[[#This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IFERROR(VLOOKUP(TRANSHARI6_SOFTDRINKPAGI[[#This Row],[PRODUK]],DATA_SOFTDRINK[],8,FALSE),"")</f>
        <v/>
      </c>
      <c r="E238" s="374"/>
      <c r="F238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8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8" s="12"/>
      <c r="I238" s="386" t="str">
        <f>IFERROR(IF(TRANSHARI6_SOFTDRINKPAGI[[#This Row],[NAMA REKENING]]="","",TRANSHARI6_SOFTDRINKPAGI[[#This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IFERROR(VLOOKUP(TRANSHARI6_SOFTDRINKMALAM[[#This Row],[PRODUK]],DATA_SOFTDRINK[],8,FALSE),"")</f>
        <v/>
      </c>
      <c r="T238" s="374"/>
      <c r="U238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8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8" s="12"/>
      <c r="X238" s="386" t="str">
        <f>IFERROR(IF(TRANSHARI6_SOFTDRINKMALAM[[#This Row],[NAMA REKENING]]="","",TRANSHARI6_SOFTDRINKMALAM[[#This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IFERROR(VLOOKUP(TRANSHARI6_SOFTDRINKPAGI[[#This Row],[PRODUK]],DATA_SOFTDRINK[],8,FALSE),"")</f>
        <v/>
      </c>
      <c r="E239" s="374"/>
      <c r="F239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39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39" s="12"/>
      <c r="I239" s="384" t="str">
        <f>IFERROR(IF(TRANSHARI6_SOFTDRINKPAGI[[#This Row],[NAMA REKENING]]="","",TRANSHARI6_SOFTDRINKPAGI[[#This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IFERROR(VLOOKUP(TRANSHARI6_SOFTDRINKMALAM[[#This Row],[PRODUK]],DATA_SOFTDRINK[],8,FALSE),"")</f>
        <v/>
      </c>
      <c r="T239" s="374"/>
      <c r="U239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39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39" s="12"/>
      <c r="X239" s="384" t="str">
        <f>IFERROR(IF(TRANSHARI6_SOFTDRINKMALAM[[#This Row],[NAMA REKENING]]="","",TRANSHARI6_SOFTDRINKMALAM[[#This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IFERROR(VLOOKUP(TRANSHARI6_SOFTDRINKPAGI[[#This Row],[PRODUK]],DATA_SOFTDRINK[],8,FALSE),"")</f>
        <v/>
      </c>
      <c r="E240" s="374"/>
      <c r="F240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0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0" s="12"/>
      <c r="I240" s="386" t="str">
        <f>IFERROR(IF(TRANSHARI6_SOFTDRINKPAGI[[#This Row],[NAMA REKENING]]="","",TRANSHARI6_SOFTDRINKPAGI[[#This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IFERROR(VLOOKUP(TRANSHARI6_SOFTDRINKMALAM[[#This Row],[PRODUK]],DATA_SOFTDRINK[],8,FALSE),"")</f>
        <v/>
      </c>
      <c r="T240" s="374"/>
      <c r="U240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0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0" s="12"/>
      <c r="X240" s="386" t="str">
        <f>IFERROR(IF(TRANSHARI6_SOFTDRINKMALAM[[#This Row],[NAMA REKENING]]="","",TRANSHARI6_SOFTDRINKMALAM[[#This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IFERROR(VLOOKUP(TRANSHARI6_SOFTDRINKPAGI[[#This Row],[PRODUK]],DATA_SOFTDRINK[],8,FALSE),"")</f>
        <v/>
      </c>
      <c r="E241" s="374"/>
      <c r="F241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1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1" s="12"/>
      <c r="I241" s="384" t="str">
        <f>IFERROR(IF(TRANSHARI6_SOFTDRINKPAGI[[#This Row],[NAMA REKENING]]="","",TRANSHARI6_SOFTDRINKPAGI[[#This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IFERROR(VLOOKUP(TRANSHARI6_SOFTDRINKMALAM[[#This Row],[PRODUK]],DATA_SOFTDRINK[],8,FALSE),"")</f>
        <v/>
      </c>
      <c r="T241" s="374"/>
      <c r="U241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1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1" s="12"/>
      <c r="X241" s="384" t="str">
        <f>IFERROR(IF(TRANSHARI6_SOFTDRINKMALAM[[#This Row],[NAMA REKENING]]="","",TRANSHARI6_SOFTDRINKMALAM[[#This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IFERROR(VLOOKUP(TRANSHARI6_SOFTDRINKPAGI[[#This Row],[PRODUK]],DATA_SOFTDRINK[],8,FALSE),"")</f>
        <v/>
      </c>
      <c r="E242" s="374"/>
      <c r="F242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2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2" s="12"/>
      <c r="I242" s="386" t="str">
        <f>IFERROR(IF(TRANSHARI6_SOFTDRINKPAGI[[#This Row],[NAMA REKENING]]="","",TRANSHARI6_SOFTDRINKPAGI[[#This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IFERROR(VLOOKUP(TRANSHARI6_SOFTDRINKMALAM[[#This Row],[PRODUK]],DATA_SOFTDRINK[],8,FALSE),"")</f>
        <v/>
      </c>
      <c r="T242" s="374"/>
      <c r="U242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2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2" s="12"/>
      <c r="X242" s="386" t="str">
        <f>IFERROR(IF(TRANSHARI6_SOFTDRINKMALAM[[#This Row],[NAMA REKENING]]="","",TRANSHARI6_SOFTDRINKMALAM[[#This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IFERROR(VLOOKUP(TRANSHARI6_SOFTDRINKPAGI[[#This Row],[PRODUK]],DATA_SOFTDRINK[],8,FALSE),"")</f>
        <v/>
      </c>
      <c r="E243" s="374"/>
      <c r="F243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3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3" s="12"/>
      <c r="I243" s="384" t="str">
        <f>IFERROR(IF(TRANSHARI6_SOFTDRINKPAGI[[#This Row],[NAMA REKENING]]="","",TRANSHARI6_SOFTDRINKPAGI[[#This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IFERROR(VLOOKUP(TRANSHARI6_SOFTDRINKMALAM[[#This Row],[PRODUK]],DATA_SOFTDRINK[],8,FALSE),"")</f>
        <v/>
      </c>
      <c r="T243" s="374"/>
      <c r="U243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3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3" s="12"/>
      <c r="X243" s="384" t="str">
        <f>IFERROR(IF(TRANSHARI6_SOFTDRINKMALAM[[#This Row],[NAMA REKENING]]="","",TRANSHARI6_SOFTDRINKMALAM[[#This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IFERROR(VLOOKUP(TRANSHARI6_SOFTDRINKPAGI[[#This Row],[PRODUK]],DATA_SOFTDRINK[],8,FALSE),"")</f>
        <v/>
      </c>
      <c r="E244" s="374"/>
      <c r="F244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4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4" s="12"/>
      <c r="I244" s="386" t="str">
        <f>IFERROR(IF(TRANSHARI6_SOFTDRINKPAGI[[#This Row],[NAMA REKENING]]="","",TRANSHARI6_SOFTDRINKPAGI[[#This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IFERROR(VLOOKUP(TRANSHARI6_SOFTDRINKMALAM[[#This Row],[PRODUK]],DATA_SOFTDRINK[],8,FALSE),"")</f>
        <v/>
      </c>
      <c r="T244" s="374"/>
      <c r="U244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4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4" s="12"/>
      <c r="X244" s="386" t="str">
        <f>IFERROR(IF(TRANSHARI6_SOFTDRINKMALAM[[#This Row],[NAMA REKENING]]="","",TRANSHARI6_SOFTDRINKMALAM[[#This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IFERROR(VLOOKUP(TRANSHARI6_SOFTDRINKPAGI[[#This Row],[PRODUK]],DATA_SOFTDRINK[],8,FALSE),"")</f>
        <v/>
      </c>
      <c r="E245" s="374"/>
      <c r="F245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5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5" s="12"/>
      <c r="I245" s="384" t="str">
        <f>IFERROR(IF(TRANSHARI6_SOFTDRINKPAGI[[#This Row],[NAMA REKENING]]="","",TRANSHARI6_SOFTDRINKPAGI[[#This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IFERROR(VLOOKUP(TRANSHARI6_SOFTDRINKMALAM[[#This Row],[PRODUK]],DATA_SOFTDRINK[],8,FALSE),"")</f>
        <v/>
      </c>
      <c r="T245" s="374"/>
      <c r="U245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5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5" s="12"/>
      <c r="X245" s="384" t="str">
        <f>IFERROR(IF(TRANSHARI6_SOFTDRINKMALAM[[#This Row],[NAMA REKENING]]="","",TRANSHARI6_SOFTDRINKMALAM[[#This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IFERROR(VLOOKUP(TRANSHARI6_SOFTDRINKPAGI[[#This Row],[PRODUK]],DATA_SOFTDRINK[],8,FALSE),"")</f>
        <v/>
      </c>
      <c r="E246" s="374"/>
      <c r="F246" s="373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6" s="373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6" s="12"/>
      <c r="I246" s="386" t="str">
        <f>IFERROR(IF(TRANSHARI6_SOFTDRINKPAGI[[#This Row],[NAMA REKENING]]="","",TRANSHARI6_SOFTDRINKPAGI[[#This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IFERROR(VLOOKUP(TRANSHARI6_SOFTDRINKMALAM[[#This Row],[PRODUK]],DATA_SOFTDRINK[],8,FALSE),"")</f>
        <v/>
      </c>
      <c r="T246" s="374"/>
      <c r="U246" s="373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6" s="373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6" s="12"/>
      <c r="X246" s="386" t="str">
        <f>IFERROR(IF(TRANSHARI6_SOFTDRINKMALAM[[#This Row],[NAMA REKENING]]="","",TRANSHARI6_SOFTDRINKMALAM[[#This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IFERROR(VLOOKUP(TRANSHARI6_SOFTDRINKPAGI[[#This Row],[PRODUK]],DATA_SOFTDRINK[],8,FALSE),"")</f>
        <v/>
      </c>
      <c r="E247" s="374"/>
      <c r="F247" s="369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7" s="369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7" s="12"/>
      <c r="I247" s="384" t="str">
        <f>IFERROR(IF(TRANSHARI6_SOFTDRINKPAGI[[#This Row],[NAMA REKENING]]="","",TRANSHARI6_SOFTDRINKPAGI[[#This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IFERROR(VLOOKUP(TRANSHARI6_SOFTDRINKMALAM[[#This Row],[PRODUK]],DATA_SOFTDRINK[],8,FALSE),"")</f>
        <v/>
      </c>
      <c r="T247" s="374"/>
      <c r="U247" s="369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7" s="369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7" s="12"/>
      <c r="X247" s="384" t="str">
        <f>IFERROR(IF(TRANSHARI6_SOFTDRINKMALAM[[#This Row],[NAMA REKENING]]="","",TRANSHARI6_SOFTDRINKMALAM[[#This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IFERROR(VLOOKUP(TRANSHARI6_SOFTDRINKPAGI[[#This Row],[PRODUK]],DATA_SOFTDRINK[],8,FALSE),"")</f>
        <v/>
      </c>
      <c r="E248" s="376"/>
      <c r="F248" s="394" t="str">
        <f>IFERROR(IF(TRANSHARI6_SOFTDRINKPAGI[[#This Row],[NAMA PENGHUTANG]]="",((TRANSHARI6_SOFTDRINKPAGI[[#This Row],[HARGA]]*TRANSHARI6_SOFTDRINKPAGI[[#This Row],[QUANTITY]])+TRANSHARI6_SOFTDRINKPAGI[[#This Row],[PRICE TOLERANCE]]),""),"")</f>
        <v/>
      </c>
      <c r="G248" s="394" t="str">
        <f>IFERROR(IF(TRANSHARI6_SOFTDRINKPAGI[[#This Row],[NAMA PENGHUTANG]]="","",((TRANSHARI6_SOFTDRINKPAGI[[#This Row],[HARGA]]*TRANSHARI6_SOFTDRINKPAGI[[#This Row],[QUANTITY]])+TRANSHARI6_SOFTDRINKPAGI[[#This Row],[PRICE TOLERANCE]])),"")</f>
        <v/>
      </c>
      <c r="H248" s="377"/>
      <c r="I248" s="399" t="str">
        <f>IFERROR(IF(TRANSHARI6_SOFTDRINKPAGI[[#This Row],[NAMA REKENING]]="","",TRANSHARI6_SOFTDRINKPAGI[[#This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IFERROR(VLOOKUP(TRANSHARI6_SOFTDRINKMALAM[[#This Row],[PRODUK]],DATA_SOFTDRINK[],8,FALSE),"")</f>
        <v/>
      </c>
      <c r="T248" s="376"/>
      <c r="U248" s="394" t="str">
        <f>IFERROR(IF(TRANSHARI6_SOFTDRINKMALAM[[#This Row],[NAMA PENGHUTANG]]="",((TRANSHARI6_SOFTDRINKMALAM[[#This Row],[HARGA]]*TRANSHARI6_SOFTDRINKMALAM[[#This Row],[QUANTITY]])+TRANSHARI6_SOFTDRINKMALAM[[#This Row],[PRICE TOLERANCE]]),""),"")</f>
        <v/>
      </c>
      <c r="V248" s="394" t="str">
        <f>IFERROR(IF(TRANSHARI6_SOFTDRINKMALAM[[#This Row],[NAMA PENGHUTANG]]="","",((TRANSHARI6_SOFTDRINKMALAM[[#This Row],[HARGA]]*TRANSHARI6_SOFTDRINKMALAM[[#This Row],[QUANTITY]])+TRANSHARI6_SOFTDRINKMALAM[[#This Row],[PRICE TOLERANCE]])),"")</f>
        <v/>
      </c>
      <c r="W248" s="377"/>
      <c r="X248" s="399" t="str">
        <f>IFERROR(IF(TRANSHARI6_SOFTDRINKMALAM[[#This Row],[NAMA REKENING]]="","",TRANSHARI6_SOFTDRINKMALAM[[#This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SUM(TRANSHARI6_SOFTDRINKPAGI[QUANTITY])</f>
        <v>0</v>
      </c>
      <c r="E249" s="398">
        <f>SUM(TRANSHARI6_SOFTDRINKPAGI[PRICE TOLERANCE])</f>
        <v>0</v>
      </c>
      <c r="F249" s="396">
        <f>SUM(TRANSHARI6_SOFTDRINKPAGI[DEBIT])</f>
        <v>0</v>
      </c>
      <c r="G249" s="396">
        <f>SUM(TRANSHARI6_SOFTDRINKPAGI[KREDIT])</f>
        <v>0</v>
      </c>
      <c r="I249" s="396">
        <f>SUM(TRANSHARI6_SOFTDRINKPAGI[NOMINAL TRANSFER])</f>
        <v>0</v>
      </c>
      <c r="O249" s="324"/>
      <c r="P249" s="303" t="s">
        <v>78</v>
      </c>
      <c r="Q249" s="316"/>
      <c r="R249" s="395">
        <f>SUM(TRANSHARI6_SOFTDRINKMALAM[QUANTITY])</f>
        <v>0</v>
      </c>
      <c r="T249" s="398">
        <f>SUM(TRANSHARI6_SOFTDRINKMALAM[PRICE TOLERANCE])</f>
        <v>0</v>
      </c>
      <c r="U249" s="396">
        <f>SUM(TRANSHARI6_SOFTDRINKMALAM[DEBIT])</f>
        <v>0</v>
      </c>
      <c r="V249" s="396">
        <f>SUM(TRANSHARI6_SOFTDRINKMALAM[KREDIT])</f>
        <v>0</v>
      </c>
      <c r="X249" s="396">
        <f>SUM(TRANSHARI6_SOFTDRINKMALAM[NOMINAL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">
        <v>213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">
        <v>214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IFERROR(VLOOKUP(TRANSHARI6_ICECREAMPAGI[[#This Row],[PRODUK]],DATA_ICECREAM[],8,FALSE),"")</f>
        <v/>
      </c>
      <c r="E256" s="370"/>
      <c r="F256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56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56" s="371"/>
      <c r="I256" s="384" t="str">
        <f>IFERROR(IF(TRANSHARI6_ICECREAMPAGI[[#This Row],[NAMA REKENING]]="","",TRANSHARI6_ICECREAMPAGI[[#This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IFERROR(VLOOKUP(TRANSHARI6_ICECREAMMALAM[[#This Row],[PRODUK]],DATA_ICECREAM[],8,FALSE),"")</f>
        <v/>
      </c>
      <c r="T256" s="370"/>
      <c r="U256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56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56" s="371"/>
      <c r="X256" s="384" t="str">
        <f>IFERROR(IF(TRANSHARI6_ICECREAMMALAM[[#This Row],[NAMA REKENING]]="","",TRANSHARI6_ICECREAMMALAM[[#This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IFERROR(VLOOKUP(TRANSHARI6_ICECREAMPAGI[[#This Row],[PRODUK]],DATA_ICECREAM[],8,FALSE),"")</f>
        <v/>
      </c>
      <c r="E257" s="374"/>
      <c r="F257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57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57" s="12"/>
      <c r="I257" s="386" t="str">
        <f>IFERROR(IF(TRANSHARI6_ICECREAMPAGI[[#This Row],[NAMA REKENING]]="","",TRANSHARI6_ICECREAMPAGI[[#This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IFERROR(VLOOKUP(TRANSHARI6_ICECREAMMALAM[[#This Row],[PRODUK]],DATA_ICECREAM[],8,FALSE),"")</f>
        <v/>
      </c>
      <c r="T257" s="374"/>
      <c r="U257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57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57" s="12"/>
      <c r="X257" s="386" t="str">
        <f>IFERROR(IF(TRANSHARI6_ICECREAMMALAM[[#This Row],[NAMA REKENING]]="","",TRANSHARI6_ICECREAMMALAM[[#This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IFERROR(VLOOKUP(TRANSHARI6_ICECREAMPAGI[[#This Row],[PRODUK]],DATA_ICECREAM[],8,FALSE),"")</f>
        <v/>
      </c>
      <c r="E258" s="374"/>
      <c r="F258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58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58" s="12"/>
      <c r="I258" s="384" t="str">
        <f>IFERROR(IF(TRANSHARI6_ICECREAMPAGI[[#This Row],[NAMA REKENING]]="","",TRANSHARI6_ICECREAMPAGI[[#This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IFERROR(VLOOKUP(TRANSHARI6_ICECREAMMALAM[[#This Row],[PRODUK]],DATA_ICECREAM[],8,FALSE),"")</f>
        <v/>
      </c>
      <c r="T258" s="374"/>
      <c r="U258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58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58" s="12"/>
      <c r="X258" s="384" t="str">
        <f>IFERROR(IF(TRANSHARI6_ICECREAMMALAM[[#This Row],[NAMA REKENING]]="","",TRANSHARI6_ICECREAMMALAM[[#This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IFERROR(VLOOKUP(TRANSHARI6_ICECREAMPAGI[[#This Row],[PRODUK]],DATA_ICECREAM[],8,FALSE),"")</f>
        <v/>
      </c>
      <c r="E259" s="374"/>
      <c r="F259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59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59" s="12"/>
      <c r="I259" s="386" t="str">
        <f>IFERROR(IF(TRANSHARI6_ICECREAMPAGI[[#This Row],[NAMA REKENING]]="","",TRANSHARI6_ICECREAMPAGI[[#This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IFERROR(VLOOKUP(TRANSHARI6_ICECREAMMALAM[[#This Row],[PRODUK]],DATA_ICECREAM[],8,FALSE),"")</f>
        <v/>
      </c>
      <c r="T259" s="374"/>
      <c r="U259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59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59" s="12"/>
      <c r="X259" s="386" t="str">
        <f>IFERROR(IF(TRANSHARI6_ICECREAMMALAM[[#This Row],[NAMA REKENING]]="","",TRANSHARI6_ICECREAMMALAM[[#This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IFERROR(VLOOKUP(TRANSHARI6_ICECREAMPAGI[[#This Row],[PRODUK]],DATA_ICECREAM[],8,FALSE),"")</f>
        <v/>
      </c>
      <c r="E260" s="374"/>
      <c r="F260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0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0" s="12"/>
      <c r="I260" s="384" t="str">
        <f>IFERROR(IF(TRANSHARI6_ICECREAMPAGI[[#This Row],[NAMA REKENING]]="","",TRANSHARI6_ICECREAMPAGI[[#This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IFERROR(VLOOKUP(TRANSHARI6_ICECREAMMALAM[[#This Row],[PRODUK]],DATA_ICECREAM[],8,FALSE),"")</f>
        <v/>
      </c>
      <c r="T260" s="374"/>
      <c r="U260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0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0" s="12"/>
      <c r="X260" s="384" t="str">
        <f>IFERROR(IF(TRANSHARI6_ICECREAMMALAM[[#This Row],[NAMA REKENING]]="","",TRANSHARI6_ICECREAMMALAM[[#This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IFERROR(VLOOKUP(TRANSHARI6_ICECREAMPAGI[[#This Row],[PRODUK]],DATA_ICECREAM[],8,FALSE),"")</f>
        <v/>
      </c>
      <c r="E261" s="374"/>
      <c r="F261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1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1" s="12"/>
      <c r="I261" s="386" t="str">
        <f>IFERROR(IF(TRANSHARI6_ICECREAMPAGI[[#This Row],[NAMA REKENING]]="","",TRANSHARI6_ICECREAMPAGI[[#This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IFERROR(VLOOKUP(TRANSHARI6_ICECREAMMALAM[[#This Row],[PRODUK]],DATA_ICECREAM[],8,FALSE),"")</f>
        <v/>
      </c>
      <c r="T261" s="374"/>
      <c r="U261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1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1" s="12"/>
      <c r="X261" s="386" t="str">
        <f>IFERROR(IF(TRANSHARI6_ICECREAMMALAM[[#This Row],[NAMA REKENING]]="","",TRANSHARI6_ICECREAMMALAM[[#This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IFERROR(VLOOKUP(TRANSHARI6_ICECREAMPAGI[[#This Row],[PRODUK]],DATA_ICECREAM[],8,FALSE),"")</f>
        <v/>
      </c>
      <c r="E262" s="374"/>
      <c r="F262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2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2" s="12"/>
      <c r="I262" s="384" t="str">
        <f>IFERROR(IF(TRANSHARI6_ICECREAMPAGI[[#This Row],[NAMA REKENING]]="","",TRANSHARI6_ICECREAMPAGI[[#This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IFERROR(VLOOKUP(TRANSHARI6_ICECREAMMALAM[[#This Row],[PRODUK]],DATA_ICECREAM[],8,FALSE),"")</f>
        <v/>
      </c>
      <c r="T262" s="374"/>
      <c r="U262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2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2" s="12"/>
      <c r="X262" s="384" t="str">
        <f>IFERROR(IF(TRANSHARI6_ICECREAMMALAM[[#This Row],[NAMA REKENING]]="","",TRANSHARI6_ICECREAMMALAM[[#This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IFERROR(VLOOKUP(TRANSHARI6_ICECREAMPAGI[[#This Row],[PRODUK]],DATA_ICECREAM[],8,FALSE),"")</f>
        <v/>
      </c>
      <c r="E263" s="374"/>
      <c r="F263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3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3" s="12"/>
      <c r="I263" s="386" t="str">
        <f>IFERROR(IF(TRANSHARI6_ICECREAMPAGI[[#This Row],[NAMA REKENING]]="","",TRANSHARI6_ICECREAMPAGI[[#This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IFERROR(VLOOKUP(TRANSHARI6_ICECREAMMALAM[[#This Row],[PRODUK]],DATA_ICECREAM[],8,FALSE),"")</f>
        <v/>
      </c>
      <c r="T263" s="374"/>
      <c r="U263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3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3" s="12"/>
      <c r="X263" s="386" t="str">
        <f>IFERROR(IF(TRANSHARI6_ICECREAMMALAM[[#This Row],[NAMA REKENING]]="","",TRANSHARI6_ICECREAMMALAM[[#This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IFERROR(VLOOKUP(TRANSHARI6_ICECREAMPAGI[[#This Row],[PRODUK]],DATA_ICECREAM[],8,FALSE),"")</f>
        <v/>
      </c>
      <c r="E264" s="374"/>
      <c r="F264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4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4" s="12"/>
      <c r="I264" s="384" t="str">
        <f>IFERROR(IF(TRANSHARI6_ICECREAMPAGI[[#This Row],[NAMA REKENING]]="","",TRANSHARI6_ICECREAMPAGI[[#This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IFERROR(VLOOKUP(TRANSHARI6_ICECREAMMALAM[[#This Row],[PRODUK]],DATA_ICECREAM[],8,FALSE),"")</f>
        <v/>
      </c>
      <c r="T264" s="374"/>
      <c r="U264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4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4" s="12"/>
      <c r="X264" s="384" t="str">
        <f>IFERROR(IF(TRANSHARI6_ICECREAMMALAM[[#This Row],[NAMA REKENING]]="","",TRANSHARI6_ICECREAMMALAM[[#This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IFERROR(VLOOKUP(TRANSHARI6_ICECREAMPAGI[[#This Row],[PRODUK]],DATA_ICECREAM[],8,FALSE),"")</f>
        <v/>
      </c>
      <c r="E265" s="374"/>
      <c r="F265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5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5" s="12"/>
      <c r="I265" s="386" t="str">
        <f>IFERROR(IF(TRANSHARI6_ICECREAMPAGI[[#This Row],[NAMA REKENING]]="","",TRANSHARI6_ICECREAMPAGI[[#This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IFERROR(VLOOKUP(TRANSHARI6_ICECREAMMALAM[[#This Row],[PRODUK]],DATA_ICECREAM[],8,FALSE),"")</f>
        <v/>
      </c>
      <c r="T265" s="374"/>
      <c r="U265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5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5" s="12"/>
      <c r="X265" s="386" t="str">
        <f>IFERROR(IF(TRANSHARI6_ICECREAMMALAM[[#This Row],[NAMA REKENING]]="","",TRANSHARI6_ICECREAMMALAM[[#This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IFERROR(VLOOKUP(TRANSHARI6_ICECREAMPAGI[[#This Row],[PRODUK]],DATA_ICECREAM[],8,FALSE),"")</f>
        <v/>
      </c>
      <c r="E266" s="374"/>
      <c r="F266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6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6" s="12"/>
      <c r="I266" s="384" t="str">
        <f>IFERROR(IF(TRANSHARI6_ICECREAMPAGI[[#This Row],[NAMA REKENING]]="","",TRANSHARI6_ICECREAMPAGI[[#This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IFERROR(VLOOKUP(TRANSHARI6_ICECREAMMALAM[[#This Row],[PRODUK]],DATA_ICECREAM[],8,FALSE),"")</f>
        <v/>
      </c>
      <c r="T266" s="374"/>
      <c r="U266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6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6" s="12"/>
      <c r="X266" s="384" t="str">
        <f>IFERROR(IF(TRANSHARI6_ICECREAMMALAM[[#This Row],[NAMA REKENING]]="","",TRANSHARI6_ICECREAMMALAM[[#This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IFERROR(VLOOKUP(TRANSHARI6_ICECREAMPAGI[[#This Row],[PRODUK]],DATA_ICECREAM[],8,FALSE),"")</f>
        <v/>
      </c>
      <c r="E267" s="374"/>
      <c r="F267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7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7" s="12"/>
      <c r="I267" s="386" t="str">
        <f>IFERROR(IF(TRANSHARI6_ICECREAMPAGI[[#This Row],[NAMA REKENING]]="","",TRANSHARI6_ICECREAMPAGI[[#This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IFERROR(VLOOKUP(TRANSHARI6_ICECREAMMALAM[[#This Row],[PRODUK]],DATA_ICECREAM[],8,FALSE),"")</f>
        <v/>
      </c>
      <c r="T267" s="374"/>
      <c r="U267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7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7" s="12"/>
      <c r="X267" s="386" t="str">
        <f>IFERROR(IF(TRANSHARI6_ICECREAMMALAM[[#This Row],[NAMA REKENING]]="","",TRANSHARI6_ICECREAMMALAM[[#This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IFERROR(VLOOKUP(TRANSHARI6_ICECREAMPAGI[[#This Row],[PRODUK]],DATA_ICECREAM[],8,FALSE),"")</f>
        <v/>
      </c>
      <c r="E268" s="374"/>
      <c r="F268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8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8" s="12"/>
      <c r="I268" s="384" t="str">
        <f>IFERROR(IF(TRANSHARI6_ICECREAMPAGI[[#This Row],[NAMA REKENING]]="","",TRANSHARI6_ICECREAMPAGI[[#This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IFERROR(VLOOKUP(TRANSHARI6_ICECREAMMALAM[[#This Row],[PRODUK]],DATA_ICECREAM[],8,FALSE),"")</f>
        <v/>
      </c>
      <c r="T268" s="374"/>
      <c r="U268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8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8" s="12"/>
      <c r="X268" s="384" t="str">
        <f>IFERROR(IF(TRANSHARI6_ICECREAMMALAM[[#This Row],[NAMA REKENING]]="","",TRANSHARI6_ICECREAMMALAM[[#This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IFERROR(VLOOKUP(TRANSHARI6_ICECREAMPAGI[[#This Row],[PRODUK]],DATA_ICECREAM[],8,FALSE),"")</f>
        <v/>
      </c>
      <c r="E269" s="374"/>
      <c r="F269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69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69" s="12"/>
      <c r="I269" s="386" t="str">
        <f>IFERROR(IF(TRANSHARI6_ICECREAMPAGI[[#This Row],[NAMA REKENING]]="","",TRANSHARI6_ICECREAMPAGI[[#This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IFERROR(VLOOKUP(TRANSHARI6_ICECREAMMALAM[[#This Row],[PRODUK]],DATA_ICECREAM[],8,FALSE),"")</f>
        <v/>
      </c>
      <c r="T269" s="374"/>
      <c r="U269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69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69" s="12"/>
      <c r="X269" s="386" t="str">
        <f>IFERROR(IF(TRANSHARI6_ICECREAMMALAM[[#This Row],[NAMA REKENING]]="","",TRANSHARI6_ICECREAMMALAM[[#This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IFERROR(VLOOKUP(TRANSHARI6_ICECREAMPAGI[[#This Row],[PRODUK]],DATA_ICECREAM[],8,FALSE),"")</f>
        <v/>
      </c>
      <c r="E270" s="374"/>
      <c r="F270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0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0" s="12"/>
      <c r="I270" s="384" t="str">
        <f>IFERROR(IF(TRANSHARI6_ICECREAMPAGI[[#This Row],[NAMA REKENING]]="","",TRANSHARI6_ICECREAMPAGI[[#This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IFERROR(VLOOKUP(TRANSHARI6_ICECREAMMALAM[[#This Row],[PRODUK]],DATA_ICECREAM[],8,FALSE),"")</f>
        <v/>
      </c>
      <c r="T270" s="374"/>
      <c r="U270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0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0" s="12"/>
      <c r="X270" s="384" t="str">
        <f>IFERROR(IF(TRANSHARI6_ICECREAMMALAM[[#This Row],[NAMA REKENING]]="","",TRANSHARI6_ICECREAMMALAM[[#This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IFERROR(VLOOKUP(TRANSHARI6_ICECREAMPAGI[[#This Row],[PRODUK]],DATA_ICECREAM[],8,FALSE),"")</f>
        <v/>
      </c>
      <c r="E271" s="374"/>
      <c r="F271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1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1" s="12"/>
      <c r="I271" s="386" t="str">
        <f>IFERROR(IF(TRANSHARI6_ICECREAMPAGI[[#This Row],[NAMA REKENING]]="","",TRANSHARI6_ICECREAMPAGI[[#This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IFERROR(VLOOKUP(TRANSHARI6_ICECREAMMALAM[[#This Row],[PRODUK]],DATA_ICECREAM[],8,FALSE),"")</f>
        <v/>
      </c>
      <c r="T271" s="374"/>
      <c r="U271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1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1" s="12"/>
      <c r="X271" s="386" t="str">
        <f>IFERROR(IF(TRANSHARI6_ICECREAMMALAM[[#This Row],[NAMA REKENING]]="","",TRANSHARI6_ICECREAMMALAM[[#This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IFERROR(VLOOKUP(TRANSHARI6_ICECREAMPAGI[[#This Row],[PRODUK]],DATA_ICECREAM[],8,FALSE),"")</f>
        <v/>
      </c>
      <c r="E272" s="374"/>
      <c r="F272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2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2" s="12"/>
      <c r="I272" s="384" t="str">
        <f>IFERROR(IF(TRANSHARI6_ICECREAMPAGI[[#This Row],[NAMA REKENING]]="","",TRANSHARI6_ICECREAMPAGI[[#This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IFERROR(VLOOKUP(TRANSHARI6_ICECREAMMALAM[[#This Row],[PRODUK]],DATA_ICECREAM[],8,FALSE),"")</f>
        <v/>
      </c>
      <c r="T272" s="374"/>
      <c r="U272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2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2" s="12"/>
      <c r="X272" s="384" t="str">
        <f>IFERROR(IF(TRANSHARI6_ICECREAMMALAM[[#This Row],[NAMA REKENING]]="","",TRANSHARI6_ICECREAMMALAM[[#This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IFERROR(VLOOKUP(TRANSHARI6_ICECREAMPAGI[[#This Row],[PRODUK]],DATA_ICECREAM[],8,FALSE),"")</f>
        <v/>
      </c>
      <c r="E273" s="374"/>
      <c r="F273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3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3" s="12"/>
      <c r="I273" s="386" t="str">
        <f>IFERROR(IF(TRANSHARI6_ICECREAMPAGI[[#This Row],[NAMA REKENING]]="","",TRANSHARI6_ICECREAMPAGI[[#This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IFERROR(VLOOKUP(TRANSHARI6_ICECREAMMALAM[[#This Row],[PRODUK]],DATA_ICECREAM[],8,FALSE),"")</f>
        <v/>
      </c>
      <c r="T273" s="374"/>
      <c r="U273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3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3" s="12"/>
      <c r="X273" s="386" t="str">
        <f>IFERROR(IF(TRANSHARI6_ICECREAMMALAM[[#This Row],[NAMA REKENING]]="","",TRANSHARI6_ICECREAMMALAM[[#This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IFERROR(VLOOKUP(TRANSHARI6_ICECREAMPAGI[[#This Row],[PRODUK]],DATA_ICECREAM[],8,FALSE),"")</f>
        <v/>
      </c>
      <c r="E274" s="374"/>
      <c r="F274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4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4" s="12"/>
      <c r="I274" s="384" t="str">
        <f>IFERROR(IF(TRANSHARI6_ICECREAMPAGI[[#This Row],[NAMA REKENING]]="","",TRANSHARI6_ICECREAMPAGI[[#This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IFERROR(VLOOKUP(TRANSHARI6_ICECREAMMALAM[[#This Row],[PRODUK]],DATA_ICECREAM[],8,FALSE),"")</f>
        <v/>
      </c>
      <c r="T274" s="374"/>
      <c r="U274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4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4" s="12"/>
      <c r="X274" s="384" t="str">
        <f>IFERROR(IF(TRANSHARI6_ICECREAMMALAM[[#This Row],[NAMA REKENING]]="","",TRANSHARI6_ICECREAMMALAM[[#This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IFERROR(VLOOKUP(TRANSHARI6_ICECREAMPAGI[[#This Row],[PRODUK]],DATA_ICECREAM[],8,FALSE),"")</f>
        <v/>
      </c>
      <c r="E275" s="374"/>
      <c r="F275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5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5" s="12"/>
      <c r="I275" s="386" t="str">
        <f>IFERROR(IF(TRANSHARI6_ICECREAMPAGI[[#This Row],[NAMA REKENING]]="","",TRANSHARI6_ICECREAMPAGI[[#This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IFERROR(VLOOKUP(TRANSHARI6_ICECREAMMALAM[[#This Row],[PRODUK]],DATA_ICECREAM[],8,FALSE),"")</f>
        <v/>
      </c>
      <c r="T275" s="374"/>
      <c r="U275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5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5" s="12"/>
      <c r="X275" s="386" t="str">
        <f>IFERROR(IF(TRANSHARI6_ICECREAMMALAM[[#This Row],[NAMA REKENING]]="","",TRANSHARI6_ICECREAMMALAM[[#This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IFERROR(VLOOKUP(TRANSHARI6_ICECREAMPAGI[[#This Row],[PRODUK]],DATA_ICECREAM[],8,FALSE),"")</f>
        <v/>
      </c>
      <c r="E276" s="374"/>
      <c r="F276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6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6" s="12"/>
      <c r="I276" s="384" t="str">
        <f>IFERROR(IF(TRANSHARI6_ICECREAMPAGI[[#This Row],[NAMA REKENING]]="","",TRANSHARI6_ICECREAMPAGI[[#This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IFERROR(VLOOKUP(TRANSHARI6_ICECREAMMALAM[[#This Row],[PRODUK]],DATA_ICECREAM[],8,FALSE),"")</f>
        <v/>
      </c>
      <c r="T276" s="374"/>
      <c r="U276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6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6" s="12"/>
      <c r="X276" s="384" t="str">
        <f>IFERROR(IF(TRANSHARI6_ICECREAMMALAM[[#This Row],[NAMA REKENING]]="","",TRANSHARI6_ICECREAMMALAM[[#This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IFERROR(VLOOKUP(TRANSHARI6_ICECREAMPAGI[[#This Row],[PRODUK]],DATA_ICECREAM[],8,FALSE),"")</f>
        <v/>
      </c>
      <c r="E277" s="374"/>
      <c r="F277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7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7" s="12"/>
      <c r="I277" s="386" t="str">
        <f>IFERROR(IF(TRANSHARI6_ICECREAMPAGI[[#This Row],[NAMA REKENING]]="","",TRANSHARI6_ICECREAMPAGI[[#This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IFERROR(VLOOKUP(TRANSHARI6_ICECREAMMALAM[[#This Row],[PRODUK]],DATA_ICECREAM[],8,FALSE),"")</f>
        <v/>
      </c>
      <c r="T277" s="374"/>
      <c r="U277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7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7" s="12"/>
      <c r="X277" s="386" t="str">
        <f>IFERROR(IF(TRANSHARI6_ICECREAMMALAM[[#This Row],[NAMA REKENING]]="","",TRANSHARI6_ICECREAMMALAM[[#This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IFERROR(VLOOKUP(TRANSHARI6_ICECREAMPAGI[[#This Row],[PRODUK]],DATA_ICECREAM[],8,FALSE),"")</f>
        <v/>
      </c>
      <c r="E278" s="374"/>
      <c r="F278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8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8" s="12"/>
      <c r="I278" s="384" t="str">
        <f>IFERROR(IF(TRANSHARI6_ICECREAMPAGI[[#This Row],[NAMA REKENING]]="","",TRANSHARI6_ICECREAMPAGI[[#This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IFERROR(VLOOKUP(TRANSHARI6_ICECREAMMALAM[[#This Row],[PRODUK]],DATA_ICECREAM[],8,FALSE),"")</f>
        <v/>
      </c>
      <c r="T278" s="374"/>
      <c r="U278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8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8" s="12"/>
      <c r="X278" s="384" t="str">
        <f>IFERROR(IF(TRANSHARI6_ICECREAMMALAM[[#This Row],[NAMA REKENING]]="","",TRANSHARI6_ICECREAMMALAM[[#This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IFERROR(VLOOKUP(TRANSHARI6_ICECREAMPAGI[[#This Row],[PRODUK]],DATA_ICECREAM[],8,FALSE),"")</f>
        <v/>
      </c>
      <c r="E279" s="374"/>
      <c r="F279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79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79" s="12"/>
      <c r="I279" s="386" t="str">
        <f>IFERROR(IF(TRANSHARI6_ICECREAMPAGI[[#This Row],[NAMA REKENING]]="","",TRANSHARI6_ICECREAMPAGI[[#This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IFERROR(VLOOKUP(TRANSHARI6_ICECREAMMALAM[[#This Row],[PRODUK]],DATA_ICECREAM[],8,FALSE),"")</f>
        <v/>
      </c>
      <c r="T279" s="374"/>
      <c r="U279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79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79" s="12"/>
      <c r="X279" s="386" t="str">
        <f>IFERROR(IF(TRANSHARI6_ICECREAMMALAM[[#This Row],[NAMA REKENING]]="","",TRANSHARI6_ICECREAMMALAM[[#This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IFERROR(VLOOKUP(TRANSHARI6_ICECREAMPAGI[[#This Row],[PRODUK]],DATA_ICECREAM[],8,FALSE),"")</f>
        <v/>
      </c>
      <c r="E280" s="374"/>
      <c r="F280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0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0" s="12"/>
      <c r="I280" s="384" t="str">
        <f>IFERROR(IF(TRANSHARI6_ICECREAMPAGI[[#This Row],[NAMA REKENING]]="","",TRANSHARI6_ICECREAMPAGI[[#This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IFERROR(VLOOKUP(TRANSHARI6_ICECREAMMALAM[[#This Row],[PRODUK]],DATA_ICECREAM[],8,FALSE),"")</f>
        <v/>
      </c>
      <c r="T280" s="374"/>
      <c r="U280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0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0" s="12"/>
      <c r="X280" s="384" t="str">
        <f>IFERROR(IF(TRANSHARI6_ICECREAMMALAM[[#This Row],[NAMA REKENING]]="","",TRANSHARI6_ICECREAMMALAM[[#This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IFERROR(VLOOKUP(TRANSHARI6_ICECREAMPAGI[[#This Row],[PRODUK]],DATA_ICECREAM[],8,FALSE),"")</f>
        <v/>
      </c>
      <c r="E281" s="376"/>
      <c r="F281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1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1" s="377"/>
      <c r="I281" s="386" t="str">
        <f>IFERROR(IF(TRANSHARI6_ICECREAMPAGI[[#This Row],[NAMA REKENING]]="","",TRANSHARI6_ICECREAMPAGI[[#This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IFERROR(VLOOKUP(TRANSHARI6_ICECREAMMALAM[[#This Row],[PRODUK]],DATA_ICECREAM[],8,FALSE),"")</f>
        <v/>
      </c>
      <c r="T281" s="376"/>
      <c r="U281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1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1" s="377"/>
      <c r="X281" s="386" t="str">
        <f>IFERROR(IF(TRANSHARI6_ICECREAMMALAM[[#This Row],[NAMA REKENING]]="","",TRANSHARI6_ICECREAMMALAM[[#This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IFERROR(VLOOKUP(TRANSHARI6_ICECREAMPAGI[[#This Row],[PRODUK]],DATA_ICECREAM[],8,FALSE),"")</f>
        <v/>
      </c>
      <c r="E282" s="374"/>
      <c r="F282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2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2" s="12"/>
      <c r="I282" s="384" t="str">
        <f>IFERROR(IF(TRANSHARI6_ICECREAMPAGI[[#This Row],[NAMA REKENING]]="","",TRANSHARI6_ICECREAMPAGI[[#This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IFERROR(VLOOKUP(TRANSHARI6_ICECREAMMALAM[[#This Row],[PRODUK]],DATA_ICECREAM[],8,FALSE),"")</f>
        <v/>
      </c>
      <c r="T282" s="374"/>
      <c r="U282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2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2" s="12"/>
      <c r="X282" s="384" t="str">
        <f>IFERROR(IF(TRANSHARI6_ICECREAMMALAM[[#This Row],[NAMA REKENING]]="","",TRANSHARI6_ICECREAMMALAM[[#This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IFERROR(VLOOKUP(TRANSHARI6_ICECREAMPAGI[[#This Row],[PRODUK]],DATA_ICECREAM[],8,FALSE),"")</f>
        <v/>
      </c>
      <c r="E283" s="374"/>
      <c r="F283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3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3" s="12"/>
      <c r="I283" s="386" t="str">
        <f>IFERROR(IF(TRANSHARI6_ICECREAMPAGI[[#This Row],[NAMA REKENING]]="","",TRANSHARI6_ICECREAMPAGI[[#This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IFERROR(VLOOKUP(TRANSHARI6_ICECREAMMALAM[[#This Row],[PRODUK]],DATA_ICECREAM[],8,FALSE),"")</f>
        <v/>
      </c>
      <c r="T283" s="374"/>
      <c r="U283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3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3" s="12"/>
      <c r="X283" s="386" t="str">
        <f>IFERROR(IF(TRANSHARI6_ICECREAMMALAM[[#This Row],[NAMA REKENING]]="","",TRANSHARI6_ICECREAMMALAM[[#This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IFERROR(VLOOKUP(TRANSHARI6_ICECREAMPAGI[[#This Row],[PRODUK]],DATA_ICECREAM[],8,FALSE),"")</f>
        <v/>
      </c>
      <c r="E284" s="374"/>
      <c r="F284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4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4" s="12"/>
      <c r="I284" s="384" t="str">
        <f>IFERROR(IF(TRANSHARI6_ICECREAMPAGI[[#This Row],[NAMA REKENING]]="","",TRANSHARI6_ICECREAMPAGI[[#This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IFERROR(VLOOKUP(TRANSHARI6_ICECREAMMALAM[[#This Row],[PRODUK]],DATA_ICECREAM[],8,FALSE),"")</f>
        <v/>
      </c>
      <c r="T284" s="374"/>
      <c r="U284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4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4" s="12"/>
      <c r="X284" s="384" t="str">
        <f>IFERROR(IF(TRANSHARI6_ICECREAMMALAM[[#This Row],[NAMA REKENING]]="","",TRANSHARI6_ICECREAMMALAM[[#This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IFERROR(VLOOKUP(TRANSHARI6_ICECREAMPAGI[[#This Row],[PRODUK]],DATA_ICECREAM[],8,FALSE),"")</f>
        <v/>
      </c>
      <c r="E285" s="374"/>
      <c r="F285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5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5" s="12"/>
      <c r="I285" s="386" t="str">
        <f>IFERROR(IF(TRANSHARI6_ICECREAMPAGI[[#This Row],[NAMA REKENING]]="","",TRANSHARI6_ICECREAMPAGI[[#This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IFERROR(VLOOKUP(TRANSHARI6_ICECREAMMALAM[[#This Row],[PRODUK]],DATA_ICECREAM[],8,FALSE),"")</f>
        <v/>
      </c>
      <c r="T285" s="374"/>
      <c r="U285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5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5" s="12"/>
      <c r="X285" s="386" t="str">
        <f>IFERROR(IF(TRANSHARI6_ICECREAMMALAM[[#This Row],[NAMA REKENING]]="","",TRANSHARI6_ICECREAMMALAM[[#This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IFERROR(VLOOKUP(TRANSHARI6_ICECREAMPAGI[[#This Row],[PRODUK]],DATA_ICECREAM[],8,FALSE),"")</f>
        <v/>
      </c>
      <c r="E286" s="374"/>
      <c r="F286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6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6" s="12"/>
      <c r="I286" s="384" t="str">
        <f>IFERROR(IF(TRANSHARI6_ICECREAMPAGI[[#This Row],[NAMA REKENING]]="","",TRANSHARI6_ICECREAMPAGI[[#This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IFERROR(VLOOKUP(TRANSHARI6_ICECREAMMALAM[[#This Row],[PRODUK]],DATA_ICECREAM[],8,FALSE),"")</f>
        <v/>
      </c>
      <c r="T286" s="374"/>
      <c r="U286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6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6" s="12"/>
      <c r="X286" s="384" t="str">
        <f>IFERROR(IF(TRANSHARI6_ICECREAMMALAM[[#This Row],[NAMA REKENING]]="","",TRANSHARI6_ICECREAMMALAM[[#This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IFERROR(VLOOKUP(TRANSHARI6_ICECREAMPAGI[[#This Row],[PRODUK]],DATA_ICECREAM[],8,FALSE),"")</f>
        <v/>
      </c>
      <c r="E287" s="374"/>
      <c r="F287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7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7" s="12"/>
      <c r="I287" s="386" t="str">
        <f>IFERROR(IF(TRANSHARI6_ICECREAMPAGI[[#This Row],[NAMA REKENING]]="","",TRANSHARI6_ICECREAMPAGI[[#This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IFERROR(VLOOKUP(TRANSHARI6_ICECREAMMALAM[[#This Row],[PRODUK]],DATA_ICECREAM[],8,FALSE),"")</f>
        <v/>
      </c>
      <c r="T287" s="374"/>
      <c r="U287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7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7" s="12"/>
      <c r="X287" s="386" t="str">
        <f>IFERROR(IF(TRANSHARI6_ICECREAMMALAM[[#This Row],[NAMA REKENING]]="","",TRANSHARI6_ICECREAMMALAM[[#This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IFERROR(VLOOKUP(TRANSHARI6_ICECREAMPAGI[[#This Row],[PRODUK]],DATA_ICECREAM[],8,FALSE),"")</f>
        <v/>
      </c>
      <c r="E288" s="374"/>
      <c r="F288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8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8" s="12"/>
      <c r="I288" s="384" t="str">
        <f>IFERROR(IF(TRANSHARI6_ICECREAMPAGI[[#This Row],[NAMA REKENING]]="","",TRANSHARI6_ICECREAMPAGI[[#This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IFERROR(VLOOKUP(TRANSHARI6_ICECREAMMALAM[[#This Row],[PRODUK]],DATA_ICECREAM[],8,FALSE),"")</f>
        <v/>
      </c>
      <c r="T288" s="374"/>
      <c r="U288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8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8" s="12"/>
      <c r="X288" s="384" t="str">
        <f>IFERROR(IF(TRANSHARI6_ICECREAMMALAM[[#This Row],[NAMA REKENING]]="","",TRANSHARI6_ICECREAMMALAM[[#This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IFERROR(VLOOKUP(TRANSHARI6_ICECREAMPAGI[[#This Row],[PRODUK]],DATA_ICECREAM[],8,FALSE),"")</f>
        <v/>
      </c>
      <c r="E289" s="374"/>
      <c r="F289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89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89" s="12"/>
      <c r="I289" s="386" t="str">
        <f>IFERROR(IF(TRANSHARI6_ICECREAMPAGI[[#This Row],[NAMA REKENING]]="","",TRANSHARI6_ICECREAMPAGI[[#This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IFERROR(VLOOKUP(TRANSHARI6_ICECREAMMALAM[[#This Row],[PRODUK]],DATA_ICECREAM[],8,FALSE),"")</f>
        <v/>
      </c>
      <c r="T289" s="374"/>
      <c r="U289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89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89" s="12"/>
      <c r="X289" s="386" t="str">
        <f>IFERROR(IF(TRANSHARI6_ICECREAMMALAM[[#This Row],[NAMA REKENING]]="","",TRANSHARI6_ICECREAMMALAM[[#This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IFERROR(VLOOKUP(TRANSHARI6_ICECREAMPAGI[[#This Row],[PRODUK]],DATA_ICECREAM[],8,FALSE),"")</f>
        <v/>
      </c>
      <c r="E290" s="374"/>
      <c r="F290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0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0" s="12"/>
      <c r="I290" s="384" t="str">
        <f>IFERROR(IF(TRANSHARI6_ICECREAMPAGI[[#This Row],[NAMA REKENING]]="","",TRANSHARI6_ICECREAMPAGI[[#This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IFERROR(VLOOKUP(TRANSHARI6_ICECREAMMALAM[[#This Row],[PRODUK]],DATA_ICECREAM[],8,FALSE),"")</f>
        <v/>
      </c>
      <c r="T290" s="374"/>
      <c r="U290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0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0" s="12"/>
      <c r="X290" s="384" t="str">
        <f>IFERROR(IF(TRANSHARI6_ICECREAMMALAM[[#This Row],[NAMA REKENING]]="","",TRANSHARI6_ICECREAMMALAM[[#This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IFERROR(VLOOKUP(TRANSHARI6_ICECREAMPAGI[[#This Row],[PRODUK]],DATA_ICECREAM[],8,FALSE),"")</f>
        <v/>
      </c>
      <c r="E291" s="374"/>
      <c r="F291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1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1" s="12"/>
      <c r="I291" s="386" t="str">
        <f>IFERROR(IF(TRANSHARI6_ICECREAMPAGI[[#This Row],[NAMA REKENING]]="","",TRANSHARI6_ICECREAMPAGI[[#This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IFERROR(VLOOKUP(TRANSHARI6_ICECREAMMALAM[[#This Row],[PRODUK]],DATA_ICECREAM[],8,FALSE),"")</f>
        <v/>
      </c>
      <c r="T291" s="374"/>
      <c r="U291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1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1" s="12"/>
      <c r="X291" s="386" t="str">
        <f>IFERROR(IF(TRANSHARI6_ICECREAMMALAM[[#This Row],[NAMA REKENING]]="","",TRANSHARI6_ICECREAMMALAM[[#This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IFERROR(VLOOKUP(TRANSHARI6_ICECREAMPAGI[[#This Row],[PRODUK]],DATA_ICECREAM[],8,FALSE),"")</f>
        <v/>
      </c>
      <c r="E292" s="374"/>
      <c r="F292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2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2" s="12"/>
      <c r="I292" s="384" t="str">
        <f>IFERROR(IF(TRANSHARI6_ICECREAMPAGI[[#This Row],[NAMA REKENING]]="","",TRANSHARI6_ICECREAMPAGI[[#This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IFERROR(VLOOKUP(TRANSHARI6_ICECREAMMALAM[[#This Row],[PRODUK]],DATA_ICECREAM[],8,FALSE),"")</f>
        <v/>
      </c>
      <c r="T292" s="374"/>
      <c r="U292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2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2" s="12"/>
      <c r="X292" s="384" t="str">
        <f>IFERROR(IF(TRANSHARI6_ICECREAMMALAM[[#This Row],[NAMA REKENING]]="","",TRANSHARI6_ICECREAMMALAM[[#This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IFERROR(VLOOKUP(TRANSHARI6_ICECREAMPAGI[[#This Row],[PRODUK]],DATA_ICECREAM[],8,FALSE),"")</f>
        <v/>
      </c>
      <c r="E293" s="374"/>
      <c r="F293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3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3" s="12"/>
      <c r="I293" s="386" t="str">
        <f>IFERROR(IF(TRANSHARI6_ICECREAMPAGI[[#This Row],[NAMA REKENING]]="","",TRANSHARI6_ICECREAMPAGI[[#This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IFERROR(VLOOKUP(TRANSHARI6_ICECREAMMALAM[[#This Row],[PRODUK]],DATA_ICECREAM[],8,FALSE),"")</f>
        <v/>
      </c>
      <c r="T293" s="374"/>
      <c r="U293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3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3" s="12"/>
      <c r="X293" s="386" t="str">
        <f>IFERROR(IF(TRANSHARI6_ICECREAMMALAM[[#This Row],[NAMA REKENING]]="","",TRANSHARI6_ICECREAMMALAM[[#This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IFERROR(VLOOKUP(TRANSHARI6_ICECREAMPAGI[[#This Row],[PRODUK]],DATA_ICECREAM[],8,FALSE),"")</f>
        <v/>
      </c>
      <c r="E294" s="374"/>
      <c r="F294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4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4" s="12"/>
      <c r="I294" s="384" t="str">
        <f>IFERROR(IF(TRANSHARI6_ICECREAMPAGI[[#This Row],[NAMA REKENING]]="","",TRANSHARI6_ICECREAMPAGI[[#This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IFERROR(VLOOKUP(TRANSHARI6_ICECREAMMALAM[[#This Row],[PRODUK]],DATA_ICECREAM[],8,FALSE),"")</f>
        <v/>
      </c>
      <c r="T294" s="374"/>
      <c r="U294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4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4" s="12"/>
      <c r="X294" s="384" t="str">
        <f>IFERROR(IF(TRANSHARI6_ICECREAMMALAM[[#This Row],[NAMA REKENING]]="","",TRANSHARI6_ICECREAMMALAM[[#This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IFERROR(VLOOKUP(TRANSHARI6_ICECREAMPAGI[[#This Row],[PRODUK]],DATA_ICECREAM[],8,FALSE),"")</f>
        <v/>
      </c>
      <c r="E295" s="374"/>
      <c r="F295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5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5" s="12"/>
      <c r="I295" s="386" t="str">
        <f>IFERROR(IF(TRANSHARI6_ICECREAMPAGI[[#This Row],[NAMA REKENING]]="","",TRANSHARI6_ICECREAMPAGI[[#This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IFERROR(VLOOKUP(TRANSHARI6_ICECREAMMALAM[[#This Row],[PRODUK]],DATA_ICECREAM[],8,FALSE),"")</f>
        <v/>
      </c>
      <c r="T295" s="374"/>
      <c r="U295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5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5" s="12"/>
      <c r="X295" s="386" t="str">
        <f>IFERROR(IF(TRANSHARI6_ICECREAMMALAM[[#This Row],[NAMA REKENING]]="","",TRANSHARI6_ICECREAMMALAM[[#This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IFERROR(VLOOKUP(TRANSHARI6_ICECREAMPAGI[[#This Row],[PRODUK]],DATA_ICECREAM[],8,FALSE),"")</f>
        <v/>
      </c>
      <c r="E296" s="374"/>
      <c r="F296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6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6" s="12"/>
      <c r="I296" s="384" t="str">
        <f>IFERROR(IF(TRANSHARI6_ICECREAMPAGI[[#This Row],[NAMA REKENING]]="","",TRANSHARI6_ICECREAMPAGI[[#This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IFERROR(VLOOKUP(TRANSHARI6_ICECREAMMALAM[[#This Row],[PRODUK]],DATA_ICECREAM[],8,FALSE),"")</f>
        <v/>
      </c>
      <c r="T296" s="374"/>
      <c r="U296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6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6" s="12"/>
      <c r="X296" s="384" t="str">
        <f>IFERROR(IF(TRANSHARI6_ICECREAMMALAM[[#This Row],[NAMA REKENING]]="","",TRANSHARI6_ICECREAMMALAM[[#This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IFERROR(VLOOKUP(TRANSHARI6_ICECREAMPAGI[[#This Row],[PRODUK]],DATA_ICECREAM[],8,FALSE),"")</f>
        <v/>
      </c>
      <c r="E297" s="374"/>
      <c r="F297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7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7" s="12"/>
      <c r="I297" s="386" t="str">
        <f>IFERROR(IF(TRANSHARI6_ICECREAMPAGI[[#This Row],[NAMA REKENING]]="","",TRANSHARI6_ICECREAMPAGI[[#This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IFERROR(VLOOKUP(TRANSHARI6_ICECREAMMALAM[[#This Row],[PRODUK]],DATA_ICECREAM[],8,FALSE),"")</f>
        <v/>
      </c>
      <c r="T297" s="374"/>
      <c r="U297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7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7" s="12"/>
      <c r="X297" s="386" t="str">
        <f>IFERROR(IF(TRANSHARI6_ICECREAMMALAM[[#This Row],[NAMA REKENING]]="","",TRANSHARI6_ICECREAMMALAM[[#This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IFERROR(VLOOKUP(TRANSHARI6_ICECREAMPAGI[[#This Row],[PRODUK]],DATA_ICECREAM[],8,FALSE),"")</f>
        <v/>
      </c>
      <c r="E298" s="374"/>
      <c r="F298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8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8" s="12"/>
      <c r="I298" s="384" t="str">
        <f>IFERROR(IF(TRANSHARI6_ICECREAMPAGI[[#This Row],[NAMA REKENING]]="","",TRANSHARI6_ICECREAMPAGI[[#This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IFERROR(VLOOKUP(TRANSHARI6_ICECREAMMALAM[[#This Row],[PRODUK]],DATA_ICECREAM[],8,FALSE),"")</f>
        <v/>
      </c>
      <c r="T298" s="374"/>
      <c r="U298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8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8" s="12"/>
      <c r="X298" s="384" t="str">
        <f>IFERROR(IF(TRANSHARI6_ICECREAMMALAM[[#This Row],[NAMA REKENING]]="","",TRANSHARI6_ICECREAMMALAM[[#This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IFERROR(VLOOKUP(TRANSHARI6_ICECREAMPAGI[[#This Row],[PRODUK]],DATA_ICECREAM[],8,FALSE),"")</f>
        <v/>
      </c>
      <c r="E299" s="374"/>
      <c r="F299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299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299" s="12"/>
      <c r="I299" s="386" t="str">
        <f>IFERROR(IF(TRANSHARI6_ICECREAMPAGI[[#This Row],[NAMA REKENING]]="","",TRANSHARI6_ICECREAMPAGI[[#This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IFERROR(VLOOKUP(TRANSHARI6_ICECREAMMALAM[[#This Row],[PRODUK]],DATA_ICECREAM[],8,FALSE),"")</f>
        <v/>
      </c>
      <c r="T299" s="374"/>
      <c r="U299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299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299" s="12"/>
      <c r="X299" s="386" t="str">
        <f>IFERROR(IF(TRANSHARI6_ICECREAMMALAM[[#This Row],[NAMA REKENING]]="","",TRANSHARI6_ICECREAMMALAM[[#This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IFERROR(VLOOKUP(TRANSHARI6_ICECREAMPAGI[[#This Row],[PRODUK]],DATA_ICECREAM[],8,FALSE),"")</f>
        <v/>
      </c>
      <c r="E300" s="374"/>
      <c r="F300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300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300" s="12"/>
      <c r="I300" s="384" t="str">
        <f>IFERROR(IF(TRANSHARI6_ICECREAMPAGI[[#This Row],[NAMA REKENING]]="","",TRANSHARI6_ICECREAMPAGI[[#This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IFERROR(VLOOKUP(TRANSHARI6_ICECREAMMALAM[[#This Row],[PRODUK]],DATA_ICECREAM[],8,FALSE),"")</f>
        <v/>
      </c>
      <c r="T300" s="374"/>
      <c r="U300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300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300" s="12"/>
      <c r="X300" s="384" t="str">
        <f>IFERROR(IF(TRANSHARI6_ICECREAMMALAM[[#This Row],[NAMA REKENING]]="","",TRANSHARI6_ICECREAMMALAM[[#This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IFERROR(VLOOKUP(TRANSHARI6_ICECREAMPAGI[[#This Row],[PRODUK]],DATA_ICECREAM[],8,FALSE),"")</f>
        <v/>
      </c>
      <c r="E301" s="374"/>
      <c r="F301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301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301" s="12"/>
      <c r="I301" s="386" t="str">
        <f>IFERROR(IF(TRANSHARI6_ICECREAMPAGI[[#This Row],[NAMA REKENING]]="","",TRANSHARI6_ICECREAMPAGI[[#This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IFERROR(VLOOKUP(TRANSHARI6_ICECREAMMALAM[[#This Row],[PRODUK]],DATA_ICECREAM[],8,FALSE),"")</f>
        <v/>
      </c>
      <c r="T301" s="374"/>
      <c r="U301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301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301" s="12"/>
      <c r="X301" s="386" t="str">
        <f>IFERROR(IF(TRANSHARI6_ICECREAMMALAM[[#This Row],[NAMA REKENING]]="","",TRANSHARI6_ICECREAMMALAM[[#This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IFERROR(VLOOKUP(TRANSHARI6_ICECREAMPAGI[[#This Row],[PRODUK]],DATA_ICECREAM[],8,FALSE),"")</f>
        <v/>
      </c>
      <c r="E302" s="374"/>
      <c r="F302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302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302" s="12"/>
      <c r="I302" s="384" t="str">
        <f>IFERROR(IF(TRANSHARI6_ICECREAMPAGI[[#This Row],[NAMA REKENING]]="","",TRANSHARI6_ICECREAMPAGI[[#This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IFERROR(VLOOKUP(TRANSHARI6_ICECREAMMALAM[[#This Row],[PRODUK]],DATA_ICECREAM[],8,FALSE),"")</f>
        <v/>
      </c>
      <c r="T302" s="374"/>
      <c r="U302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302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302" s="12"/>
      <c r="X302" s="384" t="str">
        <f>IFERROR(IF(TRANSHARI6_ICECREAMMALAM[[#This Row],[NAMA REKENING]]="","",TRANSHARI6_ICECREAMMALAM[[#This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IFERROR(VLOOKUP(TRANSHARI6_ICECREAMPAGI[[#This Row],[PRODUK]],DATA_ICECREAM[],8,FALSE),"")</f>
        <v/>
      </c>
      <c r="E303" s="374"/>
      <c r="F303" s="373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303" s="373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303" s="12"/>
      <c r="I303" s="386" t="str">
        <f>IFERROR(IF(TRANSHARI6_ICECREAMPAGI[[#This Row],[NAMA REKENING]]="","",TRANSHARI6_ICECREAMPAGI[[#This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IFERROR(VLOOKUP(TRANSHARI6_ICECREAMMALAM[[#This Row],[PRODUK]],DATA_ICECREAM[],8,FALSE),"")</f>
        <v/>
      </c>
      <c r="T303" s="374"/>
      <c r="U303" s="373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303" s="373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303" s="12"/>
      <c r="X303" s="386" t="str">
        <f>IFERROR(IF(TRANSHARI6_ICECREAMMALAM[[#This Row],[NAMA REKENING]]="","",TRANSHARI6_ICECREAMMALAM[[#This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IFERROR(VLOOKUP(TRANSHARI6_ICECREAMPAGI[[#This Row],[PRODUK]],DATA_ICECREAM[],8,FALSE),"")</f>
        <v/>
      </c>
      <c r="E304" s="374"/>
      <c r="F304" s="369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304" s="369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304" s="12"/>
      <c r="I304" s="384" t="str">
        <f>IFERROR(IF(TRANSHARI6_ICECREAMPAGI[[#This Row],[NAMA REKENING]]="","",TRANSHARI6_ICECREAMPAGI[[#This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IFERROR(VLOOKUP(TRANSHARI6_ICECREAMMALAM[[#This Row],[PRODUK]],DATA_ICECREAM[],8,FALSE),"")</f>
        <v/>
      </c>
      <c r="T304" s="374"/>
      <c r="U304" s="369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304" s="369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304" s="12"/>
      <c r="X304" s="384" t="str">
        <f>IFERROR(IF(TRANSHARI6_ICECREAMMALAM[[#This Row],[NAMA REKENING]]="","",TRANSHARI6_ICECREAMMALAM[[#This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IFERROR(VLOOKUP(TRANSHARI6_ICECREAMPAGI[[#This Row],[PRODUK]],DATA_ICECREAM[],8,FALSE),"")</f>
        <v/>
      </c>
      <c r="E305" s="376"/>
      <c r="F305" s="394" t="str">
        <f>IFERROR(IF(TRANSHARI6_ICECREAMPAGI[[#This Row],[NAMA PENGHUTANG]]="",((TRANSHARI6_ICECREAMPAGI[[#This Row],[HARGA]]*TRANSHARI6_ICECREAMPAGI[[#This Row],[QUANTITY]])+TRANSHARI6_ICECREAMPAGI[[#This Row],[PRICE TOLERANCE]]),""),"")</f>
        <v/>
      </c>
      <c r="G305" s="394" t="str">
        <f>IFERROR(IF(TRANSHARI6_ICECREAMPAGI[[#This Row],[NAMA PENGHUTANG]]="","",((TRANSHARI6_ICECREAMPAGI[[#This Row],[HARGA]]*TRANSHARI6_ICECREAMPAGI[[#This Row],[QUANTITY]])+TRANSHARI6_ICECREAMPAGI[[#This Row],[PRICE TOLERANCE]])),"")</f>
        <v/>
      </c>
      <c r="H305" s="377"/>
      <c r="I305" s="399" t="str">
        <f>IFERROR(IF(TRANSHARI6_ICECREAMPAGI[[#This Row],[NAMA REKENING]]="","",TRANSHARI6_ICECREAMPAGI[[#This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IFERROR(VLOOKUP(TRANSHARI6_ICECREAMMALAM[[#This Row],[PRODUK]],DATA_ICECREAM[],8,FALSE),"")</f>
        <v/>
      </c>
      <c r="T305" s="376"/>
      <c r="U305" s="394" t="str">
        <f>IFERROR(IF(TRANSHARI6_ICECREAMMALAM[[#This Row],[NAMA PENGHUTANG]]="",((TRANSHARI6_ICECREAMMALAM[[#This Row],[HARGA]]*TRANSHARI6_ICECREAMMALAM[[#This Row],[QUANTITY]])+TRANSHARI6_ICECREAMMALAM[[#This Row],[PRICE TOLERANCE]]),""),"")</f>
        <v/>
      </c>
      <c r="V305" s="394" t="str">
        <f>IFERROR(IF(TRANSHARI6_ICECREAMMALAM[[#This Row],[NAMA PENGHUTANG]]="","",((TRANSHARI6_ICECREAMMALAM[[#This Row],[HARGA]]*TRANSHARI6_ICECREAMMALAM[[#This Row],[QUANTITY]])+TRANSHARI6_ICECREAMMALAM[[#This Row],[PRICE TOLERANCE]])),"")</f>
        <v/>
      </c>
      <c r="W305" s="377"/>
      <c r="X305" s="399" t="str">
        <f>IFERROR(IF(TRANSHARI6_ICECREAMMALAM[[#This Row],[NAMA REKENING]]="","",TRANSHARI6_ICECREAMMALAM[[#This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SUM(TRANSHARI6_ICECREAMPAGI[QUANTITY])</f>
        <v>0</v>
      </c>
      <c r="E306" s="398">
        <f>SUM(TRANSHARI6_ICECREAMPAGI[PRICE TOLERANCE])</f>
        <v>0</v>
      </c>
      <c r="F306" s="396">
        <f>SUM(TRANSHARI6_ICECREAMPAGI[DEBIT])</f>
        <v>0</v>
      </c>
      <c r="G306" s="396">
        <f>SUM(TRANSHARI6_ICECREAMPAGI[KREDIT])</f>
        <v>0</v>
      </c>
      <c r="I306" s="396">
        <f>SUM(TRANSHARI6_ICECREAMPAGI[NOMINAL TRANSFER])</f>
        <v>0</v>
      </c>
      <c r="O306" s="324"/>
      <c r="P306" s="303" t="s">
        <v>78</v>
      </c>
      <c r="Q306" s="316"/>
      <c r="R306" s="395">
        <f>SUM(TRANSHARI6_ICECREAMMALAM[QUANTITY])</f>
        <v>0</v>
      </c>
      <c r="T306" s="398">
        <f>SUM(TRANSHARI6_ICECREAMMALAM[PRICE TOLERANCE])</f>
        <v>0</v>
      </c>
      <c r="U306" s="396">
        <f>SUM(TRANSHARI6_ICECREAMMALAM[DEBIT])</f>
        <v>0</v>
      </c>
      <c r="V306" s="396">
        <f>SUM(TRANSHARI6_ICECREAMMALAM[KREDIT])</f>
        <v>0</v>
      </c>
      <c r="X306" s="396">
        <f>SUM(TRANSHARI6_ICECREAMMALAM[NOMINAL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">
        <v>213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">
        <v>214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IFERROR(VLOOKUP(TRANSHARI6_ACCPAGI[[#This Row],[PRODUK]],DATA_ACC[],8,FALSE),"")</f>
        <v/>
      </c>
      <c r="E313" s="370"/>
      <c r="F313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13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13" s="371"/>
      <c r="I313" s="384" t="str">
        <f>IFERROR(IF(TRANSHARI6_ACCPAGI[[#This Row],[NAMA REKENING]]="","",TRANSHARI6_ACCPAGI[[#This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IFERROR(VLOOKUP(TRANSHARI6_ACCMALAM[[#This Row],[PRODUK]],DATA_ACC[],8,FALSE),"")</f>
        <v/>
      </c>
      <c r="T313" s="370"/>
      <c r="U313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13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13" s="371"/>
      <c r="X313" s="384" t="str">
        <f>IFERROR(IF(TRANSHARI6_ACCMALAM[[#This Row],[NAMA REKENING]]="","",TRANSHARI6_ACCMALAM[[#This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IFERROR(VLOOKUP(TRANSHARI6_ACCPAGI[[#This Row],[PRODUK]],DATA_ACC[],8,FALSE),"")</f>
        <v/>
      </c>
      <c r="E314" s="374"/>
      <c r="F314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14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14" s="12"/>
      <c r="I314" s="386" t="str">
        <f>IFERROR(IF(TRANSHARI6_ACCPAGI[[#This Row],[NAMA REKENING]]="","",TRANSHARI6_ACCPAGI[[#This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IFERROR(VLOOKUP(TRANSHARI6_ACCMALAM[[#This Row],[PRODUK]],DATA_ACC[],8,FALSE),"")</f>
        <v/>
      </c>
      <c r="T314" s="374"/>
      <c r="U314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14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14" s="12"/>
      <c r="X314" s="386" t="str">
        <f>IFERROR(IF(TRANSHARI6_ACCMALAM[[#This Row],[NAMA REKENING]]="","",TRANSHARI6_ACCMALAM[[#This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IFERROR(VLOOKUP(TRANSHARI6_ACCPAGI[[#This Row],[PRODUK]],DATA_ACC[],8,FALSE),"")</f>
        <v/>
      </c>
      <c r="E315" s="374"/>
      <c r="F315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15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15" s="12"/>
      <c r="I315" s="384" t="str">
        <f>IFERROR(IF(TRANSHARI6_ACCPAGI[[#This Row],[NAMA REKENING]]="","",TRANSHARI6_ACCPAGI[[#This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IFERROR(VLOOKUP(TRANSHARI6_ACCMALAM[[#This Row],[PRODUK]],DATA_ACC[],8,FALSE),"")</f>
        <v/>
      </c>
      <c r="T315" s="374"/>
      <c r="U315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15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15" s="12"/>
      <c r="X315" s="384" t="str">
        <f>IFERROR(IF(TRANSHARI6_ACCMALAM[[#This Row],[NAMA REKENING]]="","",TRANSHARI6_ACCMALAM[[#This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IFERROR(VLOOKUP(TRANSHARI6_ACCPAGI[[#This Row],[PRODUK]],DATA_ACC[],8,FALSE),"")</f>
        <v/>
      </c>
      <c r="E316" s="374"/>
      <c r="F316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16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16" s="12"/>
      <c r="I316" s="386" t="str">
        <f>IFERROR(IF(TRANSHARI6_ACCPAGI[[#This Row],[NAMA REKENING]]="","",TRANSHARI6_ACCPAGI[[#This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IFERROR(VLOOKUP(TRANSHARI6_ACCMALAM[[#This Row],[PRODUK]],DATA_ACC[],8,FALSE),"")</f>
        <v/>
      </c>
      <c r="T316" s="374"/>
      <c r="U316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16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16" s="12"/>
      <c r="X316" s="386" t="str">
        <f>IFERROR(IF(TRANSHARI6_ACCMALAM[[#This Row],[NAMA REKENING]]="","",TRANSHARI6_ACCMALAM[[#This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IFERROR(VLOOKUP(TRANSHARI6_ACCPAGI[[#This Row],[PRODUK]],DATA_ACC[],8,FALSE),"")</f>
        <v/>
      </c>
      <c r="E317" s="374"/>
      <c r="F317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17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17" s="12"/>
      <c r="I317" s="384" t="str">
        <f>IFERROR(IF(TRANSHARI6_ACCPAGI[[#This Row],[NAMA REKENING]]="","",TRANSHARI6_ACCPAGI[[#This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IFERROR(VLOOKUP(TRANSHARI6_ACCMALAM[[#This Row],[PRODUK]],DATA_ACC[],8,FALSE),"")</f>
        <v/>
      </c>
      <c r="T317" s="374"/>
      <c r="U317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17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17" s="12"/>
      <c r="X317" s="384" t="str">
        <f>IFERROR(IF(TRANSHARI6_ACCMALAM[[#This Row],[NAMA REKENING]]="","",TRANSHARI6_ACCMALAM[[#This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IFERROR(VLOOKUP(TRANSHARI6_ACCPAGI[[#This Row],[PRODUK]],DATA_ACC[],8,FALSE),"")</f>
        <v/>
      </c>
      <c r="E318" s="374"/>
      <c r="F318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18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18" s="12"/>
      <c r="I318" s="386" t="str">
        <f>IFERROR(IF(TRANSHARI6_ACCPAGI[[#This Row],[NAMA REKENING]]="","",TRANSHARI6_ACCPAGI[[#This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IFERROR(VLOOKUP(TRANSHARI6_ACCMALAM[[#This Row],[PRODUK]],DATA_ACC[],8,FALSE),"")</f>
        <v/>
      </c>
      <c r="T318" s="374"/>
      <c r="U318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18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18" s="12"/>
      <c r="X318" s="386" t="str">
        <f>IFERROR(IF(TRANSHARI6_ACCMALAM[[#This Row],[NAMA REKENING]]="","",TRANSHARI6_ACCMALAM[[#This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IFERROR(VLOOKUP(TRANSHARI6_ACCPAGI[[#This Row],[PRODUK]],DATA_ACC[],8,FALSE),"")</f>
        <v/>
      </c>
      <c r="E319" s="374"/>
      <c r="F319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19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19" s="12"/>
      <c r="I319" s="384" t="str">
        <f>IFERROR(IF(TRANSHARI6_ACCPAGI[[#This Row],[NAMA REKENING]]="","",TRANSHARI6_ACCPAGI[[#This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IFERROR(VLOOKUP(TRANSHARI6_ACCMALAM[[#This Row],[PRODUK]],DATA_ACC[],8,FALSE),"")</f>
        <v/>
      </c>
      <c r="T319" s="374"/>
      <c r="U319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19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19" s="12"/>
      <c r="X319" s="384" t="str">
        <f>IFERROR(IF(TRANSHARI6_ACCMALAM[[#This Row],[NAMA REKENING]]="","",TRANSHARI6_ACCMALAM[[#This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IFERROR(VLOOKUP(TRANSHARI6_ACCPAGI[[#This Row],[PRODUK]],DATA_ACC[],8,FALSE),"")</f>
        <v/>
      </c>
      <c r="E320" s="374"/>
      <c r="F320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20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20" s="12"/>
      <c r="I320" s="386" t="str">
        <f>IFERROR(IF(TRANSHARI6_ACCPAGI[[#This Row],[NAMA REKENING]]="","",TRANSHARI6_ACCPAGI[[#This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IFERROR(VLOOKUP(TRANSHARI6_ACCMALAM[[#This Row],[PRODUK]],DATA_ACC[],8,FALSE),"")</f>
        <v/>
      </c>
      <c r="T320" s="374"/>
      <c r="U320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20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20" s="12"/>
      <c r="X320" s="386" t="str">
        <f>IFERROR(IF(TRANSHARI6_ACCMALAM[[#This Row],[NAMA REKENING]]="","",TRANSHARI6_ACCMALAM[[#This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IFERROR(VLOOKUP(TRANSHARI6_ACCPAGI[[#This Row],[PRODUK]],DATA_ACC[],8,FALSE),"")</f>
        <v/>
      </c>
      <c r="E321" s="374"/>
      <c r="F321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21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21" s="12"/>
      <c r="I321" s="384" t="str">
        <f>IFERROR(IF(TRANSHARI6_ACCPAGI[[#This Row],[NAMA REKENING]]="","",TRANSHARI6_ACCPAGI[[#This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IFERROR(VLOOKUP(TRANSHARI6_ACCMALAM[[#This Row],[PRODUK]],DATA_ACC[],8,FALSE),"")</f>
        <v/>
      </c>
      <c r="T321" s="374"/>
      <c r="U321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21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21" s="12"/>
      <c r="X321" s="384" t="str">
        <f>IFERROR(IF(TRANSHARI6_ACCMALAM[[#This Row],[NAMA REKENING]]="","",TRANSHARI6_ACCMALAM[[#This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IFERROR(VLOOKUP(TRANSHARI6_ACCPAGI[[#This Row],[PRODUK]],DATA_ACC[],8,FALSE),"")</f>
        <v/>
      </c>
      <c r="E322" s="374"/>
      <c r="F322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22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22" s="12"/>
      <c r="I322" s="386" t="str">
        <f>IFERROR(IF(TRANSHARI6_ACCPAGI[[#This Row],[NAMA REKENING]]="","",TRANSHARI6_ACCPAGI[[#This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IFERROR(VLOOKUP(TRANSHARI6_ACCMALAM[[#This Row],[PRODUK]],DATA_ACC[],8,FALSE),"")</f>
        <v/>
      </c>
      <c r="T322" s="374"/>
      <c r="U322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22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22" s="12"/>
      <c r="X322" s="386" t="str">
        <f>IFERROR(IF(TRANSHARI6_ACCMALAM[[#This Row],[NAMA REKENING]]="","",TRANSHARI6_ACCMALAM[[#This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IFERROR(VLOOKUP(TRANSHARI6_ACCPAGI[[#This Row],[PRODUK]],DATA_ACC[],8,FALSE),"")</f>
        <v/>
      </c>
      <c r="E323" s="374"/>
      <c r="F323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23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23" s="12"/>
      <c r="I323" s="384" t="str">
        <f>IFERROR(IF(TRANSHARI6_ACCPAGI[[#This Row],[NAMA REKENING]]="","",TRANSHARI6_ACCPAGI[[#This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IFERROR(VLOOKUP(TRANSHARI6_ACCMALAM[[#This Row],[PRODUK]],DATA_ACC[],8,FALSE),"")</f>
        <v/>
      </c>
      <c r="T323" s="374"/>
      <c r="U323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23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23" s="12"/>
      <c r="X323" s="384" t="str">
        <f>IFERROR(IF(TRANSHARI6_ACCMALAM[[#This Row],[NAMA REKENING]]="","",TRANSHARI6_ACCMALAM[[#This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IFERROR(VLOOKUP(TRANSHARI6_ACCPAGI[[#This Row],[PRODUK]],DATA_ACC[],8,FALSE),"")</f>
        <v/>
      </c>
      <c r="E324" s="374"/>
      <c r="F324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24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24" s="12"/>
      <c r="I324" s="386" t="str">
        <f>IFERROR(IF(TRANSHARI6_ACCPAGI[[#This Row],[NAMA REKENING]]="","",TRANSHARI6_ACCPAGI[[#This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IFERROR(VLOOKUP(TRANSHARI6_ACCMALAM[[#This Row],[PRODUK]],DATA_ACC[],8,FALSE),"")</f>
        <v/>
      </c>
      <c r="T324" s="374"/>
      <c r="U324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24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24" s="12"/>
      <c r="X324" s="386" t="str">
        <f>IFERROR(IF(TRANSHARI6_ACCMALAM[[#This Row],[NAMA REKENING]]="","",TRANSHARI6_ACCMALAM[[#This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IFERROR(VLOOKUP(TRANSHARI6_ACCPAGI[[#This Row],[PRODUK]],DATA_ACC[],8,FALSE),"")</f>
        <v/>
      </c>
      <c r="E325" s="374"/>
      <c r="F325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25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25" s="12"/>
      <c r="I325" s="384" t="str">
        <f>IFERROR(IF(TRANSHARI6_ACCPAGI[[#This Row],[NAMA REKENING]]="","",TRANSHARI6_ACCPAGI[[#This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IFERROR(VLOOKUP(TRANSHARI6_ACCMALAM[[#This Row],[PRODUK]],DATA_ACC[],8,FALSE),"")</f>
        <v/>
      </c>
      <c r="T325" s="374"/>
      <c r="U325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25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25" s="12"/>
      <c r="X325" s="384" t="str">
        <f>IFERROR(IF(TRANSHARI6_ACCMALAM[[#This Row],[NAMA REKENING]]="","",TRANSHARI6_ACCMALAM[[#This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IFERROR(VLOOKUP(TRANSHARI6_ACCPAGI[[#This Row],[PRODUK]],DATA_ACC[],8,FALSE),"")</f>
        <v/>
      </c>
      <c r="E326" s="374"/>
      <c r="F326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26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26" s="12"/>
      <c r="I326" s="386" t="str">
        <f>IFERROR(IF(TRANSHARI6_ACCPAGI[[#This Row],[NAMA REKENING]]="","",TRANSHARI6_ACCPAGI[[#This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IFERROR(VLOOKUP(TRANSHARI6_ACCMALAM[[#This Row],[PRODUK]],DATA_ACC[],8,FALSE),"")</f>
        <v/>
      </c>
      <c r="T326" s="374"/>
      <c r="U326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26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26" s="12"/>
      <c r="X326" s="386" t="str">
        <f>IFERROR(IF(TRANSHARI6_ACCMALAM[[#This Row],[NAMA REKENING]]="","",TRANSHARI6_ACCMALAM[[#This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IFERROR(VLOOKUP(TRANSHARI6_ACCPAGI[[#This Row],[PRODUK]],DATA_ACC[],8,FALSE),"")</f>
        <v/>
      </c>
      <c r="E327" s="374"/>
      <c r="F327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27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27" s="12"/>
      <c r="I327" s="384" t="str">
        <f>IFERROR(IF(TRANSHARI6_ACCPAGI[[#This Row],[NAMA REKENING]]="","",TRANSHARI6_ACCPAGI[[#This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IFERROR(VLOOKUP(TRANSHARI6_ACCMALAM[[#This Row],[PRODUK]],DATA_ACC[],8,FALSE),"")</f>
        <v/>
      </c>
      <c r="T327" s="374"/>
      <c r="U327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27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27" s="12"/>
      <c r="X327" s="384" t="str">
        <f>IFERROR(IF(TRANSHARI6_ACCMALAM[[#This Row],[NAMA REKENING]]="","",TRANSHARI6_ACCMALAM[[#This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IFERROR(VLOOKUP(TRANSHARI6_ACCPAGI[[#This Row],[PRODUK]],DATA_ACC[],8,FALSE),"")</f>
        <v/>
      </c>
      <c r="E328" s="374"/>
      <c r="F328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28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28" s="12"/>
      <c r="I328" s="386" t="str">
        <f>IFERROR(IF(TRANSHARI6_ACCPAGI[[#This Row],[NAMA REKENING]]="","",TRANSHARI6_ACCPAGI[[#This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IFERROR(VLOOKUP(TRANSHARI6_ACCMALAM[[#This Row],[PRODUK]],DATA_ACC[],8,FALSE),"")</f>
        <v/>
      </c>
      <c r="T328" s="374"/>
      <c r="U328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28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28" s="12"/>
      <c r="X328" s="386" t="str">
        <f>IFERROR(IF(TRANSHARI6_ACCMALAM[[#This Row],[NAMA REKENING]]="","",TRANSHARI6_ACCMALAM[[#This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IFERROR(VLOOKUP(TRANSHARI6_ACCPAGI[[#This Row],[PRODUK]],DATA_ACC[],8,FALSE),"")</f>
        <v/>
      </c>
      <c r="E329" s="374"/>
      <c r="F329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29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29" s="12"/>
      <c r="I329" s="384" t="str">
        <f>IFERROR(IF(TRANSHARI6_ACCPAGI[[#This Row],[NAMA REKENING]]="","",TRANSHARI6_ACCPAGI[[#This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IFERROR(VLOOKUP(TRANSHARI6_ACCMALAM[[#This Row],[PRODUK]],DATA_ACC[],8,FALSE),"")</f>
        <v/>
      </c>
      <c r="T329" s="374"/>
      <c r="U329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29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29" s="12"/>
      <c r="X329" s="384" t="str">
        <f>IFERROR(IF(TRANSHARI6_ACCMALAM[[#This Row],[NAMA REKENING]]="","",TRANSHARI6_ACCMALAM[[#This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IFERROR(VLOOKUP(TRANSHARI6_ACCPAGI[[#This Row],[PRODUK]],DATA_ACC[],8,FALSE),"")</f>
        <v/>
      </c>
      <c r="E330" s="374"/>
      <c r="F330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30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30" s="12"/>
      <c r="I330" s="386" t="str">
        <f>IFERROR(IF(TRANSHARI6_ACCPAGI[[#This Row],[NAMA REKENING]]="","",TRANSHARI6_ACCPAGI[[#This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IFERROR(VLOOKUP(TRANSHARI6_ACCMALAM[[#This Row],[PRODUK]],DATA_ACC[],8,FALSE),"")</f>
        <v/>
      </c>
      <c r="T330" s="374"/>
      <c r="U330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30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30" s="12"/>
      <c r="X330" s="386" t="str">
        <f>IFERROR(IF(TRANSHARI6_ACCMALAM[[#This Row],[NAMA REKENING]]="","",TRANSHARI6_ACCMALAM[[#This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IFERROR(VLOOKUP(TRANSHARI6_ACCPAGI[[#This Row],[PRODUK]],DATA_ACC[],8,FALSE),"")</f>
        <v/>
      </c>
      <c r="E331" s="374"/>
      <c r="F331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31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31" s="12"/>
      <c r="I331" s="384" t="str">
        <f>IFERROR(IF(TRANSHARI6_ACCPAGI[[#This Row],[NAMA REKENING]]="","",TRANSHARI6_ACCPAGI[[#This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IFERROR(VLOOKUP(TRANSHARI6_ACCMALAM[[#This Row],[PRODUK]],DATA_ACC[],8,FALSE),"")</f>
        <v/>
      </c>
      <c r="T331" s="374"/>
      <c r="U331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31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31" s="12"/>
      <c r="X331" s="384" t="str">
        <f>IFERROR(IF(TRANSHARI6_ACCMALAM[[#This Row],[NAMA REKENING]]="","",TRANSHARI6_ACCMALAM[[#This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IFERROR(VLOOKUP(TRANSHARI6_ACCPAGI[[#This Row],[PRODUK]],DATA_ACC[],8,FALSE),"")</f>
        <v/>
      </c>
      <c r="E332" s="374"/>
      <c r="F332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32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32" s="12"/>
      <c r="I332" s="386" t="str">
        <f>IFERROR(IF(TRANSHARI6_ACCPAGI[[#This Row],[NAMA REKENING]]="","",TRANSHARI6_ACCPAGI[[#This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IFERROR(VLOOKUP(TRANSHARI6_ACCMALAM[[#This Row],[PRODUK]],DATA_ACC[],8,FALSE),"")</f>
        <v/>
      </c>
      <c r="T332" s="374"/>
      <c r="U332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32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32" s="12"/>
      <c r="X332" s="386" t="str">
        <f>IFERROR(IF(TRANSHARI6_ACCMALAM[[#This Row],[NAMA REKENING]]="","",TRANSHARI6_ACCMALAM[[#This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IFERROR(VLOOKUP(TRANSHARI6_ACCPAGI[[#This Row],[PRODUK]],DATA_ACC[],8,FALSE),"")</f>
        <v/>
      </c>
      <c r="E333" s="374"/>
      <c r="F333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33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33" s="12"/>
      <c r="I333" s="384" t="str">
        <f>IFERROR(IF(TRANSHARI6_ACCPAGI[[#This Row],[NAMA REKENING]]="","",TRANSHARI6_ACCPAGI[[#This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IFERROR(VLOOKUP(TRANSHARI6_ACCMALAM[[#This Row],[PRODUK]],DATA_ACC[],8,FALSE),"")</f>
        <v/>
      </c>
      <c r="T333" s="374"/>
      <c r="U333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33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33" s="12"/>
      <c r="X333" s="384" t="str">
        <f>IFERROR(IF(TRANSHARI6_ACCMALAM[[#This Row],[NAMA REKENING]]="","",TRANSHARI6_ACCMALAM[[#This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IFERROR(VLOOKUP(TRANSHARI6_ACCPAGI[[#This Row],[PRODUK]],DATA_ACC[],8,FALSE),"")</f>
        <v/>
      </c>
      <c r="E334" s="374"/>
      <c r="F334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34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34" s="12"/>
      <c r="I334" s="386" t="str">
        <f>IFERROR(IF(TRANSHARI6_ACCPAGI[[#This Row],[NAMA REKENING]]="","",TRANSHARI6_ACCPAGI[[#This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IFERROR(VLOOKUP(TRANSHARI6_ACCMALAM[[#This Row],[PRODUK]],DATA_ACC[],8,FALSE),"")</f>
        <v/>
      </c>
      <c r="T334" s="374"/>
      <c r="U334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34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34" s="12"/>
      <c r="X334" s="386" t="str">
        <f>IFERROR(IF(TRANSHARI6_ACCMALAM[[#This Row],[NAMA REKENING]]="","",TRANSHARI6_ACCMALAM[[#This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IFERROR(VLOOKUP(TRANSHARI6_ACCPAGI[[#This Row],[PRODUK]],DATA_ACC[],8,FALSE),"")</f>
        <v/>
      </c>
      <c r="E335" s="374"/>
      <c r="F335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35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35" s="12"/>
      <c r="I335" s="384" t="str">
        <f>IFERROR(IF(TRANSHARI6_ACCPAGI[[#This Row],[NAMA REKENING]]="","",TRANSHARI6_ACCPAGI[[#This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IFERROR(VLOOKUP(TRANSHARI6_ACCMALAM[[#This Row],[PRODUK]],DATA_ACC[],8,FALSE),"")</f>
        <v/>
      </c>
      <c r="T335" s="374"/>
      <c r="U335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35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35" s="12"/>
      <c r="X335" s="384" t="str">
        <f>IFERROR(IF(TRANSHARI6_ACCMALAM[[#This Row],[NAMA REKENING]]="","",TRANSHARI6_ACCMALAM[[#This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IFERROR(VLOOKUP(TRANSHARI6_ACCPAGI[[#This Row],[PRODUK]],DATA_ACC[],8,FALSE),"")</f>
        <v/>
      </c>
      <c r="E336" s="374"/>
      <c r="F336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36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36" s="12"/>
      <c r="I336" s="386" t="str">
        <f>IFERROR(IF(TRANSHARI6_ACCPAGI[[#This Row],[NAMA REKENING]]="","",TRANSHARI6_ACCPAGI[[#This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IFERROR(VLOOKUP(TRANSHARI6_ACCMALAM[[#This Row],[PRODUK]],DATA_ACC[],8,FALSE),"")</f>
        <v/>
      </c>
      <c r="T336" s="374"/>
      <c r="U336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36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36" s="12"/>
      <c r="X336" s="386" t="str">
        <f>IFERROR(IF(TRANSHARI6_ACCMALAM[[#This Row],[NAMA REKENING]]="","",TRANSHARI6_ACCMALAM[[#This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IFERROR(VLOOKUP(TRANSHARI6_ACCPAGI[[#This Row],[PRODUK]],DATA_ACC[],8,FALSE),"")</f>
        <v/>
      </c>
      <c r="E337" s="374"/>
      <c r="F337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37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37" s="12"/>
      <c r="I337" s="384" t="str">
        <f>IFERROR(IF(TRANSHARI6_ACCPAGI[[#This Row],[NAMA REKENING]]="","",TRANSHARI6_ACCPAGI[[#This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IFERROR(VLOOKUP(TRANSHARI6_ACCMALAM[[#This Row],[PRODUK]],DATA_ACC[],8,FALSE),"")</f>
        <v/>
      </c>
      <c r="T337" s="374"/>
      <c r="U337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37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37" s="12"/>
      <c r="X337" s="384" t="str">
        <f>IFERROR(IF(TRANSHARI6_ACCMALAM[[#This Row],[NAMA REKENING]]="","",TRANSHARI6_ACCMALAM[[#This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IFERROR(VLOOKUP(TRANSHARI6_ACCPAGI[[#This Row],[PRODUK]],DATA_ACC[],8,FALSE),"")</f>
        <v/>
      </c>
      <c r="E338" s="376"/>
      <c r="F338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38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38" s="377"/>
      <c r="I338" s="386" t="str">
        <f>IFERROR(IF(TRANSHARI6_ACCPAGI[[#This Row],[NAMA REKENING]]="","",TRANSHARI6_ACCPAGI[[#This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IFERROR(VLOOKUP(TRANSHARI6_ACCMALAM[[#This Row],[PRODUK]],DATA_ACC[],8,FALSE),"")</f>
        <v/>
      </c>
      <c r="T338" s="376"/>
      <c r="U338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38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38" s="377"/>
      <c r="X338" s="386" t="str">
        <f>IFERROR(IF(TRANSHARI6_ACCMALAM[[#This Row],[NAMA REKENING]]="","",TRANSHARI6_ACCMALAM[[#This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IFERROR(VLOOKUP(TRANSHARI6_ACCPAGI[[#This Row],[PRODUK]],DATA_ACC[],8,FALSE),"")</f>
        <v/>
      </c>
      <c r="E339" s="374"/>
      <c r="F339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39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39" s="12"/>
      <c r="I339" s="384" t="str">
        <f>IFERROR(IF(TRANSHARI6_ACCPAGI[[#This Row],[NAMA REKENING]]="","",TRANSHARI6_ACCPAGI[[#This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IFERROR(VLOOKUP(TRANSHARI6_ACCMALAM[[#This Row],[PRODUK]],DATA_ACC[],8,FALSE),"")</f>
        <v/>
      </c>
      <c r="T339" s="374"/>
      <c r="U339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39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39" s="12"/>
      <c r="X339" s="384" t="str">
        <f>IFERROR(IF(TRANSHARI6_ACCMALAM[[#This Row],[NAMA REKENING]]="","",TRANSHARI6_ACCMALAM[[#This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IFERROR(VLOOKUP(TRANSHARI6_ACCPAGI[[#This Row],[PRODUK]],DATA_ACC[],8,FALSE),"")</f>
        <v/>
      </c>
      <c r="E340" s="374"/>
      <c r="F340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40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40" s="12"/>
      <c r="I340" s="386" t="str">
        <f>IFERROR(IF(TRANSHARI6_ACCPAGI[[#This Row],[NAMA REKENING]]="","",TRANSHARI6_ACCPAGI[[#This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IFERROR(VLOOKUP(TRANSHARI6_ACCMALAM[[#This Row],[PRODUK]],DATA_ACC[],8,FALSE),"")</f>
        <v/>
      </c>
      <c r="T340" s="374"/>
      <c r="U340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40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40" s="12"/>
      <c r="X340" s="386" t="str">
        <f>IFERROR(IF(TRANSHARI6_ACCMALAM[[#This Row],[NAMA REKENING]]="","",TRANSHARI6_ACCMALAM[[#This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IFERROR(VLOOKUP(TRANSHARI6_ACCPAGI[[#This Row],[PRODUK]],DATA_ACC[],8,FALSE),"")</f>
        <v/>
      </c>
      <c r="E341" s="374"/>
      <c r="F341" s="369" t="str">
        <f>IFERROR(IF(TRANSHARI6_ACCPAGI[[#This Row],[NAMA PENGHUTANG]]="",((TRANSHARI6_ACCPAGI[[#This Row],[HARGA]]*TRANSHARI6_ACCPAGI[[#This Row],[QUANTITY]])+TRANSHARI6_ACCPAGI[[#This Row],[PRICE TOLERANCE]]),""),"")</f>
        <v/>
      </c>
      <c r="G341" s="369" t="str">
        <f>IFERROR(IF(TRANSHARI6_ACCPAGI[[#This Row],[NAMA PENGHUTANG]]="","",((TRANSHARI6_ACCPAGI[[#This Row],[HARGA]]*TRANSHARI6_ACCPAGI[[#This Row],[QUANTITY]])+TRANSHARI6_ACCPAGI[[#This Row],[PRICE TOLERANCE]])),"")</f>
        <v/>
      </c>
      <c r="H341" s="12"/>
      <c r="I341" s="384" t="str">
        <f>IFERROR(IF(TRANSHARI6_ACCPAGI[[#This Row],[NAMA REKENING]]="","",TRANSHARI6_ACCPAGI[[#This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IFERROR(VLOOKUP(TRANSHARI6_ACCMALAM[[#This Row],[PRODUK]],DATA_ACC[],8,FALSE),"")</f>
        <v/>
      </c>
      <c r="T341" s="374"/>
      <c r="U341" s="369" t="str">
        <f>IFERROR(IF(TRANSHARI6_ACCMALAM[[#This Row],[NAMA PENGHUTANG]]="",((TRANSHARI6_ACCMALAM[[#This Row],[HARGA]]*TRANSHARI6_ACCMALAM[[#This Row],[QUANTITY]])+TRANSHARI6_ACCMALAM[[#This Row],[PRICE TOLERANCE]]),""),"")</f>
        <v/>
      </c>
      <c r="V341" s="369" t="str">
        <f>IFERROR(IF(TRANSHARI6_ACCMALAM[[#This Row],[NAMA PENGHUTANG]]="","",((TRANSHARI6_ACCMALAM[[#This Row],[HARGA]]*TRANSHARI6_ACCMALAM[[#This Row],[QUANTITY]])+TRANSHARI6_ACCMALAM[[#This Row],[PRICE TOLERANCE]])),"")</f>
        <v/>
      </c>
      <c r="W341" s="12"/>
      <c r="X341" s="384" t="str">
        <f>IFERROR(IF(TRANSHARI6_ACCMALAM[[#This Row],[NAMA REKENING]]="","",TRANSHARI6_ACCMALAM[[#This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IFERROR(VLOOKUP(TRANSHARI6_ACCPAGI[[#This Row],[PRODUK]],DATA_ACC[],8,FALSE),"")</f>
        <v/>
      </c>
      <c r="E342" s="374"/>
      <c r="F342" s="373" t="str">
        <f>IFERROR(IF(TRANSHARI6_ACCPAGI[[#This Row],[NAMA PENGHUTANG]]="",((TRANSHARI6_ACCPAGI[[#This Row],[HARGA]]*TRANSHARI6_ACCPAGI[[#This Row],[QUANTITY]])+TRANSHARI6_ACCPAGI[[#This Row],[PRICE TOLERANCE]]),""),"")</f>
        <v/>
      </c>
      <c r="G342" s="373" t="str">
        <f>IFERROR(IF(TRANSHARI6_ACCPAGI[[#This Row],[NAMA PENGHUTANG]]="","",((TRANSHARI6_ACCPAGI[[#This Row],[HARGA]]*TRANSHARI6_ACCPAGI[[#This Row],[QUANTITY]])+TRANSHARI6_ACCPAGI[[#This Row],[PRICE TOLERANCE]])),"")</f>
        <v/>
      </c>
      <c r="H342" s="12"/>
      <c r="I342" s="386" t="str">
        <f>IFERROR(IF(TRANSHARI6_ACCPAGI[[#This Row],[NAMA REKENING]]="","",TRANSHARI6_ACCPAGI[[#This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IFERROR(VLOOKUP(TRANSHARI6_ACCMALAM[[#This Row],[PRODUK]],DATA_ACC[],8,FALSE),"")</f>
        <v/>
      </c>
      <c r="T342" s="374"/>
      <c r="U342" s="373" t="str">
        <f>IFERROR(IF(TRANSHARI6_ACCMALAM[[#This Row],[NAMA PENGHUTANG]]="",((TRANSHARI6_ACCMALAM[[#This Row],[HARGA]]*TRANSHARI6_ACCMALAM[[#This Row],[QUANTITY]])+TRANSHARI6_ACCMALAM[[#This Row],[PRICE TOLERANCE]]),""),"")</f>
        <v/>
      </c>
      <c r="V342" s="373" t="str">
        <f>IFERROR(IF(TRANSHARI6_ACCMALAM[[#This Row],[NAMA PENGHUTANG]]="","",((TRANSHARI6_ACCMALAM[[#This Row],[HARGA]]*TRANSHARI6_ACCMALAM[[#This Row],[QUANTITY]])+TRANSHARI6_ACCMALAM[[#This Row],[PRICE TOLERANCE]])),"")</f>
        <v/>
      </c>
      <c r="W342" s="12"/>
      <c r="X342" s="386" t="str">
        <f>IFERROR(IF(TRANSHARI6_ACCMALAM[[#This Row],[NAMA REKENING]]="","",TRANSHARI6_ACCMALAM[[#This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SUM(TRANSHARI6_ACCPAGI[QUANTITY])</f>
        <v>0</v>
      </c>
      <c r="E343" s="398">
        <f>SUM(TRANSHARI6_ACCPAGI[PRICE TOLERANCE])</f>
        <v>0</v>
      </c>
      <c r="F343" s="396">
        <f>SUM(TRANSHARI6_ACCPAGI[DEBIT])</f>
        <v>0</v>
      </c>
      <c r="G343" s="396">
        <f>SUM(TRANSHARI6_ACCPAGI[KREDIT])</f>
        <v>0</v>
      </c>
      <c r="I343" s="396">
        <f>SUM(TRANSHARI6_ACCPAGI[NOMINAL TRANSFER])</f>
        <v>0</v>
      </c>
      <c r="O343" s="324"/>
      <c r="P343" s="303" t="s">
        <v>78</v>
      </c>
      <c r="Q343" s="316"/>
      <c r="R343" s="395">
        <f>SUM(TRANSHARI6_ACCMALAM[QUANTITY])</f>
        <v>0</v>
      </c>
      <c r="T343" s="398">
        <f>SUM(TRANSHARI6_ACCMALAM[PRICE TOLERANCE])</f>
        <v>0</v>
      </c>
      <c r="U343" s="396">
        <f>SUM(TRANSHARI6_ACCMALAM[DEBIT])</f>
        <v>0</v>
      </c>
      <c r="V343" s="396">
        <f>SUM(TRANSHARI6_ACCMALAM[KREDIT])</f>
        <v>0</v>
      </c>
      <c r="X343" s="396">
        <f>SUM(TRANSHARI6_ACCMALAM[NOMINAL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">
        <v>213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">
        <v>214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IFERROR(VLOOKUP(TRANSHARI6_HYDROPAGI[[#This Row],[PRODUK]],DATA_HYDRO[],8,FALSE),"")</f>
        <v/>
      </c>
      <c r="E350" s="370"/>
      <c r="F350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0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0" s="371"/>
      <c r="I350" s="384" t="str">
        <f>IFERROR(IF(TRANSHARI6_HYDROPAGI[[#This Row],[NAMA REKENING]]="","",TRANSHARI6_HYDROPAGI[[#This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IFERROR(VLOOKUP(TRANSHARI6_HYDROMALAM[[#This Row],[PRODUK]],DATA_HYDRO[],8,FALSE),"")</f>
        <v/>
      </c>
      <c r="T350" s="370"/>
      <c r="U350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0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0" s="371"/>
      <c r="X350" s="384" t="str">
        <f>IFERROR(IF(TRANSHARI6_HYDROMALAM[[#This Row],[NAMA REKENING]]="","",TRANSHARI6_HYDROMALAM[[#This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IFERROR(VLOOKUP(TRANSHARI6_HYDROPAGI[[#This Row],[PRODUK]],DATA_HYDRO[],8,FALSE),"")</f>
        <v/>
      </c>
      <c r="E351" s="374"/>
      <c r="F351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1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1" s="12"/>
      <c r="I351" s="386" t="str">
        <f>IFERROR(IF(TRANSHARI6_HYDROPAGI[[#This Row],[NAMA REKENING]]="","",TRANSHARI6_HYDROPAGI[[#This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IFERROR(VLOOKUP(TRANSHARI6_HYDROMALAM[[#This Row],[PRODUK]],DATA_HYDRO[],8,FALSE),"")</f>
        <v/>
      </c>
      <c r="T351" s="374"/>
      <c r="U351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1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1" s="12"/>
      <c r="X351" s="386" t="str">
        <f>IFERROR(IF(TRANSHARI6_HYDROMALAM[[#This Row],[NAMA REKENING]]="","",TRANSHARI6_HYDROMALAM[[#This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IFERROR(VLOOKUP(TRANSHARI6_HYDROPAGI[[#This Row],[PRODUK]],DATA_HYDRO[],8,FALSE),"")</f>
        <v/>
      </c>
      <c r="E352" s="374"/>
      <c r="F352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2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2" s="12"/>
      <c r="I352" s="384" t="str">
        <f>IFERROR(IF(TRANSHARI6_HYDROPAGI[[#This Row],[NAMA REKENING]]="","",TRANSHARI6_HYDROPAGI[[#This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IFERROR(VLOOKUP(TRANSHARI6_HYDROMALAM[[#This Row],[PRODUK]],DATA_HYDRO[],8,FALSE),"")</f>
        <v/>
      </c>
      <c r="T352" s="374"/>
      <c r="U352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2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2" s="12"/>
      <c r="X352" s="384" t="str">
        <f>IFERROR(IF(TRANSHARI6_HYDROMALAM[[#This Row],[NAMA REKENING]]="","",TRANSHARI6_HYDROMALAM[[#This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IFERROR(VLOOKUP(TRANSHARI6_HYDROPAGI[[#This Row],[PRODUK]],DATA_HYDRO[],8,FALSE),"")</f>
        <v/>
      </c>
      <c r="E353" s="374"/>
      <c r="F353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3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3" s="12"/>
      <c r="I353" s="386" t="str">
        <f>IFERROR(IF(TRANSHARI6_HYDROPAGI[[#This Row],[NAMA REKENING]]="","",TRANSHARI6_HYDROPAGI[[#This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IFERROR(VLOOKUP(TRANSHARI6_HYDROMALAM[[#This Row],[PRODUK]],DATA_HYDRO[],8,FALSE),"")</f>
        <v/>
      </c>
      <c r="T353" s="374"/>
      <c r="U353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3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3" s="12"/>
      <c r="X353" s="386" t="str">
        <f>IFERROR(IF(TRANSHARI6_HYDROMALAM[[#This Row],[NAMA REKENING]]="","",TRANSHARI6_HYDROMALAM[[#This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IFERROR(VLOOKUP(TRANSHARI6_HYDROPAGI[[#This Row],[PRODUK]],DATA_HYDRO[],8,FALSE),"")</f>
        <v/>
      </c>
      <c r="E354" s="374"/>
      <c r="F354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4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4" s="12"/>
      <c r="I354" s="384" t="str">
        <f>IFERROR(IF(TRANSHARI6_HYDROPAGI[[#This Row],[NAMA REKENING]]="","",TRANSHARI6_HYDROPAGI[[#This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IFERROR(VLOOKUP(TRANSHARI6_HYDROMALAM[[#This Row],[PRODUK]],DATA_HYDRO[],8,FALSE),"")</f>
        <v/>
      </c>
      <c r="T354" s="374"/>
      <c r="U354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4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4" s="12"/>
      <c r="X354" s="384" t="str">
        <f>IFERROR(IF(TRANSHARI6_HYDROMALAM[[#This Row],[NAMA REKENING]]="","",TRANSHARI6_HYDROMALAM[[#This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IFERROR(VLOOKUP(TRANSHARI6_HYDROPAGI[[#This Row],[PRODUK]],DATA_HYDRO[],8,FALSE),"")</f>
        <v/>
      </c>
      <c r="E355" s="374"/>
      <c r="F355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5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5" s="12"/>
      <c r="I355" s="386" t="str">
        <f>IFERROR(IF(TRANSHARI6_HYDROPAGI[[#This Row],[NAMA REKENING]]="","",TRANSHARI6_HYDROPAGI[[#This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IFERROR(VLOOKUP(TRANSHARI6_HYDROMALAM[[#This Row],[PRODUK]],DATA_HYDRO[],8,FALSE),"")</f>
        <v/>
      </c>
      <c r="T355" s="374"/>
      <c r="U355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5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5" s="12"/>
      <c r="X355" s="386" t="str">
        <f>IFERROR(IF(TRANSHARI6_HYDROMALAM[[#This Row],[NAMA REKENING]]="","",TRANSHARI6_HYDROMALAM[[#This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IFERROR(VLOOKUP(TRANSHARI6_HYDROPAGI[[#This Row],[PRODUK]],DATA_HYDRO[],8,FALSE),"")</f>
        <v/>
      </c>
      <c r="E356" s="374"/>
      <c r="F356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6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6" s="12"/>
      <c r="I356" s="384" t="str">
        <f>IFERROR(IF(TRANSHARI6_HYDROPAGI[[#This Row],[NAMA REKENING]]="","",TRANSHARI6_HYDROPAGI[[#This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IFERROR(VLOOKUP(TRANSHARI6_HYDROMALAM[[#This Row],[PRODUK]],DATA_HYDRO[],8,FALSE),"")</f>
        <v/>
      </c>
      <c r="T356" s="374"/>
      <c r="U356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6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6" s="12"/>
      <c r="X356" s="384" t="str">
        <f>IFERROR(IF(TRANSHARI6_HYDROMALAM[[#This Row],[NAMA REKENING]]="","",TRANSHARI6_HYDROMALAM[[#This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IFERROR(VLOOKUP(TRANSHARI6_HYDROPAGI[[#This Row],[PRODUK]],DATA_HYDRO[],8,FALSE),"")</f>
        <v/>
      </c>
      <c r="E357" s="374"/>
      <c r="F357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7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7" s="12"/>
      <c r="I357" s="386" t="str">
        <f>IFERROR(IF(TRANSHARI6_HYDROPAGI[[#This Row],[NAMA REKENING]]="","",TRANSHARI6_HYDROPAGI[[#This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IFERROR(VLOOKUP(TRANSHARI6_HYDROMALAM[[#This Row],[PRODUK]],DATA_HYDRO[],8,FALSE),"")</f>
        <v/>
      </c>
      <c r="T357" s="374"/>
      <c r="U357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7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7" s="12"/>
      <c r="X357" s="386" t="str">
        <f>IFERROR(IF(TRANSHARI6_HYDROMALAM[[#This Row],[NAMA REKENING]]="","",TRANSHARI6_HYDROMALAM[[#This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IFERROR(VLOOKUP(TRANSHARI6_HYDROPAGI[[#This Row],[PRODUK]],DATA_HYDRO[],8,FALSE),"")</f>
        <v/>
      </c>
      <c r="E358" s="374"/>
      <c r="F358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8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8" s="12"/>
      <c r="I358" s="384" t="str">
        <f>IFERROR(IF(TRANSHARI6_HYDROPAGI[[#This Row],[NAMA REKENING]]="","",TRANSHARI6_HYDROPAGI[[#This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IFERROR(VLOOKUP(TRANSHARI6_HYDROMALAM[[#This Row],[PRODUK]],DATA_HYDRO[],8,FALSE),"")</f>
        <v/>
      </c>
      <c r="T358" s="374"/>
      <c r="U358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8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8" s="12"/>
      <c r="X358" s="384" t="str">
        <f>IFERROR(IF(TRANSHARI6_HYDROMALAM[[#This Row],[NAMA REKENING]]="","",TRANSHARI6_HYDROMALAM[[#This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IFERROR(VLOOKUP(TRANSHARI6_HYDROPAGI[[#This Row],[PRODUK]],DATA_HYDRO[],8,FALSE),"")</f>
        <v/>
      </c>
      <c r="E359" s="374"/>
      <c r="F359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59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59" s="12"/>
      <c r="I359" s="386" t="str">
        <f>IFERROR(IF(TRANSHARI6_HYDROPAGI[[#This Row],[NAMA REKENING]]="","",TRANSHARI6_HYDROPAGI[[#This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IFERROR(VLOOKUP(TRANSHARI6_HYDROMALAM[[#This Row],[PRODUK]],DATA_HYDRO[],8,FALSE),"")</f>
        <v/>
      </c>
      <c r="T359" s="374"/>
      <c r="U359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59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59" s="12"/>
      <c r="X359" s="386" t="str">
        <f>IFERROR(IF(TRANSHARI6_HYDROMALAM[[#This Row],[NAMA REKENING]]="","",TRANSHARI6_HYDROMALAM[[#This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IFERROR(VLOOKUP(TRANSHARI6_HYDROPAGI[[#This Row],[PRODUK]],DATA_HYDRO[],8,FALSE),"")</f>
        <v/>
      </c>
      <c r="E360" s="374"/>
      <c r="F360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0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0" s="12"/>
      <c r="I360" s="384" t="str">
        <f>IFERROR(IF(TRANSHARI6_HYDROPAGI[[#This Row],[NAMA REKENING]]="","",TRANSHARI6_HYDROPAGI[[#This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IFERROR(VLOOKUP(TRANSHARI6_HYDROMALAM[[#This Row],[PRODUK]],DATA_HYDRO[],8,FALSE),"")</f>
        <v/>
      </c>
      <c r="T360" s="374"/>
      <c r="U360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0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0" s="12"/>
      <c r="X360" s="384" t="str">
        <f>IFERROR(IF(TRANSHARI6_HYDROMALAM[[#This Row],[NAMA REKENING]]="","",TRANSHARI6_HYDROMALAM[[#This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IFERROR(VLOOKUP(TRANSHARI6_HYDROPAGI[[#This Row],[PRODUK]],DATA_HYDRO[],8,FALSE),"")</f>
        <v/>
      </c>
      <c r="E361" s="374"/>
      <c r="F361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1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1" s="12"/>
      <c r="I361" s="386" t="str">
        <f>IFERROR(IF(TRANSHARI6_HYDROPAGI[[#This Row],[NAMA REKENING]]="","",TRANSHARI6_HYDROPAGI[[#This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IFERROR(VLOOKUP(TRANSHARI6_HYDROMALAM[[#This Row],[PRODUK]],DATA_HYDRO[],8,FALSE),"")</f>
        <v/>
      </c>
      <c r="T361" s="374"/>
      <c r="U361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1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1" s="12"/>
      <c r="X361" s="386" t="str">
        <f>IFERROR(IF(TRANSHARI6_HYDROMALAM[[#This Row],[NAMA REKENING]]="","",TRANSHARI6_HYDROMALAM[[#This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IFERROR(VLOOKUP(TRANSHARI6_HYDROPAGI[[#This Row],[PRODUK]],DATA_HYDRO[],8,FALSE),"")</f>
        <v/>
      </c>
      <c r="E362" s="374"/>
      <c r="F362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2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2" s="12"/>
      <c r="I362" s="384" t="str">
        <f>IFERROR(IF(TRANSHARI6_HYDROPAGI[[#This Row],[NAMA REKENING]]="","",TRANSHARI6_HYDROPAGI[[#This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IFERROR(VLOOKUP(TRANSHARI6_HYDROMALAM[[#This Row],[PRODUK]],DATA_HYDRO[],8,FALSE),"")</f>
        <v/>
      </c>
      <c r="T362" s="374"/>
      <c r="U362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2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2" s="12"/>
      <c r="X362" s="384" t="str">
        <f>IFERROR(IF(TRANSHARI6_HYDROMALAM[[#This Row],[NAMA REKENING]]="","",TRANSHARI6_HYDROMALAM[[#This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IFERROR(VLOOKUP(TRANSHARI6_HYDROPAGI[[#This Row],[PRODUK]],DATA_HYDRO[],8,FALSE),"")</f>
        <v/>
      </c>
      <c r="E363" s="374"/>
      <c r="F363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3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3" s="12"/>
      <c r="I363" s="386" t="str">
        <f>IFERROR(IF(TRANSHARI6_HYDROPAGI[[#This Row],[NAMA REKENING]]="","",TRANSHARI6_HYDROPAGI[[#This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IFERROR(VLOOKUP(TRANSHARI6_HYDROMALAM[[#This Row],[PRODUK]],DATA_HYDRO[],8,FALSE),"")</f>
        <v/>
      </c>
      <c r="T363" s="374"/>
      <c r="U363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3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3" s="12"/>
      <c r="X363" s="386" t="str">
        <f>IFERROR(IF(TRANSHARI6_HYDROMALAM[[#This Row],[NAMA REKENING]]="","",TRANSHARI6_HYDROMALAM[[#This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IFERROR(VLOOKUP(TRANSHARI6_HYDROPAGI[[#This Row],[PRODUK]],DATA_HYDRO[],8,FALSE),"")</f>
        <v/>
      </c>
      <c r="E364" s="374"/>
      <c r="F364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4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4" s="12"/>
      <c r="I364" s="384" t="str">
        <f>IFERROR(IF(TRANSHARI6_HYDROPAGI[[#This Row],[NAMA REKENING]]="","",TRANSHARI6_HYDROPAGI[[#This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IFERROR(VLOOKUP(TRANSHARI6_HYDROMALAM[[#This Row],[PRODUK]],DATA_HYDRO[],8,FALSE),"")</f>
        <v/>
      </c>
      <c r="T364" s="374"/>
      <c r="U364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4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4" s="12"/>
      <c r="X364" s="384" t="str">
        <f>IFERROR(IF(TRANSHARI6_HYDROMALAM[[#This Row],[NAMA REKENING]]="","",TRANSHARI6_HYDROMALAM[[#This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IFERROR(VLOOKUP(TRANSHARI6_HYDROPAGI[[#This Row],[PRODUK]],DATA_HYDRO[],8,FALSE),"")</f>
        <v/>
      </c>
      <c r="E365" s="374"/>
      <c r="F365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5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5" s="12"/>
      <c r="I365" s="386" t="str">
        <f>IFERROR(IF(TRANSHARI6_HYDROPAGI[[#This Row],[NAMA REKENING]]="","",TRANSHARI6_HYDROPAGI[[#This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IFERROR(VLOOKUP(TRANSHARI6_HYDROMALAM[[#This Row],[PRODUK]],DATA_HYDRO[],8,FALSE),"")</f>
        <v/>
      </c>
      <c r="T365" s="374"/>
      <c r="U365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5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5" s="12"/>
      <c r="X365" s="386" t="str">
        <f>IFERROR(IF(TRANSHARI6_HYDROMALAM[[#This Row],[NAMA REKENING]]="","",TRANSHARI6_HYDROMALAM[[#This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IFERROR(VLOOKUP(TRANSHARI6_HYDROPAGI[[#This Row],[PRODUK]],DATA_HYDRO[],8,FALSE),"")</f>
        <v/>
      </c>
      <c r="E366" s="374"/>
      <c r="F366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6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6" s="12"/>
      <c r="I366" s="384" t="str">
        <f>IFERROR(IF(TRANSHARI6_HYDROPAGI[[#This Row],[NAMA REKENING]]="","",TRANSHARI6_HYDROPAGI[[#This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IFERROR(VLOOKUP(TRANSHARI6_HYDROMALAM[[#This Row],[PRODUK]],DATA_HYDRO[],8,FALSE),"")</f>
        <v/>
      </c>
      <c r="T366" s="374"/>
      <c r="U366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6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6" s="12"/>
      <c r="X366" s="384" t="str">
        <f>IFERROR(IF(TRANSHARI6_HYDROMALAM[[#This Row],[NAMA REKENING]]="","",TRANSHARI6_HYDROMALAM[[#This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IFERROR(VLOOKUP(TRANSHARI6_HYDROPAGI[[#This Row],[PRODUK]],DATA_HYDRO[],8,FALSE),"")</f>
        <v/>
      </c>
      <c r="E367" s="374"/>
      <c r="F367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7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7" s="12"/>
      <c r="I367" s="386" t="str">
        <f>IFERROR(IF(TRANSHARI6_HYDROPAGI[[#This Row],[NAMA REKENING]]="","",TRANSHARI6_HYDROPAGI[[#This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IFERROR(VLOOKUP(TRANSHARI6_HYDROMALAM[[#This Row],[PRODUK]],DATA_HYDRO[],8,FALSE),"")</f>
        <v/>
      </c>
      <c r="T367" s="374"/>
      <c r="U367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7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7" s="12"/>
      <c r="X367" s="386" t="str">
        <f>IFERROR(IF(TRANSHARI6_HYDROMALAM[[#This Row],[NAMA REKENING]]="","",TRANSHARI6_HYDROMALAM[[#This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IFERROR(VLOOKUP(TRANSHARI6_HYDROPAGI[[#This Row],[PRODUK]],DATA_HYDRO[],8,FALSE),"")</f>
        <v/>
      </c>
      <c r="E368" s="374"/>
      <c r="F368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8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8" s="12"/>
      <c r="I368" s="384" t="str">
        <f>IFERROR(IF(TRANSHARI6_HYDROPAGI[[#This Row],[NAMA REKENING]]="","",TRANSHARI6_HYDROPAGI[[#This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IFERROR(VLOOKUP(TRANSHARI6_HYDROMALAM[[#This Row],[PRODUK]],DATA_HYDRO[],8,FALSE),"")</f>
        <v/>
      </c>
      <c r="T368" s="374"/>
      <c r="U368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8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8" s="12"/>
      <c r="X368" s="384" t="str">
        <f>IFERROR(IF(TRANSHARI6_HYDROMALAM[[#This Row],[NAMA REKENING]]="","",TRANSHARI6_HYDROMALAM[[#This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IFERROR(VLOOKUP(TRANSHARI6_HYDROPAGI[[#This Row],[PRODUK]],DATA_HYDRO[],8,FALSE),"")</f>
        <v/>
      </c>
      <c r="E369" s="374"/>
      <c r="F369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69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69" s="12"/>
      <c r="I369" s="386" t="str">
        <f>IFERROR(IF(TRANSHARI6_HYDROPAGI[[#This Row],[NAMA REKENING]]="","",TRANSHARI6_HYDROPAGI[[#This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IFERROR(VLOOKUP(TRANSHARI6_HYDROMALAM[[#This Row],[PRODUK]],DATA_HYDRO[],8,FALSE),"")</f>
        <v/>
      </c>
      <c r="T369" s="374"/>
      <c r="U369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69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69" s="12"/>
      <c r="X369" s="386" t="str">
        <f>IFERROR(IF(TRANSHARI6_HYDROMALAM[[#This Row],[NAMA REKENING]]="","",TRANSHARI6_HYDROMALAM[[#This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IFERROR(VLOOKUP(TRANSHARI6_HYDROPAGI[[#This Row],[PRODUK]],DATA_HYDRO[],8,FALSE),"")</f>
        <v/>
      </c>
      <c r="E370" s="374"/>
      <c r="F370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0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0" s="12"/>
      <c r="I370" s="384" t="str">
        <f>IFERROR(IF(TRANSHARI6_HYDROPAGI[[#This Row],[NAMA REKENING]]="","",TRANSHARI6_HYDROPAGI[[#This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IFERROR(VLOOKUP(TRANSHARI6_HYDROMALAM[[#This Row],[PRODUK]],DATA_HYDRO[],8,FALSE),"")</f>
        <v/>
      </c>
      <c r="T370" s="374"/>
      <c r="U370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0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0" s="12"/>
      <c r="X370" s="384" t="str">
        <f>IFERROR(IF(TRANSHARI6_HYDROMALAM[[#This Row],[NAMA REKENING]]="","",TRANSHARI6_HYDROMALAM[[#This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IFERROR(VLOOKUP(TRANSHARI6_HYDROPAGI[[#This Row],[PRODUK]],DATA_HYDRO[],8,FALSE),"")</f>
        <v/>
      </c>
      <c r="E371" s="374"/>
      <c r="F371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1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1" s="12"/>
      <c r="I371" s="386" t="str">
        <f>IFERROR(IF(TRANSHARI6_HYDROPAGI[[#This Row],[NAMA REKENING]]="","",TRANSHARI6_HYDROPAGI[[#This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IFERROR(VLOOKUP(TRANSHARI6_HYDROMALAM[[#This Row],[PRODUK]],DATA_HYDRO[],8,FALSE),"")</f>
        <v/>
      </c>
      <c r="T371" s="374"/>
      <c r="U371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1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1" s="12"/>
      <c r="X371" s="386" t="str">
        <f>IFERROR(IF(TRANSHARI6_HYDROMALAM[[#This Row],[NAMA REKENING]]="","",TRANSHARI6_HYDROMALAM[[#This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IFERROR(VLOOKUP(TRANSHARI6_HYDROPAGI[[#This Row],[PRODUK]],DATA_HYDRO[],8,FALSE),"")</f>
        <v/>
      </c>
      <c r="E372" s="374"/>
      <c r="F372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2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2" s="12"/>
      <c r="I372" s="384" t="str">
        <f>IFERROR(IF(TRANSHARI6_HYDROPAGI[[#This Row],[NAMA REKENING]]="","",TRANSHARI6_HYDROPAGI[[#This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IFERROR(VLOOKUP(TRANSHARI6_HYDROMALAM[[#This Row],[PRODUK]],DATA_HYDRO[],8,FALSE),"")</f>
        <v/>
      </c>
      <c r="T372" s="374"/>
      <c r="U372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2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2" s="12"/>
      <c r="X372" s="384" t="str">
        <f>IFERROR(IF(TRANSHARI6_HYDROMALAM[[#This Row],[NAMA REKENING]]="","",TRANSHARI6_HYDROMALAM[[#This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IFERROR(VLOOKUP(TRANSHARI6_HYDROPAGI[[#This Row],[PRODUK]],DATA_HYDRO[],8,FALSE),"")</f>
        <v/>
      </c>
      <c r="E373" s="374"/>
      <c r="F373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3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3" s="12"/>
      <c r="I373" s="386" t="str">
        <f>IFERROR(IF(TRANSHARI6_HYDROPAGI[[#This Row],[NAMA REKENING]]="","",TRANSHARI6_HYDROPAGI[[#This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IFERROR(VLOOKUP(TRANSHARI6_HYDROMALAM[[#This Row],[PRODUK]],DATA_HYDRO[],8,FALSE),"")</f>
        <v/>
      </c>
      <c r="T373" s="374"/>
      <c r="U373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3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3" s="12"/>
      <c r="X373" s="386" t="str">
        <f>IFERROR(IF(TRANSHARI6_HYDROMALAM[[#This Row],[NAMA REKENING]]="","",TRANSHARI6_HYDROMALAM[[#This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IFERROR(VLOOKUP(TRANSHARI6_HYDROPAGI[[#This Row],[PRODUK]],DATA_HYDRO[],8,FALSE),"")</f>
        <v/>
      </c>
      <c r="E374" s="374"/>
      <c r="F374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4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4" s="12"/>
      <c r="I374" s="384" t="str">
        <f>IFERROR(IF(TRANSHARI6_HYDROPAGI[[#This Row],[NAMA REKENING]]="","",TRANSHARI6_HYDROPAGI[[#This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IFERROR(VLOOKUP(TRANSHARI6_HYDROMALAM[[#This Row],[PRODUK]],DATA_HYDRO[],8,FALSE),"")</f>
        <v/>
      </c>
      <c r="T374" s="374"/>
      <c r="U374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4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4" s="12"/>
      <c r="X374" s="384" t="str">
        <f>IFERROR(IF(TRANSHARI6_HYDROMALAM[[#This Row],[NAMA REKENING]]="","",TRANSHARI6_HYDROMALAM[[#This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IFERROR(VLOOKUP(TRANSHARI6_HYDROPAGI[[#This Row],[PRODUK]],DATA_HYDRO[],8,FALSE),"")</f>
        <v/>
      </c>
      <c r="E375" s="376"/>
      <c r="F375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5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5" s="377"/>
      <c r="I375" s="386" t="str">
        <f>IFERROR(IF(TRANSHARI6_HYDROPAGI[[#This Row],[NAMA REKENING]]="","",TRANSHARI6_HYDROPAGI[[#This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IFERROR(VLOOKUP(TRANSHARI6_HYDROMALAM[[#This Row],[PRODUK]],DATA_HYDRO[],8,FALSE),"")</f>
        <v/>
      </c>
      <c r="T375" s="376"/>
      <c r="U375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5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5" s="377"/>
      <c r="X375" s="386" t="str">
        <f>IFERROR(IF(TRANSHARI6_HYDROMALAM[[#This Row],[NAMA REKENING]]="","",TRANSHARI6_HYDROMALAM[[#This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IFERROR(VLOOKUP(TRANSHARI6_HYDROPAGI[[#This Row],[PRODUK]],DATA_HYDRO[],8,FALSE),"")</f>
        <v/>
      </c>
      <c r="E376" s="374"/>
      <c r="F376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6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6" s="12"/>
      <c r="I376" s="384" t="str">
        <f>IFERROR(IF(TRANSHARI6_HYDROPAGI[[#This Row],[NAMA REKENING]]="","",TRANSHARI6_HYDROPAGI[[#This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IFERROR(VLOOKUP(TRANSHARI6_HYDROMALAM[[#This Row],[PRODUK]],DATA_HYDRO[],8,FALSE),"")</f>
        <v/>
      </c>
      <c r="T376" s="374"/>
      <c r="U376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6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6" s="12"/>
      <c r="X376" s="384" t="str">
        <f>IFERROR(IF(TRANSHARI6_HYDROMALAM[[#This Row],[NAMA REKENING]]="","",TRANSHARI6_HYDROMALAM[[#This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IFERROR(VLOOKUP(TRANSHARI6_HYDROPAGI[[#This Row],[PRODUK]],DATA_HYDRO[],8,FALSE),"")</f>
        <v/>
      </c>
      <c r="E377" s="374"/>
      <c r="F377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7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7" s="12"/>
      <c r="I377" s="386" t="str">
        <f>IFERROR(IF(TRANSHARI6_HYDROPAGI[[#This Row],[NAMA REKENING]]="","",TRANSHARI6_HYDROPAGI[[#This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IFERROR(VLOOKUP(TRANSHARI6_HYDROMALAM[[#This Row],[PRODUK]],DATA_HYDRO[],8,FALSE),"")</f>
        <v/>
      </c>
      <c r="T377" s="374"/>
      <c r="U377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7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7" s="12"/>
      <c r="X377" s="386" t="str">
        <f>IFERROR(IF(TRANSHARI6_HYDROMALAM[[#This Row],[NAMA REKENING]]="","",TRANSHARI6_HYDROMALAM[[#This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IFERROR(VLOOKUP(TRANSHARI6_HYDROPAGI[[#This Row],[PRODUK]],DATA_HYDRO[],8,FALSE),"")</f>
        <v/>
      </c>
      <c r="E378" s="374"/>
      <c r="F378" s="369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8" s="369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8" s="12"/>
      <c r="I378" s="384" t="str">
        <f>IFERROR(IF(TRANSHARI6_HYDROPAGI[[#This Row],[NAMA REKENING]]="","",TRANSHARI6_HYDROPAGI[[#This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IFERROR(VLOOKUP(TRANSHARI6_HYDROMALAM[[#This Row],[PRODUK]],DATA_HYDRO[],8,FALSE),"")</f>
        <v/>
      </c>
      <c r="T378" s="374"/>
      <c r="U378" s="369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8" s="369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8" s="12"/>
      <c r="X378" s="384" t="str">
        <f>IFERROR(IF(TRANSHARI6_HYDROMALAM[[#This Row],[NAMA REKENING]]="","",TRANSHARI6_HYDROMALAM[[#This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IFERROR(VLOOKUP(TRANSHARI6_HYDROPAGI[[#This Row],[PRODUK]],DATA_HYDRO[],8,FALSE),"")</f>
        <v/>
      </c>
      <c r="E379" s="374"/>
      <c r="F379" s="373" t="str">
        <f>IFERROR(IF(TRANSHARI6_HYDROPAGI[[#This Row],[NAMA PENGHUTANG]]="",((TRANSHARI6_HYDROPAGI[[#This Row],[HARGA]]*TRANSHARI6_HYDROPAGI[[#This Row],[QUANTITY]])+TRANSHARI6_HYDROPAGI[[#This Row],[PRICE TOLERANCE]]),""),"")</f>
        <v/>
      </c>
      <c r="G379" s="373" t="str">
        <f>IFERROR(IF(TRANSHARI6_HYDROPAGI[[#This Row],[NAMA PENGHUTANG]]="","",((TRANSHARI6_HYDROPAGI[[#This Row],[HARGA]]*TRANSHARI6_HYDROPAGI[[#This Row],[QUANTITY]])+TRANSHARI6_HYDROPAGI[[#This Row],[PRICE TOLERANCE]])),"")</f>
        <v/>
      </c>
      <c r="H379" s="12"/>
      <c r="I379" s="386" t="str">
        <f>IFERROR(IF(TRANSHARI6_HYDROPAGI[[#This Row],[NAMA REKENING]]="","",TRANSHARI6_HYDROPAGI[[#This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IFERROR(VLOOKUP(TRANSHARI6_HYDROMALAM[[#This Row],[PRODUK]],DATA_HYDRO[],8,FALSE),"")</f>
        <v/>
      </c>
      <c r="T379" s="374"/>
      <c r="U379" s="373" t="str">
        <f>IFERROR(IF(TRANSHARI6_HYDROMALAM[[#This Row],[NAMA PENGHUTANG]]="",((TRANSHARI6_HYDROMALAM[[#This Row],[HARGA]]*TRANSHARI6_HYDROMALAM[[#This Row],[QUANTITY]])+TRANSHARI6_HYDROMALAM[[#This Row],[PRICE TOLERANCE]]),""),"")</f>
        <v/>
      </c>
      <c r="V379" s="373" t="str">
        <f>IFERROR(IF(TRANSHARI6_HYDROMALAM[[#This Row],[NAMA PENGHUTANG]]="","",((TRANSHARI6_HYDROMALAM[[#This Row],[HARGA]]*TRANSHARI6_HYDROMALAM[[#This Row],[QUANTITY]])+TRANSHARI6_HYDROMALAM[[#This Row],[PRICE TOLERANCE]])),"")</f>
        <v/>
      </c>
      <c r="W379" s="12"/>
      <c r="X379" s="386" t="str">
        <f>IFERROR(IF(TRANSHARI6_HYDROMALAM[[#This Row],[NAMA REKENING]]="","",TRANSHARI6_HYDROMALAM[[#This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SUM(TRANSHARI6_HYDROPAGI[QUANTITY])</f>
        <v>0</v>
      </c>
      <c r="E380" s="398">
        <f>SUM(TRANSHARI6_HYDROPAGI[PRICE TOLERANCE])</f>
        <v>0</v>
      </c>
      <c r="F380" s="396">
        <f>SUM(TRANSHARI6_HYDROPAGI[DEBIT])</f>
        <v>0</v>
      </c>
      <c r="G380" s="396">
        <f>SUM(TRANSHARI6_HYDROPAGI[KREDIT])</f>
        <v>0</v>
      </c>
      <c r="I380" s="396">
        <f>SUM(TRANSHARI6_HYDROPAGI[NOMINAL TRANSFER])</f>
        <v>0</v>
      </c>
      <c r="O380" s="324"/>
      <c r="P380" s="303" t="s">
        <v>78</v>
      </c>
      <c r="Q380" s="316"/>
      <c r="R380" s="395">
        <f>SUM(TRANSHARI6_HYDROMALAM[QUANTITY])</f>
        <v>0</v>
      </c>
      <c r="T380" s="398">
        <f>SUM(TRANSHARI6_HYDROMALAM[PRICE TOLERANCE])</f>
        <v>0</v>
      </c>
      <c r="U380" s="396">
        <f>SUM(TRANSHARI6_HYDROMALAM[DEBIT])</f>
        <v>0</v>
      </c>
      <c r="V380" s="396">
        <f>SUM(TRANSHARI6_HYDROMALAM[KREDIT])</f>
        <v>0</v>
      </c>
      <c r="X380" s="396">
        <f>SUM(TRANSHARI6_HYDROMALAM[NOMINAL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216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217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SUM(TRANSHARI6_PULSAPAGI[DEBIT])</f>
        <v>0</v>
      </c>
      <c r="D390" s="431">
        <f>SUM(TRANSHARI6_PULSAPAGI[KREDIT])</f>
        <v>0</v>
      </c>
      <c r="E390" s="432">
        <f>SUM(TRANSHARI6_PULSAPAGI[NOMINAL TRANSFER])</f>
        <v>0</v>
      </c>
      <c r="F390" s="433">
        <f>0</f>
        <v>0</v>
      </c>
      <c r="G390" s="434">
        <f>COUNTA(TRANSHARI6_PULSAPAGI[[DEBIT]:[KREDIT]])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SUM(TRANSHARI6_PULSAMALAM[DEBIT])</f>
        <v>0</v>
      </c>
      <c r="S390" s="431">
        <f>SUM(TRANSHARI6_PULSAMALAM[KREDIT])</f>
        <v>0</v>
      </c>
      <c r="T390" s="432">
        <f>SUM(TRANSHARI6_PULSAMALAM[NOMINAL TRANSFER])</f>
        <v>0</v>
      </c>
      <c r="U390" s="433">
        <f>0</f>
        <v>0</v>
      </c>
      <c r="V390" s="434">
        <f>COUNTA(TRANSHARI6_PULSAMALAM[[DEBIT]:[KREDIT]])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SUM(TRANSHARI6_ROKOKPAGI[DEBIT])</f>
        <v>0</v>
      </c>
      <c r="D391" s="431">
        <f>SUM(TRANSHARI6_ROKOKPAGI[KREDIT])</f>
        <v>0</v>
      </c>
      <c r="E391" s="432">
        <f>SUM(TRANSHARI6_ROKOKPAGI[NOMINAL TRANSFER])</f>
        <v>0</v>
      </c>
      <c r="F391" s="433">
        <f>SUM(TRANSHARI6_ROKOKPAGI[PRICE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SUM(TRANSHARI6_ROKOKMALAM[DEBIT])</f>
        <v>0</v>
      </c>
      <c r="S391" s="431">
        <f>SUM(TRANSHARI6_ROKOKMALAM[KREDIT])</f>
        <v>0</v>
      </c>
      <c r="T391" s="432">
        <f>SUM(TRANSHARI6_ROKOKMALAM[NOMINAL TRANSFER])</f>
        <v>0</v>
      </c>
      <c r="U391" s="433">
        <f>SUM(TRANSHARI6_ROKOKMALAM[PRICE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SUM(TRANSHARI6_SPVOUPAGI[DEBIT])</f>
        <v>0</v>
      </c>
      <c r="D392" s="431">
        <f>SUM(TRANSHARI6_SPVOUPAGI[KREDIT])</f>
        <v>0</v>
      </c>
      <c r="E392" s="432">
        <f>SUM(TRANSHARI6_SPVOUPAGI[NOMINAL TRANSFER])</f>
        <v>0</v>
      </c>
      <c r="F392" s="433">
        <f>SUM(TRANSHARI6_SPVOUPAGI[PRICE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SUM(TRANSHARI6_SPVOUMALAM[DEBIT])</f>
        <v>0</v>
      </c>
      <c r="S392" s="431">
        <f>SUM(TRANSHARI6_SPVOUMALAM[KREDIT])</f>
        <v>0</v>
      </c>
      <c r="T392" s="432">
        <f>SUM(TRANSHARI6_SPVOUMALAM[NOMINAL TRANSFER])</f>
        <v>0</v>
      </c>
      <c r="U392" s="433">
        <f>SUM(TRANSHARI6_SPVOUMALAM[PRICE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SUM(TRANSHARI6_SOFTDRINKPAGI[DEBIT])</f>
        <v>0</v>
      </c>
      <c r="D393" s="431">
        <f>SUM(TRANSHARI6_SOFTDRINKPAGI[KREDIT])</f>
        <v>0</v>
      </c>
      <c r="E393" s="432">
        <f>SUM(TRANSHARI6_SOFTDRINKPAGI[NOMINAL TRANSFER])</f>
        <v>0</v>
      </c>
      <c r="F393" s="433">
        <f>SUM(TRANSHARI6_SOFTDRINKPAGI[PRICE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SUM(TRANSHARI6_SOFTDRINKMALAM[DEBIT])</f>
        <v>0</v>
      </c>
      <c r="S393" s="431">
        <f>SUM(TRANSHARI6_SOFTDRINKMALAM[KREDIT])</f>
        <v>0</v>
      </c>
      <c r="T393" s="432">
        <f>SUM(TRANSHARI6_SOFTDRINKMALAM[NOMINAL TRANSFER])</f>
        <v>0</v>
      </c>
      <c r="U393" s="433">
        <f>SUM(TRANSHARI6_SOFTDRINKMALAM[PRICE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SUM(TRANSHARI6_ICECREAMPAGI[DEBIT])</f>
        <v>0</v>
      </c>
      <c r="D394" s="431">
        <f>SUM(TRANSHARI6_ICECREAMPAGI[KREDIT])</f>
        <v>0</v>
      </c>
      <c r="E394" s="432">
        <f>SUM(TRANSHARI6_ICECREAMPAGI[NOMINAL TRANSFER])</f>
        <v>0</v>
      </c>
      <c r="F394" s="433">
        <f>SUM(TRANSHARI6_ICECREAMPAGI[PRICE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SUM(TRANSHARI6_ICECREAMMALAM[DEBIT])</f>
        <v>0</v>
      </c>
      <c r="S394" s="431">
        <f>SUM(TRANSHARI6_ICECREAMMALAM[KREDIT])</f>
        <v>0</v>
      </c>
      <c r="T394" s="432">
        <f>SUM(TRANSHARI6_ICECREAMMALAM[NOMINAL TRANSFER])</f>
        <v>0</v>
      </c>
      <c r="U394" s="433">
        <f>SUM(TRANSHARI6_ICECREAMMALAM[PRICE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SUM(TRANSHARI6_ACCPAGI[DEBIT])</f>
        <v>0</v>
      </c>
      <c r="D395" s="431">
        <f>SUM(TRANSHARI6_ACCPAGI[KREDIT])</f>
        <v>0</v>
      </c>
      <c r="E395" s="432">
        <f>SUM(TRANSHARI6_ACCPAGI[NOMINAL TRANSFER])</f>
        <v>0</v>
      </c>
      <c r="F395" s="433">
        <f>SUM(TRANSHARI6_ACCPAGI[PRICE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SUM(TRANSHARI6_ACCMALAM[DEBIT])</f>
        <v>0</v>
      </c>
      <c r="S395" s="431">
        <f>SUM(TRANSHARI6_ACCMALAM[KREDIT])</f>
        <v>0</v>
      </c>
      <c r="T395" s="432">
        <f>SUM(TRANSHARI6_ACCMALAM[NOMINAL TRANSFER])</f>
        <v>0</v>
      </c>
      <c r="U395" s="433">
        <f>SUM(TRANSHARI6_ACCMALAM[PRICE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SUM(TRANSHARI6_HYDROPAGI[DEBIT])</f>
        <v>0</v>
      </c>
      <c r="D396" s="437">
        <f>SUM(TRANSHARI6_HYDROPAGI[KREDIT])</f>
        <v>0</v>
      </c>
      <c r="E396" s="438">
        <f>SUM(TRANSHARI6_HYDROPAGI[NOMINAL TRANSFER])</f>
        <v>0</v>
      </c>
      <c r="F396" s="439">
        <f>SUM(TRANSHARI6_HYDROPAGI[PRICE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SUM(TRANSHARI6_HYDROMALAM[DEBIT])</f>
        <v>0</v>
      </c>
      <c r="S396" s="437">
        <f>SUM(TRANSHARI6_HYDROMALAM[KREDIT])</f>
        <v>0</v>
      </c>
      <c r="T396" s="438">
        <f>SUM(TRANSHARI6_HYDROMALAM[NOMINAL TRANSFER])</f>
        <v>0</v>
      </c>
      <c r="U396" s="439">
        <f>SUM(TRANSHARI6_HYDROMALAM[PRICE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5'!T430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MK+4BDmex/Of8VJajuPFalMmBYg3eaOOvF0bRmNT8vFRGAC3Dc1/TBPbCOWp5ikrqEajKtS02QimqcZ6n52cHQ==" saltValue="r2pJVBOT1JDKuakiT1wTQQ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24:AC447"/>
  <sheetViews>
    <sheetView showGridLines="0" zoomScale="63" zoomScaleNormal="63" topLeftCell="S392" workbookViewId="0">
      <selection activeCell="S384" sqref="S384:S385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218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219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IFERROR(IF(TRANSHARI7_PULSAPAGI[[#This Row],[NAMA REKENING]]="","",TRANSHARI7_PULSAPAGI[[#This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IFERROR(IF(TRANSHARI7_PULSAMALAM[[#This Row],[NAMA REKENING]]="","",TRANSHARI7_PULSAMALAM[[#This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IFERROR(IF(TRANSHARI7_PULSAPAGI[[#This Row],[NAMA REKENING]]="","",TRANSHARI7_PULSAPAGI[[#This Row],[DEBIT]]),"")</f>
        <v/>
      </c>
      <c r="I29" s="311"/>
      <c r="J29" s="326"/>
      <c r="K29" s="330" t="s">
        <v>27</v>
      </c>
      <c r="L29" s="331">
        <f>'HARI 6'!AA33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IFERROR(IF(TRANSHARI7_PULSAMALAM[[#This Row],[NAMA REKENING]]="","",TRANSHARI7_PULSAMALAM[[#This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IFERROR(IF(TRANSHARI7_PULSAPAGI[[#This Row],[NAMA REKENING]]="","",TRANSHARI7_PULSAPAGI[[#This Row],[DEBIT]]),"")</f>
        <v/>
      </c>
      <c r="I30" s="311"/>
      <c r="J30" s="326"/>
      <c r="K30" s="332" t="s">
        <v>30</v>
      </c>
      <c r="L30" s="333">
        <f>SUMIF(TRANSHARI7_PULSAPAGI[APLIKASI],K28,TRANSHARI7_PULSAPAGI[SALDO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IFERROR(IF(TRANSHARI7_PULSAMALAM[[#This Row],[NAMA REKENING]]="","",TRANSHARI7_PULSAMALAM[[#This Row],[DEBIT]]),"")</f>
        <v/>
      </c>
      <c r="X30" s="311"/>
      <c r="Y30" s="326"/>
      <c r="Z30" s="332" t="s">
        <v>30</v>
      </c>
      <c r="AA30" s="333">
        <f>SUMIF(TRANSHARI7_PULSAMALAM[APLIKASI],Z28,TRANSHARI7_PULSAMALAM[SALDO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IFERROR(IF(TRANSHARI7_PULSAPAGI[[#This Row],[NAMA REKENING]]="","",TRANSHARI7_PULSAPAGI[[#This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IFERROR(IF(TRANSHARI7_PULSAMALAM[[#This Row],[NAMA REKENING]]="","",TRANSHARI7_PULSAMALAM[[#This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IFERROR(IF(TRANSHARI7_PULSAPAGI[[#This Row],[NAMA REKENING]]="","",TRANSHARI7_PULSAPAGI[[#This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IFERROR(IF(TRANSHARI7_PULSAMALAM[[#This Row],[NAMA REKENING]]="","",TRANSHARI7_PULSAMALAM[[#This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IFERROR(IF(TRANSHARI7_PULSAPAGI[[#This Row],[NAMA REKENING]]="","",TRANSHARI7_PULSAPAGI[[#This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IFERROR(IF(TRANSHARI7_PULSAMALAM[[#This Row],[NAMA REKENING]]="","",TRANSHARI7_PULSAMALAM[[#This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IFERROR(IF(TRANSHARI7_PULSAPAGI[[#This Row],[NAMA REKENING]]="","",TRANSHARI7_PULSAPAGI[[#This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IFERROR(IF(TRANSHARI7_PULSAMALAM[[#This Row],[NAMA REKENING]]="","",TRANSHARI7_PULSAMALAM[[#This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IFERROR(IF(TRANSHARI7_PULSAPAGI[[#This Row],[NAMA REKENING]]="","",TRANSHARI7_PULSAPAGI[[#This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IFERROR(IF(TRANSHARI7_PULSAMALAM[[#This Row],[NAMA REKENING]]="","",TRANSHARI7_PULSAMALAM[[#This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IFERROR(IF(TRANSHARI7_PULSAPAGI[[#This Row],[NAMA REKENING]]="","",TRANSHARI7_PULSAPAGI[[#This Row],[DEBIT]]),"")</f>
        <v/>
      </c>
      <c r="I36" s="311"/>
      <c r="J36" s="326"/>
      <c r="K36" s="330" t="s">
        <v>27</v>
      </c>
      <c r="L36" s="331">
        <f>'HARI 6'!AA40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IFERROR(IF(TRANSHARI7_PULSAMALAM[[#This Row],[NAMA REKENING]]="","",TRANSHARI7_PULSAMALAM[[#This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IFERROR(IF(TRANSHARI7_PULSAPAGI[[#This Row],[NAMA REKENING]]="","",TRANSHARI7_PULSAPAGI[[#This Row],[DEBIT]]),"")</f>
        <v/>
      </c>
      <c r="I37" s="311"/>
      <c r="J37" s="326"/>
      <c r="K37" s="332" t="s">
        <v>30</v>
      </c>
      <c r="L37" s="333">
        <f>SUMIF(TRANSHARI7_PULSAPAGI[APLIKASI],K35,TRANSHARI7_PULSAPAGI[SALDO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IFERROR(IF(TRANSHARI7_PULSAMALAM[[#This Row],[NAMA REKENING]]="","",TRANSHARI7_PULSAMALAM[[#This Row],[DEBIT]]),"")</f>
        <v/>
      </c>
      <c r="X37" s="311"/>
      <c r="Y37" s="326"/>
      <c r="Z37" s="332" t="s">
        <v>30</v>
      </c>
      <c r="AA37" s="333">
        <f>SUMIF(TRANSHARI7_PULSAMALAM[APLIKASI],Z35,TRANSHARI7_PULSAMALAM[SALDO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IFERROR(IF(TRANSHARI7_PULSAPAGI[[#This Row],[NAMA REKENING]]="","",TRANSHARI7_PULSAPAGI[[#This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IFERROR(IF(TRANSHARI7_PULSAMALAM[[#This Row],[NAMA REKENING]]="","",TRANSHARI7_PULSAMALAM[[#This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IFERROR(IF(TRANSHARI7_PULSAPAGI[[#This Row],[NAMA REKENING]]="","",TRANSHARI7_PULSAPAGI[[#This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IFERROR(IF(TRANSHARI7_PULSAMALAM[[#This Row],[NAMA REKENING]]="","",TRANSHARI7_PULSAMALAM[[#This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IFERROR(IF(TRANSHARI7_PULSAPAGI[[#This Row],[NAMA REKENING]]="","",TRANSHARI7_PULSAPAGI[[#This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IFERROR(IF(TRANSHARI7_PULSAMALAM[[#This Row],[NAMA REKENING]]="","",TRANSHARI7_PULSAMALAM[[#This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IFERROR(IF(TRANSHARI7_PULSAPAGI[[#This Row],[NAMA REKENING]]="","",TRANSHARI7_PULSAPAGI[[#This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IFERROR(IF(TRANSHARI7_PULSAMALAM[[#This Row],[NAMA REKENING]]="","",TRANSHARI7_PULSAMALAM[[#This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IFERROR(IF(TRANSHARI7_PULSAPAGI[[#This Row],[NAMA REKENING]]="","",TRANSHARI7_PULSAPAGI[[#This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IFERROR(IF(TRANSHARI7_PULSAMALAM[[#This Row],[NAMA REKENING]]="","",TRANSHARI7_PULSAMALAM[[#This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IFERROR(IF(TRANSHARI7_PULSAPAGI[[#This Row],[NAMA REKENING]]="","",TRANSHARI7_PULSAPAGI[[#This Row],[DEBIT]]),"")</f>
        <v/>
      </c>
      <c r="I43" s="311"/>
      <c r="J43" s="326"/>
      <c r="K43" s="330" t="s">
        <v>27</v>
      </c>
      <c r="L43" s="331">
        <f>'HARI 6'!AA47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IFERROR(IF(TRANSHARI7_PULSAMALAM[[#This Row],[NAMA REKENING]]="","",TRANSHARI7_PULSAMALAM[[#This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IFERROR(IF(TRANSHARI7_PULSAPAGI[[#This Row],[NAMA REKENING]]="","",TRANSHARI7_PULSAPAGI[[#This Row],[DEBIT]]),"")</f>
        <v/>
      </c>
      <c r="I44" s="311"/>
      <c r="J44" s="326"/>
      <c r="K44" s="332" t="s">
        <v>30</v>
      </c>
      <c r="L44" s="333">
        <f>SUMIF(TRANSHARI7_PULSAPAGI[APLIKASI],K42,TRANSHARI7_PULSAPAGI[SALDO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IFERROR(IF(TRANSHARI7_PULSAMALAM[[#This Row],[NAMA REKENING]]="","",TRANSHARI7_PULSAMALAM[[#This Row],[DEBIT]]),"")</f>
        <v/>
      </c>
      <c r="X44" s="311"/>
      <c r="Y44" s="326"/>
      <c r="Z44" s="332" t="s">
        <v>30</v>
      </c>
      <c r="AA44" s="333">
        <f>SUMIF(TRANSHARI7_PULSAMALAM[APLIKASI],Z42,TRANSHARI7_PULSAMALAM[SALDO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IFERROR(IF(TRANSHARI7_PULSAPAGI[[#This Row],[NAMA REKENING]]="","",TRANSHARI7_PULSAPAGI[[#This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IFERROR(IF(TRANSHARI7_PULSAMALAM[[#This Row],[NAMA REKENING]]="","",TRANSHARI7_PULSAMALAM[[#This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IFERROR(IF(TRANSHARI7_PULSAPAGI[[#This Row],[NAMA REKENING]]="","",TRANSHARI7_PULSAPAGI[[#This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IFERROR(IF(TRANSHARI7_PULSAMALAM[[#This Row],[NAMA REKENING]]="","",TRANSHARI7_PULSAMALAM[[#This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IFERROR(IF(TRANSHARI7_PULSAPAGI[[#This Row],[NAMA REKENING]]="","",TRANSHARI7_PULSAPAGI[[#This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IFERROR(IF(TRANSHARI7_PULSAMALAM[[#This Row],[NAMA REKENING]]="","",TRANSHARI7_PULSAMALAM[[#This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IFERROR(IF(TRANSHARI7_PULSAPAGI[[#This Row],[NAMA REKENING]]="","",TRANSHARI7_PULSAPAGI[[#This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IFERROR(IF(TRANSHARI7_PULSAMALAM[[#This Row],[NAMA REKENING]]="","",TRANSHARI7_PULSAMALAM[[#This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IFERROR(IF(TRANSHARI7_PULSAPAGI[[#This Row],[NAMA REKENING]]="","",TRANSHARI7_PULSAPAGI[[#This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IFERROR(IF(TRANSHARI7_PULSAMALAM[[#This Row],[NAMA REKENING]]="","",TRANSHARI7_PULSAMALAM[[#This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IFERROR(IF(TRANSHARI7_PULSAPAGI[[#This Row],[NAMA REKENING]]="","",TRANSHARI7_PULSAPAGI[[#This Row],[DEBIT]]),"")</f>
        <v/>
      </c>
      <c r="I50" s="311"/>
      <c r="J50" s="326"/>
      <c r="K50" s="330" t="s">
        <v>27</v>
      </c>
      <c r="L50" s="331">
        <f>'HARI 6'!AA54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IFERROR(IF(TRANSHARI7_PULSAMALAM[[#This Row],[NAMA REKENING]]="","",TRANSHARI7_PULSAMALAM[[#This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IFERROR(IF(TRANSHARI7_PULSAPAGI[[#This Row],[NAMA REKENING]]="","",TRANSHARI7_PULSAPAGI[[#This Row],[DEBIT]]),"")</f>
        <v/>
      </c>
      <c r="I51" s="311"/>
      <c r="J51" s="326"/>
      <c r="K51" s="332" t="s">
        <v>30</v>
      </c>
      <c r="L51" s="333">
        <f>SUMIF(TRANSHARI7_PULSAPAGI[APLIKASI],K49,TRANSHARI7_PULSAPAGI[SALDO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IFERROR(IF(TRANSHARI7_PULSAMALAM[[#This Row],[NAMA REKENING]]="","",TRANSHARI7_PULSAMALAM[[#This Row],[DEBIT]]),"")</f>
        <v/>
      </c>
      <c r="X51" s="311"/>
      <c r="Y51" s="326"/>
      <c r="Z51" s="332" t="s">
        <v>30</v>
      </c>
      <c r="AA51" s="333">
        <f>SUMIF(TRANSHARI7_PULSAMALAM[APLIKASI],Z49,TRANSHARI7_PULSAMALAM[SALDO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IFERROR(IF(TRANSHARI7_PULSAPAGI[[#This Row],[NAMA REKENING]]="","",TRANSHARI7_PULSAPAGI[[#This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IFERROR(IF(TRANSHARI7_PULSAMALAM[[#This Row],[NAMA REKENING]]="","",TRANSHARI7_PULSAMALAM[[#This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IFERROR(IF(TRANSHARI7_PULSAPAGI[[#This Row],[NAMA REKENING]]="","",TRANSHARI7_PULSAPAGI[[#This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IFERROR(IF(TRANSHARI7_PULSAMALAM[[#This Row],[NAMA REKENING]]="","",TRANSHARI7_PULSAMALAM[[#This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IFERROR(IF(TRANSHARI7_PULSAPAGI[[#This Row],[NAMA REKENING]]="","",TRANSHARI7_PULSAPAGI[[#This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IFERROR(IF(TRANSHARI7_PULSAMALAM[[#This Row],[NAMA REKENING]]="","",TRANSHARI7_PULSAMALAM[[#This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IFERROR(IF(TRANSHARI7_PULSAPAGI[[#This Row],[NAMA REKENING]]="","",TRANSHARI7_PULSAPAGI[[#This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IFERROR(IF(TRANSHARI7_PULSAMALAM[[#This Row],[NAMA REKENING]]="","",TRANSHARI7_PULSAMALAM[[#This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IFERROR(IF(TRANSHARI7_PULSAPAGI[[#This Row],[NAMA REKENING]]="","",TRANSHARI7_PULSAPAGI[[#This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IFERROR(IF(TRANSHARI7_PULSAMALAM[[#This Row],[NAMA REKENING]]="","",TRANSHARI7_PULSAMALAM[[#This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IFERROR(IF(TRANSHARI7_PULSAPAGI[[#This Row],[NAMA REKENING]]="","",TRANSHARI7_PULSAPAGI[[#This Row],[DEBIT]]),"")</f>
        <v/>
      </c>
      <c r="I57" s="311"/>
      <c r="J57" s="326"/>
      <c r="K57" s="330" t="s">
        <v>27</v>
      </c>
      <c r="L57" s="331">
        <f>'HARI 6'!AA61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IFERROR(IF(TRANSHARI7_PULSAMALAM[[#This Row],[NAMA REKENING]]="","",TRANSHARI7_PULSAMALAM[[#This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IFERROR(IF(TRANSHARI7_PULSAPAGI[[#This Row],[NAMA REKENING]]="","",TRANSHARI7_PULSAPAGI[[#This Row],[DEBIT]]),"")</f>
        <v/>
      </c>
      <c r="I58" s="311"/>
      <c r="J58" s="326"/>
      <c r="K58" s="332" t="s">
        <v>30</v>
      </c>
      <c r="L58" s="333">
        <f>SUMIF(TRANSHARI7_PULSAPAGI[APLIKASI],K56,TRANSHARI7_PULSAPAGI[SALDO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IFERROR(IF(TRANSHARI7_PULSAMALAM[[#This Row],[NAMA REKENING]]="","",TRANSHARI7_PULSAMALAM[[#This Row],[DEBIT]]),"")</f>
        <v/>
      </c>
      <c r="X58" s="311"/>
      <c r="Y58" s="326"/>
      <c r="Z58" s="332" t="s">
        <v>30</v>
      </c>
      <c r="AA58" s="333">
        <f>SUMIF(TRANSHARI7_PULSAMALAM[APLIKASI],Z56,TRANSHARI7_PULSAMALAM[SALDO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IFERROR(IF(TRANSHARI7_PULSAPAGI[[#This Row],[NAMA REKENING]]="","",TRANSHARI7_PULSAPAGI[[#This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IFERROR(IF(TRANSHARI7_PULSAMALAM[[#This Row],[NAMA REKENING]]="","",TRANSHARI7_PULSAMALAM[[#This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IFERROR(IF(TRANSHARI7_PULSAPAGI[[#This Row],[NAMA REKENING]]="","",TRANSHARI7_PULSAPAGI[[#This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IFERROR(IF(TRANSHARI7_PULSAMALAM[[#This Row],[NAMA REKENING]]="","",TRANSHARI7_PULSAMALAM[[#This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IFERROR(IF(TRANSHARI7_PULSAPAGI[[#This Row],[NAMA REKENING]]="","",TRANSHARI7_PULSAPAGI[[#This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IFERROR(IF(TRANSHARI7_PULSAMALAM[[#This Row],[NAMA REKENING]]="","",TRANSHARI7_PULSAMALAM[[#This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IFERROR(IF(TRANSHARI7_PULSAPAGI[[#This Row],[NAMA REKENING]]="","",TRANSHARI7_PULSAPAGI[[#This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IFERROR(IF(TRANSHARI7_PULSAMALAM[[#This Row],[NAMA REKENING]]="","",TRANSHARI7_PULSAMALAM[[#This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IFERROR(IF(TRANSHARI7_PULSAPAGI[[#This Row],[NAMA REKENING]]="","",TRANSHARI7_PULSAPAGI[[#This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IFERROR(IF(TRANSHARI7_PULSAMALAM[[#This Row],[NAMA REKENING]]="","",TRANSHARI7_PULSAMALAM[[#This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IFERROR(IF(TRANSHARI7_PULSAPAGI[[#This Row],[NAMA REKENING]]="","",TRANSHARI7_PULSAPAGI[[#This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IFERROR(IF(TRANSHARI7_PULSAMALAM[[#This Row],[NAMA REKENING]]="","",TRANSHARI7_PULSAMALAM[[#This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IFERROR(IF(TRANSHARI7_PULSAPAGI[[#This Row],[NAMA REKENING]]="","",TRANSHARI7_PULSAPAGI[[#This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IFERROR(IF(TRANSHARI7_PULSAMALAM[[#This Row],[NAMA REKENING]]="","",TRANSHARI7_PULSAMALAM[[#This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IFERROR(IF(TRANSHARI7_PULSAPAGI[[#This Row],[NAMA REKENING]]="","",TRANSHARI7_PULSAPAGI[[#This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IFERROR(IF(TRANSHARI7_PULSAMALAM[[#This Row],[NAMA REKENING]]="","",TRANSHARI7_PULSAMALAM[[#This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IFERROR(IF(TRANSHARI7_PULSAPAGI[[#This Row],[NAMA REKENING]]="","",TRANSHARI7_PULSAPAGI[[#This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IFERROR(IF(TRANSHARI7_PULSAMALAM[[#This Row],[NAMA REKENING]]="","",TRANSHARI7_PULSAMALAM[[#This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IFERROR(IF(TRANSHARI7_PULSAPAGI[[#This Row],[NAMA REKENING]]="","",TRANSHARI7_PULSAPAGI[[#This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IFERROR(IF(TRANSHARI7_PULSAMALAM[[#This Row],[NAMA REKENING]]="","",TRANSHARI7_PULSAMALAM[[#This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IFERROR(IF(TRANSHARI7_PULSAPAGI[[#This Row],[NAMA REKENING]]="","",TRANSHARI7_PULSAPAGI[[#This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IFERROR(IF(TRANSHARI7_PULSAMALAM[[#This Row],[NAMA REKENING]]="","",TRANSHARI7_PULSAMALAM[[#This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IFERROR(IF(TRANSHARI7_PULSAPAGI[[#This Row],[NAMA REKENING]]="","",TRANSHARI7_PULSAPAGI[[#This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IFERROR(IF(TRANSHARI7_PULSAMALAM[[#This Row],[NAMA REKENING]]="","",TRANSHARI7_PULSAMALAM[[#This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IFERROR(IF(TRANSHARI7_PULSAPAGI[[#This Row],[NAMA REKENING]]="","",TRANSHARI7_PULSAPAGI[[#This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IFERROR(IF(TRANSHARI7_PULSAMALAM[[#This Row],[NAMA REKENING]]="","",TRANSHARI7_PULSAMALAM[[#This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IFERROR(IF(TRANSHARI7_PULSAPAGI[[#This Row],[NAMA REKENING]]="","",TRANSHARI7_PULSAPAGI[[#This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IFERROR(IF(TRANSHARI7_PULSAMALAM[[#This Row],[NAMA REKENING]]="","",TRANSHARI7_PULSAMALAM[[#This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IFERROR(IF(TRANSHARI7_PULSAPAGI[[#This Row],[NAMA REKENING]]="","",TRANSHARI7_PULSAPAGI[[#This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IFERROR(IF(TRANSHARI7_PULSAMALAM[[#This Row],[NAMA REKENING]]="","",TRANSHARI7_PULSAMALAM[[#This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IFERROR(IF(TRANSHARI7_PULSAPAGI[[#This Row],[NAMA REKENING]]="","",TRANSHARI7_PULSAPAGI[[#This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IFERROR(IF(TRANSHARI7_PULSAMALAM[[#This Row],[NAMA REKENING]]="","",TRANSHARI7_PULSAMALAM[[#This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IFERROR(IF(TRANSHARI7_PULSAPAGI[[#This Row],[NAMA REKENING]]="","",TRANSHARI7_PULSAPAGI[[#This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IFERROR(IF(TRANSHARI7_PULSAMALAM[[#This Row],[NAMA REKENING]]="","",TRANSHARI7_PULSAMALAM[[#This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IFERROR(IF(TRANSHARI7_PULSAPAGI[[#This Row],[NAMA REKENING]]="","",TRANSHARI7_PULSAPAGI[[#This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IFERROR(IF(TRANSHARI7_PULSAMALAM[[#This Row],[NAMA REKENING]]="","",TRANSHARI7_PULSAMALAM[[#This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IFERROR(IF(TRANSHARI7_PULSAPAGI[[#This Row],[NAMA REKENING]]="","",TRANSHARI7_PULSAPAGI[[#This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IFERROR(IF(TRANSHARI7_PULSAMALAM[[#This Row],[NAMA REKENING]]="","",TRANSHARI7_PULSAMALAM[[#This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SUM(TRANSHARI7_PULSAPAGI[DEBIT])</f>
        <v>0</v>
      </c>
      <c r="D78" s="353">
        <f>SUM(TRANSHARI7_PULSAPAGI[KREDIT])</f>
        <v>0</v>
      </c>
      <c r="E78" s="167"/>
      <c r="F78" s="354">
        <f>SUM(TRANSHARI7_PULSAPAGI[SALDO MINUS])</f>
        <v>0</v>
      </c>
      <c r="G78" s="167"/>
      <c r="H78" s="355">
        <f>SUM(TRANSHARI7_PULSAPAGI[NOMINAL TRANSFER])</f>
        <v>0</v>
      </c>
      <c r="I78" s="167"/>
      <c r="O78" s="324"/>
      <c r="P78" s="379" t="s">
        <v>64</v>
      </c>
      <c r="Q78" s="352"/>
      <c r="R78" s="353">
        <f>SUM(TRANSHARI7_PULSAMALAM[DEBIT])</f>
        <v>0</v>
      </c>
      <c r="S78" s="353">
        <f>SUM(TRANSHARI7_PULSAMALAM[KREDIT])</f>
        <v>0</v>
      </c>
      <c r="T78" s="167"/>
      <c r="U78" s="354">
        <f>SUM(TRANSHARI7_PULSAMALAM[SALDO MINUS])</f>
        <v>0</v>
      </c>
      <c r="V78" s="167"/>
      <c r="W78" s="355">
        <f>SUM(TRANSHARI7_PULSAMALAM[NOMINAL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tr">
        <f>A25</f>
        <v>HARI 7 : PAGI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tr">
        <f>P25</f>
        <v>HARI 7 : MALAM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IFERROR(VLOOKUP(TRANSHARI7_ROKOKPAGI[[#This Row],[PRODUK]],DATA_ROKOK[],9,FALSE),"")</f>
        <v/>
      </c>
      <c r="E85" s="370"/>
      <c r="F85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85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85" s="371"/>
      <c r="I85" s="384" t="str">
        <f>IFERROR(IF(TRANSHARI7_ROKOKPAGI[[#This Row],[NAMA REKENING]]="","",TRANSHARI7_ROKOKPAGI[[#This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IFERROR(VLOOKUP(TRANSHARI7_ROKOKMALAM[[#This Row],[PRODUK]],DATA_ROKOK[],9,FALSE),"")</f>
        <v/>
      </c>
      <c r="T85" s="370"/>
      <c r="U85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85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85" s="371"/>
      <c r="X85" s="384" t="str">
        <f>IFERROR(IF(TRANSHARI7_ROKOKMALAM[[#This Row],[NAMA REKENING]]="","",TRANSHARI7_ROKOKMALAM[[#This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IFERROR(VLOOKUP(TRANSHARI7_ROKOKPAGI[[#This Row],[PRODUK]],DATA_ROKOK[],9,FALSE),"")</f>
        <v/>
      </c>
      <c r="E86" s="374"/>
      <c r="F86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86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86" s="12"/>
      <c r="I86" s="386" t="str">
        <f>IFERROR(IF(TRANSHARI7_ROKOKPAGI[[#This Row],[NAMA REKENING]]="","",TRANSHARI7_ROKOKPAGI[[#This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IFERROR(VLOOKUP(TRANSHARI7_ROKOKMALAM[[#This Row],[PRODUK]],DATA_ROKOK[],9,FALSE),"")</f>
        <v/>
      </c>
      <c r="T86" s="374"/>
      <c r="U86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86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86" s="12"/>
      <c r="X86" s="386" t="str">
        <f>IFERROR(IF(TRANSHARI7_ROKOKMALAM[[#This Row],[NAMA REKENING]]="","",TRANSHARI7_ROKOKMALAM[[#This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IFERROR(VLOOKUP(TRANSHARI7_ROKOKPAGI[[#This Row],[PRODUK]],DATA_ROKOK[],9,FALSE),"")</f>
        <v/>
      </c>
      <c r="E87" s="374"/>
      <c r="F87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87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87" s="12"/>
      <c r="I87" s="384" t="str">
        <f>IFERROR(IF(TRANSHARI7_ROKOKPAGI[[#This Row],[NAMA REKENING]]="","",TRANSHARI7_ROKOKPAGI[[#This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IFERROR(VLOOKUP(TRANSHARI7_ROKOKMALAM[[#This Row],[PRODUK]],DATA_ROKOK[],9,FALSE),"")</f>
        <v/>
      </c>
      <c r="T87" s="374"/>
      <c r="U87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87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87" s="12"/>
      <c r="X87" s="384" t="str">
        <f>IFERROR(IF(TRANSHARI7_ROKOKMALAM[[#This Row],[NAMA REKENING]]="","",TRANSHARI7_ROKOKMALAM[[#This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IFERROR(VLOOKUP(TRANSHARI7_ROKOKPAGI[[#This Row],[PRODUK]],DATA_ROKOK[],9,FALSE),"")</f>
        <v/>
      </c>
      <c r="E88" s="374"/>
      <c r="F88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88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88" s="12"/>
      <c r="I88" s="386" t="str">
        <f>IFERROR(IF(TRANSHARI7_ROKOKPAGI[[#This Row],[NAMA REKENING]]="","",TRANSHARI7_ROKOKPAGI[[#This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IFERROR(VLOOKUP(TRANSHARI7_ROKOKMALAM[[#This Row],[PRODUK]],DATA_ROKOK[],9,FALSE),"")</f>
        <v/>
      </c>
      <c r="T88" s="374"/>
      <c r="U88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88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88" s="12"/>
      <c r="X88" s="386" t="str">
        <f>IFERROR(IF(TRANSHARI7_ROKOKMALAM[[#This Row],[NAMA REKENING]]="","",TRANSHARI7_ROKOKMALAM[[#This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IFERROR(VLOOKUP(TRANSHARI7_ROKOKPAGI[[#This Row],[PRODUK]],DATA_ROKOK[],9,FALSE),"")</f>
        <v/>
      </c>
      <c r="E89" s="374"/>
      <c r="F89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89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89" s="12"/>
      <c r="I89" s="384" t="str">
        <f>IFERROR(IF(TRANSHARI7_ROKOKPAGI[[#This Row],[NAMA REKENING]]="","",TRANSHARI7_ROKOKPAGI[[#This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IFERROR(VLOOKUP(TRANSHARI7_ROKOKMALAM[[#This Row],[PRODUK]],DATA_ROKOK[],9,FALSE),"")</f>
        <v/>
      </c>
      <c r="T89" s="374"/>
      <c r="U89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89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89" s="12"/>
      <c r="X89" s="384" t="str">
        <f>IFERROR(IF(TRANSHARI7_ROKOKMALAM[[#This Row],[NAMA REKENING]]="","",TRANSHARI7_ROKOKMALAM[[#This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IFERROR(VLOOKUP(TRANSHARI7_ROKOKPAGI[[#This Row],[PRODUK]],DATA_ROKOK[],9,FALSE),"")</f>
        <v/>
      </c>
      <c r="E90" s="374"/>
      <c r="F90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0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0" s="12"/>
      <c r="I90" s="386" t="str">
        <f>IFERROR(IF(TRANSHARI7_ROKOKPAGI[[#This Row],[NAMA REKENING]]="","",TRANSHARI7_ROKOKPAGI[[#This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IFERROR(VLOOKUP(TRANSHARI7_ROKOKMALAM[[#This Row],[PRODUK]],DATA_ROKOK[],9,FALSE),"")</f>
        <v/>
      </c>
      <c r="T90" s="374"/>
      <c r="U90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0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0" s="12"/>
      <c r="X90" s="386" t="str">
        <f>IFERROR(IF(TRANSHARI7_ROKOKMALAM[[#This Row],[NAMA REKENING]]="","",TRANSHARI7_ROKOKMALAM[[#This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IFERROR(VLOOKUP(TRANSHARI7_ROKOKPAGI[[#This Row],[PRODUK]],DATA_ROKOK[],9,FALSE),"")</f>
        <v/>
      </c>
      <c r="E91" s="374"/>
      <c r="F91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1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1" s="12"/>
      <c r="I91" s="384" t="str">
        <f>IFERROR(IF(TRANSHARI7_ROKOKPAGI[[#This Row],[NAMA REKENING]]="","",TRANSHARI7_ROKOKPAGI[[#This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IFERROR(VLOOKUP(TRANSHARI7_ROKOKMALAM[[#This Row],[PRODUK]],DATA_ROKOK[],9,FALSE),"")</f>
        <v/>
      </c>
      <c r="T91" s="374"/>
      <c r="U91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1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1" s="12"/>
      <c r="X91" s="384" t="str">
        <f>IFERROR(IF(TRANSHARI7_ROKOKMALAM[[#This Row],[NAMA REKENING]]="","",TRANSHARI7_ROKOKMALAM[[#This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IFERROR(VLOOKUP(TRANSHARI7_ROKOKPAGI[[#This Row],[PRODUK]],DATA_ROKOK[],9,FALSE),"")</f>
        <v/>
      </c>
      <c r="E92" s="374"/>
      <c r="F92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2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2" s="12"/>
      <c r="I92" s="386" t="str">
        <f>IFERROR(IF(TRANSHARI7_ROKOKPAGI[[#This Row],[NAMA REKENING]]="","",TRANSHARI7_ROKOKPAGI[[#This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IFERROR(VLOOKUP(TRANSHARI7_ROKOKMALAM[[#This Row],[PRODUK]],DATA_ROKOK[],9,FALSE),"")</f>
        <v/>
      </c>
      <c r="T92" s="374"/>
      <c r="U92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2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2" s="12"/>
      <c r="X92" s="386" t="str">
        <f>IFERROR(IF(TRANSHARI7_ROKOKMALAM[[#This Row],[NAMA REKENING]]="","",TRANSHARI7_ROKOKMALAM[[#This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IFERROR(VLOOKUP(TRANSHARI7_ROKOKPAGI[[#This Row],[PRODUK]],DATA_ROKOK[],9,FALSE),"")</f>
        <v/>
      </c>
      <c r="E93" s="374"/>
      <c r="F93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3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3" s="12"/>
      <c r="I93" s="384" t="str">
        <f>IFERROR(IF(TRANSHARI7_ROKOKPAGI[[#This Row],[NAMA REKENING]]="","",TRANSHARI7_ROKOKPAGI[[#This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IFERROR(VLOOKUP(TRANSHARI7_ROKOKMALAM[[#This Row],[PRODUK]],DATA_ROKOK[],9,FALSE),"")</f>
        <v/>
      </c>
      <c r="T93" s="374"/>
      <c r="U93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3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3" s="12"/>
      <c r="X93" s="384" t="str">
        <f>IFERROR(IF(TRANSHARI7_ROKOKMALAM[[#This Row],[NAMA REKENING]]="","",TRANSHARI7_ROKOKMALAM[[#This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IFERROR(VLOOKUP(TRANSHARI7_ROKOKPAGI[[#This Row],[PRODUK]],DATA_ROKOK[],9,FALSE),"")</f>
        <v/>
      </c>
      <c r="E94" s="374"/>
      <c r="F94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4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4" s="12"/>
      <c r="I94" s="386" t="str">
        <f>IFERROR(IF(TRANSHARI7_ROKOKPAGI[[#This Row],[NAMA REKENING]]="","",TRANSHARI7_ROKOKPAGI[[#This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IFERROR(VLOOKUP(TRANSHARI7_ROKOKMALAM[[#This Row],[PRODUK]],DATA_ROKOK[],9,FALSE),"")</f>
        <v/>
      </c>
      <c r="T94" s="374"/>
      <c r="U94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4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4" s="12"/>
      <c r="X94" s="386" t="str">
        <f>IFERROR(IF(TRANSHARI7_ROKOKMALAM[[#This Row],[NAMA REKENING]]="","",TRANSHARI7_ROKOKMALAM[[#This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IFERROR(VLOOKUP(TRANSHARI7_ROKOKPAGI[[#This Row],[PRODUK]],DATA_ROKOK[],9,FALSE),"")</f>
        <v/>
      </c>
      <c r="E95" s="374"/>
      <c r="F95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5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5" s="12"/>
      <c r="I95" s="384" t="str">
        <f>IFERROR(IF(TRANSHARI7_ROKOKPAGI[[#This Row],[NAMA REKENING]]="","",TRANSHARI7_ROKOKPAGI[[#This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IFERROR(VLOOKUP(TRANSHARI7_ROKOKMALAM[[#This Row],[PRODUK]],DATA_ROKOK[],9,FALSE),"")</f>
        <v/>
      </c>
      <c r="T95" s="374"/>
      <c r="U95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5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5" s="12"/>
      <c r="X95" s="384" t="str">
        <f>IFERROR(IF(TRANSHARI7_ROKOKMALAM[[#This Row],[NAMA REKENING]]="","",TRANSHARI7_ROKOKMALAM[[#This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IFERROR(VLOOKUP(TRANSHARI7_ROKOKPAGI[[#This Row],[PRODUK]],DATA_ROKOK[],9,FALSE),"")</f>
        <v/>
      </c>
      <c r="E96" s="374"/>
      <c r="F96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6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6" s="12"/>
      <c r="I96" s="386" t="str">
        <f>IFERROR(IF(TRANSHARI7_ROKOKPAGI[[#This Row],[NAMA REKENING]]="","",TRANSHARI7_ROKOKPAGI[[#This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IFERROR(VLOOKUP(TRANSHARI7_ROKOKMALAM[[#This Row],[PRODUK]],DATA_ROKOK[],9,FALSE),"")</f>
        <v/>
      </c>
      <c r="T96" s="374"/>
      <c r="U96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6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6" s="12"/>
      <c r="X96" s="386" t="str">
        <f>IFERROR(IF(TRANSHARI7_ROKOKMALAM[[#This Row],[NAMA REKENING]]="","",TRANSHARI7_ROKOKMALAM[[#This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IFERROR(VLOOKUP(TRANSHARI7_ROKOKPAGI[[#This Row],[PRODUK]],DATA_ROKOK[],9,FALSE),"")</f>
        <v/>
      </c>
      <c r="E97" s="374"/>
      <c r="F97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7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7" s="12"/>
      <c r="I97" s="384" t="str">
        <f>IFERROR(IF(TRANSHARI7_ROKOKPAGI[[#This Row],[NAMA REKENING]]="","",TRANSHARI7_ROKOKPAGI[[#This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IFERROR(VLOOKUP(TRANSHARI7_ROKOKMALAM[[#This Row],[PRODUK]],DATA_ROKOK[],9,FALSE),"")</f>
        <v/>
      </c>
      <c r="T97" s="374"/>
      <c r="U97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7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7" s="12"/>
      <c r="X97" s="384" t="str">
        <f>IFERROR(IF(TRANSHARI7_ROKOKMALAM[[#This Row],[NAMA REKENING]]="","",TRANSHARI7_ROKOKMALAM[[#This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IFERROR(VLOOKUP(TRANSHARI7_ROKOKPAGI[[#This Row],[PRODUK]],DATA_ROKOK[],9,FALSE),"")</f>
        <v/>
      </c>
      <c r="E98" s="374"/>
      <c r="F98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8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8" s="12"/>
      <c r="I98" s="386" t="str">
        <f>IFERROR(IF(TRANSHARI7_ROKOKPAGI[[#This Row],[NAMA REKENING]]="","",TRANSHARI7_ROKOKPAGI[[#This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IFERROR(VLOOKUP(TRANSHARI7_ROKOKMALAM[[#This Row],[PRODUK]],DATA_ROKOK[],9,FALSE),"")</f>
        <v/>
      </c>
      <c r="T98" s="374"/>
      <c r="U98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8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8" s="12"/>
      <c r="X98" s="386" t="str">
        <f>IFERROR(IF(TRANSHARI7_ROKOKMALAM[[#This Row],[NAMA REKENING]]="","",TRANSHARI7_ROKOKMALAM[[#This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IFERROR(VLOOKUP(TRANSHARI7_ROKOKPAGI[[#This Row],[PRODUK]],DATA_ROKOK[],9,FALSE),"")</f>
        <v/>
      </c>
      <c r="E99" s="374"/>
      <c r="F99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99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99" s="12"/>
      <c r="I99" s="384" t="str">
        <f>IFERROR(IF(TRANSHARI7_ROKOKPAGI[[#This Row],[NAMA REKENING]]="","",TRANSHARI7_ROKOKPAGI[[#This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IFERROR(VLOOKUP(TRANSHARI7_ROKOKMALAM[[#This Row],[PRODUK]],DATA_ROKOK[],9,FALSE),"")</f>
        <v/>
      </c>
      <c r="T99" s="374"/>
      <c r="U99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99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99" s="12"/>
      <c r="X99" s="384" t="str">
        <f>IFERROR(IF(TRANSHARI7_ROKOKMALAM[[#This Row],[NAMA REKENING]]="","",TRANSHARI7_ROKOKMALAM[[#This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IFERROR(VLOOKUP(TRANSHARI7_ROKOKPAGI[[#This Row],[PRODUK]],DATA_ROKOK[],9,FALSE),"")</f>
        <v/>
      </c>
      <c r="E100" s="374"/>
      <c r="F100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0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0" s="12"/>
      <c r="I100" s="386" t="str">
        <f>IFERROR(IF(TRANSHARI7_ROKOKPAGI[[#This Row],[NAMA REKENING]]="","",TRANSHARI7_ROKOKPAGI[[#This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IFERROR(VLOOKUP(TRANSHARI7_ROKOKMALAM[[#This Row],[PRODUK]],DATA_ROKOK[],9,FALSE),"")</f>
        <v/>
      </c>
      <c r="T100" s="374"/>
      <c r="U100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0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0" s="12"/>
      <c r="X100" s="386" t="str">
        <f>IFERROR(IF(TRANSHARI7_ROKOKMALAM[[#This Row],[NAMA REKENING]]="","",TRANSHARI7_ROKOKMALAM[[#This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IFERROR(VLOOKUP(TRANSHARI7_ROKOKPAGI[[#This Row],[PRODUK]],DATA_ROKOK[],9,FALSE),"")</f>
        <v/>
      </c>
      <c r="E101" s="374"/>
      <c r="F101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1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1" s="12"/>
      <c r="I101" s="384" t="str">
        <f>IFERROR(IF(TRANSHARI7_ROKOKPAGI[[#This Row],[NAMA REKENING]]="","",TRANSHARI7_ROKOKPAGI[[#This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IFERROR(VLOOKUP(TRANSHARI7_ROKOKMALAM[[#This Row],[PRODUK]],DATA_ROKOK[],9,FALSE),"")</f>
        <v/>
      </c>
      <c r="T101" s="374"/>
      <c r="U101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1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1" s="12"/>
      <c r="X101" s="384" t="str">
        <f>IFERROR(IF(TRANSHARI7_ROKOKMALAM[[#This Row],[NAMA REKENING]]="","",TRANSHARI7_ROKOKMALAM[[#This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IFERROR(VLOOKUP(TRANSHARI7_ROKOKPAGI[[#This Row],[PRODUK]],DATA_ROKOK[],9,FALSE),"")</f>
        <v/>
      </c>
      <c r="E102" s="374"/>
      <c r="F102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2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2" s="12"/>
      <c r="I102" s="386" t="str">
        <f>IFERROR(IF(TRANSHARI7_ROKOKPAGI[[#This Row],[NAMA REKENING]]="","",TRANSHARI7_ROKOKPAGI[[#This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IFERROR(VLOOKUP(TRANSHARI7_ROKOKMALAM[[#This Row],[PRODUK]],DATA_ROKOK[],9,FALSE),"")</f>
        <v/>
      </c>
      <c r="T102" s="374"/>
      <c r="U102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2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2" s="12"/>
      <c r="X102" s="386" t="str">
        <f>IFERROR(IF(TRANSHARI7_ROKOKMALAM[[#This Row],[NAMA REKENING]]="","",TRANSHARI7_ROKOKMALAM[[#This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IFERROR(VLOOKUP(TRANSHARI7_ROKOKPAGI[[#This Row],[PRODUK]],DATA_ROKOK[],9,FALSE),"")</f>
        <v/>
      </c>
      <c r="E103" s="374"/>
      <c r="F103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3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3" s="12"/>
      <c r="I103" s="384" t="str">
        <f>IFERROR(IF(TRANSHARI7_ROKOKPAGI[[#This Row],[NAMA REKENING]]="","",TRANSHARI7_ROKOKPAGI[[#This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IFERROR(VLOOKUP(TRANSHARI7_ROKOKMALAM[[#This Row],[PRODUK]],DATA_ROKOK[],9,FALSE),"")</f>
        <v/>
      </c>
      <c r="T103" s="374"/>
      <c r="U103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3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3" s="12"/>
      <c r="X103" s="384" t="str">
        <f>IFERROR(IF(TRANSHARI7_ROKOKMALAM[[#This Row],[NAMA REKENING]]="","",TRANSHARI7_ROKOKMALAM[[#This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IFERROR(VLOOKUP(TRANSHARI7_ROKOKPAGI[[#This Row],[PRODUK]],DATA_ROKOK[],9,FALSE),"")</f>
        <v/>
      </c>
      <c r="E104" s="374"/>
      <c r="F104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4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4" s="12"/>
      <c r="I104" s="386" t="str">
        <f>IFERROR(IF(TRANSHARI7_ROKOKPAGI[[#This Row],[NAMA REKENING]]="","",TRANSHARI7_ROKOKPAGI[[#This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IFERROR(VLOOKUP(TRANSHARI7_ROKOKMALAM[[#This Row],[PRODUK]],DATA_ROKOK[],9,FALSE),"")</f>
        <v/>
      </c>
      <c r="T104" s="374"/>
      <c r="U104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4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4" s="12"/>
      <c r="X104" s="386" t="str">
        <f>IFERROR(IF(TRANSHARI7_ROKOKMALAM[[#This Row],[NAMA REKENING]]="","",TRANSHARI7_ROKOKMALAM[[#This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IFERROR(VLOOKUP(TRANSHARI7_ROKOKPAGI[[#This Row],[PRODUK]],DATA_ROKOK[],9,FALSE),"")</f>
        <v/>
      </c>
      <c r="E105" s="374"/>
      <c r="F105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5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5" s="12"/>
      <c r="I105" s="384" t="str">
        <f>IFERROR(IF(TRANSHARI7_ROKOKPAGI[[#This Row],[NAMA REKENING]]="","",TRANSHARI7_ROKOKPAGI[[#This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IFERROR(VLOOKUP(TRANSHARI7_ROKOKMALAM[[#This Row],[PRODUK]],DATA_ROKOK[],9,FALSE),"")</f>
        <v/>
      </c>
      <c r="T105" s="374"/>
      <c r="U105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5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5" s="12"/>
      <c r="X105" s="384" t="str">
        <f>IFERROR(IF(TRANSHARI7_ROKOKMALAM[[#This Row],[NAMA REKENING]]="","",TRANSHARI7_ROKOKMALAM[[#This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IFERROR(VLOOKUP(TRANSHARI7_ROKOKPAGI[[#This Row],[PRODUK]],DATA_ROKOK[],9,FALSE),"")</f>
        <v/>
      </c>
      <c r="E106" s="374"/>
      <c r="F106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6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6" s="12"/>
      <c r="I106" s="386" t="str">
        <f>IFERROR(IF(TRANSHARI7_ROKOKPAGI[[#This Row],[NAMA REKENING]]="","",TRANSHARI7_ROKOKPAGI[[#This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IFERROR(VLOOKUP(TRANSHARI7_ROKOKMALAM[[#This Row],[PRODUK]],DATA_ROKOK[],9,FALSE),"")</f>
        <v/>
      </c>
      <c r="T106" s="374"/>
      <c r="U106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6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6" s="12"/>
      <c r="X106" s="386" t="str">
        <f>IFERROR(IF(TRANSHARI7_ROKOKMALAM[[#This Row],[NAMA REKENING]]="","",TRANSHARI7_ROKOKMALAM[[#This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IFERROR(VLOOKUP(TRANSHARI7_ROKOKPAGI[[#This Row],[PRODUK]],DATA_ROKOK[],9,FALSE),"")</f>
        <v/>
      </c>
      <c r="E107" s="374"/>
      <c r="F107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7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7" s="12"/>
      <c r="I107" s="384" t="str">
        <f>IFERROR(IF(TRANSHARI7_ROKOKPAGI[[#This Row],[NAMA REKENING]]="","",TRANSHARI7_ROKOKPAGI[[#This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IFERROR(VLOOKUP(TRANSHARI7_ROKOKMALAM[[#This Row],[PRODUK]],DATA_ROKOK[],9,FALSE),"")</f>
        <v/>
      </c>
      <c r="T107" s="374"/>
      <c r="U107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7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7" s="12"/>
      <c r="X107" s="384" t="str">
        <f>IFERROR(IF(TRANSHARI7_ROKOKMALAM[[#This Row],[NAMA REKENING]]="","",TRANSHARI7_ROKOKMALAM[[#This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IFERROR(VLOOKUP(TRANSHARI7_ROKOKPAGI[[#This Row],[PRODUK]],DATA_ROKOK[],9,FALSE),"")</f>
        <v/>
      </c>
      <c r="E108" s="374"/>
      <c r="F108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8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8" s="12"/>
      <c r="I108" s="386" t="str">
        <f>IFERROR(IF(TRANSHARI7_ROKOKPAGI[[#This Row],[NAMA REKENING]]="","",TRANSHARI7_ROKOKPAGI[[#This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IFERROR(VLOOKUP(TRANSHARI7_ROKOKMALAM[[#This Row],[PRODUK]],DATA_ROKOK[],9,FALSE),"")</f>
        <v/>
      </c>
      <c r="T108" s="374"/>
      <c r="U108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8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8" s="12"/>
      <c r="X108" s="386" t="str">
        <f>IFERROR(IF(TRANSHARI7_ROKOKMALAM[[#This Row],[NAMA REKENING]]="","",TRANSHARI7_ROKOKMALAM[[#This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IFERROR(VLOOKUP(TRANSHARI7_ROKOKPAGI[[#This Row],[PRODUK]],DATA_ROKOK[],9,FALSE),"")</f>
        <v/>
      </c>
      <c r="E109" s="374"/>
      <c r="F109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09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09" s="12"/>
      <c r="I109" s="384" t="str">
        <f>IFERROR(IF(TRANSHARI7_ROKOKPAGI[[#This Row],[NAMA REKENING]]="","",TRANSHARI7_ROKOKPAGI[[#This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IFERROR(VLOOKUP(TRANSHARI7_ROKOKMALAM[[#This Row],[PRODUK]],DATA_ROKOK[],9,FALSE),"")</f>
        <v/>
      </c>
      <c r="T109" s="374"/>
      <c r="U109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09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09" s="12"/>
      <c r="X109" s="384" t="str">
        <f>IFERROR(IF(TRANSHARI7_ROKOKMALAM[[#This Row],[NAMA REKENING]]="","",TRANSHARI7_ROKOKMALAM[[#This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IFERROR(VLOOKUP(TRANSHARI7_ROKOKPAGI[[#This Row],[PRODUK]],DATA_ROKOK[],9,FALSE),"")</f>
        <v/>
      </c>
      <c r="E110" s="376"/>
      <c r="F110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0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0" s="377"/>
      <c r="I110" s="386" t="str">
        <f>IFERROR(IF(TRANSHARI7_ROKOKPAGI[[#This Row],[NAMA REKENING]]="","",TRANSHARI7_ROKOKPAGI[[#This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IFERROR(VLOOKUP(TRANSHARI7_ROKOKMALAM[[#This Row],[PRODUK]],DATA_ROKOK[],9,FALSE),"")</f>
        <v/>
      </c>
      <c r="T110" s="376"/>
      <c r="U110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0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0" s="377"/>
      <c r="X110" s="386" t="str">
        <f>IFERROR(IF(TRANSHARI7_ROKOKMALAM[[#This Row],[NAMA REKENING]]="","",TRANSHARI7_ROKOKMALAM[[#This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IFERROR(VLOOKUP(TRANSHARI7_ROKOKPAGI[[#This Row],[PRODUK]],DATA_ROKOK[],9,FALSE),"")</f>
        <v/>
      </c>
      <c r="E111" s="374"/>
      <c r="F111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1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1" s="12"/>
      <c r="I111" s="384" t="str">
        <f>IFERROR(IF(TRANSHARI7_ROKOKPAGI[[#This Row],[NAMA REKENING]]="","",TRANSHARI7_ROKOKPAGI[[#This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IFERROR(VLOOKUP(TRANSHARI7_ROKOKMALAM[[#This Row],[PRODUK]],DATA_ROKOK[],9,FALSE),"")</f>
        <v/>
      </c>
      <c r="T111" s="374"/>
      <c r="U111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1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1" s="12"/>
      <c r="X111" s="384" t="str">
        <f>IFERROR(IF(TRANSHARI7_ROKOKMALAM[[#This Row],[NAMA REKENING]]="","",TRANSHARI7_ROKOKMALAM[[#This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IFERROR(VLOOKUP(TRANSHARI7_ROKOKPAGI[[#This Row],[PRODUK]],DATA_ROKOK[],9,FALSE),"")</f>
        <v/>
      </c>
      <c r="E112" s="374"/>
      <c r="F112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2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2" s="12"/>
      <c r="I112" s="386" t="str">
        <f>IFERROR(IF(TRANSHARI7_ROKOKPAGI[[#This Row],[NAMA REKENING]]="","",TRANSHARI7_ROKOKPAGI[[#This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IFERROR(VLOOKUP(TRANSHARI7_ROKOKMALAM[[#This Row],[PRODUK]],DATA_ROKOK[],9,FALSE),"")</f>
        <v/>
      </c>
      <c r="T112" s="374"/>
      <c r="U112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2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2" s="12"/>
      <c r="X112" s="386" t="str">
        <f>IFERROR(IF(TRANSHARI7_ROKOKMALAM[[#This Row],[NAMA REKENING]]="","",TRANSHARI7_ROKOKMALAM[[#This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IFERROR(VLOOKUP(TRANSHARI7_ROKOKPAGI[[#This Row],[PRODUK]],DATA_ROKOK[],9,FALSE),"")</f>
        <v/>
      </c>
      <c r="E113" s="374"/>
      <c r="F113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3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3" s="12"/>
      <c r="I113" s="384" t="str">
        <f>IFERROR(IF(TRANSHARI7_ROKOKPAGI[[#This Row],[NAMA REKENING]]="","",TRANSHARI7_ROKOKPAGI[[#This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IFERROR(VLOOKUP(TRANSHARI7_ROKOKMALAM[[#This Row],[PRODUK]],DATA_ROKOK[],9,FALSE),"")</f>
        <v/>
      </c>
      <c r="T113" s="374"/>
      <c r="U113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3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3" s="12"/>
      <c r="X113" s="384" t="str">
        <f>IFERROR(IF(TRANSHARI7_ROKOKMALAM[[#This Row],[NAMA REKENING]]="","",TRANSHARI7_ROKOKMALAM[[#This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IFERROR(VLOOKUP(TRANSHARI7_ROKOKPAGI[[#This Row],[PRODUK]],DATA_ROKOK[],9,FALSE),"")</f>
        <v/>
      </c>
      <c r="E114" s="374"/>
      <c r="F114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4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4" s="12"/>
      <c r="I114" s="386" t="str">
        <f>IFERROR(IF(TRANSHARI7_ROKOKPAGI[[#This Row],[NAMA REKENING]]="","",TRANSHARI7_ROKOKPAGI[[#This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IFERROR(VLOOKUP(TRANSHARI7_ROKOKMALAM[[#This Row],[PRODUK]],DATA_ROKOK[],9,FALSE),"")</f>
        <v/>
      </c>
      <c r="T114" s="374"/>
      <c r="U114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4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4" s="12"/>
      <c r="X114" s="386" t="str">
        <f>IFERROR(IF(TRANSHARI7_ROKOKMALAM[[#This Row],[NAMA REKENING]]="","",TRANSHARI7_ROKOKMALAM[[#This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IFERROR(VLOOKUP(TRANSHARI7_ROKOKPAGI[[#This Row],[PRODUK]],DATA_ROKOK[],9,FALSE),"")</f>
        <v/>
      </c>
      <c r="E115" s="374"/>
      <c r="F115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5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5" s="12"/>
      <c r="I115" s="384" t="str">
        <f>IFERROR(IF(TRANSHARI7_ROKOKPAGI[[#This Row],[NAMA REKENING]]="","",TRANSHARI7_ROKOKPAGI[[#This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IFERROR(VLOOKUP(TRANSHARI7_ROKOKMALAM[[#This Row],[PRODUK]],DATA_ROKOK[],9,FALSE),"")</f>
        <v/>
      </c>
      <c r="T115" s="374"/>
      <c r="U115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5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5" s="12"/>
      <c r="X115" s="384" t="str">
        <f>IFERROR(IF(TRANSHARI7_ROKOKMALAM[[#This Row],[NAMA REKENING]]="","",TRANSHARI7_ROKOKMALAM[[#This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IFERROR(VLOOKUP(TRANSHARI7_ROKOKPAGI[[#This Row],[PRODUK]],DATA_ROKOK[],9,FALSE),"")</f>
        <v/>
      </c>
      <c r="E116" s="374"/>
      <c r="F116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6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6" s="12"/>
      <c r="I116" s="386" t="str">
        <f>IFERROR(IF(TRANSHARI7_ROKOKPAGI[[#This Row],[NAMA REKENING]]="","",TRANSHARI7_ROKOKPAGI[[#This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IFERROR(VLOOKUP(TRANSHARI7_ROKOKMALAM[[#This Row],[PRODUK]],DATA_ROKOK[],9,FALSE),"")</f>
        <v/>
      </c>
      <c r="T116" s="374"/>
      <c r="U116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6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6" s="12"/>
      <c r="X116" s="386" t="str">
        <f>IFERROR(IF(TRANSHARI7_ROKOKMALAM[[#This Row],[NAMA REKENING]]="","",TRANSHARI7_ROKOKMALAM[[#This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IFERROR(VLOOKUP(TRANSHARI7_ROKOKPAGI[[#This Row],[PRODUK]],DATA_ROKOK[],9,FALSE),"")</f>
        <v/>
      </c>
      <c r="E117" s="374"/>
      <c r="F117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7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7" s="12"/>
      <c r="I117" s="384" t="str">
        <f>IFERROR(IF(TRANSHARI7_ROKOKPAGI[[#This Row],[NAMA REKENING]]="","",TRANSHARI7_ROKOKPAGI[[#This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IFERROR(VLOOKUP(TRANSHARI7_ROKOKMALAM[[#This Row],[PRODUK]],DATA_ROKOK[],9,FALSE),"")</f>
        <v/>
      </c>
      <c r="T117" s="374"/>
      <c r="U117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7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7" s="12"/>
      <c r="X117" s="384" t="str">
        <f>IFERROR(IF(TRANSHARI7_ROKOKMALAM[[#This Row],[NAMA REKENING]]="","",TRANSHARI7_ROKOKMALAM[[#This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IFERROR(VLOOKUP(TRANSHARI7_ROKOKPAGI[[#This Row],[PRODUK]],DATA_ROKOK[],9,FALSE),"")</f>
        <v/>
      </c>
      <c r="E118" s="374"/>
      <c r="F118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8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8" s="12"/>
      <c r="I118" s="386" t="str">
        <f>IFERROR(IF(TRANSHARI7_ROKOKPAGI[[#This Row],[NAMA REKENING]]="","",TRANSHARI7_ROKOKPAGI[[#This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IFERROR(VLOOKUP(TRANSHARI7_ROKOKMALAM[[#This Row],[PRODUK]],DATA_ROKOK[],9,FALSE),"")</f>
        <v/>
      </c>
      <c r="T118" s="374"/>
      <c r="U118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8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8" s="12"/>
      <c r="X118" s="386" t="str">
        <f>IFERROR(IF(TRANSHARI7_ROKOKMALAM[[#This Row],[NAMA REKENING]]="","",TRANSHARI7_ROKOKMALAM[[#This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IFERROR(VLOOKUP(TRANSHARI7_ROKOKPAGI[[#This Row],[PRODUK]],DATA_ROKOK[],9,FALSE),"")</f>
        <v/>
      </c>
      <c r="E119" s="374"/>
      <c r="F119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19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19" s="12"/>
      <c r="I119" s="384" t="str">
        <f>IFERROR(IF(TRANSHARI7_ROKOKPAGI[[#This Row],[NAMA REKENING]]="","",TRANSHARI7_ROKOKPAGI[[#This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IFERROR(VLOOKUP(TRANSHARI7_ROKOKMALAM[[#This Row],[PRODUK]],DATA_ROKOK[],9,FALSE),"")</f>
        <v/>
      </c>
      <c r="T119" s="374"/>
      <c r="U119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19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19" s="12"/>
      <c r="X119" s="384" t="str">
        <f>IFERROR(IF(TRANSHARI7_ROKOKMALAM[[#This Row],[NAMA REKENING]]="","",TRANSHARI7_ROKOKMALAM[[#This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IFERROR(VLOOKUP(TRANSHARI7_ROKOKPAGI[[#This Row],[PRODUK]],DATA_ROKOK[],9,FALSE),"")</f>
        <v/>
      </c>
      <c r="E120" s="374"/>
      <c r="F120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0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0" s="12"/>
      <c r="I120" s="386" t="str">
        <f>IFERROR(IF(TRANSHARI7_ROKOKPAGI[[#This Row],[NAMA REKENING]]="","",TRANSHARI7_ROKOKPAGI[[#This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IFERROR(VLOOKUP(TRANSHARI7_ROKOKMALAM[[#This Row],[PRODUK]],DATA_ROKOK[],9,FALSE),"")</f>
        <v/>
      </c>
      <c r="T120" s="374"/>
      <c r="U120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0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0" s="12"/>
      <c r="X120" s="386" t="str">
        <f>IFERROR(IF(TRANSHARI7_ROKOKMALAM[[#This Row],[NAMA REKENING]]="","",TRANSHARI7_ROKOKMALAM[[#This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IFERROR(VLOOKUP(TRANSHARI7_ROKOKPAGI[[#This Row],[PRODUK]],DATA_ROKOK[],9,FALSE),"")</f>
        <v/>
      </c>
      <c r="E121" s="374"/>
      <c r="F121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1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1" s="12"/>
      <c r="I121" s="384" t="str">
        <f>IFERROR(IF(TRANSHARI7_ROKOKPAGI[[#This Row],[NAMA REKENING]]="","",TRANSHARI7_ROKOKPAGI[[#This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IFERROR(VLOOKUP(TRANSHARI7_ROKOKMALAM[[#This Row],[PRODUK]],DATA_ROKOK[],9,FALSE),"")</f>
        <v/>
      </c>
      <c r="T121" s="374"/>
      <c r="U121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1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1" s="12"/>
      <c r="X121" s="384" t="str">
        <f>IFERROR(IF(TRANSHARI7_ROKOKMALAM[[#This Row],[NAMA REKENING]]="","",TRANSHARI7_ROKOKMALAM[[#This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IFERROR(VLOOKUP(TRANSHARI7_ROKOKPAGI[[#This Row],[PRODUK]],DATA_ROKOK[],9,FALSE),"")</f>
        <v/>
      </c>
      <c r="E122" s="374"/>
      <c r="F122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2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2" s="12"/>
      <c r="I122" s="386" t="str">
        <f>IFERROR(IF(TRANSHARI7_ROKOKPAGI[[#This Row],[NAMA REKENING]]="","",TRANSHARI7_ROKOKPAGI[[#This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IFERROR(VLOOKUP(TRANSHARI7_ROKOKMALAM[[#This Row],[PRODUK]],DATA_ROKOK[],9,FALSE),"")</f>
        <v/>
      </c>
      <c r="T122" s="374"/>
      <c r="U122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2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2" s="12"/>
      <c r="X122" s="386" t="str">
        <f>IFERROR(IF(TRANSHARI7_ROKOKMALAM[[#This Row],[NAMA REKENING]]="","",TRANSHARI7_ROKOKMALAM[[#This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IFERROR(VLOOKUP(TRANSHARI7_ROKOKPAGI[[#This Row],[PRODUK]],DATA_ROKOK[],9,FALSE),"")</f>
        <v/>
      </c>
      <c r="E123" s="374"/>
      <c r="F123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3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3" s="12"/>
      <c r="I123" s="384" t="str">
        <f>IFERROR(IF(TRANSHARI7_ROKOKPAGI[[#This Row],[NAMA REKENING]]="","",TRANSHARI7_ROKOKPAGI[[#This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IFERROR(VLOOKUP(TRANSHARI7_ROKOKMALAM[[#This Row],[PRODUK]],DATA_ROKOK[],9,FALSE),"")</f>
        <v/>
      </c>
      <c r="T123" s="374"/>
      <c r="U123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3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3" s="12"/>
      <c r="X123" s="384" t="str">
        <f>IFERROR(IF(TRANSHARI7_ROKOKMALAM[[#This Row],[NAMA REKENING]]="","",TRANSHARI7_ROKOKMALAM[[#This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IFERROR(VLOOKUP(TRANSHARI7_ROKOKPAGI[[#This Row],[PRODUK]],DATA_ROKOK[],9,FALSE),"")</f>
        <v/>
      </c>
      <c r="E124" s="374"/>
      <c r="F124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4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4" s="12"/>
      <c r="I124" s="386" t="str">
        <f>IFERROR(IF(TRANSHARI7_ROKOKPAGI[[#This Row],[NAMA REKENING]]="","",TRANSHARI7_ROKOKPAGI[[#This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IFERROR(VLOOKUP(TRANSHARI7_ROKOKMALAM[[#This Row],[PRODUK]],DATA_ROKOK[],9,FALSE),"")</f>
        <v/>
      </c>
      <c r="T124" s="374"/>
      <c r="U124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4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4" s="12"/>
      <c r="X124" s="386" t="str">
        <f>IFERROR(IF(TRANSHARI7_ROKOKMALAM[[#This Row],[NAMA REKENING]]="","",TRANSHARI7_ROKOKMALAM[[#This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IFERROR(VLOOKUP(TRANSHARI7_ROKOKPAGI[[#This Row],[PRODUK]],DATA_ROKOK[],9,FALSE),"")</f>
        <v/>
      </c>
      <c r="E125" s="374"/>
      <c r="F125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5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5" s="12"/>
      <c r="I125" s="384" t="str">
        <f>IFERROR(IF(TRANSHARI7_ROKOKPAGI[[#This Row],[NAMA REKENING]]="","",TRANSHARI7_ROKOKPAGI[[#This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IFERROR(VLOOKUP(TRANSHARI7_ROKOKMALAM[[#This Row],[PRODUK]],DATA_ROKOK[],9,FALSE),"")</f>
        <v/>
      </c>
      <c r="T125" s="374"/>
      <c r="U125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5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5" s="12"/>
      <c r="X125" s="384" t="str">
        <f>IFERROR(IF(TRANSHARI7_ROKOKMALAM[[#This Row],[NAMA REKENING]]="","",TRANSHARI7_ROKOKMALAM[[#This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IFERROR(VLOOKUP(TRANSHARI7_ROKOKPAGI[[#This Row],[PRODUK]],DATA_ROKOK[],9,FALSE),"")</f>
        <v/>
      </c>
      <c r="E126" s="374"/>
      <c r="F126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6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6" s="12"/>
      <c r="I126" s="386" t="str">
        <f>IFERROR(IF(TRANSHARI7_ROKOKPAGI[[#This Row],[NAMA REKENING]]="","",TRANSHARI7_ROKOKPAGI[[#This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IFERROR(VLOOKUP(TRANSHARI7_ROKOKMALAM[[#This Row],[PRODUK]],DATA_ROKOK[],9,FALSE),"")</f>
        <v/>
      </c>
      <c r="T126" s="374"/>
      <c r="U126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6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6" s="12"/>
      <c r="X126" s="386" t="str">
        <f>IFERROR(IF(TRANSHARI7_ROKOKMALAM[[#This Row],[NAMA REKENING]]="","",TRANSHARI7_ROKOKMALAM[[#This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IFERROR(VLOOKUP(TRANSHARI7_ROKOKPAGI[[#This Row],[PRODUK]],DATA_ROKOK[],9,FALSE),"")</f>
        <v/>
      </c>
      <c r="E127" s="374"/>
      <c r="F127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7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7" s="12"/>
      <c r="I127" s="384" t="str">
        <f>IFERROR(IF(TRANSHARI7_ROKOKPAGI[[#This Row],[NAMA REKENING]]="","",TRANSHARI7_ROKOKPAGI[[#This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IFERROR(VLOOKUP(TRANSHARI7_ROKOKMALAM[[#This Row],[PRODUK]],DATA_ROKOK[],9,FALSE),"")</f>
        <v/>
      </c>
      <c r="T127" s="374"/>
      <c r="U127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7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7" s="12"/>
      <c r="X127" s="384" t="str">
        <f>IFERROR(IF(TRANSHARI7_ROKOKMALAM[[#This Row],[NAMA REKENING]]="","",TRANSHARI7_ROKOKMALAM[[#This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IFERROR(VLOOKUP(TRANSHARI7_ROKOKPAGI[[#This Row],[PRODUK]],DATA_ROKOK[],9,FALSE),"")</f>
        <v/>
      </c>
      <c r="E128" s="374"/>
      <c r="F128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8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8" s="12"/>
      <c r="I128" s="386" t="str">
        <f>IFERROR(IF(TRANSHARI7_ROKOKPAGI[[#This Row],[NAMA REKENING]]="","",TRANSHARI7_ROKOKPAGI[[#This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IFERROR(VLOOKUP(TRANSHARI7_ROKOKMALAM[[#This Row],[PRODUK]],DATA_ROKOK[],9,FALSE),"")</f>
        <v/>
      </c>
      <c r="T128" s="374"/>
      <c r="U128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8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8" s="12"/>
      <c r="X128" s="386" t="str">
        <f>IFERROR(IF(TRANSHARI7_ROKOKMALAM[[#This Row],[NAMA REKENING]]="","",TRANSHARI7_ROKOKMALAM[[#This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IFERROR(VLOOKUP(TRANSHARI7_ROKOKPAGI[[#This Row],[PRODUK]],DATA_ROKOK[],9,FALSE),"")</f>
        <v/>
      </c>
      <c r="E129" s="374"/>
      <c r="F129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29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29" s="12"/>
      <c r="I129" s="384" t="str">
        <f>IFERROR(IF(TRANSHARI7_ROKOKPAGI[[#This Row],[NAMA REKENING]]="","",TRANSHARI7_ROKOKPAGI[[#This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IFERROR(VLOOKUP(TRANSHARI7_ROKOKMALAM[[#This Row],[PRODUK]],DATA_ROKOK[],9,FALSE),"")</f>
        <v/>
      </c>
      <c r="T129" s="374"/>
      <c r="U129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29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29" s="12"/>
      <c r="X129" s="384" t="str">
        <f>IFERROR(IF(TRANSHARI7_ROKOKMALAM[[#This Row],[NAMA REKENING]]="","",TRANSHARI7_ROKOKMALAM[[#This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IFERROR(VLOOKUP(TRANSHARI7_ROKOKPAGI[[#This Row],[PRODUK]],DATA_ROKOK[],9,FALSE),"")</f>
        <v/>
      </c>
      <c r="E130" s="374"/>
      <c r="F130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30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30" s="12"/>
      <c r="I130" s="386" t="str">
        <f>IFERROR(IF(TRANSHARI7_ROKOKPAGI[[#This Row],[NAMA REKENING]]="","",TRANSHARI7_ROKOKPAGI[[#This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IFERROR(VLOOKUP(TRANSHARI7_ROKOKMALAM[[#This Row],[PRODUK]],DATA_ROKOK[],9,FALSE),"")</f>
        <v/>
      </c>
      <c r="T130" s="374"/>
      <c r="U130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30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30" s="12"/>
      <c r="X130" s="386" t="str">
        <f>IFERROR(IF(TRANSHARI7_ROKOKMALAM[[#This Row],[NAMA REKENING]]="","",TRANSHARI7_ROKOKMALAM[[#This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IFERROR(VLOOKUP(TRANSHARI7_ROKOKPAGI[[#This Row],[PRODUK]],DATA_ROKOK[],9,FALSE),"")</f>
        <v/>
      </c>
      <c r="E131" s="374"/>
      <c r="F131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31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31" s="12"/>
      <c r="I131" s="384" t="str">
        <f>IFERROR(IF(TRANSHARI7_ROKOKPAGI[[#This Row],[NAMA REKENING]]="","",TRANSHARI7_ROKOKPAGI[[#This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IFERROR(VLOOKUP(TRANSHARI7_ROKOKMALAM[[#This Row],[PRODUK]],DATA_ROKOK[],9,FALSE),"")</f>
        <v/>
      </c>
      <c r="T131" s="374"/>
      <c r="U131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31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31" s="12"/>
      <c r="X131" s="384" t="str">
        <f>IFERROR(IF(TRANSHARI7_ROKOKMALAM[[#This Row],[NAMA REKENING]]="","",TRANSHARI7_ROKOKMALAM[[#This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IFERROR(VLOOKUP(TRANSHARI7_ROKOKPAGI[[#This Row],[PRODUK]],DATA_ROKOK[],9,FALSE),"")</f>
        <v/>
      </c>
      <c r="E132" s="374"/>
      <c r="F132" s="373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32" s="373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32" s="12"/>
      <c r="I132" s="386" t="str">
        <f>IFERROR(IF(TRANSHARI7_ROKOKPAGI[[#This Row],[NAMA REKENING]]="","",TRANSHARI7_ROKOKPAGI[[#This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IFERROR(VLOOKUP(TRANSHARI7_ROKOKMALAM[[#This Row],[PRODUK]],DATA_ROKOK[],9,FALSE),"")</f>
        <v/>
      </c>
      <c r="T132" s="374"/>
      <c r="U132" s="373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32" s="373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32" s="12"/>
      <c r="X132" s="386" t="str">
        <f>IFERROR(IF(TRANSHARI7_ROKOKMALAM[[#This Row],[NAMA REKENING]]="","",TRANSHARI7_ROKOKMALAM[[#This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IFERROR(VLOOKUP(TRANSHARI7_ROKOKPAGI[[#This Row],[PRODUK]],DATA_ROKOK[],9,FALSE),"")</f>
        <v/>
      </c>
      <c r="E133" s="374"/>
      <c r="F133" s="369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33" s="369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33" s="12"/>
      <c r="I133" s="384" t="str">
        <f>IFERROR(IF(TRANSHARI7_ROKOKPAGI[[#This Row],[NAMA REKENING]]="","",TRANSHARI7_ROKOKPAGI[[#This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IFERROR(VLOOKUP(TRANSHARI7_ROKOKMALAM[[#This Row],[PRODUK]],DATA_ROKOK[],9,FALSE),"")</f>
        <v/>
      </c>
      <c r="T133" s="374"/>
      <c r="U133" s="369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33" s="369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33" s="12"/>
      <c r="X133" s="384" t="str">
        <f>IFERROR(IF(TRANSHARI7_ROKOKMALAM[[#This Row],[NAMA REKENING]]="","",TRANSHARI7_ROKOKMALAM[[#This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IFERROR(VLOOKUP(TRANSHARI7_ROKOKPAGI[[#This Row],[PRODUK]],DATA_ROKOK[],9,FALSE),"")</f>
        <v/>
      </c>
      <c r="E134" s="376"/>
      <c r="F134" s="394" t="str">
        <f>IFERROR(IF(TRANSHARI7_ROKOKPAGI[[#This Row],[NAMA PENGHUTANG]]="",((TRANSHARI7_ROKOKPAGI[[#This Row],[HARGA]]*TRANSHARI7_ROKOKPAGI[[#This Row],[QUANTITY]])+TRANSHARI7_ROKOKPAGI[[#This Row],[PRICE TOLERANCE]]),""),"")</f>
        <v/>
      </c>
      <c r="G134" s="394" t="str">
        <f>IFERROR(IF(TRANSHARI7_ROKOKPAGI[[#This Row],[NAMA PENGHUTANG]]="","",((TRANSHARI7_ROKOKPAGI[[#This Row],[HARGA]]*TRANSHARI7_ROKOKPAGI[[#This Row],[QUANTITY]])+TRANSHARI7_ROKOKPAGI[[#This Row],[PRICE TOLERANCE]])),"")</f>
        <v/>
      </c>
      <c r="H134" s="377"/>
      <c r="I134" s="399" t="str">
        <f>IFERROR(IF(TRANSHARI7_ROKOKPAGI[[#This Row],[NAMA REKENING]]="","",TRANSHARI7_ROKOKPAGI[[#This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IFERROR(VLOOKUP(TRANSHARI7_ROKOKMALAM[[#This Row],[PRODUK]],DATA_ROKOK[],9,FALSE),"")</f>
        <v/>
      </c>
      <c r="T134" s="376"/>
      <c r="U134" s="394" t="str">
        <f>IFERROR(IF(TRANSHARI7_ROKOKMALAM[[#This Row],[NAMA PENGHUTANG]]="",((TRANSHARI7_ROKOKMALAM[[#This Row],[HARGA]]*TRANSHARI7_ROKOKMALAM[[#This Row],[QUANTITY]])+TRANSHARI7_ROKOKMALAM[[#This Row],[PRICE TOLERANCE]]),""),"")</f>
        <v/>
      </c>
      <c r="V134" s="394" t="str">
        <f>IFERROR(IF(TRANSHARI7_ROKOKMALAM[[#This Row],[NAMA PENGHUTANG]]="","",((TRANSHARI7_ROKOKMALAM[[#This Row],[HARGA]]*TRANSHARI7_ROKOKMALAM[[#This Row],[QUANTITY]])+TRANSHARI7_ROKOKMALAM[[#This Row],[PRICE TOLERANCE]])),"")</f>
        <v/>
      </c>
      <c r="W134" s="377"/>
      <c r="X134" s="399" t="str">
        <f>IFERROR(IF(TRANSHARI7_ROKOKMALAM[[#This Row],[NAMA REKENING]]="","",TRANSHARI7_ROKOKMALAM[[#This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SUM(TRANSHARI7_ROKOKPAGI[QUANTITY])</f>
        <v>0</v>
      </c>
      <c r="E135" s="396">
        <f>SUM(TRANSHARI7_ROKOKPAGI[PRICE TOLERANCE])</f>
        <v>0</v>
      </c>
      <c r="F135" s="396">
        <f>SUM(TRANSHARI7_ROKOKPAGI[DEBIT])</f>
        <v>0</v>
      </c>
      <c r="G135" s="396">
        <f>SUM(TRANSHARI7_ROKOKPAGI[KREDIT])</f>
        <v>0</v>
      </c>
      <c r="I135" s="396">
        <f>SUM(TRANSHARI7_ROKOKPAGI[NOMINAL TRANSFER])</f>
        <v>0</v>
      </c>
      <c r="O135" s="324"/>
      <c r="P135" s="303" t="s">
        <v>78</v>
      </c>
      <c r="Q135" s="316"/>
      <c r="R135" s="395">
        <f>SUM(TRANSHARI7_ROKOKMALAM[QUANTITY])</f>
        <v>0</v>
      </c>
      <c r="T135" s="396">
        <f>SUM(TRANSHARI7_ROKOKMALAM[PRICE TOLERANCE])</f>
        <v>0</v>
      </c>
      <c r="U135" s="396">
        <f>SUM(TRANSHARI7_ROKOKMALAM[DEBIT])</f>
        <v>0</v>
      </c>
      <c r="V135" s="396">
        <f>SUM(TRANSHARI7_ROKOKMALAM[KREDIT])</f>
        <v>0</v>
      </c>
      <c r="X135" s="396">
        <f>SUM(TRANSHARI7_ROKOKMALAM[NOMINAL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tr">
        <f>A25</f>
        <v>HARI 7 : PAGI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tr">
        <f>P25</f>
        <v>HARI 7 : MALAM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IFERROR(VLOOKUP(TRANSHARI7_SPVOUPAGI[[#This Row],[PRODUK]],DATA_SPVOU[],9,FALSE),"")</f>
        <v/>
      </c>
      <c r="E142" s="370"/>
      <c r="F142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2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2" s="371"/>
      <c r="I142" s="384" t="str">
        <f>IFERROR(IF(TRANSHARI7_SPVOUPAGI[[#This Row],[NAMA REKENING]]="","",TRANSHARI7_SPVOUPAGI[[#This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IFERROR(VLOOKUP(TRANSHARI7_SPVOUMALAM[[#This Row],[PRODUK]],DATA_SPVOU[],9,FALSE),"")</f>
        <v/>
      </c>
      <c r="T142" s="370"/>
      <c r="U142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2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2" s="371"/>
      <c r="X142" s="384" t="str">
        <f>IFERROR(IF(TRANSHARI7_SPVOUMALAM[[#This Row],[NAMA REKENING]]="","",TRANSHARI7_SPVOUMALAM[[#This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IFERROR(VLOOKUP(TRANSHARI7_SPVOUPAGI[[#This Row],[PRODUK]],DATA_SPVOU[],9,FALSE),"")</f>
        <v/>
      </c>
      <c r="E143" s="374"/>
      <c r="F143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3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3" s="12"/>
      <c r="I143" s="386" t="str">
        <f>IFERROR(IF(TRANSHARI7_SPVOUPAGI[[#This Row],[NAMA REKENING]]="","",TRANSHARI7_SPVOUPAGI[[#This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IFERROR(VLOOKUP(TRANSHARI7_SPVOUMALAM[[#This Row],[PRODUK]],DATA_SPVOU[],9,FALSE),"")</f>
        <v/>
      </c>
      <c r="T143" s="374"/>
      <c r="U143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3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3" s="12"/>
      <c r="X143" s="386" t="str">
        <f>IFERROR(IF(TRANSHARI7_SPVOUMALAM[[#This Row],[NAMA REKENING]]="","",TRANSHARI7_SPVOUMALAM[[#This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IFERROR(VLOOKUP(TRANSHARI7_SPVOUPAGI[[#This Row],[PRODUK]],DATA_SPVOU[],9,FALSE),"")</f>
        <v/>
      </c>
      <c r="E144" s="374"/>
      <c r="F144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4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4" s="12"/>
      <c r="I144" s="384" t="str">
        <f>IFERROR(IF(TRANSHARI7_SPVOUPAGI[[#This Row],[NAMA REKENING]]="","",TRANSHARI7_SPVOUPAGI[[#This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IFERROR(VLOOKUP(TRANSHARI7_SPVOUMALAM[[#This Row],[PRODUK]],DATA_SPVOU[],9,FALSE),"")</f>
        <v/>
      </c>
      <c r="T144" s="374"/>
      <c r="U144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4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4" s="12"/>
      <c r="X144" s="384" t="str">
        <f>IFERROR(IF(TRANSHARI7_SPVOUMALAM[[#This Row],[NAMA REKENING]]="","",TRANSHARI7_SPVOUMALAM[[#This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IFERROR(VLOOKUP(TRANSHARI7_SPVOUPAGI[[#This Row],[PRODUK]],DATA_SPVOU[],9,FALSE),"")</f>
        <v/>
      </c>
      <c r="E145" s="374"/>
      <c r="F145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5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5" s="12"/>
      <c r="I145" s="386" t="str">
        <f>IFERROR(IF(TRANSHARI7_SPVOUPAGI[[#This Row],[NAMA REKENING]]="","",TRANSHARI7_SPVOUPAGI[[#This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IFERROR(VLOOKUP(TRANSHARI7_SPVOUMALAM[[#This Row],[PRODUK]],DATA_SPVOU[],9,FALSE),"")</f>
        <v/>
      </c>
      <c r="T145" s="374"/>
      <c r="U145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5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5" s="12"/>
      <c r="X145" s="386" t="str">
        <f>IFERROR(IF(TRANSHARI7_SPVOUMALAM[[#This Row],[NAMA REKENING]]="","",TRANSHARI7_SPVOUMALAM[[#This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IFERROR(VLOOKUP(TRANSHARI7_SPVOUPAGI[[#This Row],[PRODUK]],DATA_SPVOU[],9,FALSE),"")</f>
        <v/>
      </c>
      <c r="E146" s="374"/>
      <c r="F146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6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6" s="12"/>
      <c r="I146" s="384" t="str">
        <f>IFERROR(IF(TRANSHARI7_SPVOUPAGI[[#This Row],[NAMA REKENING]]="","",TRANSHARI7_SPVOUPAGI[[#This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IFERROR(VLOOKUP(TRANSHARI7_SPVOUMALAM[[#This Row],[PRODUK]],DATA_SPVOU[],9,FALSE),"")</f>
        <v/>
      </c>
      <c r="T146" s="374"/>
      <c r="U146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6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6" s="12"/>
      <c r="X146" s="384" t="str">
        <f>IFERROR(IF(TRANSHARI7_SPVOUMALAM[[#This Row],[NAMA REKENING]]="","",TRANSHARI7_SPVOUMALAM[[#This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IFERROR(VLOOKUP(TRANSHARI7_SPVOUPAGI[[#This Row],[PRODUK]],DATA_SPVOU[],9,FALSE),"")</f>
        <v/>
      </c>
      <c r="E147" s="374"/>
      <c r="F147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7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7" s="12"/>
      <c r="I147" s="386" t="str">
        <f>IFERROR(IF(TRANSHARI7_SPVOUPAGI[[#This Row],[NAMA REKENING]]="","",TRANSHARI7_SPVOUPAGI[[#This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IFERROR(VLOOKUP(TRANSHARI7_SPVOUMALAM[[#This Row],[PRODUK]],DATA_SPVOU[],9,FALSE),"")</f>
        <v/>
      </c>
      <c r="T147" s="374"/>
      <c r="U147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7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7" s="12"/>
      <c r="X147" s="386" t="str">
        <f>IFERROR(IF(TRANSHARI7_SPVOUMALAM[[#This Row],[NAMA REKENING]]="","",TRANSHARI7_SPVOUMALAM[[#This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IFERROR(VLOOKUP(TRANSHARI7_SPVOUPAGI[[#This Row],[PRODUK]],DATA_SPVOU[],9,FALSE),"")</f>
        <v/>
      </c>
      <c r="E148" s="374"/>
      <c r="F148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8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8" s="12"/>
      <c r="I148" s="384" t="str">
        <f>IFERROR(IF(TRANSHARI7_SPVOUPAGI[[#This Row],[NAMA REKENING]]="","",TRANSHARI7_SPVOUPAGI[[#This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IFERROR(VLOOKUP(TRANSHARI7_SPVOUMALAM[[#This Row],[PRODUK]],DATA_SPVOU[],9,FALSE),"")</f>
        <v/>
      </c>
      <c r="T148" s="374"/>
      <c r="U148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8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8" s="12"/>
      <c r="X148" s="384" t="str">
        <f>IFERROR(IF(TRANSHARI7_SPVOUMALAM[[#This Row],[NAMA REKENING]]="","",TRANSHARI7_SPVOUMALAM[[#This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IFERROR(VLOOKUP(TRANSHARI7_SPVOUPAGI[[#This Row],[PRODUK]],DATA_SPVOU[],9,FALSE),"")</f>
        <v/>
      </c>
      <c r="E149" s="374"/>
      <c r="F149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49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49" s="12"/>
      <c r="I149" s="386" t="str">
        <f>IFERROR(IF(TRANSHARI7_SPVOUPAGI[[#This Row],[NAMA REKENING]]="","",TRANSHARI7_SPVOUPAGI[[#This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IFERROR(VLOOKUP(TRANSHARI7_SPVOUMALAM[[#This Row],[PRODUK]],DATA_SPVOU[],9,FALSE),"")</f>
        <v/>
      </c>
      <c r="T149" s="374"/>
      <c r="U149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49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49" s="12"/>
      <c r="X149" s="386" t="str">
        <f>IFERROR(IF(TRANSHARI7_SPVOUMALAM[[#This Row],[NAMA REKENING]]="","",TRANSHARI7_SPVOUMALAM[[#This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IFERROR(VLOOKUP(TRANSHARI7_SPVOUPAGI[[#This Row],[PRODUK]],DATA_SPVOU[],9,FALSE),"")</f>
        <v/>
      </c>
      <c r="E150" s="374"/>
      <c r="F150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0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0" s="12"/>
      <c r="I150" s="384" t="str">
        <f>IFERROR(IF(TRANSHARI7_SPVOUPAGI[[#This Row],[NAMA REKENING]]="","",TRANSHARI7_SPVOUPAGI[[#This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IFERROR(VLOOKUP(TRANSHARI7_SPVOUMALAM[[#This Row],[PRODUK]],DATA_SPVOU[],9,FALSE),"")</f>
        <v/>
      </c>
      <c r="T150" s="374"/>
      <c r="U150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0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0" s="12"/>
      <c r="X150" s="384" t="str">
        <f>IFERROR(IF(TRANSHARI7_SPVOUMALAM[[#This Row],[NAMA REKENING]]="","",TRANSHARI7_SPVOUMALAM[[#This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IFERROR(VLOOKUP(TRANSHARI7_SPVOUPAGI[[#This Row],[PRODUK]],DATA_SPVOU[],9,FALSE),"")</f>
        <v/>
      </c>
      <c r="E151" s="374"/>
      <c r="F151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1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1" s="12"/>
      <c r="I151" s="386" t="str">
        <f>IFERROR(IF(TRANSHARI7_SPVOUPAGI[[#This Row],[NAMA REKENING]]="","",TRANSHARI7_SPVOUPAGI[[#This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IFERROR(VLOOKUP(TRANSHARI7_SPVOUMALAM[[#This Row],[PRODUK]],DATA_SPVOU[],9,FALSE),"")</f>
        <v/>
      </c>
      <c r="T151" s="374"/>
      <c r="U151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1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1" s="12"/>
      <c r="X151" s="386" t="str">
        <f>IFERROR(IF(TRANSHARI7_SPVOUMALAM[[#This Row],[NAMA REKENING]]="","",TRANSHARI7_SPVOUMALAM[[#This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IFERROR(VLOOKUP(TRANSHARI7_SPVOUPAGI[[#This Row],[PRODUK]],DATA_SPVOU[],9,FALSE),"")</f>
        <v/>
      </c>
      <c r="E152" s="374"/>
      <c r="F152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2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2" s="12"/>
      <c r="I152" s="384" t="str">
        <f>IFERROR(IF(TRANSHARI7_SPVOUPAGI[[#This Row],[NAMA REKENING]]="","",TRANSHARI7_SPVOUPAGI[[#This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IFERROR(VLOOKUP(TRANSHARI7_SPVOUMALAM[[#This Row],[PRODUK]],DATA_SPVOU[],9,FALSE),"")</f>
        <v/>
      </c>
      <c r="T152" s="374"/>
      <c r="U152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2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2" s="12"/>
      <c r="X152" s="384" t="str">
        <f>IFERROR(IF(TRANSHARI7_SPVOUMALAM[[#This Row],[NAMA REKENING]]="","",TRANSHARI7_SPVOUMALAM[[#This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IFERROR(VLOOKUP(TRANSHARI7_SPVOUPAGI[[#This Row],[PRODUK]],DATA_SPVOU[],9,FALSE),"")</f>
        <v/>
      </c>
      <c r="E153" s="374"/>
      <c r="F153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3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3" s="12"/>
      <c r="I153" s="386" t="str">
        <f>IFERROR(IF(TRANSHARI7_SPVOUPAGI[[#This Row],[NAMA REKENING]]="","",TRANSHARI7_SPVOUPAGI[[#This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IFERROR(VLOOKUP(TRANSHARI7_SPVOUMALAM[[#This Row],[PRODUK]],DATA_SPVOU[],9,FALSE),"")</f>
        <v/>
      </c>
      <c r="T153" s="374"/>
      <c r="U153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3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3" s="12"/>
      <c r="X153" s="386" t="str">
        <f>IFERROR(IF(TRANSHARI7_SPVOUMALAM[[#This Row],[NAMA REKENING]]="","",TRANSHARI7_SPVOUMALAM[[#This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IFERROR(VLOOKUP(TRANSHARI7_SPVOUPAGI[[#This Row],[PRODUK]],DATA_SPVOU[],9,FALSE),"")</f>
        <v/>
      </c>
      <c r="E154" s="374"/>
      <c r="F154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4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4" s="12"/>
      <c r="I154" s="384" t="str">
        <f>IFERROR(IF(TRANSHARI7_SPVOUPAGI[[#This Row],[NAMA REKENING]]="","",TRANSHARI7_SPVOUPAGI[[#This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IFERROR(VLOOKUP(TRANSHARI7_SPVOUMALAM[[#This Row],[PRODUK]],DATA_SPVOU[],9,FALSE),"")</f>
        <v/>
      </c>
      <c r="T154" s="374"/>
      <c r="U154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4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4" s="12"/>
      <c r="X154" s="384" t="str">
        <f>IFERROR(IF(TRANSHARI7_SPVOUMALAM[[#This Row],[NAMA REKENING]]="","",TRANSHARI7_SPVOUMALAM[[#This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IFERROR(VLOOKUP(TRANSHARI7_SPVOUPAGI[[#This Row],[PRODUK]],DATA_SPVOU[],9,FALSE),"")</f>
        <v/>
      </c>
      <c r="E155" s="374"/>
      <c r="F155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5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5" s="12"/>
      <c r="I155" s="386" t="str">
        <f>IFERROR(IF(TRANSHARI7_SPVOUPAGI[[#This Row],[NAMA REKENING]]="","",TRANSHARI7_SPVOUPAGI[[#This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IFERROR(VLOOKUP(TRANSHARI7_SPVOUMALAM[[#This Row],[PRODUK]],DATA_SPVOU[],9,FALSE),"")</f>
        <v/>
      </c>
      <c r="T155" s="374"/>
      <c r="U155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5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5" s="12"/>
      <c r="X155" s="386" t="str">
        <f>IFERROR(IF(TRANSHARI7_SPVOUMALAM[[#This Row],[NAMA REKENING]]="","",TRANSHARI7_SPVOUMALAM[[#This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IFERROR(VLOOKUP(TRANSHARI7_SPVOUPAGI[[#This Row],[PRODUK]],DATA_SPVOU[],9,FALSE),"")</f>
        <v/>
      </c>
      <c r="E156" s="374"/>
      <c r="F156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6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6" s="12"/>
      <c r="I156" s="384" t="str">
        <f>IFERROR(IF(TRANSHARI7_SPVOUPAGI[[#This Row],[NAMA REKENING]]="","",TRANSHARI7_SPVOUPAGI[[#This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IFERROR(VLOOKUP(TRANSHARI7_SPVOUMALAM[[#This Row],[PRODUK]],DATA_SPVOU[],9,FALSE),"")</f>
        <v/>
      </c>
      <c r="T156" s="374"/>
      <c r="U156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6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6" s="12"/>
      <c r="X156" s="384" t="str">
        <f>IFERROR(IF(TRANSHARI7_SPVOUMALAM[[#This Row],[NAMA REKENING]]="","",TRANSHARI7_SPVOUMALAM[[#This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IFERROR(VLOOKUP(TRANSHARI7_SPVOUPAGI[[#This Row],[PRODUK]],DATA_SPVOU[],9,FALSE),"")</f>
        <v/>
      </c>
      <c r="E157" s="374"/>
      <c r="F157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7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7" s="12"/>
      <c r="I157" s="386" t="str">
        <f>IFERROR(IF(TRANSHARI7_SPVOUPAGI[[#This Row],[NAMA REKENING]]="","",TRANSHARI7_SPVOUPAGI[[#This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IFERROR(VLOOKUP(TRANSHARI7_SPVOUMALAM[[#This Row],[PRODUK]],DATA_SPVOU[],9,FALSE),"")</f>
        <v/>
      </c>
      <c r="T157" s="374"/>
      <c r="U157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7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7" s="12"/>
      <c r="X157" s="386" t="str">
        <f>IFERROR(IF(TRANSHARI7_SPVOUMALAM[[#This Row],[NAMA REKENING]]="","",TRANSHARI7_SPVOUMALAM[[#This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IFERROR(VLOOKUP(TRANSHARI7_SPVOUPAGI[[#This Row],[PRODUK]],DATA_SPVOU[],9,FALSE),"")</f>
        <v/>
      </c>
      <c r="E158" s="374"/>
      <c r="F158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8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8" s="12"/>
      <c r="I158" s="384" t="str">
        <f>IFERROR(IF(TRANSHARI7_SPVOUPAGI[[#This Row],[NAMA REKENING]]="","",TRANSHARI7_SPVOUPAGI[[#This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IFERROR(VLOOKUP(TRANSHARI7_SPVOUMALAM[[#This Row],[PRODUK]],DATA_SPVOU[],9,FALSE),"")</f>
        <v/>
      </c>
      <c r="T158" s="374"/>
      <c r="U158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8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8" s="12"/>
      <c r="X158" s="384" t="str">
        <f>IFERROR(IF(TRANSHARI7_SPVOUMALAM[[#This Row],[NAMA REKENING]]="","",TRANSHARI7_SPVOUMALAM[[#This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IFERROR(VLOOKUP(TRANSHARI7_SPVOUPAGI[[#This Row],[PRODUK]],DATA_SPVOU[],9,FALSE),"")</f>
        <v/>
      </c>
      <c r="E159" s="374"/>
      <c r="F159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59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59" s="12"/>
      <c r="I159" s="386" t="str">
        <f>IFERROR(IF(TRANSHARI7_SPVOUPAGI[[#This Row],[NAMA REKENING]]="","",TRANSHARI7_SPVOUPAGI[[#This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IFERROR(VLOOKUP(TRANSHARI7_SPVOUMALAM[[#This Row],[PRODUK]],DATA_SPVOU[],9,FALSE),"")</f>
        <v/>
      </c>
      <c r="T159" s="374"/>
      <c r="U159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59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59" s="12"/>
      <c r="X159" s="386" t="str">
        <f>IFERROR(IF(TRANSHARI7_SPVOUMALAM[[#This Row],[NAMA REKENING]]="","",TRANSHARI7_SPVOUMALAM[[#This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IFERROR(VLOOKUP(TRANSHARI7_SPVOUPAGI[[#This Row],[PRODUK]],DATA_SPVOU[],9,FALSE),"")</f>
        <v/>
      </c>
      <c r="E160" s="374"/>
      <c r="F160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0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0" s="12"/>
      <c r="I160" s="384" t="str">
        <f>IFERROR(IF(TRANSHARI7_SPVOUPAGI[[#This Row],[NAMA REKENING]]="","",TRANSHARI7_SPVOUPAGI[[#This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IFERROR(VLOOKUP(TRANSHARI7_SPVOUMALAM[[#This Row],[PRODUK]],DATA_SPVOU[],9,FALSE),"")</f>
        <v/>
      </c>
      <c r="T160" s="374"/>
      <c r="U160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0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0" s="12"/>
      <c r="X160" s="384" t="str">
        <f>IFERROR(IF(TRANSHARI7_SPVOUMALAM[[#This Row],[NAMA REKENING]]="","",TRANSHARI7_SPVOUMALAM[[#This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IFERROR(VLOOKUP(TRANSHARI7_SPVOUPAGI[[#This Row],[PRODUK]],DATA_SPVOU[],9,FALSE),"")</f>
        <v/>
      </c>
      <c r="E161" s="374"/>
      <c r="F161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1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1" s="12"/>
      <c r="I161" s="386" t="str">
        <f>IFERROR(IF(TRANSHARI7_SPVOUPAGI[[#This Row],[NAMA REKENING]]="","",TRANSHARI7_SPVOUPAGI[[#This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IFERROR(VLOOKUP(TRANSHARI7_SPVOUMALAM[[#This Row],[PRODUK]],DATA_SPVOU[],9,FALSE),"")</f>
        <v/>
      </c>
      <c r="T161" s="374"/>
      <c r="U161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1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1" s="12"/>
      <c r="X161" s="386" t="str">
        <f>IFERROR(IF(TRANSHARI7_SPVOUMALAM[[#This Row],[NAMA REKENING]]="","",TRANSHARI7_SPVOUMALAM[[#This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IFERROR(VLOOKUP(TRANSHARI7_SPVOUPAGI[[#This Row],[PRODUK]],DATA_SPVOU[],9,FALSE),"")</f>
        <v/>
      </c>
      <c r="E162" s="374"/>
      <c r="F162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2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2" s="12"/>
      <c r="I162" s="384" t="str">
        <f>IFERROR(IF(TRANSHARI7_SPVOUPAGI[[#This Row],[NAMA REKENING]]="","",TRANSHARI7_SPVOUPAGI[[#This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IFERROR(VLOOKUP(TRANSHARI7_SPVOUMALAM[[#This Row],[PRODUK]],DATA_SPVOU[],9,FALSE),"")</f>
        <v/>
      </c>
      <c r="T162" s="374"/>
      <c r="U162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2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2" s="12"/>
      <c r="X162" s="384" t="str">
        <f>IFERROR(IF(TRANSHARI7_SPVOUMALAM[[#This Row],[NAMA REKENING]]="","",TRANSHARI7_SPVOUMALAM[[#This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IFERROR(VLOOKUP(TRANSHARI7_SPVOUPAGI[[#This Row],[PRODUK]],DATA_SPVOU[],9,FALSE),"")</f>
        <v/>
      </c>
      <c r="E163" s="374"/>
      <c r="F163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3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3" s="12"/>
      <c r="I163" s="386" t="str">
        <f>IFERROR(IF(TRANSHARI7_SPVOUPAGI[[#This Row],[NAMA REKENING]]="","",TRANSHARI7_SPVOUPAGI[[#This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IFERROR(VLOOKUP(TRANSHARI7_SPVOUMALAM[[#This Row],[PRODUK]],DATA_SPVOU[],9,FALSE),"")</f>
        <v/>
      </c>
      <c r="T163" s="374"/>
      <c r="U163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3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3" s="12"/>
      <c r="X163" s="386" t="str">
        <f>IFERROR(IF(TRANSHARI7_SPVOUMALAM[[#This Row],[NAMA REKENING]]="","",TRANSHARI7_SPVOUMALAM[[#This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IFERROR(VLOOKUP(TRANSHARI7_SPVOUPAGI[[#This Row],[PRODUK]],DATA_SPVOU[],9,FALSE),"")</f>
        <v/>
      </c>
      <c r="E164" s="374"/>
      <c r="F164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4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4" s="12"/>
      <c r="I164" s="384" t="str">
        <f>IFERROR(IF(TRANSHARI7_SPVOUPAGI[[#This Row],[NAMA REKENING]]="","",TRANSHARI7_SPVOUPAGI[[#This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IFERROR(VLOOKUP(TRANSHARI7_SPVOUMALAM[[#This Row],[PRODUK]],DATA_SPVOU[],9,FALSE),"")</f>
        <v/>
      </c>
      <c r="T164" s="374"/>
      <c r="U164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4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4" s="12"/>
      <c r="X164" s="384" t="str">
        <f>IFERROR(IF(TRANSHARI7_SPVOUMALAM[[#This Row],[NAMA REKENING]]="","",TRANSHARI7_SPVOUMALAM[[#This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IFERROR(VLOOKUP(TRANSHARI7_SPVOUPAGI[[#This Row],[PRODUK]],DATA_SPVOU[],9,FALSE),"")</f>
        <v/>
      </c>
      <c r="E165" s="374"/>
      <c r="F165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5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5" s="12"/>
      <c r="I165" s="386" t="str">
        <f>IFERROR(IF(TRANSHARI7_SPVOUPAGI[[#This Row],[NAMA REKENING]]="","",TRANSHARI7_SPVOUPAGI[[#This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IFERROR(VLOOKUP(TRANSHARI7_SPVOUMALAM[[#This Row],[PRODUK]],DATA_SPVOU[],9,FALSE),"")</f>
        <v/>
      </c>
      <c r="T165" s="374"/>
      <c r="U165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5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5" s="12"/>
      <c r="X165" s="386" t="str">
        <f>IFERROR(IF(TRANSHARI7_SPVOUMALAM[[#This Row],[NAMA REKENING]]="","",TRANSHARI7_SPVOUMALAM[[#This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IFERROR(VLOOKUP(TRANSHARI7_SPVOUPAGI[[#This Row],[PRODUK]],DATA_SPVOU[],9,FALSE),"")</f>
        <v/>
      </c>
      <c r="E166" s="374"/>
      <c r="F166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6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6" s="12"/>
      <c r="I166" s="384" t="str">
        <f>IFERROR(IF(TRANSHARI7_SPVOUPAGI[[#This Row],[NAMA REKENING]]="","",TRANSHARI7_SPVOUPAGI[[#This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IFERROR(VLOOKUP(TRANSHARI7_SPVOUMALAM[[#This Row],[PRODUK]],DATA_SPVOU[],9,FALSE),"")</f>
        <v/>
      </c>
      <c r="T166" s="374"/>
      <c r="U166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6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6" s="12"/>
      <c r="X166" s="384" t="str">
        <f>IFERROR(IF(TRANSHARI7_SPVOUMALAM[[#This Row],[NAMA REKENING]]="","",TRANSHARI7_SPVOUMALAM[[#This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IFERROR(VLOOKUP(TRANSHARI7_SPVOUPAGI[[#This Row],[PRODUK]],DATA_SPVOU[],9,FALSE),"")</f>
        <v/>
      </c>
      <c r="E167" s="376"/>
      <c r="F167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7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7" s="377"/>
      <c r="I167" s="386" t="str">
        <f>IFERROR(IF(TRANSHARI7_SPVOUPAGI[[#This Row],[NAMA REKENING]]="","",TRANSHARI7_SPVOUPAGI[[#This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IFERROR(VLOOKUP(TRANSHARI7_SPVOUMALAM[[#This Row],[PRODUK]],DATA_SPVOU[],9,FALSE),"")</f>
        <v/>
      </c>
      <c r="T167" s="376"/>
      <c r="U167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7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7" s="377"/>
      <c r="X167" s="386" t="str">
        <f>IFERROR(IF(TRANSHARI7_SPVOUMALAM[[#This Row],[NAMA REKENING]]="","",TRANSHARI7_SPVOUMALAM[[#This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IFERROR(VLOOKUP(TRANSHARI7_SPVOUPAGI[[#This Row],[PRODUK]],DATA_SPVOU[],9,FALSE),"")</f>
        <v/>
      </c>
      <c r="E168" s="374"/>
      <c r="F168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8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8" s="12"/>
      <c r="I168" s="384" t="str">
        <f>IFERROR(IF(TRANSHARI7_SPVOUPAGI[[#This Row],[NAMA REKENING]]="","",TRANSHARI7_SPVOUPAGI[[#This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IFERROR(VLOOKUP(TRANSHARI7_SPVOUMALAM[[#This Row],[PRODUK]],DATA_SPVOU[],9,FALSE),"")</f>
        <v/>
      </c>
      <c r="T168" s="374"/>
      <c r="U168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8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8" s="12"/>
      <c r="X168" s="384" t="str">
        <f>IFERROR(IF(TRANSHARI7_SPVOUMALAM[[#This Row],[NAMA REKENING]]="","",TRANSHARI7_SPVOUMALAM[[#This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IFERROR(VLOOKUP(TRANSHARI7_SPVOUPAGI[[#This Row],[PRODUK]],DATA_SPVOU[],9,FALSE),"")</f>
        <v/>
      </c>
      <c r="E169" s="374"/>
      <c r="F169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69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69" s="12"/>
      <c r="I169" s="386" t="str">
        <f>IFERROR(IF(TRANSHARI7_SPVOUPAGI[[#This Row],[NAMA REKENING]]="","",TRANSHARI7_SPVOUPAGI[[#This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IFERROR(VLOOKUP(TRANSHARI7_SPVOUMALAM[[#This Row],[PRODUK]],DATA_SPVOU[],9,FALSE),"")</f>
        <v/>
      </c>
      <c r="T169" s="374"/>
      <c r="U169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69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69" s="12"/>
      <c r="X169" s="386" t="str">
        <f>IFERROR(IF(TRANSHARI7_SPVOUMALAM[[#This Row],[NAMA REKENING]]="","",TRANSHARI7_SPVOUMALAM[[#This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IFERROR(VLOOKUP(TRANSHARI7_SPVOUPAGI[[#This Row],[PRODUK]],DATA_SPVOU[],9,FALSE),"")</f>
        <v/>
      </c>
      <c r="E170" s="374"/>
      <c r="F170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0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0" s="12"/>
      <c r="I170" s="384" t="str">
        <f>IFERROR(IF(TRANSHARI7_SPVOUPAGI[[#This Row],[NAMA REKENING]]="","",TRANSHARI7_SPVOUPAGI[[#This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IFERROR(VLOOKUP(TRANSHARI7_SPVOUMALAM[[#This Row],[PRODUK]],DATA_SPVOU[],9,FALSE),"")</f>
        <v/>
      </c>
      <c r="T170" s="374"/>
      <c r="U170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0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0" s="12"/>
      <c r="X170" s="384" t="str">
        <f>IFERROR(IF(TRANSHARI7_SPVOUMALAM[[#This Row],[NAMA REKENING]]="","",TRANSHARI7_SPVOUMALAM[[#This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IFERROR(VLOOKUP(TRANSHARI7_SPVOUPAGI[[#This Row],[PRODUK]],DATA_SPVOU[],9,FALSE),"")</f>
        <v/>
      </c>
      <c r="E171" s="374"/>
      <c r="F171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1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1" s="12"/>
      <c r="I171" s="386" t="str">
        <f>IFERROR(IF(TRANSHARI7_SPVOUPAGI[[#This Row],[NAMA REKENING]]="","",TRANSHARI7_SPVOUPAGI[[#This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IFERROR(VLOOKUP(TRANSHARI7_SPVOUMALAM[[#This Row],[PRODUK]],DATA_SPVOU[],9,FALSE),"")</f>
        <v/>
      </c>
      <c r="T171" s="374"/>
      <c r="U171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1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1" s="12"/>
      <c r="X171" s="386" t="str">
        <f>IFERROR(IF(TRANSHARI7_SPVOUMALAM[[#This Row],[NAMA REKENING]]="","",TRANSHARI7_SPVOUMALAM[[#This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IFERROR(VLOOKUP(TRANSHARI7_SPVOUPAGI[[#This Row],[PRODUK]],DATA_SPVOU[],9,FALSE),"")</f>
        <v/>
      </c>
      <c r="E172" s="374"/>
      <c r="F172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2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2" s="12"/>
      <c r="I172" s="384" t="str">
        <f>IFERROR(IF(TRANSHARI7_SPVOUPAGI[[#This Row],[NAMA REKENING]]="","",TRANSHARI7_SPVOUPAGI[[#This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IFERROR(VLOOKUP(TRANSHARI7_SPVOUMALAM[[#This Row],[PRODUK]],DATA_SPVOU[],9,FALSE),"")</f>
        <v/>
      </c>
      <c r="T172" s="374"/>
      <c r="U172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2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2" s="12"/>
      <c r="X172" s="384" t="str">
        <f>IFERROR(IF(TRANSHARI7_SPVOUMALAM[[#This Row],[NAMA REKENING]]="","",TRANSHARI7_SPVOUMALAM[[#This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IFERROR(VLOOKUP(TRANSHARI7_SPVOUPAGI[[#This Row],[PRODUK]],DATA_SPVOU[],9,FALSE),"")</f>
        <v/>
      </c>
      <c r="E173" s="374"/>
      <c r="F173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3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3" s="12"/>
      <c r="I173" s="386" t="str">
        <f>IFERROR(IF(TRANSHARI7_SPVOUPAGI[[#This Row],[NAMA REKENING]]="","",TRANSHARI7_SPVOUPAGI[[#This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IFERROR(VLOOKUP(TRANSHARI7_SPVOUMALAM[[#This Row],[PRODUK]],DATA_SPVOU[],9,FALSE),"")</f>
        <v/>
      </c>
      <c r="T173" s="374"/>
      <c r="U173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3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3" s="12"/>
      <c r="X173" s="386" t="str">
        <f>IFERROR(IF(TRANSHARI7_SPVOUMALAM[[#This Row],[NAMA REKENING]]="","",TRANSHARI7_SPVOUMALAM[[#This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IFERROR(VLOOKUP(TRANSHARI7_SPVOUPAGI[[#This Row],[PRODUK]],DATA_SPVOU[],9,FALSE),"")</f>
        <v/>
      </c>
      <c r="E174" s="374"/>
      <c r="F174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4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4" s="12"/>
      <c r="I174" s="384" t="str">
        <f>IFERROR(IF(TRANSHARI7_SPVOUPAGI[[#This Row],[NAMA REKENING]]="","",TRANSHARI7_SPVOUPAGI[[#This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IFERROR(VLOOKUP(TRANSHARI7_SPVOUMALAM[[#This Row],[PRODUK]],DATA_SPVOU[],9,FALSE),"")</f>
        <v/>
      </c>
      <c r="T174" s="374"/>
      <c r="U174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4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4" s="12"/>
      <c r="X174" s="384" t="str">
        <f>IFERROR(IF(TRANSHARI7_SPVOUMALAM[[#This Row],[NAMA REKENING]]="","",TRANSHARI7_SPVOUMALAM[[#This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IFERROR(VLOOKUP(TRANSHARI7_SPVOUPAGI[[#This Row],[PRODUK]],DATA_SPVOU[],9,FALSE),"")</f>
        <v/>
      </c>
      <c r="E175" s="374"/>
      <c r="F175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5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5" s="12"/>
      <c r="I175" s="386" t="str">
        <f>IFERROR(IF(TRANSHARI7_SPVOUPAGI[[#This Row],[NAMA REKENING]]="","",TRANSHARI7_SPVOUPAGI[[#This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IFERROR(VLOOKUP(TRANSHARI7_SPVOUMALAM[[#This Row],[PRODUK]],DATA_SPVOU[],9,FALSE),"")</f>
        <v/>
      </c>
      <c r="T175" s="374"/>
      <c r="U175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5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5" s="12"/>
      <c r="X175" s="386" t="str">
        <f>IFERROR(IF(TRANSHARI7_SPVOUMALAM[[#This Row],[NAMA REKENING]]="","",TRANSHARI7_SPVOUMALAM[[#This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IFERROR(VLOOKUP(TRANSHARI7_SPVOUPAGI[[#This Row],[PRODUK]],DATA_SPVOU[],9,FALSE),"")</f>
        <v/>
      </c>
      <c r="E176" s="374"/>
      <c r="F176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6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6" s="12"/>
      <c r="I176" s="384" t="str">
        <f>IFERROR(IF(TRANSHARI7_SPVOUPAGI[[#This Row],[NAMA REKENING]]="","",TRANSHARI7_SPVOUPAGI[[#This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IFERROR(VLOOKUP(TRANSHARI7_SPVOUMALAM[[#This Row],[PRODUK]],DATA_SPVOU[],9,FALSE),"")</f>
        <v/>
      </c>
      <c r="T176" s="374"/>
      <c r="U176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6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6" s="12"/>
      <c r="X176" s="384" t="str">
        <f>IFERROR(IF(TRANSHARI7_SPVOUMALAM[[#This Row],[NAMA REKENING]]="","",TRANSHARI7_SPVOUMALAM[[#This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IFERROR(VLOOKUP(TRANSHARI7_SPVOUPAGI[[#This Row],[PRODUK]],DATA_SPVOU[],9,FALSE),"")</f>
        <v/>
      </c>
      <c r="E177" s="374"/>
      <c r="F177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7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7" s="12"/>
      <c r="I177" s="386" t="str">
        <f>IFERROR(IF(TRANSHARI7_SPVOUPAGI[[#This Row],[NAMA REKENING]]="","",TRANSHARI7_SPVOUPAGI[[#This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IFERROR(VLOOKUP(TRANSHARI7_SPVOUMALAM[[#This Row],[PRODUK]],DATA_SPVOU[],9,FALSE),"")</f>
        <v/>
      </c>
      <c r="T177" s="374"/>
      <c r="U177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7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7" s="12"/>
      <c r="X177" s="386" t="str">
        <f>IFERROR(IF(TRANSHARI7_SPVOUMALAM[[#This Row],[NAMA REKENING]]="","",TRANSHARI7_SPVOUMALAM[[#This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IFERROR(VLOOKUP(TRANSHARI7_SPVOUPAGI[[#This Row],[PRODUK]],DATA_SPVOU[],9,FALSE),"")</f>
        <v/>
      </c>
      <c r="E178" s="374"/>
      <c r="F178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8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8" s="12"/>
      <c r="I178" s="384" t="str">
        <f>IFERROR(IF(TRANSHARI7_SPVOUPAGI[[#This Row],[NAMA REKENING]]="","",TRANSHARI7_SPVOUPAGI[[#This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IFERROR(VLOOKUP(TRANSHARI7_SPVOUMALAM[[#This Row],[PRODUK]],DATA_SPVOU[],9,FALSE),"")</f>
        <v/>
      </c>
      <c r="T178" s="374"/>
      <c r="U178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8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8" s="12"/>
      <c r="X178" s="384" t="str">
        <f>IFERROR(IF(TRANSHARI7_SPVOUMALAM[[#This Row],[NAMA REKENING]]="","",TRANSHARI7_SPVOUMALAM[[#This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IFERROR(VLOOKUP(TRANSHARI7_SPVOUPAGI[[#This Row],[PRODUK]],DATA_SPVOU[],9,FALSE),"")</f>
        <v/>
      </c>
      <c r="E179" s="374"/>
      <c r="F179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79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79" s="12"/>
      <c r="I179" s="386" t="str">
        <f>IFERROR(IF(TRANSHARI7_SPVOUPAGI[[#This Row],[NAMA REKENING]]="","",TRANSHARI7_SPVOUPAGI[[#This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IFERROR(VLOOKUP(TRANSHARI7_SPVOUMALAM[[#This Row],[PRODUK]],DATA_SPVOU[],9,FALSE),"")</f>
        <v/>
      </c>
      <c r="T179" s="374"/>
      <c r="U179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79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79" s="12"/>
      <c r="X179" s="386" t="str">
        <f>IFERROR(IF(TRANSHARI7_SPVOUMALAM[[#This Row],[NAMA REKENING]]="","",TRANSHARI7_SPVOUMALAM[[#This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IFERROR(VLOOKUP(TRANSHARI7_SPVOUPAGI[[#This Row],[PRODUK]],DATA_SPVOU[],9,FALSE),"")</f>
        <v/>
      </c>
      <c r="E180" s="374"/>
      <c r="F180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0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0" s="12"/>
      <c r="I180" s="384" t="str">
        <f>IFERROR(IF(TRANSHARI7_SPVOUPAGI[[#This Row],[NAMA REKENING]]="","",TRANSHARI7_SPVOUPAGI[[#This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IFERROR(VLOOKUP(TRANSHARI7_SPVOUMALAM[[#This Row],[PRODUK]],DATA_SPVOU[],9,FALSE),"")</f>
        <v/>
      </c>
      <c r="T180" s="374"/>
      <c r="U180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0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0" s="12"/>
      <c r="X180" s="384" t="str">
        <f>IFERROR(IF(TRANSHARI7_SPVOUMALAM[[#This Row],[NAMA REKENING]]="","",TRANSHARI7_SPVOUMALAM[[#This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IFERROR(VLOOKUP(TRANSHARI7_SPVOUPAGI[[#This Row],[PRODUK]],DATA_SPVOU[],9,FALSE),"")</f>
        <v/>
      </c>
      <c r="E181" s="374"/>
      <c r="F181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1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1" s="12"/>
      <c r="I181" s="386" t="str">
        <f>IFERROR(IF(TRANSHARI7_SPVOUPAGI[[#This Row],[NAMA REKENING]]="","",TRANSHARI7_SPVOUPAGI[[#This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IFERROR(VLOOKUP(TRANSHARI7_SPVOUMALAM[[#This Row],[PRODUK]],DATA_SPVOU[],9,FALSE),"")</f>
        <v/>
      </c>
      <c r="T181" s="374"/>
      <c r="U181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1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1" s="12"/>
      <c r="X181" s="386" t="str">
        <f>IFERROR(IF(TRANSHARI7_SPVOUMALAM[[#This Row],[NAMA REKENING]]="","",TRANSHARI7_SPVOUMALAM[[#This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IFERROR(VLOOKUP(TRANSHARI7_SPVOUPAGI[[#This Row],[PRODUK]],DATA_SPVOU[],9,FALSE),"")</f>
        <v/>
      </c>
      <c r="E182" s="374"/>
      <c r="F182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2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2" s="12"/>
      <c r="I182" s="384" t="str">
        <f>IFERROR(IF(TRANSHARI7_SPVOUPAGI[[#This Row],[NAMA REKENING]]="","",TRANSHARI7_SPVOUPAGI[[#This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IFERROR(VLOOKUP(TRANSHARI7_SPVOUMALAM[[#This Row],[PRODUK]],DATA_SPVOU[],9,FALSE),"")</f>
        <v/>
      </c>
      <c r="T182" s="374"/>
      <c r="U182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2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2" s="12"/>
      <c r="X182" s="384" t="str">
        <f>IFERROR(IF(TRANSHARI7_SPVOUMALAM[[#This Row],[NAMA REKENING]]="","",TRANSHARI7_SPVOUMALAM[[#This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IFERROR(VLOOKUP(TRANSHARI7_SPVOUPAGI[[#This Row],[PRODUK]],DATA_SPVOU[],9,FALSE),"")</f>
        <v/>
      </c>
      <c r="E183" s="374"/>
      <c r="F183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3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3" s="12"/>
      <c r="I183" s="386" t="str">
        <f>IFERROR(IF(TRANSHARI7_SPVOUPAGI[[#This Row],[NAMA REKENING]]="","",TRANSHARI7_SPVOUPAGI[[#This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IFERROR(VLOOKUP(TRANSHARI7_SPVOUMALAM[[#This Row],[PRODUK]],DATA_SPVOU[],9,FALSE),"")</f>
        <v/>
      </c>
      <c r="T183" s="374"/>
      <c r="U183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3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3" s="12"/>
      <c r="X183" s="386" t="str">
        <f>IFERROR(IF(TRANSHARI7_SPVOUMALAM[[#This Row],[NAMA REKENING]]="","",TRANSHARI7_SPVOUMALAM[[#This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IFERROR(VLOOKUP(TRANSHARI7_SPVOUPAGI[[#This Row],[PRODUK]],DATA_SPVOU[],9,FALSE),"")</f>
        <v/>
      </c>
      <c r="E184" s="374"/>
      <c r="F184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4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4" s="12"/>
      <c r="I184" s="384" t="str">
        <f>IFERROR(IF(TRANSHARI7_SPVOUPAGI[[#This Row],[NAMA REKENING]]="","",TRANSHARI7_SPVOUPAGI[[#This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IFERROR(VLOOKUP(TRANSHARI7_SPVOUMALAM[[#This Row],[PRODUK]],DATA_SPVOU[],9,FALSE),"")</f>
        <v/>
      </c>
      <c r="T184" s="374"/>
      <c r="U184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4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4" s="12"/>
      <c r="X184" s="384" t="str">
        <f>IFERROR(IF(TRANSHARI7_SPVOUMALAM[[#This Row],[NAMA REKENING]]="","",TRANSHARI7_SPVOUMALAM[[#This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IFERROR(VLOOKUP(TRANSHARI7_SPVOUPAGI[[#This Row],[PRODUK]],DATA_SPVOU[],9,FALSE),"")</f>
        <v/>
      </c>
      <c r="E185" s="374"/>
      <c r="F185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5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5" s="12"/>
      <c r="I185" s="386" t="str">
        <f>IFERROR(IF(TRANSHARI7_SPVOUPAGI[[#This Row],[NAMA REKENING]]="","",TRANSHARI7_SPVOUPAGI[[#This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IFERROR(VLOOKUP(TRANSHARI7_SPVOUMALAM[[#This Row],[PRODUK]],DATA_SPVOU[],9,FALSE),"")</f>
        <v/>
      </c>
      <c r="T185" s="374"/>
      <c r="U185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5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5" s="12"/>
      <c r="X185" s="386" t="str">
        <f>IFERROR(IF(TRANSHARI7_SPVOUMALAM[[#This Row],[NAMA REKENING]]="","",TRANSHARI7_SPVOUMALAM[[#This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IFERROR(VLOOKUP(TRANSHARI7_SPVOUPAGI[[#This Row],[PRODUK]],DATA_SPVOU[],9,FALSE),"")</f>
        <v/>
      </c>
      <c r="E186" s="374"/>
      <c r="F186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6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6" s="12"/>
      <c r="I186" s="384" t="str">
        <f>IFERROR(IF(TRANSHARI7_SPVOUPAGI[[#This Row],[NAMA REKENING]]="","",TRANSHARI7_SPVOUPAGI[[#This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IFERROR(VLOOKUP(TRANSHARI7_SPVOUMALAM[[#This Row],[PRODUK]],DATA_SPVOU[],9,FALSE),"")</f>
        <v/>
      </c>
      <c r="T186" s="374"/>
      <c r="U186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6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6" s="12"/>
      <c r="X186" s="384" t="str">
        <f>IFERROR(IF(TRANSHARI7_SPVOUMALAM[[#This Row],[NAMA REKENING]]="","",TRANSHARI7_SPVOUMALAM[[#This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IFERROR(VLOOKUP(TRANSHARI7_SPVOUPAGI[[#This Row],[PRODUK]],DATA_SPVOU[],9,FALSE),"")</f>
        <v/>
      </c>
      <c r="E187" s="374"/>
      <c r="F187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7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7" s="12"/>
      <c r="I187" s="386" t="str">
        <f>IFERROR(IF(TRANSHARI7_SPVOUPAGI[[#This Row],[NAMA REKENING]]="","",TRANSHARI7_SPVOUPAGI[[#This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IFERROR(VLOOKUP(TRANSHARI7_SPVOUMALAM[[#This Row],[PRODUK]],DATA_SPVOU[],9,FALSE),"")</f>
        <v/>
      </c>
      <c r="T187" s="374"/>
      <c r="U187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7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7" s="12"/>
      <c r="X187" s="386" t="str">
        <f>IFERROR(IF(TRANSHARI7_SPVOUMALAM[[#This Row],[NAMA REKENING]]="","",TRANSHARI7_SPVOUMALAM[[#This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IFERROR(VLOOKUP(TRANSHARI7_SPVOUPAGI[[#This Row],[PRODUK]],DATA_SPVOU[],9,FALSE),"")</f>
        <v/>
      </c>
      <c r="E188" s="374"/>
      <c r="F188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8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8" s="12"/>
      <c r="I188" s="384" t="str">
        <f>IFERROR(IF(TRANSHARI7_SPVOUPAGI[[#This Row],[NAMA REKENING]]="","",TRANSHARI7_SPVOUPAGI[[#This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IFERROR(VLOOKUP(TRANSHARI7_SPVOUMALAM[[#This Row],[PRODUK]],DATA_SPVOU[],9,FALSE),"")</f>
        <v/>
      </c>
      <c r="T188" s="374"/>
      <c r="U188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8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8" s="12"/>
      <c r="X188" s="384" t="str">
        <f>IFERROR(IF(TRANSHARI7_SPVOUMALAM[[#This Row],[NAMA REKENING]]="","",TRANSHARI7_SPVOUMALAM[[#This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IFERROR(VLOOKUP(TRANSHARI7_SPVOUPAGI[[#This Row],[PRODUK]],DATA_SPVOU[],9,FALSE),"")</f>
        <v/>
      </c>
      <c r="E189" s="374"/>
      <c r="F189" s="373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89" s="373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89" s="12"/>
      <c r="I189" s="386" t="str">
        <f>IFERROR(IF(TRANSHARI7_SPVOUPAGI[[#This Row],[NAMA REKENING]]="","",TRANSHARI7_SPVOUPAGI[[#This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IFERROR(VLOOKUP(TRANSHARI7_SPVOUMALAM[[#This Row],[PRODUK]],DATA_SPVOU[],9,FALSE),"")</f>
        <v/>
      </c>
      <c r="T189" s="374"/>
      <c r="U189" s="373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89" s="373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89" s="12"/>
      <c r="X189" s="386" t="str">
        <f>IFERROR(IF(TRANSHARI7_SPVOUMALAM[[#This Row],[NAMA REKENING]]="","",TRANSHARI7_SPVOUMALAM[[#This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IFERROR(VLOOKUP(TRANSHARI7_SPVOUPAGI[[#This Row],[PRODUK]],DATA_SPVOU[],9,FALSE),"")</f>
        <v/>
      </c>
      <c r="E190" s="374"/>
      <c r="F190" s="369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90" s="369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90" s="12"/>
      <c r="I190" s="384" t="str">
        <f>IFERROR(IF(TRANSHARI7_SPVOUPAGI[[#This Row],[NAMA REKENING]]="","",TRANSHARI7_SPVOUPAGI[[#This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IFERROR(VLOOKUP(TRANSHARI7_SPVOUMALAM[[#This Row],[PRODUK]],DATA_SPVOU[],9,FALSE),"")</f>
        <v/>
      </c>
      <c r="T190" s="374"/>
      <c r="U190" s="369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90" s="369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90" s="12"/>
      <c r="X190" s="384" t="str">
        <f>IFERROR(IF(TRANSHARI7_SPVOUMALAM[[#This Row],[NAMA REKENING]]="","",TRANSHARI7_SPVOUMALAM[[#This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IFERROR(VLOOKUP(TRANSHARI7_SPVOUPAGI[[#This Row],[PRODUK]],DATA_SPVOU[],9,FALSE),"")</f>
        <v/>
      </c>
      <c r="E191" s="376"/>
      <c r="F191" s="394" t="str">
        <f>IFERROR(IF(TRANSHARI7_SPVOUPAGI[[#This Row],[NAMA PENGHUTANG]]="",((TRANSHARI7_SPVOUPAGI[[#This Row],[HARGA]]*TRANSHARI7_SPVOUPAGI[[#This Row],[QUANTITY]])+TRANSHARI7_SPVOUPAGI[[#This Row],[PRICE TOLERANCE]]),""),"")</f>
        <v/>
      </c>
      <c r="G191" s="394" t="str">
        <f>IFERROR(IF(TRANSHARI7_SPVOUPAGI[[#This Row],[NAMA PENGHUTANG]]="","",((TRANSHARI7_SPVOUPAGI[[#This Row],[HARGA]]*TRANSHARI7_SPVOUPAGI[[#This Row],[QUANTITY]])+TRANSHARI7_SPVOUPAGI[[#This Row],[PRICE TOLERANCE]])),"")</f>
        <v/>
      </c>
      <c r="H191" s="377"/>
      <c r="I191" s="399" t="str">
        <f>IFERROR(IF(TRANSHARI7_SPVOUPAGI[[#This Row],[NAMA REKENING]]="","",TRANSHARI7_SPVOUPAGI[[#This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IFERROR(VLOOKUP(TRANSHARI7_SPVOUMALAM[[#This Row],[PRODUK]],DATA_SPVOU[],9,FALSE),"")</f>
        <v/>
      </c>
      <c r="T191" s="376"/>
      <c r="U191" s="394" t="str">
        <f>IFERROR(IF(TRANSHARI7_SPVOUMALAM[[#This Row],[NAMA PENGHUTANG]]="",((TRANSHARI7_SPVOUMALAM[[#This Row],[HARGA]]*TRANSHARI7_SPVOUMALAM[[#This Row],[QUANTITY]])+TRANSHARI7_SPVOUMALAM[[#This Row],[PRICE TOLERANCE]]),""),"")</f>
        <v/>
      </c>
      <c r="V191" s="394" t="str">
        <f>IFERROR(IF(TRANSHARI7_SPVOUMALAM[[#This Row],[NAMA PENGHUTANG]]="","",((TRANSHARI7_SPVOUMALAM[[#This Row],[HARGA]]*TRANSHARI7_SPVOUMALAM[[#This Row],[QUANTITY]])+TRANSHARI7_SPVOUMALAM[[#This Row],[PRICE TOLERANCE]])),"")</f>
        <v/>
      </c>
      <c r="W191" s="377"/>
      <c r="X191" s="399" t="str">
        <f>IFERROR(IF(TRANSHARI7_SPVOUMALAM[[#This Row],[NAMA REKENING]]="","",TRANSHARI7_SPVOUMALAM[[#This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SUM(TRANSHARI7_SPVOUPAGI[QUANTITY])</f>
        <v>0</v>
      </c>
      <c r="E192" s="398">
        <f>SUM(TRANSHARI7_SPVOUPAGI[PRICE TOLERANCE])</f>
        <v>0</v>
      </c>
      <c r="F192" s="396">
        <f>SUM(TRANSHARI7_SPVOUPAGI[DEBIT])</f>
        <v>0</v>
      </c>
      <c r="G192" s="396">
        <f>SUM(TRANSHARI7_SPVOUPAGI[KREDIT])</f>
        <v>0</v>
      </c>
      <c r="I192" s="396">
        <f>SUM(TRANSHARI7_SPVOUPAGI[NOMINAL TRANSFER])</f>
        <v>0</v>
      </c>
      <c r="O192" s="324"/>
      <c r="P192" s="303" t="s">
        <v>78</v>
      </c>
      <c r="Q192" s="316"/>
      <c r="R192" s="395">
        <f>SUM(TRANSHARI7_SPVOUMALAM[QUANTITY])</f>
        <v>0</v>
      </c>
      <c r="T192" s="398">
        <f>SUM(TRANSHARI7_SPVOUMALAM[PRICE TOLERANCE])</f>
        <v>0</v>
      </c>
      <c r="U192" s="396">
        <f>SUM(TRANSHARI7_SPVOUMALAM[DEBIT])</f>
        <v>0</v>
      </c>
      <c r="V192" s="396">
        <f>SUM(TRANSHARI7_SPVOUMALAM[KREDIT])</f>
        <v>0</v>
      </c>
      <c r="X192" s="396">
        <f>SUM(TRANSHARI7_SPVOUMALAM[NOMINAL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tr">
        <f>A25</f>
        <v>HARI 7 : PAGI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tr">
        <f>P25</f>
        <v>HARI 7 : MALAM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IFERROR(VLOOKUP(TRANSHARI7_SOFTDRINKPAGI[[#This Row],[PRODUK]],DATA_SOFTDRINK[],9,FALSE),"")</f>
        <v/>
      </c>
      <c r="E199" s="370"/>
      <c r="F199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199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199" s="371"/>
      <c r="I199" s="384" t="str">
        <f>IFERROR(IF(TRANSHARI7_SOFTDRINKPAGI[[#This Row],[NAMA REKENING]]="","",TRANSHARI7_SOFTDRINKPAGI[[#This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IFERROR(VLOOKUP(TRANSHARI7_SOFTDRINKMALAM[[#This Row],[PRODUK]],DATA_SOFTDRINK[],9,FALSE),"")</f>
        <v/>
      </c>
      <c r="T199" s="370"/>
      <c r="U199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199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199" s="371"/>
      <c r="X199" s="384" t="str">
        <f>IFERROR(IF(TRANSHARI7_SOFTDRINKMALAM[[#This Row],[NAMA REKENING]]="","",TRANSHARI7_SOFTDRINKMALAM[[#This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IFERROR(VLOOKUP(TRANSHARI7_SOFTDRINKPAGI[[#This Row],[PRODUK]],DATA_SOFTDRINK[],9,FALSE),"")</f>
        <v/>
      </c>
      <c r="E200" s="374"/>
      <c r="F200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0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0" s="12"/>
      <c r="I200" s="386" t="str">
        <f>IFERROR(IF(TRANSHARI7_SOFTDRINKPAGI[[#This Row],[NAMA REKENING]]="","",TRANSHARI7_SOFTDRINKPAGI[[#This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IFERROR(VLOOKUP(TRANSHARI7_SOFTDRINKMALAM[[#This Row],[PRODUK]],DATA_SOFTDRINK[],9,FALSE),"")</f>
        <v/>
      </c>
      <c r="T200" s="374"/>
      <c r="U200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0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0" s="12"/>
      <c r="X200" s="386" t="str">
        <f>IFERROR(IF(TRANSHARI7_SOFTDRINKMALAM[[#This Row],[NAMA REKENING]]="","",TRANSHARI7_SOFTDRINKMALAM[[#This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IFERROR(VLOOKUP(TRANSHARI7_SOFTDRINKPAGI[[#This Row],[PRODUK]],DATA_SOFTDRINK[],9,FALSE),"")</f>
        <v/>
      </c>
      <c r="E201" s="374"/>
      <c r="F201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1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1" s="12"/>
      <c r="I201" s="384" t="str">
        <f>IFERROR(IF(TRANSHARI7_SOFTDRINKPAGI[[#This Row],[NAMA REKENING]]="","",TRANSHARI7_SOFTDRINKPAGI[[#This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IFERROR(VLOOKUP(TRANSHARI7_SOFTDRINKMALAM[[#This Row],[PRODUK]],DATA_SOFTDRINK[],9,FALSE),"")</f>
        <v/>
      </c>
      <c r="T201" s="374"/>
      <c r="U201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1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1" s="12"/>
      <c r="X201" s="384" t="str">
        <f>IFERROR(IF(TRANSHARI7_SOFTDRINKMALAM[[#This Row],[NAMA REKENING]]="","",TRANSHARI7_SOFTDRINKMALAM[[#This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IFERROR(VLOOKUP(TRANSHARI7_SOFTDRINKPAGI[[#This Row],[PRODUK]],DATA_SOFTDRINK[],9,FALSE),"")</f>
        <v/>
      </c>
      <c r="E202" s="374"/>
      <c r="F202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2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2" s="12"/>
      <c r="I202" s="386" t="str">
        <f>IFERROR(IF(TRANSHARI7_SOFTDRINKPAGI[[#This Row],[NAMA REKENING]]="","",TRANSHARI7_SOFTDRINKPAGI[[#This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IFERROR(VLOOKUP(TRANSHARI7_SOFTDRINKMALAM[[#This Row],[PRODUK]],DATA_SOFTDRINK[],9,FALSE),"")</f>
        <v/>
      </c>
      <c r="T202" s="374"/>
      <c r="U202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2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2" s="12"/>
      <c r="X202" s="386" t="str">
        <f>IFERROR(IF(TRANSHARI7_SOFTDRINKMALAM[[#This Row],[NAMA REKENING]]="","",TRANSHARI7_SOFTDRINKMALAM[[#This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IFERROR(VLOOKUP(TRANSHARI7_SOFTDRINKPAGI[[#This Row],[PRODUK]],DATA_SOFTDRINK[],9,FALSE),"")</f>
        <v/>
      </c>
      <c r="E203" s="374"/>
      <c r="F203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3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3" s="12"/>
      <c r="I203" s="384" t="str">
        <f>IFERROR(IF(TRANSHARI7_SOFTDRINKPAGI[[#This Row],[NAMA REKENING]]="","",TRANSHARI7_SOFTDRINKPAGI[[#This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IFERROR(VLOOKUP(TRANSHARI7_SOFTDRINKMALAM[[#This Row],[PRODUK]],DATA_SOFTDRINK[],9,FALSE),"")</f>
        <v/>
      </c>
      <c r="T203" s="374"/>
      <c r="U203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3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3" s="12"/>
      <c r="X203" s="384" t="str">
        <f>IFERROR(IF(TRANSHARI7_SOFTDRINKMALAM[[#This Row],[NAMA REKENING]]="","",TRANSHARI7_SOFTDRINKMALAM[[#This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IFERROR(VLOOKUP(TRANSHARI7_SOFTDRINKPAGI[[#This Row],[PRODUK]],DATA_SOFTDRINK[],9,FALSE),"")</f>
        <v/>
      </c>
      <c r="E204" s="374"/>
      <c r="F204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4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4" s="12"/>
      <c r="I204" s="386" t="str">
        <f>IFERROR(IF(TRANSHARI7_SOFTDRINKPAGI[[#This Row],[NAMA REKENING]]="","",TRANSHARI7_SOFTDRINKPAGI[[#This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IFERROR(VLOOKUP(TRANSHARI7_SOFTDRINKMALAM[[#This Row],[PRODUK]],DATA_SOFTDRINK[],9,FALSE),"")</f>
        <v/>
      </c>
      <c r="T204" s="374"/>
      <c r="U204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4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4" s="12"/>
      <c r="X204" s="386" t="str">
        <f>IFERROR(IF(TRANSHARI7_SOFTDRINKMALAM[[#This Row],[NAMA REKENING]]="","",TRANSHARI7_SOFTDRINKMALAM[[#This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IFERROR(VLOOKUP(TRANSHARI7_SOFTDRINKPAGI[[#This Row],[PRODUK]],DATA_SOFTDRINK[],9,FALSE),"")</f>
        <v/>
      </c>
      <c r="E205" s="374"/>
      <c r="F205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5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5" s="12"/>
      <c r="I205" s="384" t="str">
        <f>IFERROR(IF(TRANSHARI7_SOFTDRINKPAGI[[#This Row],[NAMA REKENING]]="","",TRANSHARI7_SOFTDRINKPAGI[[#This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IFERROR(VLOOKUP(TRANSHARI7_SOFTDRINKMALAM[[#This Row],[PRODUK]],DATA_SOFTDRINK[],9,FALSE),"")</f>
        <v/>
      </c>
      <c r="T205" s="374"/>
      <c r="U205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5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5" s="12"/>
      <c r="X205" s="384" t="str">
        <f>IFERROR(IF(TRANSHARI7_SOFTDRINKMALAM[[#This Row],[NAMA REKENING]]="","",TRANSHARI7_SOFTDRINKMALAM[[#This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IFERROR(VLOOKUP(TRANSHARI7_SOFTDRINKPAGI[[#This Row],[PRODUK]],DATA_SOFTDRINK[],9,FALSE),"")</f>
        <v/>
      </c>
      <c r="E206" s="374"/>
      <c r="F206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6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6" s="12"/>
      <c r="I206" s="386" t="str">
        <f>IFERROR(IF(TRANSHARI7_SOFTDRINKPAGI[[#This Row],[NAMA REKENING]]="","",TRANSHARI7_SOFTDRINKPAGI[[#This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IFERROR(VLOOKUP(TRANSHARI7_SOFTDRINKMALAM[[#This Row],[PRODUK]],DATA_SOFTDRINK[],9,FALSE),"")</f>
        <v/>
      </c>
      <c r="T206" s="374"/>
      <c r="U206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6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6" s="12"/>
      <c r="X206" s="386" t="str">
        <f>IFERROR(IF(TRANSHARI7_SOFTDRINKMALAM[[#This Row],[NAMA REKENING]]="","",TRANSHARI7_SOFTDRINKMALAM[[#This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IFERROR(VLOOKUP(TRANSHARI7_SOFTDRINKPAGI[[#This Row],[PRODUK]],DATA_SOFTDRINK[],9,FALSE),"")</f>
        <v/>
      </c>
      <c r="E207" s="374"/>
      <c r="F207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7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7" s="12"/>
      <c r="I207" s="384" t="str">
        <f>IFERROR(IF(TRANSHARI7_SOFTDRINKPAGI[[#This Row],[NAMA REKENING]]="","",TRANSHARI7_SOFTDRINKPAGI[[#This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IFERROR(VLOOKUP(TRANSHARI7_SOFTDRINKMALAM[[#This Row],[PRODUK]],DATA_SOFTDRINK[],9,FALSE),"")</f>
        <v/>
      </c>
      <c r="T207" s="374"/>
      <c r="U207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7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7" s="12"/>
      <c r="X207" s="384" t="str">
        <f>IFERROR(IF(TRANSHARI7_SOFTDRINKMALAM[[#This Row],[NAMA REKENING]]="","",TRANSHARI7_SOFTDRINKMALAM[[#This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IFERROR(VLOOKUP(TRANSHARI7_SOFTDRINKPAGI[[#This Row],[PRODUK]],DATA_SOFTDRINK[],9,FALSE),"")</f>
        <v/>
      </c>
      <c r="E208" s="374"/>
      <c r="F208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8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8" s="12"/>
      <c r="I208" s="386" t="str">
        <f>IFERROR(IF(TRANSHARI7_SOFTDRINKPAGI[[#This Row],[NAMA REKENING]]="","",TRANSHARI7_SOFTDRINKPAGI[[#This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IFERROR(VLOOKUP(TRANSHARI7_SOFTDRINKMALAM[[#This Row],[PRODUK]],DATA_SOFTDRINK[],9,FALSE),"")</f>
        <v/>
      </c>
      <c r="T208" s="374"/>
      <c r="U208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8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8" s="12"/>
      <c r="X208" s="386" t="str">
        <f>IFERROR(IF(TRANSHARI7_SOFTDRINKMALAM[[#This Row],[NAMA REKENING]]="","",TRANSHARI7_SOFTDRINKMALAM[[#This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IFERROR(VLOOKUP(TRANSHARI7_SOFTDRINKPAGI[[#This Row],[PRODUK]],DATA_SOFTDRINK[],9,FALSE),"")</f>
        <v/>
      </c>
      <c r="E209" s="374"/>
      <c r="F209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09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09" s="12"/>
      <c r="I209" s="384" t="str">
        <f>IFERROR(IF(TRANSHARI7_SOFTDRINKPAGI[[#This Row],[NAMA REKENING]]="","",TRANSHARI7_SOFTDRINKPAGI[[#This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IFERROR(VLOOKUP(TRANSHARI7_SOFTDRINKMALAM[[#This Row],[PRODUK]],DATA_SOFTDRINK[],9,FALSE),"")</f>
        <v/>
      </c>
      <c r="T209" s="374"/>
      <c r="U209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09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09" s="12"/>
      <c r="X209" s="384" t="str">
        <f>IFERROR(IF(TRANSHARI7_SOFTDRINKMALAM[[#This Row],[NAMA REKENING]]="","",TRANSHARI7_SOFTDRINKMALAM[[#This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IFERROR(VLOOKUP(TRANSHARI7_SOFTDRINKPAGI[[#This Row],[PRODUK]],DATA_SOFTDRINK[],9,FALSE),"")</f>
        <v/>
      </c>
      <c r="E210" s="374"/>
      <c r="F210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0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0" s="12"/>
      <c r="I210" s="386" t="str">
        <f>IFERROR(IF(TRANSHARI7_SOFTDRINKPAGI[[#This Row],[NAMA REKENING]]="","",TRANSHARI7_SOFTDRINKPAGI[[#This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IFERROR(VLOOKUP(TRANSHARI7_SOFTDRINKMALAM[[#This Row],[PRODUK]],DATA_SOFTDRINK[],9,FALSE),"")</f>
        <v/>
      </c>
      <c r="T210" s="374"/>
      <c r="U210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0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0" s="12"/>
      <c r="X210" s="386" t="str">
        <f>IFERROR(IF(TRANSHARI7_SOFTDRINKMALAM[[#This Row],[NAMA REKENING]]="","",TRANSHARI7_SOFTDRINKMALAM[[#This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IFERROR(VLOOKUP(TRANSHARI7_SOFTDRINKPAGI[[#This Row],[PRODUK]],DATA_SOFTDRINK[],9,FALSE),"")</f>
        <v/>
      </c>
      <c r="E211" s="374"/>
      <c r="F211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1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1" s="12"/>
      <c r="I211" s="384" t="str">
        <f>IFERROR(IF(TRANSHARI7_SOFTDRINKPAGI[[#This Row],[NAMA REKENING]]="","",TRANSHARI7_SOFTDRINKPAGI[[#This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IFERROR(VLOOKUP(TRANSHARI7_SOFTDRINKMALAM[[#This Row],[PRODUK]],DATA_SOFTDRINK[],9,FALSE),"")</f>
        <v/>
      </c>
      <c r="T211" s="374"/>
      <c r="U211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1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1" s="12"/>
      <c r="X211" s="384" t="str">
        <f>IFERROR(IF(TRANSHARI7_SOFTDRINKMALAM[[#This Row],[NAMA REKENING]]="","",TRANSHARI7_SOFTDRINKMALAM[[#This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IFERROR(VLOOKUP(TRANSHARI7_SOFTDRINKPAGI[[#This Row],[PRODUK]],DATA_SOFTDRINK[],9,FALSE),"")</f>
        <v/>
      </c>
      <c r="E212" s="374"/>
      <c r="F212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2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2" s="12"/>
      <c r="I212" s="386" t="str">
        <f>IFERROR(IF(TRANSHARI7_SOFTDRINKPAGI[[#This Row],[NAMA REKENING]]="","",TRANSHARI7_SOFTDRINKPAGI[[#This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IFERROR(VLOOKUP(TRANSHARI7_SOFTDRINKMALAM[[#This Row],[PRODUK]],DATA_SOFTDRINK[],9,FALSE),"")</f>
        <v/>
      </c>
      <c r="T212" s="374"/>
      <c r="U212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2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2" s="12"/>
      <c r="X212" s="386" t="str">
        <f>IFERROR(IF(TRANSHARI7_SOFTDRINKMALAM[[#This Row],[NAMA REKENING]]="","",TRANSHARI7_SOFTDRINKMALAM[[#This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IFERROR(VLOOKUP(TRANSHARI7_SOFTDRINKPAGI[[#This Row],[PRODUK]],DATA_SOFTDRINK[],9,FALSE),"")</f>
        <v/>
      </c>
      <c r="E213" s="374"/>
      <c r="F213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3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3" s="12"/>
      <c r="I213" s="384" t="str">
        <f>IFERROR(IF(TRANSHARI7_SOFTDRINKPAGI[[#This Row],[NAMA REKENING]]="","",TRANSHARI7_SOFTDRINKPAGI[[#This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IFERROR(VLOOKUP(TRANSHARI7_SOFTDRINKMALAM[[#This Row],[PRODUK]],DATA_SOFTDRINK[],9,FALSE),"")</f>
        <v/>
      </c>
      <c r="T213" s="374"/>
      <c r="U213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3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3" s="12"/>
      <c r="X213" s="384" t="str">
        <f>IFERROR(IF(TRANSHARI7_SOFTDRINKMALAM[[#This Row],[NAMA REKENING]]="","",TRANSHARI7_SOFTDRINKMALAM[[#This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IFERROR(VLOOKUP(TRANSHARI7_SOFTDRINKPAGI[[#This Row],[PRODUK]],DATA_SOFTDRINK[],9,FALSE),"")</f>
        <v/>
      </c>
      <c r="E214" s="374"/>
      <c r="F214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4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4" s="12"/>
      <c r="I214" s="386" t="str">
        <f>IFERROR(IF(TRANSHARI7_SOFTDRINKPAGI[[#This Row],[NAMA REKENING]]="","",TRANSHARI7_SOFTDRINKPAGI[[#This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IFERROR(VLOOKUP(TRANSHARI7_SOFTDRINKMALAM[[#This Row],[PRODUK]],DATA_SOFTDRINK[],9,FALSE),"")</f>
        <v/>
      </c>
      <c r="T214" s="374"/>
      <c r="U214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4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4" s="12"/>
      <c r="X214" s="386" t="str">
        <f>IFERROR(IF(TRANSHARI7_SOFTDRINKMALAM[[#This Row],[NAMA REKENING]]="","",TRANSHARI7_SOFTDRINKMALAM[[#This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IFERROR(VLOOKUP(TRANSHARI7_SOFTDRINKPAGI[[#This Row],[PRODUK]],DATA_SOFTDRINK[],9,FALSE),"")</f>
        <v/>
      </c>
      <c r="E215" s="374"/>
      <c r="F215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5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5" s="12"/>
      <c r="I215" s="384" t="str">
        <f>IFERROR(IF(TRANSHARI7_SOFTDRINKPAGI[[#This Row],[NAMA REKENING]]="","",TRANSHARI7_SOFTDRINKPAGI[[#This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IFERROR(VLOOKUP(TRANSHARI7_SOFTDRINKMALAM[[#This Row],[PRODUK]],DATA_SOFTDRINK[],9,FALSE),"")</f>
        <v/>
      </c>
      <c r="T215" s="374"/>
      <c r="U215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5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5" s="12"/>
      <c r="X215" s="384" t="str">
        <f>IFERROR(IF(TRANSHARI7_SOFTDRINKMALAM[[#This Row],[NAMA REKENING]]="","",TRANSHARI7_SOFTDRINKMALAM[[#This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IFERROR(VLOOKUP(TRANSHARI7_SOFTDRINKPAGI[[#This Row],[PRODUK]],DATA_SOFTDRINK[],9,FALSE),"")</f>
        <v/>
      </c>
      <c r="E216" s="374"/>
      <c r="F216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6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6" s="12"/>
      <c r="I216" s="386" t="str">
        <f>IFERROR(IF(TRANSHARI7_SOFTDRINKPAGI[[#This Row],[NAMA REKENING]]="","",TRANSHARI7_SOFTDRINKPAGI[[#This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IFERROR(VLOOKUP(TRANSHARI7_SOFTDRINKMALAM[[#This Row],[PRODUK]],DATA_SOFTDRINK[],9,FALSE),"")</f>
        <v/>
      </c>
      <c r="T216" s="374"/>
      <c r="U216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6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6" s="12"/>
      <c r="X216" s="386" t="str">
        <f>IFERROR(IF(TRANSHARI7_SOFTDRINKMALAM[[#This Row],[NAMA REKENING]]="","",TRANSHARI7_SOFTDRINKMALAM[[#This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IFERROR(VLOOKUP(TRANSHARI7_SOFTDRINKPAGI[[#This Row],[PRODUK]],DATA_SOFTDRINK[],9,FALSE),"")</f>
        <v/>
      </c>
      <c r="E217" s="374"/>
      <c r="F217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7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7" s="12"/>
      <c r="I217" s="384" t="str">
        <f>IFERROR(IF(TRANSHARI7_SOFTDRINKPAGI[[#This Row],[NAMA REKENING]]="","",TRANSHARI7_SOFTDRINKPAGI[[#This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IFERROR(VLOOKUP(TRANSHARI7_SOFTDRINKMALAM[[#This Row],[PRODUK]],DATA_SOFTDRINK[],9,FALSE),"")</f>
        <v/>
      </c>
      <c r="T217" s="374"/>
      <c r="U217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7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7" s="12"/>
      <c r="X217" s="384" t="str">
        <f>IFERROR(IF(TRANSHARI7_SOFTDRINKMALAM[[#This Row],[NAMA REKENING]]="","",TRANSHARI7_SOFTDRINKMALAM[[#This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IFERROR(VLOOKUP(TRANSHARI7_SOFTDRINKPAGI[[#This Row],[PRODUK]],DATA_SOFTDRINK[],9,FALSE),"")</f>
        <v/>
      </c>
      <c r="E218" s="374"/>
      <c r="F218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8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8" s="12"/>
      <c r="I218" s="386" t="str">
        <f>IFERROR(IF(TRANSHARI7_SOFTDRINKPAGI[[#This Row],[NAMA REKENING]]="","",TRANSHARI7_SOFTDRINKPAGI[[#This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IFERROR(VLOOKUP(TRANSHARI7_SOFTDRINKMALAM[[#This Row],[PRODUK]],DATA_SOFTDRINK[],9,FALSE),"")</f>
        <v/>
      </c>
      <c r="T218" s="374"/>
      <c r="U218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8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8" s="12"/>
      <c r="X218" s="386" t="str">
        <f>IFERROR(IF(TRANSHARI7_SOFTDRINKMALAM[[#This Row],[NAMA REKENING]]="","",TRANSHARI7_SOFTDRINKMALAM[[#This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IFERROR(VLOOKUP(TRANSHARI7_SOFTDRINKPAGI[[#This Row],[PRODUK]],DATA_SOFTDRINK[],9,FALSE),"")</f>
        <v/>
      </c>
      <c r="E219" s="374"/>
      <c r="F219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19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19" s="12"/>
      <c r="I219" s="384" t="str">
        <f>IFERROR(IF(TRANSHARI7_SOFTDRINKPAGI[[#This Row],[NAMA REKENING]]="","",TRANSHARI7_SOFTDRINKPAGI[[#This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IFERROR(VLOOKUP(TRANSHARI7_SOFTDRINKMALAM[[#This Row],[PRODUK]],DATA_SOFTDRINK[],9,FALSE),"")</f>
        <v/>
      </c>
      <c r="T219" s="374"/>
      <c r="U219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19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19" s="12"/>
      <c r="X219" s="384" t="str">
        <f>IFERROR(IF(TRANSHARI7_SOFTDRINKMALAM[[#This Row],[NAMA REKENING]]="","",TRANSHARI7_SOFTDRINKMALAM[[#This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IFERROR(VLOOKUP(TRANSHARI7_SOFTDRINKPAGI[[#This Row],[PRODUK]],DATA_SOFTDRINK[],9,FALSE),"")</f>
        <v/>
      </c>
      <c r="E220" s="374"/>
      <c r="F220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0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0" s="12"/>
      <c r="I220" s="386" t="str">
        <f>IFERROR(IF(TRANSHARI7_SOFTDRINKPAGI[[#This Row],[NAMA REKENING]]="","",TRANSHARI7_SOFTDRINKPAGI[[#This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IFERROR(VLOOKUP(TRANSHARI7_SOFTDRINKMALAM[[#This Row],[PRODUK]],DATA_SOFTDRINK[],9,FALSE),"")</f>
        <v/>
      </c>
      <c r="T220" s="374"/>
      <c r="U220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0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0" s="12"/>
      <c r="X220" s="386" t="str">
        <f>IFERROR(IF(TRANSHARI7_SOFTDRINKMALAM[[#This Row],[NAMA REKENING]]="","",TRANSHARI7_SOFTDRINKMALAM[[#This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IFERROR(VLOOKUP(TRANSHARI7_SOFTDRINKPAGI[[#This Row],[PRODUK]],DATA_SOFTDRINK[],9,FALSE),"")</f>
        <v/>
      </c>
      <c r="E221" s="374"/>
      <c r="F221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1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1" s="12"/>
      <c r="I221" s="384" t="str">
        <f>IFERROR(IF(TRANSHARI7_SOFTDRINKPAGI[[#This Row],[NAMA REKENING]]="","",TRANSHARI7_SOFTDRINKPAGI[[#This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IFERROR(VLOOKUP(TRANSHARI7_SOFTDRINKMALAM[[#This Row],[PRODUK]],DATA_SOFTDRINK[],9,FALSE),"")</f>
        <v/>
      </c>
      <c r="T221" s="374"/>
      <c r="U221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1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1" s="12"/>
      <c r="X221" s="384" t="str">
        <f>IFERROR(IF(TRANSHARI7_SOFTDRINKMALAM[[#This Row],[NAMA REKENING]]="","",TRANSHARI7_SOFTDRINKMALAM[[#This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IFERROR(VLOOKUP(TRANSHARI7_SOFTDRINKPAGI[[#This Row],[PRODUK]],DATA_SOFTDRINK[],9,FALSE),"")</f>
        <v/>
      </c>
      <c r="E222" s="374"/>
      <c r="F222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2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2" s="12"/>
      <c r="I222" s="386" t="str">
        <f>IFERROR(IF(TRANSHARI7_SOFTDRINKPAGI[[#This Row],[NAMA REKENING]]="","",TRANSHARI7_SOFTDRINKPAGI[[#This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IFERROR(VLOOKUP(TRANSHARI7_SOFTDRINKMALAM[[#This Row],[PRODUK]],DATA_SOFTDRINK[],9,FALSE),"")</f>
        <v/>
      </c>
      <c r="T222" s="374"/>
      <c r="U222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2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2" s="12"/>
      <c r="X222" s="386" t="str">
        <f>IFERROR(IF(TRANSHARI7_SOFTDRINKMALAM[[#This Row],[NAMA REKENING]]="","",TRANSHARI7_SOFTDRINKMALAM[[#This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IFERROR(VLOOKUP(TRANSHARI7_SOFTDRINKPAGI[[#This Row],[PRODUK]],DATA_SOFTDRINK[],9,FALSE),"")</f>
        <v/>
      </c>
      <c r="E223" s="374"/>
      <c r="F223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3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3" s="12"/>
      <c r="I223" s="384" t="str">
        <f>IFERROR(IF(TRANSHARI7_SOFTDRINKPAGI[[#This Row],[NAMA REKENING]]="","",TRANSHARI7_SOFTDRINKPAGI[[#This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IFERROR(VLOOKUP(TRANSHARI7_SOFTDRINKMALAM[[#This Row],[PRODUK]],DATA_SOFTDRINK[],9,FALSE),"")</f>
        <v/>
      </c>
      <c r="T223" s="374"/>
      <c r="U223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3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3" s="12"/>
      <c r="X223" s="384" t="str">
        <f>IFERROR(IF(TRANSHARI7_SOFTDRINKMALAM[[#This Row],[NAMA REKENING]]="","",TRANSHARI7_SOFTDRINKMALAM[[#This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IFERROR(VLOOKUP(TRANSHARI7_SOFTDRINKPAGI[[#This Row],[PRODUK]],DATA_SOFTDRINK[],9,FALSE),"")</f>
        <v/>
      </c>
      <c r="E224" s="376"/>
      <c r="F224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4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4" s="377"/>
      <c r="I224" s="386" t="str">
        <f>IFERROR(IF(TRANSHARI7_SOFTDRINKPAGI[[#This Row],[NAMA REKENING]]="","",TRANSHARI7_SOFTDRINKPAGI[[#This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IFERROR(VLOOKUP(TRANSHARI7_SOFTDRINKMALAM[[#This Row],[PRODUK]],DATA_SOFTDRINK[],9,FALSE),"")</f>
        <v/>
      </c>
      <c r="T224" s="376"/>
      <c r="U224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4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4" s="377"/>
      <c r="X224" s="386" t="str">
        <f>IFERROR(IF(TRANSHARI7_SOFTDRINKMALAM[[#This Row],[NAMA REKENING]]="","",TRANSHARI7_SOFTDRINKMALAM[[#This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IFERROR(VLOOKUP(TRANSHARI7_SOFTDRINKPAGI[[#This Row],[PRODUK]],DATA_SOFTDRINK[],9,FALSE),"")</f>
        <v/>
      </c>
      <c r="E225" s="374"/>
      <c r="F225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5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5" s="12"/>
      <c r="I225" s="384" t="str">
        <f>IFERROR(IF(TRANSHARI7_SOFTDRINKPAGI[[#This Row],[NAMA REKENING]]="","",TRANSHARI7_SOFTDRINKPAGI[[#This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IFERROR(VLOOKUP(TRANSHARI7_SOFTDRINKMALAM[[#This Row],[PRODUK]],DATA_SOFTDRINK[],9,FALSE),"")</f>
        <v/>
      </c>
      <c r="T225" s="374"/>
      <c r="U225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5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5" s="12"/>
      <c r="X225" s="384" t="str">
        <f>IFERROR(IF(TRANSHARI7_SOFTDRINKMALAM[[#This Row],[NAMA REKENING]]="","",TRANSHARI7_SOFTDRINKMALAM[[#This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IFERROR(VLOOKUP(TRANSHARI7_SOFTDRINKPAGI[[#This Row],[PRODUK]],DATA_SOFTDRINK[],9,FALSE),"")</f>
        <v/>
      </c>
      <c r="E226" s="374"/>
      <c r="F226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6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6" s="12"/>
      <c r="I226" s="386" t="str">
        <f>IFERROR(IF(TRANSHARI7_SOFTDRINKPAGI[[#This Row],[NAMA REKENING]]="","",TRANSHARI7_SOFTDRINKPAGI[[#This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IFERROR(VLOOKUP(TRANSHARI7_SOFTDRINKMALAM[[#This Row],[PRODUK]],DATA_SOFTDRINK[],9,FALSE),"")</f>
        <v/>
      </c>
      <c r="T226" s="374"/>
      <c r="U226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6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6" s="12"/>
      <c r="X226" s="386" t="str">
        <f>IFERROR(IF(TRANSHARI7_SOFTDRINKMALAM[[#This Row],[NAMA REKENING]]="","",TRANSHARI7_SOFTDRINKMALAM[[#This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IFERROR(VLOOKUP(TRANSHARI7_SOFTDRINKPAGI[[#This Row],[PRODUK]],DATA_SOFTDRINK[],9,FALSE),"")</f>
        <v/>
      </c>
      <c r="E227" s="374"/>
      <c r="F227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7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7" s="12"/>
      <c r="I227" s="384" t="str">
        <f>IFERROR(IF(TRANSHARI7_SOFTDRINKPAGI[[#This Row],[NAMA REKENING]]="","",TRANSHARI7_SOFTDRINKPAGI[[#This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IFERROR(VLOOKUP(TRANSHARI7_SOFTDRINKMALAM[[#This Row],[PRODUK]],DATA_SOFTDRINK[],9,FALSE),"")</f>
        <v/>
      </c>
      <c r="T227" s="374"/>
      <c r="U227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7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7" s="12"/>
      <c r="X227" s="384" t="str">
        <f>IFERROR(IF(TRANSHARI7_SOFTDRINKMALAM[[#This Row],[NAMA REKENING]]="","",TRANSHARI7_SOFTDRINKMALAM[[#This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IFERROR(VLOOKUP(TRANSHARI7_SOFTDRINKPAGI[[#This Row],[PRODUK]],DATA_SOFTDRINK[],9,FALSE),"")</f>
        <v/>
      </c>
      <c r="E228" s="374"/>
      <c r="F228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8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8" s="12"/>
      <c r="I228" s="386" t="str">
        <f>IFERROR(IF(TRANSHARI7_SOFTDRINKPAGI[[#This Row],[NAMA REKENING]]="","",TRANSHARI7_SOFTDRINKPAGI[[#This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IFERROR(VLOOKUP(TRANSHARI7_SOFTDRINKMALAM[[#This Row],[PRODUK]],DATA_SOFTDRINK[],9,FALSE),"")</f>
        <v/>
      </c>
      <c r="T228" s="374"/>
      <c r="U228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8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8" s="12"/>
      <c r="X228" s="386" t="str">
        <f>IFERROR(IF(TRANSHARI7_SOFTDRINKMALAM[[#This Row],[NAMA REKENING]]="","",TRANSHARI7_SOFTDRINKMALAM[[#This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IFERROR(VLOOKUP(TRANSHARI7_SOFTDRINKPAGI[[#This Row],[PRODUK]],DATA_SOFTDRINK[],9,FALSE),"")</f>
        <v/>
      </c>
      <c r="E229" s="374"/>
      <c r="F229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29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29" s="12"/>
      <c r="I229" s="384" t="str">
        <f>IFERROR(IF(TRANSHARI7_SOFTDRINKPAGI[[#This Row],[NAMA REKENING]]="","",TRANSHARI7_SOFTDRINKPAGI[[#This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IFERROR(VLOOKUP(TRANSHARI7_SOFTDRINKMALAM[[#This Row],[PRODUK]],DATA_SOFTDRINK[],9,FALSE),"")</f>
        <v/>
      </c>
      <c r="T229" s="374"/>
      <c r="U229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29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29" s="12"/>
      <c r="X229" s="384" t="str">
        <f>IFERROR(IF(TRANSHARI7_SOFTDRINKMALAM[[#This Row],[NAMA REKENING]]="","",TRANSHARI7_SOFTDRINKMALAM[[#This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IFERROR(VLOOKUP(TRANSHARI7_SOFTDRINKPAGI[[#This Row],[PRODUK]],DATA_SOFTDRINK[],9,FALSE),"")</f>
        <v/>
      </c>
      <c r="E230" s="374"/>
      <c r="F230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0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0" s="12"/>
      <c r="I230" s="386" t="str">
        <f>IFERROR(IF(TRANSHARI7_SOFTDRINKPAGI[[#This Row],[NAMA REKENING]]="","",TRANSHARI7_SOFTDRINKPAGI[[#This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IFERROR(VLOOKUP(TRANSHARI7_SOFTDRINKMALAM[[#This Row],[PRODUK]],DATA_SOFTDRINK[],9,FALSE),"")</f>
        <v/>
      </c>
      <c r="T230" s="374"/>
      <c r="U230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0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0" s="12"/>
      <c r="X230" s="386" t="str">
        <f>IFERROR(IF(TRANSHARI7_SOFTDRINKMALAM[[#This Row],[NAMA REKENING]]="","",TRANSHARI7_SOFTDRINKMALAM[[#This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IFERROR(VLOOKUP(TRANSHARI7_SOFTDRINKPAGI[[#This Row],[PRODUK]],DATA_SOFTDRINK[],9,FALSE),"")</f>
        <v/>
      </c>
      <c r="E231" s="374"/>
      <c r="F231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1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1" s="12"/>
      <c r="I231" s="384" t="str">
        <f>IFERROR(IF(TRANSHARI7_SOFTDRINKPAGI[[#This Row],[NAMA REKENING]]="","",TRANSHARI7_SOFTDRINKPAGI[[#This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IFERROR(VLOOKUP(TRANSHARI7_SOFTDRINKMALAM[[#This Row],[PRODUK]],DATA_SOFTDRINK[],9,FALSE),"")</f>
        <v/>
      </c>
      <c r="T231" s="374"/>
      <c r="U231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1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1" s="12"/>
      <c r="X231" s="384" t="str">
        <f>IFERROR(IF(TRANSHARI7_SOFTDRINKMALAM[[#This Row],[NAMA REKENING]]="","",TRANSHARI7_SOFTDRINKMALAM[[#This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IFERROR(VLOOKUP(TRANSHARI7_SOFTDRINKPAGI[[#This Row],[PRODUK]],DATA_SOFTDRINK[],9,FALSE),"")</f>
        <v/>
      </c>
      <c r="E232" s="374"/>
      <c r="F232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2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2" s="12"/>
      <c r="I232" s="386" t="str">
        <f>IFERROR(IF(TRANSHARI7_SOFTDRINKPAGI[[#This Row],[NAMA REKENING]]="","",TRANSHARI7_SOFTDRINKPAGI[[#This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IFERROR(VLOOKUP(TRANSHARI7_SOFTDRINKMALAM[[#This Row],[PRODUK]],DATA_SOFTDRINK[],9,FALSE),"")</f>
        <v/>
      </c>
      <c r="T232" s="374"/>
      <c r="U232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2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2" s="12"/>
      <c r="X232" s="386" t="str">
        <f>IFERROR(IF(TRANSHARI7_SOFTDRINKMALAM[[#This Row],[NAMA REKENING]]="","",TRANSHARI7_SOFTDRINKMALAM[[#This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IFERROR(VLOOKUP(TRANSHARI7_SOFTDRINKPAGI[[#This Row],[PRODUK]],DATA_SOFTDRINK[],9,FALSE),"")</f>
        <v/>
      </c>
      <c r="E233" s="374"/>
      <c r="F233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3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3" s="12"/>
      <c r="I233" s="384" t="str">
        <f>IFERROR(IF(TRANSHARI7_SOFTDRINKPAGI[[#This Row],[NAMA REKENING]]="","",TRANSHARI7_SOFTDRINKPAGI[[#This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IFERROR(VLOOKUP(TRANSHARI7_SOFTDRINKMALAM[[#This Row],[PRODUK]],DATA_SOFTDRINK[],9,FALSE),"")</f>
        <v/>
      </c>
      <c r="T233" s="374"/>
      <c r="U233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3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3" s="12"/>
      <c r="X233" s="384" t="str">
        <f>IFERROR(IF(TRANSHARI7_SOFTDRINKMALAM[[#This Row],[NAMA REKENING]]="","",TRANSHARI7_SOFTDRINKMALAM[[#This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IFERROR(VLOOKUP(TRANSHARI7_SOFTDRINKPAGI[[#This Row],[PRODUK]],DATA_SOFTDRINK[],9,FALSE),"")</f>
        <v/>
      </c>
      <c r="E234" s="374"/>
      <c r="F234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4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4" s="12"/>
      <c r="I234" s="386" t="str">
        <f>IFERROR(IF(TRANSHARI7_SOFTDRINKPAGI[[#This Row],[NAMA REKENING]]="","",TRANSHARI7_SOFTDRINKPAGI[[#This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IFERROR(VLOOKUP(TRANSHARI7_SOFTDRINKMALAM[[#This Row],[PRODUK]],DATA_SOFTDRINK[],9,FALSE),"")</f>
        <v/>
      </c>
      <c r="T234" s="374"/>
      <c r="U234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4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4" s="12"/>
      <c r="X234" s="386" t="str">
        <f>IFERROR(IF(TRANSHARI7_SOFTDRINKMALAM[[#This Row],[NAMA REKENING]]="","",TRANSHARI7_SOFTDRINKMALAM[[#This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IFERROR(VLOOKUP(TRANSHARI7_SOFTDRINKPAGI[[#This Row],[PRODUK]],DATA_SOFTDRINK[],9,FALSE),"")</f>
        <v/>
      </c>
      <c r="E235" s="374"/>
      <c r="F235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5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5" s="12"/>
      <c r="I235" s="384" t="str">
        <f>IFERROR(IF(TRANSHARI7_SOFTDRINKPAGI[[#This Row],[NAMA REKENING]]="","",TRANSHARI7_SOFTDRINKPAGI[[#This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IFERROR(VLOOKUP(TRANSHARI7_SOFTDRINKMALAM[[#This Row],[PRODUK]],DATA_SOFTDRINK[],9,FALSE),"")</f>
        <v/>
      </c>
      <c r="T235" s="374"/>
      <c r="U235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5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5" s="12"/>
      <c r="X235" s="384" t="str">
        <f>IFERROR(IF(TRANSHARI7_SOFTDRINKMALAM[[#This Row],[NAMA REKENING]]="","",TRANSHARI7_SOFTDRINKMALAM[[#This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IFERROR(VLOOKUP(TRANSHARI7_SOFTDRINKPAGI[[#This Row],[PRODUK]],DATA_SOFTDRINK[],9,FALSE),"")</f>
        <v/>
      </c>
      <c r="E236" s="374"/>
      <c r="F236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6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6" s="12"/>
      <c r="I236" s="386" t="str">
        <f>IFERROR(IF(TRANSHARI7_SOFTDRINKPAGI[[#This Row],[NAMA REKENING]]="","",TRANSHARI7_SOFTDRINKPAGI[[#This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IFERROR(VLOOKUP(TRANSHARI7_SOFTDRINKMALAM[[#This Row],[PRODUK]],DATA_SOFTDRINK[],9,FALSE),"")</f>
        <v/>
      </c>
      <c r="T236" s="374"/>
      <c r="U236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6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6" s="12"/>
      <c r="X236" s="386" t="str">
        <f>IFERROR(IF(TRANSHARI7_SOFTDRINKMALAM[[#This Row],[NAMA REKENING]]="","",TRANSHARI7_SOFTDRINKMALAM[[#This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IFERROR(VLOOKUP(TRANSHARI7_SOFTDRINKPAGI[[#This Row],[PRODUK]],DATA_SOFTDRINK[],9,FALSE),"")</f>
        <v/>
      </c>
      <c r="E237" s="374"/>
      <c r="F237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7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7" s="12"/>
      <c r="I237" s="384" t="str">
        <f>IFERROR(IF(TRANSHARI7_SOFTDRINKPAGI[[#This Row],[NAMA REKENING]]="","",TRANSHARI7_SOFTDRINKPAGI[[#This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IFERROR(VLOOKUP(TRANSHARI7_SOFTDRINKMALAM[[#This Row],[PRODUK]],DATA_SOFTDRINK[],9,FALSE),"")</f>
        <v/>
      </c>
      <c r="T237" s="374"/>
      <c r="U237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7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7" s="12"/>
      <c r="X237" s="384" t="str">
        <f>IFERROR(IF(TRANSHARI7_SOFTDRINKMALAM[[#This Row],[NAMA REKENING]]="","",TRANSHARI7_SOFTDRINKMALAM[[#This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IFERROR(VLOOKUP(TRANSHARI7_SOFTDRINKPAGI[[#This Row],[PRODUK]],DATA_SOFTDRINK[],9,FALSE),"")</f>
        <v/>
      </c>
      <c r="E238" s="374"/>
      <c r="F238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8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8" s="12"/>
      <c r="I238" s="386" t="str">
        <f>IFERROR(IF(TRANSHARI7_SOFTDRINKPAGI[[#This Row],[NAMA REKENING]]="","",TRANSHARI7_SOFTDRINKPAGI[[#This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IFERROR(VLOOKUP(TRANSHARI7_SOFTDRINKMALAM[[#This Row],[PRODUK]],DATA_SOFTDRINK[],9,FALSE),"")</f>
        <v/>
      </c>
      <c r="T238" s="374"/>
      <c r="U238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8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8" s="12"/>
      <c r="X238" s="386" t="str">
        <f>IFERROR(IF(TRANSHARI7_SOFTDRINKMALAM[[#This Row],[NAMA REKENING]]="","",TRANSHARI7_SOFTDRINKMALAM[[#This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IFERROR(VLOOKUP(TRANSHARI7_SOFTDRINKPAGI[[#This Row],[PRODUK]],DATA_SOFTDRINK[],9,FALSE),"")</f>
        <v/>
      </c>
      <c r="E239" s="374"/>
      <c r="F239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39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39" s="12"/>
      <c r="I239" s="384" t="str">
        <f>IFERROR(IF(TRANSHARI7_SOFTDRINKPAGI[[#This Row],[NAMA REKENING]]="","",TRANSHARI7_SOFTDRINKPAGI[[#This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IFERROR(VLOOKUP(TRANSHARI7_SOFTDRINKMALAM[[#This Row],[PRODUK]],DATA_SOFTDRINK[],9,FALSE),"")</f>
        <v/>
      </c>
      <c r="T239" s="374"/>
      <c r="U239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39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39" s="12"/>
      <c r="X239" s="384" t="str">
        <f>IFERROR(IF(TRANSHARI7_SOFTDRINKMALAM[[#This Row],[NAMA REKENING]]="","",TRANSHARI7_SOFTDRINKMALAM[[#This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IFERROR(VLOOKUP(TRANSHARI7_SOFTDRINKPAGI[[#This Row],[PRODUK]],DATA_SOFTDRINK[],9,FALSE),"")</f>
        <v/>
      </c>
      <c r="E240" s="374"/>
      <c r="F240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0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0" s="12"/>
      <c r="I240" s="386" t="str">
        <f>IFERROR(IF(TRANSHARI7_SOFTDRINKPAGI[[#This Row],[NAMA REKENING]]="","",TRANSHARI7_SOFTDRINKPAGI[[#This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IFERROR(VLOOKUP(TRANSHARI7_SOFTDRINKMALAM[[#This Row],[PRODUK]],DATA_SOFTDRINK[],9,FALSE),"")</f>
        <v/>
      </c>
      <c r="T240" s="374"/>
      <c r="U240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0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0" s="12"/>
      <c r="X240" s="386" t="str">
        <f>IFERROR(IF(TRANSHARI7_SOFTDRINKMALAM[[#This Row],[NAMA REKENING]]="","",TRANSHARI7_SOFTDRINKMALAM[[#This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IFERROR(VLOOKUP(TRANSHARI7_SOFTDRINKPAGI[[#This Row],[PRODUK]],DATA_SOFTDRINK[],9,FALSE),"")</f>
        <v/>
      </c>
      <c r="E241" s="374"/>
      <c r="F241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1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1" s="12"/>
      <c r="I241" s="384" t="str">
        <f>IFERROR(IF(TRANSHARI7_SOFTDRINKPAGI[[#This Row],[NAMA REKENING]]="","",TRANSHARI7_SOFTDRINKPAGI[[#This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IFERROR(VLOOKUP(TRANSHARI7_SOFTDRINKMALAM[[#This Row],[PRODUK]],DATA_SOFTDRINK[],9,FALSE),"")</f>
        <v/>
      </c>
      <c r="T241" s="374"/>
      <c r="U241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1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1" s="12"/>
      <c r="X241" s="384" t="str">
        <f>IFERROR(IF(TRANSHARI7_SOFTDRINKMALAM[[#This Row],[NAMA REKENING]]="","",TRANSHARI7_SOFTDRINKMALAM[[#This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IFERROR(VLOOKUP(TRANSHARI7_SOFTDRINKPAGI[[#This Row],[PRODUK]],DATA_SOFTDRINK[],9,FALSE),"")</f>
        <v/>
      </c>
      <c r="E242" s="374"/>
      <c r="F242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2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2" s="12"/>
      <c r="I242" s="386" t="str">
        <f>IFERROR(IF(TRANSHARI7_SOFTDRINKPAGI[[#This Row],[NAMA REKENING]]="","",TRANSHARI7_SOFTDRINKPAGI[[#This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IFERROR(VLOOKUP(TRANSHARI7_SOFTDRINKMALAM[[#This Row],[PRODUK]],DATA_SOFTDRINK[],9,FALSE),"")</f>
        <v/>
      </c>
      <c r="T242" s="374"/>
      <c r="U242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2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2" s="12"/>
      <c r="X242" s="386" t="str">
        <f>IFERROR(IF(TRANSHARI7_SOFTDRINKMALAM[[#This Row],[NAMA REKENING]]="","",TRANSHARI7_SOFTDRINKMALAM[[#This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IFERROR(VLOOKUP(TRANSHARI7_SOFTDRINKPAGI[[#This Row],[PRODUK]],DATA_SOFTDRINK[],9,FALSE),"")</f>
        <v/>
      </c>
      <c r="E243" s="374"/>
      <c r="F243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3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3" s="12"/>
      <c r="I243" s="384" t="str">
        <f>IFERROR(IF(TRANSHARI7_SOFTDRINKPAGI[[#This Row],[NAMA REKENING]]="","",TRANSHARI7_SOFTDRINKPAGI[[#This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IFERROR(VLOOKUP(TRANSHARI7_SOFTDRINKMALAM[[#This Row],[PRODUK]],DATA_SOFTDRINK[],9,FALSE),"")</f>
        <v/>
      </c>
      <c r="T243" s="374"/>
      <c r="U243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3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3" s="12"/>
      <c r="X243" s="384" t="str">
        <f>IFERROR(IF(TRANSHARI7_SOFTDRINKMALAM[[#This Row],[NAMA REKENING]]="","",TRANSHARI7_SOFTDRINKMALAM[[#This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IFERROR(VLOOKUP(TRANSHARI7_SOFTDRINKPAGI[[#This Row],[PRODUK]],DATA_SOFTDRINK[],9,FALSE),"")</f>
        <v/>
      </c>
      <c r="E244" s="374"/>
      <c r="F244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4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4" s="12"/>
      <c r="I244" s="386" t="str">
        <f>IFERROR(IF(TRANSHARI7_SOFTDRINKPAGI[[#This Row],[NAMA REKENING]]="","",TRANSHARI7_SOFTDRINKPAGI[[#This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IFERROR(VLOOKUP(TRANSHARI7_SOFTDRINKMALAM[[#This Row],[PRODUK]],DATA_SOFTDRINK[],9,FALSE),"")</f>
        <v/>
      </c>
      <c r="T244" s="374"/>
      <c r="U244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4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4" s="12"/>
      <c r="X244" s="386" t="str">
        <f>IFERROR(IF(TRANSHARI7_SOFTDRINKMALAM[[#This Row],[NAMA REKENING]]="","",TRANSHARI7_SOFTDRINKMALAM[[#This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IFERROR(VLOOKUP(TRANSHARI7_SOFTDRINKPAGI[[#This Row],[PRODUK]],DATA_SOFTDRINK[],9,FALSE),"")</f>
        <v/>
      </c>
      <c r="E245" s="374"/>
      <c r="F245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5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5" s="12"/>
      <c r="I245" s="384" t="str">
        <f>IFERROR(IF(TRANSHARI7_SOFTDRINKPAGI[[#This Row],[NAMA REKENING]]="","",TRANSHARI7_SOFTDRINKPAGI[[#This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IFERROR(VLOOKUP(TRANSHARI7_SOFTDRINKMALAM[[#This Row],[PRODUK]],DATA_SOFTDRINK[],9,FALSE),"")</f>
        <v/>
      </c>
      <c r="T245" s="374"/>
      <c r="U245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5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5" s="12"/>
      <c r="X245" s="384" t="str">
        <f>IFERROR(IF(TRANSHARI7_SOFTDRINKMALAM[[#This Row],[NAMA REKENING]]="","",TRANSHARI7_SOFTDRINKMALAM[[#This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IFERROR(VLOOKUP(TRANSHARI7_SOFTDRINKPAGI[[#This Row],[PRODUK]],DATA_SOFTDRINK[],9,FALSE),"")</f>
        <v/>
      </c>
      <c r="E246" s="374"/>
      <c r="F246" s="373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6" s="373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6" s="12"/>
      <c r="I246" s="386" t="str">
        <f>IFERROR(IF(TRANSHARI7_SOFTDRINKPAGI[[#This Row],[NAMA REKENING]]="","",TRANSHARI7_SOFTDRINKPAGI[[#This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IFERROR(VLOOKUP(TRANSHARI7_SOFTDRINKMALAM[[#This Row],[PRODUK]],DATA_SOFTDRINK[],9,FALSE),"")</f>
        <v/>
      </c>
      <c r="T246" s="374"/>
      <c r="U246" s="373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6" s="373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6" s="12"/>
      <c r="X246" s="386" t="str">
        <f>IFERROR(IF(TRANSHARI7_SOFTDRINKMALAM[[#This Row],[NAMA REKENING]]="","",TRANSHARI7_SOFTDRINKMALAM[[#This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IFERROR(VLOOKUP(TRANSHARI7_SOFTDRINKPAGI[[#This Row],[PRODUK]],DATA_SOFTDRINK[],9,FALSE),"")</f>
        <v/>
      </c>
      <c r="E247" s="374"/>
      <c r="F247" s="369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7" s="369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7" s="12"/>
      <c r="I247" s="384" t="str">
        <f>IFERROR(IF(TRANSHARI7_SOFTDRINKPAGI[[#This Row],[NAMA REKENING]]="","",TRANSHARI7_SOFTDRINKPAGI[[#This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IFERROR(VLOOKUP(TRANSHARI7_SOFTDRINKMALAM[[#This Row],[PRODUK]],DATA_SOFTDRINK[],9,FALSE),"")</f>
        <v/>
      </c>
      <c r="T247" s="374"/>
      <c r="U247" s="369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7" s="369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7" s="12"/>
      <c r="X247" s="384" t="str">
        <f>IFERROR(IF(TRANSHARI7_SOFTDRINKMALAM[[#This Row],[NAMA REKENING]]="","",TRANSHARI7_SOFTDRINKMALAM[[#This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IFERROR(VLOOKUP(TRANSHARI7_SOFTDRINKPAGI[[#This Row],[PRODUK]],DATA_SOFTDRINK[],9,FALSE),"")</f>
        <v/>
      </c>
      <c r="E248" s="376"/>
      <c r="F248" s="394" t="str">
        <f>IFERROR(IF(TRANSHARI7_SOFTDRINKPAGI[[#This Row],[NAMA PENGHUTANG]]="",((TRANSHARI7_SOFTDRINKPAGI[[#This Row],[HARGA]]*TRANSHARI7_SOFTDRINKPAGI[[#This Row],[QUANTITY]])+TRANSHARI7_SOFTDRINKPAGI[[#This Row],[PRICE TOLERANCE]]),""),"")</f>
        <v/>
      </c>
      <c r="G248" s="394" t="str">
        <f>IFERROR(IF(TRANSHARI7_SOFTDRINKPAGI[[#This Row],[NAMA PENGHUTANG]]="","",((TRANSHARI7_SOFTDRINKPAGI[[#This Row],[HARGA]]*TRANSHARI7_SOFTDRINKPAGI[[#This Row],[QUANTITY]])+TRANSHARI7_SOFTDRINKPAGI[[#This Row],[PRICE TOLERANCE]])),"")</f>
        <v/>
      </c>
      <c r="H248" s="377"/>
      <c r="I248" s="399" t="str">
        <f>IFERROR(IF(TRANSHARI7_SOFTDRINKPAGI[[#This Row],[NAMA REKENING]]="","",TRANSHARI7_SOFTDRINKPAGI[[#This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IFERROR(VLOOKUP(TRANSHARI7_SOFTDRINKMALAM[[#This Row],[PRODUK]],DATA_SOFTDRINK[],9,FALSE),"")</f>
        <v/>
      </c>
      <c r="T248" s="376"/>
      <c r="U248" s="394" t="str">
        <f>IFERROR(IF(TRANSHARI7_SOFTDRINKMALAM[[#This Row],[NAMA PENGHUTANG]]="",((TRANSHARI7_SOFTDRINKMALAM[[#This Row],[HARGA]]*TRANSHARI7_SOFTDRINKMALAM[[#This Row],[QUANTITY]])+TRANSHARI7_SOFTDRINKMALAM[[#This Row],[PRICE TOLERANCE]]),""),"")</f>
        <v/>
      </c>
      <c r="V248" s="394" t="str">
        <f>IFERROR(IF(TRANSHARI7_SOFTDRINKMALAM[[#This Row],[NAMA PENGHUTANG]]="","",((TRANSHARI7_SOFTDRINKMALAM[[#This Row],[HARGA]]*TRANSHARI7_SOFTDRINKMALAM[[#This Row],[QUANTITY]])+TRANSHARI7_SOFTDRINKMALAM[[#This Row],[PRICE TOLERANCE]])),"")</f>
        <v/>
      </c>
      <c r="W248" s="377"/>
      <c r="X248" s="399" t="str">
        <f>IFERROR(IF(TRANSHARI7_SOFTDRINKMALAM[[#This Row],[NAMA REKENING]]="","",TRANSHARI7_SOFTDRINKMALAM[[#This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SUM(TRANSHARI7_SOFTDRINKPAGI[QUANTITY])</f>
        <v>0</v>
      </c>
      <c r="E249" s="398">
        <f>SUM(TRANSHARI7_SOFTDRINKPAGI[PRICE TOLERANCE])</f>
        <v>0</v>
      </c>
      <c r="F249" s="396">
        <f>SUM(TRANSHARI7_SOFTDRINKPAGI[DEBIT])</f>
        <v>0</v>
      </c>
      <c r="G249" s="396">
        <f>SUM(TRANSHARI7_SOFTDRINKPAGI[KREDIT])</f>
        <v>0</v>
      </c>
      <c r="I249" s="396">
        <f>SUM(TRANSHARI7_SOFTDRINKPAGI[NOMINAL TRANSFER])</f>
        <v>0</v>
      </c>
      <c r="O249" s="324"/>
      <c r="P249" s="303" t="s">
        <v>78</v>
      </c>
      <c r="Q249" s="316"/>
      <c r="R249" s="395">
        <f>SUM(TRANSHARI7_SOFTDRINKMALAM[QUANTITY])</f>
        <v>0</v>
      </c>
      <c r="T249" s="398">
        <f>SUM(TRANSHARI7_SOFTDRINKMALAM[PRICE TOLERANCE])</f>
        <v>0</v>
      </c>
      <c r="U249" s="396">
        <f>SUM(TRANSHARI7_SOFTDRINKMALAM[DEBIT])</f>
        <v>0</v>
      </c>
      <c r="V249" s="396">
        <f>SUM(TRANSHARI7_SOFTDRINKMALAM[KREDIT])</f>
        <v>0</v>
      </c>
      <c r="X249" s="396">
        <f>SUM(TRANSHARI7_SOFTDRINKMALAM[NOMINAL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tr">
        <f>A25</f>
        <v>HARI 7 : PAGI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tr">
        <f>P25</f>
        <v>HARI 7 : MALAM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IFERROR(VLOOKUP(TRANSHARI7_ICECREAMPAGI[[#This Row],[PRODUK]],DATA_ICECREAM[],9,FALSE),"")</f>
        <v/>
      </c>
      <c r="E256" s="370"/>
      <c r="F256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56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56" s="371"/>
      <c r="I256" s="384" t="str">
        <f>IFERROR(IF(TRANSHARI7_ICECREAMPAGI[[#This Row],[NAMA REKENING]]="","",TRANSHARI7_ICECREAMPAGI[[#This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IFERROR(VLOOKUP(TRANSHARI7_ICECREAMMALAM[[#This Row],[PRODUK]],DATA_ICECREAM[],9,FALSE),"")</f>
        <v/>
      </c>
      <c r="T256" s="370"/>
      <c r="U256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56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56" s="371"/>
      <c r="X256" s="384" t="str">
        <f>IFERROR(IF(TRANSHARI7_ICECREAMMALAM[[#This Row],[NAMA REKENING]]="","",TRANSHARI7_ICECREAMMALAM[[#This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IFERROR(VLOOKUP(TRANSHARI7_ICECREAMPAGI[[#This Row],[PRODUK]],DATA_ICECREAM[],9,FALSE),"")</f>
        <v/>
      </c>
      <c r="E257" s="374"/>
      <c r="F257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57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57" s="12"/>
      <c r="I257" s="386" t="str">
        <f>IFERROR(IF(TRANSHARI7_ICECREAMPAGI[[#This Row],[NAMA REKENING]]="","",TRANSHARI7_ICECREAMPAGI[[#This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IFERROR(VLOOKUP(TRANSHARI7_ICECREAMMALAM[[#This Row],[PRODUK]],DATA_ICECREAM[],9,FALSE),"")</f>
        <v/>
      </c>
      <c r="T257" s="374"/>
      <c r="U257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57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57" s="12"/>
      <c r="X257" s="386" t="str">
        <f>IFERROR(IF(TRANSHARI7_ICECREAMMALAM[[#This Row],[NAMA REKENING]]="","",TRANSHARI7_ICECREAMMALAM[[#This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IFERROR(VLOOKUP(TRANSHARI7_ICECREAMPAGI[[#This Row],[PRODUK]],DATA_ICECREAM[],9,FALSE),"")</f>
        <v/>
      </c>
      <c r="E258" s="374"/>
      <c r="F258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58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58" s="12"/>
      <c r="I258" s="384" t="str">
        <f>IFERROR(IF(TRANSHARI7_ICECREAMPAGI[[#This Row],[NAMA REKENING]]="","",TRANSHARI7_ICECREAMPAGI[[#This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IFERROR(VLOOKUP(TRANSHARI7_ICECREAMMALAM[[#This Row],[PRODUK]],DATA_ICECREAM[],9,FALSE),"")</f>
        <v/>
      </c>
      <c r="T258" s="374"/>
      <c r="U258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58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58" s="12"/>
      <c r="X258" s="384" t="str">
        <f>IFERROR(IF(TRANSHARI7_ICECREAMMALAM[[#This Row],[NAMA REKENING]]="","",TRANSHARI7_ICECREAMMALAM[[#This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IFERROR(VLOOKUP(TRANSHARI7_ICECREAMPAGI[[#This Row],[PRODUK]],DATA_ICECREAM[],9,FALSE),"")</f>
        <v/>
      </c>
      <c r="E259" s="374"/>
      <c r="F259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59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59" s="12"/>
      <c r="I259" s="386" t="str">
        <f>IFERROR(IF(TRANSHARI7_ICECREAMPAGI[[#This Row],[NAMA REKENING]]="","",TRANSHARI7_ICECREAMPAGI[[#This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IFERROR(VLOOKUP(TRANSHARI7_ICECREAMMALAM[[#This Row],[PRODUK]],DATA_ICECREAM[],9,FALSE),"")</f>
        <v/>
      </c>
      <c r="T259" s="374"/>
      <c r="U259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59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59" s="12"/>
      <c r="X259" s="386" t="str">
        <f>IFERROR(IF(TRANSHARI7_ICECREAMMALAM[[#This Row],[NAMA REKENING]]="","",TRANSHARI7_ICECREAMMALAM[[#This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IFERROR(VLOOKUP(TRANSHARI7_ICECREAMPAGI[[#This Row],[PRODUK]],DATA_ICECREAM[],9,FALSE),"")</f>
        <v/>
      </c>
      <c r="E260" s="374"/>
      <c r="F260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0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0" s="12"/>
      <c r="I260" s="384" t="str">
        <f>IFERROR(IF(TRANSHARI7_ICECREAMPAGI[[#This Row],[NAMA REKENING]]="","",TRANSHARI7_ICECREAMPAGI[[#This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IFERROR(VLOOKUP(TRANSHARI7_ICECREAMMALAM[[#This Row],[PRODUK]],DATA_ICECREAM[],9,FALSE),"")</f>
        <v/>
      </c>
      <c r="T260" s="374"/>
      <c r="U260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0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0" s="12"/>
      <c r="X260" s="384" t="str">
        <f>IFERROR(IF(TRANSHARI7_ICECREAMMALAM[[#This Row],[NAMA REKENING]]="","",TRANSHARI7_ICECREAMMALAM[[#This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IFERROR(VLOOKUP(TRANSHARI7_ICECREAMPAGI[[#This Row],[PRODUK]],DATA_ICECREAM[],9,FALSE),"")</f>
        <v/>
      </c>
      <c r="E261" s="374"/>
      <c r="F261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1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1" s="12"/>
      <c r="I261" s="386" t="str">
        <f>IFERROR(IF(TRANSHARI7_ICECREAMPAGI[[#This Row],[NAMA REKENING]]="","",TRANSHARI7_ICECREAMPAGI[[#This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IFERROR(VLOOKUP(TRANSHARI7_ICECREAMMALAM[[#This Row],[PRODUK]],DATA_ICECREAM[],9,FALSE),"")</f>
        <v/>
      </c>
      <c r="T261" s="374"/>
      <c r="U261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1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1" s="12"/>
      <c r="X261" s="386" t="str">
        <f>IFERROR(IF(TRANSHARI7_ICECREAMMALAM[[#This Row],[NAMA REKENING]]="","",TRANSHARI7_ICECREAMMALAM[[#This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IFERROR(VLOOKUP(TRANSHARI7_ICECREAMPAGI[[#This Row],[PRODUK]],DATA_ICECREAM[],9,FALSE),"")</f>
        <v/>
      </c>
      <c r="E262" s="374"/>
      <c r="F262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2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2" s="12"/>
      <c r="I262" s="384" t="str">
        <f>IFERROR(IF(TRANSHARI7_ICECREAMPAGI[[#This Row],[NAMA REKENING]]="","",TRANSHARI7_ICECREAMPAGI[[#This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IFERROR(VLOOKUP(TRANSHARI7_ICECREAMMALAM[[#This Row],[PRODUK]],DATA_ICECREAM[],9,FALSE),"")</f>
        <v/>
      </c>
      <c r="T262" s="374"/>
      <c r="U262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2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2" s="12"/>
      <c r="X262" s="384" t="str">
        <f>IFERROR(IF(TRANSHARI7_ICECREAMMALAM[[#This Row],[NAMA REKENING]]="","",TRANSHARI7_ICECREAMMALAM[[#This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IFERROR(VLOOKUP(TRANSHARI7_ICECREAMPAGI[[#This Row],[PRODUK]],DATA_ICECREAM[],9,FALSE),"")</f>
        <v/>
      </c>
      <c r="E263" s="374"/>
      <c r="F263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3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3" s="12"/>
      <c r="I263" s="386" t="str">
        <f>IFERROR(IF(TRANSHARI7_ICECREAMPAGI[[#This Row],[NAMA REKENING]]="","",TRANSHARI7_ICECREAMPAGI[[#This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IFERROR(VLOOKUP(TRANSHARI7_ICECREAMMALAM[[#This Row],[PRODUK]],DATA_ICECREAM[],9,FALSE),"")</f>
        <v/>
      </c>
      <c r="T263" s="374"/>
      <c r="U263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3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3" s="12"/>
      <c r="X263" s="386" t="str">
        <f>IFERROR(IF(TRANSHARI7_ICECREAMMALAM[[#This Row],[NAMA REKENING]]="","",TRANSHARI7_ICECREAMMALAM[[#This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IFERROR(VLOOKUP(TRANSHARI7_ICECREAMPAGI[[#This Row],[PRODUK]],DATA_ICECREAM[],9,FALSE),"")</f>
        <v/>
      </c>
      <c r="E264" s="374"/>
      <c r="F264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4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4" s="12"/>
      <c r="I264" s="384" t="str">
        <f>IFERROR(IF(TRANSHARI7_ICECREAMPAGI[[#This Row],[NAMA REKENING]]="","",TRANSHARI7_ICECREAMPAGI[[#This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IFERROR(VLOOKUP(TRANSHARI7_ICECREAMMALAM[[#This Row],[PRODUK]],DATA_ICECREAM[],9,FALSE),"")</f>
        <v/>
      </c>
      <c r="T264" s="374"/>
      <c r="U264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4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4" s="12"/>
      <c r="X264" s="384" t="str">
        <f>IFERROR(IF(TRANSHARI7_ICECREAMMALAM[[#This Row],[NAMA REKENING]]="","",TRANSHARI7_ICECREAMMALAM[[#This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IFERROR(VLOOKUP(TRANSHARI7_ICECREAMPAGI[[#This Row],[PRODUK]],DATA_ICECREAM[],9,FALSE),"")</f>
        <v/>
      </c>
      <c r="E265" s="374"/>
      <c r="F265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5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5" s="12"/>
      <c r="I265" s="386" t="str">
        <f>IFERROR(IF(TRANSHARI7_ICECREAMPAGI[[#This Row],[NAMA REKENING]]="","",TRANSHARI7_ICECREAMPAGI[[#This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IFERROR(VLOOKUP(TRANSHARI7_ICECREAMMALAM[[#This Row],[PRODUK]],DATA_ICECREAM[],9,FALSE),"")</f>
        <v/>
      </c>
      <c r="T265" s="374"/>
      <c r="U265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5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5" s="12"/>
      <c r="X265" s="386" t="str">
        <f>IFERROR(IF(TRANSHARI7_ICECREAMMALAM[[#This Row],[NAMA REKENING]]="","",TRANSHARI7_ICECREAMMALAM[[#This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IFERROR(VLOOKUP(TRANSHARI7_ICECREAMPAGI[[#This Row],[PRODUK]],DATA_ICECREAM[],9,FALSE),"")</f>
        <v/>
      </c>
      <c r="E266" s="374"/>
      <c r="F266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6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6" s="12"/>
      <c r="I266" s="384" t="str">
        <f>IFERROR(IF(TRANSHARI7_ICECREAMPAGI[[#This Row],[NAMA REKENING]]="","",TRANSHARI7_ICECREAMPAGI[[#This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IFERROR(VLOOKUP(TRANSHARI7_ICECREAMMALAM[[#This Row],[PRODUK]],DATA_ICECREAM[],9,FALSE),"")</f>
        <v/>
      </c>
      <c r="T266" s="374"/>
      <c r="U266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6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6" s="12"/>
      <c r="X266" s="384" t="str">
        <f>IFERROR(IF(TRANSHARI7_ICECREAMMALAM[[#This Row],[NAMA REKENING]]="","",TRANSHARI7_ICECREAMMALAM[[#This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IFERROR(VLOOKUP(TRANSHARI7_ICECREAMPAGI[[#This Row],[PRODUK]],DATA_ICECREAM[],9,FALSE),"")</f>
        <v/>
      </c>
      <c r="E267" s="374"/>
      <c r="F267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7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7" s="12"/>
      <c r="I267" s="386" t="str">
        <f>IFERROR(IF(TRANSHARI7_ICECREAMPAGI[[#This Row],[NAMA REKENING]]="","",TRANSHARI7_ICECREAMPAGI[[#This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IFERROR(VLOOKUP(TRANSHARI7_ICECREAMMALAM[[#This Row],[PRODUK]],DATA_ICECREAM[],9,FALSE),"")</f>
        <v/>
      </c>
      <c r="T267" s="374"/>
      <c r="U267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7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7" s="12"/>
      <c r="X267" s="386" t="str">
        <f>IFERROR(IF(TRANSHARI7_ICECREAMMALAM[[#This Row],[NAMA REKENING]]="","",TRANSHARI7_ICECREAMMALAM[[#This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IFERROR(VLOOKUP(TRANSHARI7_ICECREAMPAGI[[#This Row],[PRODUK]],DATA_ICECREAM[],9,FALSE),"")</f>
        <v/>
      </c>
      <c r="E268" s="374"/>
      <c r="F268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8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8" s="12"/>
      <c r="I268" s="384" t="str">
        <f>IFERROR(IF(TRANSHARI7_ICECREAMPAGI[[#This Row],[NAMA REKENING]]="","",TRANSHARI7_ICECREAMPAGI[[#This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IFERROR(VLOOKUP(TRANSHARI7_ICECREAMMALAM[[#This Row],[PRODUK]],DATA_ICECREAM[],9,FALSE),"")</f>
        <v/>
      </c>
      <c r="T268" s="374"/>
      <c r="U268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8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8" s="12"/>
      <c r="X268" s="384" t="str">
        <f>IFERROR(IF(TRANSHARI7_ICECREAMMALAM[[#This Row],[NAMA REKENING]]="","",TRANSHARI7_ICECREAMMALAM[[#This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IFERROR(VLOOKUP(TRANSHARI7_ICECREAMPAGI[[#This Row],[PRODUK]],DATA_ICECREAM[],9,FALSE),"")</f>
        <v/>
      </c>
      <c r="E269" s="374"/>
      <c r="F269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69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69" s="12"/>
      <c r="I269" s="386" t="str">
        <f>IFERROR(IF(TRANSHARI7_ICECREAMPAGI[[#This Row],[NAMA REKENING]]="","",TRANSHARI7_ICECREAMPAGI[[#This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IFERROR(VLOOKUP(TRANSHARI7_ICECREAMMALAM[[#This Row],[PRODUK]],DATA_ICECREAM[],9,FALSE),"")</f>
        <v/>
      </c>
      <c r="T269" s="374"/>
      <c r="U269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69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69" s="12"/>
      <c r="X269" s="386" t="str">
        <f>IFERROR(IF(TRANSHARI7_ICECREAMMALAM[[#This Row],[NAMA REKENING]]="","",TRANSHARI7_ICECREAMMALAM[[#This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IFERROR(VLOOKUP(TRANSHARI7_ICECREAMPAGI[[#This Row],[PRODUK]],DATA_ICECREAM[],9,FALSE),"")</f>
        <v/>
      </c>
      <c r="E270" s="374"/>
      <c r="F270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0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0" s="12"/>
      <c r="I270" s="384" t="str">
        <f>IFERROR(IF(TRANSHARI7_ICECREAMPAGI[[#This Row],[NAMA REKENING]]="","",TRANSHARI7_ICECREAMPAGI[[#This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IFERROR(VLOOKUP(TRANSHARI7_ICECREAMMALAM[[#This Row],[PRODUK]],DATA_ICECREAM[],9,FALSE),"")</f>
        <v/>
      </c>
      <c r="T270" s="374"/>
      <c r="U270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0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0" s="12"/>
      <c r="X270" s="384" t="str">
        <f>IFERROR(IF(TRANSHARI7_ICECREAMMALAM[[#This Row],[NAMA REKENING]]="","",TRANSHARI7_ICECREAMMALAM[[#This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IFERROR(VLOOKUP(TRANSHARI7_ICECREAMPAGI[[#This Row],[PRODUK]],DATA_ICECREAM[],9,FALSE),"")</f>
        <v/>
      </c>
      <c r="E271" s="374"/>
      <c r="F271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1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1" s="12"/>
      <c r="I271" s="386" t="str">
        <f>IFERROR(IF(TRANSHARI7_ICECREAMPAGI[[#This Row],[NAMA REKENING]]="","",TRANSHARI7_ICECREAMPAGI[[#This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IFERROR(VLOOKUP(TRANSHARI7_ICECREAMMALAM[[#This Row],[PRODUK]],DATA_ICECREAM[],9,FALSE),"")</f>
        <v/>
      </c>
      <c r="T271" s="374"/>
      <c r="U271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1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1" s="12"/>
      <c r="X271" s="386" t="str">
        <f>IFERROR(IF(TRANSHARI7_ICECREAMMALAM[[#This Row],[NAMA REKENING]]="","",TRANSHARI7_ICECREAMMALAM[[#This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IFERROR(VLOOKUP(TRANSHARI7_ICECREAMPAGI[[#This Row],[PRODUK]],DATA_ICECREAM[],9,FALSE),"")</f>
        <v/>
      </c>
      <c r="E272" s="374"/>
      <c r="F272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2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2" s="12"/>
      <c r="I272" s="384" t="str">
        <f>IFERROR(IF(TRANSHARI7_ICECREAMPAGI[[#This Row],[NAMA REKENING]]="","",TRANSHARI7_ICECREAMPAGI[[#This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IFERROR(VLOOKUP(TRANSHARI7_ICECREAMMALAM[[#This Row],[PRODUK]],DATA_ICECREAM[],9,FALSE),"")</f>
        <v/>
      </c>
      <c r="T272" s="374"/>
      <c r="U272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2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2" s="12"/>
      <c r="X272" s="384" t="str">
        <f>IFERROR(IF(TRANSHARI7_ICECREAMMALAM[[#This Row],[NAMA REKENING]]="","",TRANSHARI7_ICECREAMMALAM[[#This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IFERROR(VLOOKUP(TRANSHARI7_ICECREAMPAGI[[#This Row],[PRODUK]],DATA_ICECREAM[],9,FALSE),"")</f>
        <v/>
      </c>
      <c r="E273" s="374"/>
      <c r="F273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3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3" s="12"/>
      <c r="I273" s="386" t="str">
        <f>IFERROR(IF(TRANSHARI7_ICECREAMPAGI[[#This Row],[NAMA REKENING]]="","",TRANSHARI7_ICECREAMPAGI[[#This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IFERROR(VLOOKUP(TRANSHARI7_ICECREAMMALAM[[#This Row],[PRODUK]],DATA_ICECREAM[],9,FALSE),"")</f>
        <v/>
      </c>
      <c r="T273" s="374"/>
      <c r="U273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3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3" s="12"/>
      <c r="X273" s="386" t="str">
        <f>IFERROR(IF(TRANSHARI7_ICECREAMMALAM[[#This Row],[NAMA REKENING]]="","",TRANSHARI7_ICECREAMMALAM[[#This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IFERROR(VLOOKUP(TRANSHARI7_ICECREAMPAGI[[#This Row],[PRODUK]],DATA_ICECREAM[],9,FALSE),"")</f>
        <v/>
      </c>
      <c r="E274" s="374"/>
      <c r="F274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4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4" s="12"/>
      <c r="I274" s="384" t="str">
        <f>IFERROR(IF(TRANSHARI7_ICECREAMPAGI[[#This Row],[NAMA REKENING]]="","",TRANSHARI7_ICECREAMPAGI[[#This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IFERROR(VLOOKUP(TRANSHARI7_ICECREAMMALAM[[#This Row],[PRODUK]],DATA_ICECREAM[],9,FALSE),"")</f>
        <v/>
      </c>
      <c r="T274" s="374"/>
      <c r="U274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4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4" s="12"/>
      <c r="X274" s="384" t="str">
        <f>IFERROR(IF(TRANSHARI7_ICECREAMMALAM[[#This Row],[NAMA REKENING]]="","",TRANSHARI7_ICECREAMMALAM[[#This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IFERROR(VLOOKUP(TRANSHARI7_ICECREAMPAGI[[#This Row],[PRODUK]],DATA_ICECREAM[],9,FALSE),"")</f>
        <v/>
      </c>
      <c r="E275" s="374"/>
      <c r="F275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5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5" s="12"/>
      <c r="I275" s="386" t="str">
        <f>IFERROR(IF(TRANSHARI7_ICECREAMPAGI[[#This Row],[NAMA REKENING]]="","",TRANSHARI7_ICECREAMPAGI[[#This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IFERROR(VLOOKUP(TRANSHARI7_ICECREAMMALAM[[#This Row],[PRODUK]],DATA_ICECREAM[],9,FALSE),"")</f>
        <v/>
      </c>
      <c r="T275" s="374"/>
      <c r="U275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5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5" s="12"/>
      <c r="X275" s="386" t="str">
        <f>IFERROR(IF(TRANSHARI7_ICECREAMMALAM[[#This Row],[NAMA REKENING]]="","",TRANSHARI7_ICECREAMMALAM[[#This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IFERROR(VLOOKUP(TRANSHARI7_ICECREAMPAGI[[#This Row],[PRODUK]],DATA_ICECREAM[],9,FALSE),"")</f>
        <v/>
      </c>
      <c r="E276" s="374"/>
      <c r="F276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6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6" s="12"/>
      <c r="I276" s="384" t="str">
        <f>IFERROR(IF(TRANSHARI7_ICECREAMPAGI[[#This Row],[NAMA REKENING]]="","",TRANSHARI7_ICECREAMPAGI[[#This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IFERROR(VLOOKUP(TRANSHARI7_ICECREAMMALAM[[#This Row],[PRODUK]],DATA_ICECREAM[],9,FALSE),"")</f>
        <v/>
      </c>
      <c r="T276" s="374"/>
      <c r="U276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6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6" s="12"/>
      <c r="X276" s="384" t="str">
        <f>IFERROR(IF(TRANSHARI7_ICECREAMMALAM[[#This Row],[NAMA REKENING]]="","",TRANSHARI7_ICECREAMMALAM[[#This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IFERROR(VLOOKUP(TRANSHARI7_ICECREAMPAGI[[#This Row],[PRODUK]],DATA_ICECREAM[],9,FALSE),"")</f>
        <v/>
      </c>
      <c r="E277" s="374"/>
      <c r="F277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7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7" s="12"/>
      <c r="I277" s="386" t="str">
        <f>IFERROR(IF(TRANSHARI7_ICECREAMPAGI[[#This Row],[NAMA REKENING]]="","",TRANSHARI7_ICECREAMPAGI[[#This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IFERROR(VLOOKUP(TRANSHARI7_ICECREAMMALAM[[#This Row],[PRODUK]],DATA_ICECREAM[],9,FALSE),"")</f>
        <v/>
      </c>
      <c r="T277" s="374"/>
      <c r="U277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7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7" s="12"/>
      <c r="X277" s="386" t="str">
        <f>IFERROR(IF(TRANSHARI7_ICECREAMMALAM[[#This Row],[NAMA REKENING]]="","",TRANSHARI7_ICECREAMMALAM[[#This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IFERROR(VLOOKUP(TRANSHARI7_ICECREAMPAGI[[#This Row],[PRODUK]],DATA_ICECREAM[],9,FALSE),"")</f>
        <v/>
      </c>
      <c r="E278" s="374"/>
      <c r="F278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8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8" s="12"/>
      <c r="I278" s="384" t="str">
        <f>IFERROR(IF(TRANSHARI7_ICECREAMPAGI[[#This Row],[NAMA REKENING]]="","",TRANSHARI7_ICECREAMPAGI[[#This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IFERROR(VLOOKUP(TRANSHARI7_ICECREAMMALAM[[#This Row],[PRODUK]],DATA_ICECREAM[],9,FALSE),"")</f>
        <v/>
      </c>
      <c r="T278" s="374"/>
      <c r="U278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8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8" s="12"/>
      <c r="X278" s="384" t="str">
        <f>IFERROR(IF(TRANSHARI7_ICECREAMMALAM[[#This Row],[NAMA REKENING]]="","",TRANSHARI7_ICECREAMMALAM[[#This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IFERROR(VLOOKUP(TRANSHARI7_ICECREAMPAGI[[#This Row],[PRODUK]],DATA_ICECREAM[],9,FALSE),"")</f>
        <v/>
      </c>
      <c r="E279" s="374"/>
      <c r="F279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79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79" s="12"/>
      <c r="I279" s="386" t="str">
        <f>IFERROR(IF(TRANSHARI7_ICECREAMPAGI[[#This Row],[NAMA REKENING]]="","",TRANSHARI7_ICECREAMPAGI[[#This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IFERROR(VLOOKUP(TRANSHARI7_ICECREAMMALAM[[#This Row],[PRODUK]],DATA_ICECREAM[],9,FALSE),"")</f>
        <v/>
      </c>
      <c r="T279" s="374"/>
      <c r="U279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79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79" s="12"/>
      <c r="X279" s="386" t="str">
        <f>IFERROR(IF(TRANSHARI7_ICECREAMMALAM[[#This Row],[NAMA REKENING]]="","",TRANSHARI7_ICECREAMMALAM[[#This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IFERROR(VLOOKUP(TRANSHARI7_ICECREAMPAGI[[#This Row],[PRODUK]],DATA_ICECREAM[],9,FALSE),"")</f>
        <v/>
      </c>
      <c r="E280" s="374"/>
      <c r="F280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0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0" s="12"/>
      <c r="I280" s="384" t="str">
        <f>IFERROR(IF(TRANSHARI7_ICECREAMPAGI[[#This Row],[NAMA REKENING]]="","",TRANSHARI7_ICECREAMPAGI[[#This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IFERROR(VLOOKUP(TRANSHARI7_ICECREAMMALAM[[#This Row],[PRODUK]],DATA_ICECREAM[],9,FALSE),"")</f>
        <v/>
      </c>
      <c r="T280" s="374"/>
      <c r="U280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0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0" s="12"/>
      <c r="X280" s="384" t="str">
        <f>IFERROR(IF(TRANSHARI7_ICECREAMMALAM[[#This Row],[NAMA REKENING]]="","",TRANSHARI7_ICECREAMMALAM[[#This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IFERROR(VLOOKUP(TRANSHARI7_ICECREAMPAGI[[#This Row],[PRODUK]],DATA_ICECREAM[],9,FALSE),"")</f>
        <v/>
      </c>
      <c r="E281" s="376"/>
      <c r="F281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1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1" s="377"/>
      <c r="I281" s="386" t="str">
        <f>IFERROR(IF(TRANSHARI7_ICECREAMPAGI[[#This Row],[NAMA REKENING]]="","",TRANSHARI7_ICECREAMPAGI[[#This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IFERROR(VLOOKUP(TRANSHARI7_ICECREAMMALAM[[#This Row],[PRODUK]],DATA_ICECREAM[],9,FALSE),"")</f>
        <v/>
      </c>
      <c r="T281" s="376"/>
      <c r="U281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1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1" s="377"/>
      <c r="X281" s="386" t="str">
        <f>IFERROR(IF(TRANSHARI7_ICECREAMMALAM[[#This Row],[NAMA REKENING]]="","",TRANSHARI7_ICECREAMMALAM[[#This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IFERROR(VLOOKUP(TRANSHARI7_ICECREAMPAGI[[#This Row],[PRODUK]],DATA_ICECREAM[],9,FALSE),"")</f>
        <v/>
      </c>
      <c r="E282" s="374"/>
      <c r="F282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2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2" s="12"/>
      <c r="I282" s="384" t="str">
        <f>IFERROR(IF(TRANSHARI7_ICECREAMPAGI[[#This Row],[NAMA REKENING]]="","",TRANSHARI7_ICECREAMPAGI[[#This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IFERROR(VLOOKUP(TRANSHARI7_ICECREAMMALAM[[#This Row],[PRODUK]],DATA_ICECREAM[],9,FALSE),"")</f>
        <v/>
      </c>
      <c r="T282" s="374"/>
      <c r="U282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2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2" s="12"/>
      <c r="X282" s="384" t="str">
        <f>IFERROR(IF(TRANSHARI7_ICECREAMMALAM[[#This Row],[NAMA REKENING]]="","",TRANSHARI7_ICECREAMMALAM[[#This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IFERROR(VLOOKUP(TRANSHARI7_ICECREAMPAGI[[#This Row],[PRODUK]],DATA_ICECREAM[],9,FALSE),"")</f>
        <v/>
      </c>
      <c r="E283" s="374"/>
      <c r="F283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3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3" s="12"/>
      <c r="I283" s="386" t="str">
        <f>IFERROR(IF(TRANSHARI7_ICECREAMPAGI[[#This Row],[NAMA REKENING]]="","",TRANSHARI7_ICECREAMPAGI[[#This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IFERROR(VLOOKUP(TRANSHARI7_ICECREAMMALAM[[#This Row],[PRODUK]],DATA_ICECREAM[],9,FALSE),"")</f>
        <v/>
      </c>
      <c r="T283" s="374"/>
      <c r="U283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3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3" s="12"/>
      <c r="X283" s="386" t="str">
        <f>IFERROR(IF(TRANSHARI7_ICECREAMMALAM[[#This Row],[NAMA REKENING]]="","",TRANSHARI7_ICECREAMMALAM[[#This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IFERROR(VLOOKUP(TRANSHARI7_ICECREAMPAGI[[#This Row],[PRODUK]],DATA_ICECREAM[],9,FALSE),"")</f>
        <v/>
      </c>
      <c r="E284" s="374"/>
      <c r="F284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4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4" s="12"/>
      <c r="I284" s="384" t="str">
        <f>IFERROR(IF(TRANSHARI7_ICECREAMPAGI[[#This Row],[NAMA REKENING]]="","",TRANSHARI7_ICECREAMPAGI[[#This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IFERROR(VLOOKUP(TRANSHARI7_ICECREAMMALAM[[#This Row],[PRODUK]],DATA_ICECREAM[],9,FALSE),"")</f>
        <v/>
      </c>
      <c r="T284" s="374"/>
      <c r="U284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4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4" s="12"/>
      <c r="X284" s="384" t="str">
        <f>IFERROR(IF(TRANSHARI7_ICECREAMMALAM[[#This Row],[NAMA REKENING]]="","",TRANSHARI7_ICECREAMMALAM[[#This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IFERROR(VLOOKUP(TRANSHARI7_ICECREAMPAGI[[#This Row],[PRODUK]],DATA_ICECREAM[],9,FALSE),"")</f>
        <v/>
      </c>
      <c r="E285" s="374"/>
      <c r="F285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5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5" s="12"/>
      <c r="I285" s="386" t="str">
        <f>IFERROR(IF(TRANSHARI7_ICECREAMPAGI[[#This Row],[NAMA REKENING]]="","",TRANSHARI7_ICECREAMPAGI[[#This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IFERROR(VLOOKUP(TRANSHARI7_ICECREAMMALAM[[#This Row],[PRODUK]],DATA_ICECREAM[],9,FALSE),"")</f>
        <v/>
      </c>
      <c r="T285" s="374"/>
      <c r="U285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5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5" s="12"/>
      <c r="X285" s="386" t="str">
        <f>IFERROR(IF(TRANSHARI7_ICECREAMMALAM[[#This Row],[NAMA REKENING]]="","",TRANSHARI7_ICECREAMMALAM[[#This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IFERROR(VLOOKUP(TRANSHARI7_ICECREAMPAGI[[#This Row],[PRODUK]],DATA_ICECREAM[],9,FALSE),"")</f>
        <v/>
      </c>
      <c r="E286" s="374"/>
      <c r="F286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6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6" s="12"/>
      <c r="I286" s="384" t="str">
        <f>IFERROR(IF(TRANSHARI7_ICECREAMPAGI[[#This Row],[NAMA REKENING]]="","",TRANSHARI7_ICECREAMPAGI[[#This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IFERROR(VLOOKUP(TRANSHARI7_ICECREAMMALAM[[#This Row],[PRODUK]],DATA_ICECREAM[],9,FALSE),"")</f>
        <v/>
      </c>
      <c r="T286" s="374"/>
      <c r="U286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6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6" s="12"/>
      <c r="X286" s="384" t="str">
        <f>IFERROR(IF(TRANSHARI7_ICECREAMMALAM[[#This Row],[NAMA REKENING]]="","",TRANSHARI7_ICECREAMMALAM[[#This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IFERROR(VLOOKUP(TRANSHARI7_ICECREAMPAGI[[#This Row],[PRODUK]],DATA_ICECREAM[],9,FALSE),"")</f>
        <v/>
      </c>
      <c r="E287" s="374"/>
      <c r="F287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7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7" s="12"/>
      <c r="I287" s="386" t="str">
        <f>IFERROR(IF(TRANSHARI7_ICECREAMPAGI[[#This Row],[NAMA REKENING]]="","",TRANSHARI7_ICECREAMPAGI[[#This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IFERROR(VLOOKUP(TRANSHARI7_ICECREAMMALAM[[#This Row],[PRODUK]],DATA_ICECREAM[],9,FALSE),"")</f>
        <v/>
      </c>
      <c r="T287" s="374"/>
      <c r="U287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7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7" s="12"/>
      <c r="X287" s="386" t="str">
        <f>IFERROR(IF(TRANSHARI7_ICECREAMMALAM[[#This Row],[NAMA REKENING]]="","",TRANSHARI7_ICECREAMMALAM[[#This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IFERROR(VLOOKUP(TRANSHARI7_ICECREAMPAGI[[#This Row],[PRODUK]],DATA_ICECREAM[],9,FALSE),"")</f>
        <v/>
      </c>
      <c r="E288" s="374"/>
      <c r="F288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8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8" s="12"/>
      <c r="I288" s="384" t="str">
        <f>IFERROR(IF(TRANSHARI7_ICECREAMPAGI[[#This Row],[NAMA REKENING]]="","",TRANSHARI7_ICECREAMPAGI[[#This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IFERROR(VLOOKUP(TRANSHARI7_ICECREAMMALAM[[#This Row],[PRODUK]],DATA_ICECREAM[],9,FALSE),"")</f>
        <v/>
      </c>
      <c r="T288" s="374"/>
      <c r="U288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8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8" s="12"/>
      <c r="X288" s="384" t="str">
        <f>IFERROR(IF(TRANSHARI7_ICECREAMMALAM[[#This Row],[NAMA REKENING]]="","",TRANSHARI7_ICECREAMMALAM[[#This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IFERROR(VLOOKUP(TRANSHARI7_ICECREAMPAGI[[#This Row],[PRODUK]],DATA_ICECREAM[],9,FALSE),"")</f>
        <v/>
      </c>
      <c r="E289" s="374"/>
      <c r="F289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89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89" s="12"/>
      <c r="I289" s="386" t="str">
        <f>IFERROR(IF(TRANSHARI7_ICECREAMPAGI[[#This Row],[NAMA REKENING]]="","",TRANSHARI7_ICECREAMPAGI[[#This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IFERROR(VLOOKUP(TRANSHARI7_ICECREAMMALAM[[#This Row],[PRODUK]],DATA_ICECREAM[],9,FALSE),"")</f>
        <v/>
      </c>
      <c r="T289" s="374"/>
      <c r="U289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89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89" s="12"/>
      <c r="X289" s="386" t="str">
        <f>IFERROR(IF(TRANSHARI7_ICECREAMMALAM[[#This Row],[NAMA REKENING]]="","",TRANSHARI7_ICECREAMMALAM[[#This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IFERROR(VLOOKUP(TRANSHARI7_ICECREAMPAGI[[#This Row],[PRODUK]],DATA_ICECREAM[],9,FALSE),"")</f>
        <v/>
      </c>
      <c r="E290" s="374"/>
      <c r="F290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0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0" s="12"/>
      <c r="I290" s="384" t="str">
        <f>IFERROR(IF(TRANSHARI7_ICECREAMPAGI[[#This Row],[NAMA REKENING]]="","",TRANSHARI7_ICECREAMPAGI[[#This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IFERROR(VLOOKUP(TRANSHARI7_ICECREAMMALAM[[#This Row],[PRODUK]],DATA_ICECREAM[],9,FALSE),"")</f>
        <v/>
      </c>
      <c r="T290" s="374"/>
      <c r="U290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0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0" s="12"/>
      <c r="X290" s="384" t="str">
        <f>IFERROR(IF(TRANSHARI7_ICECREAMMALAM[[#This Row],[NAMA REKENING]]="","",TRANSHARI7_ICECREAMMALAM[[#This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IFERROR(VLOOKUP(TRANSHARI7_ICECREAMPAGI[[#This Row],[PRODUK]],DATA_ICECREAM[],9,FALSE),"")</f>
        <v/>
      </c>
      <c r="E291" s="374"/>
      <c r="F291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1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1" s="12"/>
      <c r="I291" s="386" t="str">
        <f>IFERROR(IF(TRANSHARI7_ICECREAMPAGI[[#This Row],[NAMA REKENING]]="","",TRANSHARI7_ICECREAMPAGI[[#This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IFERROR(VLOOKUP(TRANSHARI7_ICECREAMMALAM[[#This Row],[PRODUK]],DATA_ICECREAM[],9,FALSE),"")</f>
        <v/>
      </c>
      <c r="T291" s="374"/>
      <c r="U291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1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1" s="12"/>
      <c r="X291" s="386" t="str">
        <f>IFERROR(IF(TRANSHARI7_ICECREAMMALAM[[#This Row],[NAMA REKENING]]="","",TRANSHARI7_ICECREAMMALAM[[#This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IFERROR(VLOOKUP(TRANSHARI7_ICECREAMPAGI[[#This Row],[PRODUK]],DATA_ICECREAM[],9,FALSE),"")</f>
        <v/>
      </c>
      <c r="E292" s="374"/>
      <c r="F292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2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2" s="12"/>
      <c r="I292" s="384" t="str">
        <f>IFERROR(IF(TRANSHARI7_ICECREAMPAGI[[#This Row],[NAMA REKENING]]="","",TRANSHARI7_ICECREAMPAGI[[#This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IFERROR(VLOOKUP(TRANSHARI7_ICECREAMMALAM[[#This Row],[PRODUK]],DATA_ICECREAM[],9,FALSE),"")</f>
        <v/>
      </c>
      <c r="T292" s="374"/>
      <c r="U292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2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2" s="12"/>
      <c r="X292" s="384" t="str">
        <f>IFERROR(IF(TRANSHARI7_ICECREAMMALAM[[#This Row],[NAMA REKENING]]="","",TRANSHARI7_ICECREAMMALAM[[#This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IFERROR(VLOOKUP(TRANSHARI7_ICECREAMPAGI[[#This Row],[PRODUK]],DATA_ICECREAM[],9,FALSE),"")</f>
        <v/>
      </c>
      <c r="E293" s="374"/>
      <c r="F293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3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3" s="12"/>
      <c r="I293" s="386" t="str">
        <f>IFERROR(IF(TRANSHARI7_ICECREAMPAGI[[#This Row],[NAMA REKENING]]="","",TRANSHARI7_ICECREAMPAGI[[#This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IFERROR(VLOOKUP(TRANSHARI7_ICECREAMMALAM[[#This Row],[PRODUK]],DATA_ICECREAM[],9,FALSE),"")</f>
        <v/>
      </c>
      <c r="T293" s="374"/>
      <c r="U293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3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3" s="12"/>
      <c r="X293" s="386" t="str">
        <f>IFERROR(IF(TRANSHARI7_ICECREAMMALAM[[#This Row],[NAMA REKENING]]="","",TRANSHARI7_ICECREAMMALAM[[#This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IFERROR(VLOOKUP(TRANSHARI7_ICECREAMPAGI[[#This Row],[PRODUK]],DATA_ICECREAM[],9,FALSE),"")</f>
        <v/>
      </c>
      <c r="E294" s="374"/>
      <c r="F294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4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4" s="12"/>
      <c r="I294" s="384" t="str">
        <f>IFERROR(IF(TRANSHARI7_ICECREAMPAGI[[#This Row],[NAMA REKENING]]="","",TRANSHARI7_ICECREAMPAGI[[#This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IFERROR(VLOOKUP(TRANSHARI7_ICECREAMMALAM[[#This Row],[PRODUK]],DATA_ICECREAM[],9,FALSE),"")</f>
        <v/>
      </c>
      <c r="T294" s="374"/>
      <c r="U294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4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4" s="12"/>
      <c r="X294" s="384" t="str">
        <f>IFERROR(IF(TRANSHARI7_ICECREAMMALAM[[#This Row],[NAMA REKENING]]="","",TRANSHARI7_ICECREAMMALAM[[#This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IFERROR(VLOOKUP(TRANSHARI7_ICECREAMPAGI[[#This Row],[PRODUK]],DATA_ICECREAM[],9,FALSE),"")</f>
        <v/>
      </c>
      <c r="E295" s="374"/>
      <c r="F295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5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5" s="12"/>
      <c r="I295" s="386" t="str">
        <f>IFERROR(IF(TRANSHARI7_ICECREAMPAGI[[#This Row],[NAMA REKENING]]="","",TRANSHARI7_ICECREAMPAGI[[#This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IFERROR(VLOOKUP(TRANSHARI7_ICECREAMMALAM[[#This Row],[PRODUK]],DATA_ICECREAM[],9,FALSE),"")</f>
        <v/>
      </c>
      <c r="T295" s="374"/>
      <c r="U295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5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5" s="12"/>
      <c r="X295" s="386" t="str">
        <f>IFERROR(IF(TRANSHARI7_ICECREAMMALAM[[#This Row],[NAMA REKENING]]="","",TRANSHARI7_ICECREAMMALAM[[#This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IFERROR(VLOOKUP(TRANSHARI7_ICECREAMPAGI[[#This Row],[PRODUK]],DATA_ICECREAM[],9,FALSE),"")</f>
        <v/>
      </c>
      <c r="E296" s="374"/>
      <c r="F296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6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6" s="12"/>
      <c r="I296" s="384" t="str">
        <f>IFERROR(IF(TRANSHARI7_ICECREAMPAGI[[#This Row],[NAMA REKENING]]="","",TRANSHARI7_ICECREAMPAGI[[#This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IFERROR(VLOOKUP(TRANSHARI7_ICECREAMMALAM[[#This Row],[PRODUK]],DATA_ICECREAM[],9,FALSE),"")</f>
        <v/>
      </c>
      <c r="T296" s="374"/>
      <c r="U296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6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6" s="12"/>
      <c r="X296" s="384" t="str">
        <f>IFERROR(IF(TRANSHARI7_ICECREAMMALAM[[#This Row],[NAMA REKENING]]="","",TRANSHARI7_ICECREAMMALAM[[#This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IFERROR(VLOOKUP(TRANSHARI7_ICECREAMPAGI[[#This Row],[PRODUK]],DATA_ICECREAM[],9,FALSE),"")</f>
        <v/>
      </c>
      <c r="E297" s="374"/>
      <c r="F297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7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7" s="12"/>
      <c r="I297" s="386" t="str">
        <f>IFERROR(IF(TRANSHARI7_ICECREAMPAGI[[#This Row],[NAMA REKENING]]="","",TRANSHARI7_ICECREAMPAGI[[#This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IFERROR(VLOOKUP(TRANSHARI7_ICECREAMMALAM[[#This Row],[PRODUK]],DATA_ICECREAM[],9,FALSE),"")</f>
        <v/>
      </c>
      <c r="T297" s="374"/>
      <c r="U297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7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7" s="12"/>
      <c r="X297" s="386" t="str">
        <f>IFERROR(IF(TRANSHARI7_ICECREAMMALAM[[#This Row],[NAMA REKENING]]="","",TRANSHARI7_ICECREAMMALAM[[#This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IFERROR(VLOOKUP(TRANSHARI7_ICECREAMPAGI[[#This Row],[PRODUK]],DATA_ICECREAM[],9,FALSE),"")</f>
        <v/>
      </c>
      <c r="E298" s="374"/>
      <c r="F298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8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8" s="12"/>
      <c r="I298" s="384" t="str">
        <f>IFERROR(IF(TRANSHARI7_ICECREAMPAGI[[#This Row],[NAMA REKENING]]="","",TRANSHARI7_ICECREAMPAGI[[#This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IFERROR(VLOOKUP(TRANSHARI7_ICECREAMMALAM[[#This Row],[PRODUK]],DATA_ICECREAM[],9,FALSE),"")</f>
        <v/>
      </c>
      <c r="T298" s="374"/>
      <c r="U298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8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8" s="12"/>
      <c r="X298" s="384" t="str">
        <f>IFERROR(IF(TRANSHARI7_ICECREAMMALAM[[#This Row],[NAMA REKENING]]="","",TRANSHARI7_ICECREAMMALAM[[#This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IFERROR(VLOOKUP(TRANSHARI7_ICECREAMPAGI[[#This Row],[PRODUK]],DATA_ICECREAM[],9,FALSE),"")</f>
        <v/>
      </c>
      <c r="E299" s="374"/>
      <c r="F299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299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299" s="12"/>
      <c r="I299" s="386" t="str">
        <f>IFERROR(IF(TRANSHARI7_ICECREAMPAGI[[#This Row],[NAMA REKENING]]="","",TRANSHARI7_ICECREAMPAGI[[#This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IFERROR(VLOOKUP(TRANSHARI7_ICECREAMMALAM[[#This Row],[PRODUK]],DATA_ICECREAM[],9,FALSE),"")</f>
        <v/>
      </c>
      <c r="T299" s="374"/>
      <c r="U299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299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299" s="12"/>
      <c r="X299" s="386" t="str">
        <f>IFERROR(IF(TRANSHARI7_ICECREAMMALAM[[#This Row],[NAMA REKENING]]="","",TRANSHARI7_ICECREAMMALAM[[#This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IFERROR(VLOOKUP(TRANSHARI7_ICECREAMPAGI[[#This Row],[PRODUK]],DATA_ICECREAM[],9,FALSE),"")</f>
        <v/>
      </c>
      <c r="E300" s="374"/>
      <c r="F300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300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300" s="12"/>
      <c r="I300" s="384" t="str">
        <f>IFERROR(IF(TRANSHARI7_ICECREAMPAGI[[#This Row],[NAMA REKENING]]="","",TRANSHARI7_ICECREAMPAGI[[#This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IFERROR(VLOOKUP(TRANSHARI7_ICECREAMMALAM[[#This Row],[PRODUK]],DATA_ICECREAM[],9,FALSE),"")</f>
        <v/>
      </c>
      <c r="T300" s="374"/>
      <c r="U300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300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300" s="12"/>
      <c r="X300" s="384" t="str">
        <f>IFERROR(IF(TRANSHARI7_ICECREAMMALAM[[#This Row],[NAMA REKENING]]="","",TRANSHARI7_ICECREAMMALAM[[#This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IFERROR(VLOOKUP(TRANSHARI7_ICECREAMPAGI[[#This Row],[PRODUK]],DATA_ICECREAM[],9,FALSE),"")</f>
        <v/>
      </c>
      <c r="E301" s="374"/>
      <c r="F301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301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301" s="12"/>
      <c r="I301" s="386" t="str">
        <f>IFERROR(IF(TRANSHARI7_ICECREAMPAGI[[#This Row],[NAMA REKENING]]="","",TRANSHARI7_ICECREAMPAGI[[#This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IFERROR(VLOOKUP(TRANSHARI7_ICECREAMMALAM[[#This Row],[PRODUK]],DATA_ICECREAM[],9,FALSE),"")</f>
        <v/>
      </c>
      <c r="T301" s="374"/>
      <c r="U301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301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301" s="12"/>
      <c r="X301" s="386" t="str">
        <f>IFERROR(IF(TRANSHARI7_ICECREAMMALAM[[#This Row],[NAMA REKENING]]="","",TRANSHARI7_ICECREAMMALAM[[#This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IFERROR(VLOOKUP(TRANSHARI7_ICECREAMPAGI[[#This Row],[PRODUK]],DATA_ICECREAM[],9,FALSE),"")</f>
        <v/>
      </c>
      <c r="E302" s="374"/>
      <c r="F302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302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302" s="12"/>
      <c r="I302" s="384" t="str">
        <f>IFERROR(IF(TRANSHARI7_ICECREAMPAGI[[#This Row],[NAMA REKENING]]="","",TRANSHARI7_ICECREAMPAGI[[#This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IFERROR(VLOOKUP(TRANSHARI7_ICECREAMMALAM[[#This Row],[PRODUK]],DATA_ICECREAM[],9,FALSE),"")</f>
        <v/>
      </c>
      <c r="T302" s="374"/>
      <c r="U302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302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302" s="12"/>
      <c r="X302" s="384" t="str">
        <f>IFERROR(IF(TRANSHARI7_ICECREAMMALAM[[#This Row],[NAMA REKENING]]="","",TRANSHARI7_ICECREAMMALAM[[#This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IFERROR(VLOOKUP(TRANSHARI7_ICECREAMPAGI[[#This Row],[PRODUK]],DATA_ICECREAM[],9,FALSE),"")</f>
        <v/>
      </c>
      <c r="E303" s="374"/>
      <c r="F303" s="373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303" s="373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303" s="12"/>
      <c r="I303" s="386" t="str">
        <f>IFERROR(IF(TRANSHARI7_ICECREAMPAGI[[#This Row],[NAMA REKENING]]="","",TRANSHARI7_ICECREAMPAGI[[#This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IFERROR(VLOOKUP(TRANSHARI7_ICECREAMMALAM[[#This Row],[PRODUK]],DATA_ICECREAM[],9,FALSE),"")</f>
        <v/>
      </c>
      <c r="T303" s="374"/>
      <c r="U303" s="373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303" s="373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303" s="12"/>
      <c r="X303" s="386" t="str">
        <f>IFERROR(IF(TRANSHARI7_ICECREAMMALAM[[#This Row],[NAMA REKENING]]="","",TRANSHARI7_ICECREAMMALAM[[#This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IFERROR(VLOOKUP(TRANSHARI7_ICECREAMPAGI[[#This Row],[PRODUK]],DATA_ICECREAM[],9,FALSE),"")</f>
        <v/>
      </c>
      <c r="E304" s="374"/>
      <c r="F304" s="369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304" s="369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304" s="12"/>
      <c r="I304" s="384" t="str">
        <f>IFERROR(IF(TRANSHARI7_ICECREAMPAGI[[#This Row],[NAMA REKENING]]="","",TRANSHARI7_ICECREAMPAGI[[#This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IFERROR(VLOOKUP(TRANSHARI7_ICECREAMMALAM[[#This Row],[PRODUK]],DATA_ICECREAM[],9,FALSE),"")</f>
        <v/>
      </c>
      <c r="T304" s="374"/>
      <c r="U304" s="369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304" s="369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304" s="12"/>
      <c r="X304" s="384" t="str">
        <f>IFERROR(IF(TRANSHARI7_ICECREAMMALAM[[#This Row],[NAMA REKENING]]="","",TRANSHARI7_ICECREAMMALAM[[#This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IFERROR(VLOOKUP(TRANSHARI7_ICECREAMPAGI[[#This Row],[PRODUK]],DATA_ICECREAM[],9,FALSE),"")</f>
        <v/>
      </c>
      <c r="E305" s="376"/>
      <c r="F305" s="394" t="str">
        <f>IFERROR(IF(TRANSHARI7_ICECREAMPAGI[[#This Row],[NAMA PENGHUTANG]]="",((TRANSHARI7_ICECREAMPAGI[[#This Row],[HARGA]]*TRANSHARI7_ICECREAMPAGI[[#This Row],[QUANTITY]])+TRANSHARI7_ICECREAMPAGI[[#This Row],[PRICE TOLERANCE]]),""),"")</f>
        <v/>
      </c>
      <c r="G305" s="394" t="str">
        <f>IFERROR(IF(TRANSHARI7_ICECREAMPAGI[[#This Row],[NAMA PENGHUTANG]]="","",((TRANSHARI7_ICECREAMPAGI[[#This Row],[HARGA]]*TRANSHARI7_ICECREAMPAGI[[#This Row],[QUANTITY]])+TRANSHARI7_ICECREAMPAGI[[#This Row],[PRICE TOLERANCE]])),"")</f>
        <v/>
      </c>
      <c r="H305" s="377"/>
      <c r="I305" s="399" t="str">
        <f>IFERROR(IF(TRANSHARI7_ICECREAMPAGI[[#This Row],[NAMA REKENING]]="","",TRANSHARI7_ICECREAMPAGI[[#This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IFERROR(VLOOKUP(TRANSHARI7_ICECREAMMALAM[[#This Row],[PRODUK]],DATA_ICECREAM[],9,FALSE),"")</f>
        <v/>
      </c>
      <c r="T305" s="376"/>
      <c r="U305" s="394" t="str">
        <f>IFERROR(IF(TRANSHARI7_ICECREAMMALAM[[#This Row],[NAMA PENGHUTANG]]="",((TRANSHARI7_ICECREAMMALAM[[#This Row],[HARGA]]*TRANSHARI7_ICECREAMMALAM[[#This Row],[QUANTITY]])+TRANSHARI7_ICECREAMMALAM[[#This Row],[PRICE TOLERANCE]]),""),"")</f>
        <v/>
      </c>
      <c r="V305" s="394" t="str">
        <f>IFERROR(IF(TRANSHARI7_ICECREAMMALAM[[#This Row],[NAMA PENGHUTANG]]="","",((TRANSHARI7_ICECREAMMALAM[[#This Row],[HARGA]]*TRANSHARI7_ICECREAMMALAM[[#This Row],[QUANTITY]])+TRANSHARI7_ICECREAMMALAM[[#This Row],[PRICE TOLERANCE]])),"")</f>
        <v/>
      </c>
      <c r="W305" s="377"/>
      <c r="X305" s="399" t="str">
        <f>IFERROR(IF(TRANSHARI7_ICECREAMMALAM[[#This Row],[NAMA REKENING]]="","",TRANSHARI7_ICECREAMMALAM[[#This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SUM(TRANSHARI7_ICECREAMPAGI[QUANTITY])</f>
        <v>0</v>
      </c>
      <c r="E306" s="398">
        <f>SUM(TRANSHARI7_ICECREAMPAGI[PRICE TOLERANCE])</f>
        <v>0</v>
      </c>
      <c r="F306" s="396">
        <f>SUM(TRANSHARI7_ICECREAMPAGI[DEBIT])</f>
        <v>0</v>
      </c>
      <c r="G306" s="396">
        <f>SUM(TRANSHARI7_ICECREAMPAGI[KREDIT])</f>
        <v>0</v>
      </c>
      <c r="I306" s="396">
        <f>SUM(TRANSHARI7_ICECREAMPAGI[NOMINAL TRANSFER])</f>
        <v>0</v>
      </c>
      <c r="O306" s="324"/>
      <c r="P306" s="303" t="s">
        <v>78</v>
      </c>
      <c r="Q306" s="316"/>
      <c r="R306" s="395">
        <f>SUM(TRANSHARI7_ICECREAMMALAM[QUANTITY])</f>
        <v>0</v>
      </c>
      <c r="T306" s="398">
        <f>SUM(TRANSHARI7_ICECREAMMALAM[PRICE TOLERANCE])</f>
        <v>0</v>
      </c>
      <c r="U306" s="396">
        <f>SUM(TRANSHARI7_ICECREAMMALAM[DEBIT])</f>
        <v>0</v>
      </c>
      <c r="V306" s="396">
        <f>SUM(TRANSHARI7_ICECREAMMALAM[KREDIT])</f>
        <v>0</v>
      </c>
      <c r="X306" s="396">
        <f>SUM(TRANSHARI7_ICECREAMMALAM[NOMINAL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tr">
        <f>A25</f>
        <v>HARI 7 : PAGI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tr">
        <f>P25</f>
        <v>HARI 7 : MALAM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IFERROR(VLOOKUP(TRANSHARI7_ACCPAGI[[#This Row],[PRODUK]],DATA_ACC[],9,FALSE),"")</f>
        <v/>
      </c>
      <c r="E313" s="370"/>
      <c r="F313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13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13" s="371"/>
      <c r="I313" s="384" t="str">
        <f>IFERROR(IF(TRANSHARI7_ACCPAGI[[#This Row],[NAMA REKENING]]="","",TRANSHARI7_ACCPAGI[[#This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IFERROR(VLOOKUP(TRANSHARI7_ACCMALAM[[#This Row],[PRODUK]],DATA_ACC[],9,FALSE),"")</f>
        <v/>
      </c>
      <c r="T313" s="370"/>
      <c r="U313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13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13" s="371"/>
      <c r="X313" s="384" t="str">
        <f>IFERROR(IF(TRANSHARI7_ACCMALAM[[#This Row],[NAMA REKENING]]="","",TRANSHARI7_ACCMALAM[[#This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IFERROR(VLOOKUP(TRANSHARI7_ACCPAGI[[#This Row],[PRODUK]],DATA_ACC[],9,FALSE),"")</f>
        <v/>
      </c>
      <c r="E314" s="374"/>
      <c r="F314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14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14" s="12"/>
      <c r="I314" s="386" t="str">
        <f>IFERROR(IF(TRANSHARI7_ACCPAGI[[#This Row],[NAMA REKENING]]="","",TRANSHARI7_ACCPAGI[[#This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IFERROR(VLOOKUP(TRANSHARI7_ACCMALAM[[#This Row],[PRODUK]],DATA_ACC[],9,FALSE),"")</f>
        <v/>
      </c>
      <c r="T314" s="374"/>
      <c r="U314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14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14" s="12"/>
      <c r="X314" s="386" t="str">
        <f>IFERROR(IF(TRANSHARI7_ACCMALAM[[#This Row],[NAMA REKENING]]="","",TRANSHARI7_ACCMALAM[[#This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IFERROR(VLOOKUP(TRANSHARI7_ACCPAGI[[#This Row],[PRODUK]],DATA_ACC[],9,FALSE),"")</f>
        <v/>
      </c>
      <c r="E315" s="374"/>
      <c r="F315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15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15" s="12"/>
      <c r="I315" s="384" t="str">
        <f>IFERROR(IF(TRANSHARI7_ACCPAGI[[#This Row],[NAMA REKENING]]="","",TRANSHARI7_ACCPAGI[[#This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IFERROR(VLOOKUP(TRANSHARI7_ACCMALAM[[#This Row],[PRODUK]],DATA_ACC[],9,FALSE),"")</f>
        <v/>
      </c>
      <c r="T315" s="374"/>
      <c r="U315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15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15" s="12"/>
      <c r="X315" s="384" t="str">
        <f>IFERROR(IF(TRANSHARI7_ACCMALAM[[#This Row],[NAMA REKENING]]="","",TRANSHARI7_ACCMALAM[[#This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IFERROR(VLOOKUP(TRANSHARI7_ACCPAGI[[#This Row],[PRODUK]],DATA_ACC[],9,FALSE),"")</f>
        <v/>
      </c>
      <c r="E316" s="374"/>
      <c r="F316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16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16" s="12"/>
      <c r="I316" s="386" t="str">
        <f>IFERROR(IF(TRANSHARI7_ACCPAGI[[#This Row],[NAMA REKENING]]="","",TRANSHARI7_ACCPAGI[[#This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IFERROR(VLOOKUP(TRANSHARI7_ACCMALAM[[#This Row],[PRODUK]],DATA_ACC[],9,FALSE),"")</f>
        <v/>
      </c>
      <c r="T316" s="374"/>
      <c r="U316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16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16" s="12"/>
      <c r="X316" s="386" t="str">
        <f>IFERROR(IF(TRANSHARI7_ACCMALAM[[#This Row],[NAMA REKENING]]="","",TRANSHARI7_ACCMALAM[[#This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IFERROR(VLOOKUP(TRANSHARI7_ACCPAGI[[#This Row],[PRODUK]],DATA_ACC[],9,FALSE),"")</f>
        <v/>
      </c>
      <c r="E317" s="374"/>
      <c r="F317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17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17" s="12"/>
      <c r="I317" s="384" t="str">
        <f>IFERROR(IF(TRANSHARI7_ACCPAGI[[#This Row],[NAMA REKENING]]="","",TRANSHARI7_ACCPAGI[[#This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IFERROR(VLOOKUP(TRANSHARI7_ACCMALAM[[#This Row],[PRODUK]],DATA_ACC[],9,FALSE),"")</f>
        <v/>
      </c>
      <c r="T317" s="374"/>
      <c r="U317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17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17" s="12"/>
      <c r="X317" s="384" t="str">
        <f>IFERROR(IF(TRANSHARI7_ACCMALAM[[#This Row],[NAMA REKENING]]="","",TRANSHARI7_ACCMALAM[[#This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IFERROR(VLOOKUP(TRANSHARI7_ACCPAGI[[#This Row],[PRODUK]],DATA_ACC[],9,FALSE),"")</f>
        <v/>
      </c>
      <c r="E318" s="374"/>
      <c r="F318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18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18" s="12"/>
      <c r="I318" s="386" t="str">
        <f>IFERROR(IF(TRANSHARI7_ACCPAGI[[#This Row],[NAMA REKENING]]="","",TRANSHARI7_ACCPAGI[[#This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IFERROR(VLOOKUP(TRANSHARI7_ACCMALAM[[#This Row],[PRODUK]],DATA_ACC[],9,FALSE),"")</f>
        <v/>
      </c>
      <c r="T318" s="374"/>
      <c r="U318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18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18" s="12"/>
      <c r="X318" s="386" t="str">
        <f>IFERROR(IF(TRANSHARI7_ACCMALAM[[#This Row],[NAMA REKENING]]="","",TRANSHARI7_ACCMALAM[[#This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IFERROR(VLOOKUP(TRANSHARI7_ACCPAGI[[#This Row],[PRODUK]],DATA_ACC[],9,FALSE),"")</f>
        <v/>
      </c>
      <c r="E319" s="374"/>
      <c r="F319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19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19" s="12"/>
      <c r="I319" s="384" t="str">
        <f>IFERROR(IF(TRANSHARI7_ACCPAGI[[#This Row],[NAMA REKENING]]="","",TRANSHARI7_ACCPAGI[[#This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IFERROR(VLOOKUP(TRANSHARI7_ACCMALAM[[#This Row],[PRODUK]],DATA_ACC[],9,FALSE),"")</f>
        <v/>
      </c>
      <c r="T319" s="374"/>
      <c r="U319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19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19" s="12"/>
      <c r="X319" s="384" t="str">
        <f>IFERROR(IF(TRANSHARI7_ACCMALAM[[#This Row],[NAMA REKENING]]="","",TRANSHARI7_ACCMALAM[[#This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IFERROR(VLOOKUP(TRANSHARI7_ACCPAGI[[#This Row],[PRODUK]],DATA_ACC[],9,FALSE),"")</f>
        <v/>
      </c>
      <c r="E320" s="374"/>
      <c r="F320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20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20" s="12"/>
      <c r="I320" s="386" t="str">
        <f>IFERROR(IF(TRANSHARI7_ACCPAGI[[#This Row],[NAMA REKENING]]="","",TRANSHARI7_ACCPAGI[[#This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IFERROR(VLOOKUP(TRANSHARI7_ACCMALAM[[#This Row],[PRODUK]],DATA_ACC[],9,FALSE),"")</f>
        <v/>
      </c>
      <c r="T320" s="374"/>
      <c r="U320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20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20" s="12"/>
      <c r="X320" s="386" t="str">
        <f>IFERROR(IF(TRANSHARI7_ACCMALAM[[#This Row],[NAMA REKENING]]="","",TRANSHARI7_ACCMALAM[[#This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IFERROR(VLOOKUP(TRANSHARI7_ACCPAGI[[#This Row],[PRODUK]],DATA_ACC[],9,FALSE),"")</f>
        <v/>
      </c>
      <c r="E321" s="374"/>
      <c r="F321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21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21" s="12"/>
      <c r="I321" s="384" t="str">
        <f>IFERROR(IF(TRANSHARI7_ACCPAGI[[#This Row],[NAMA REKENING]]="","",TRANSHARI7_ACCPAGI[[#This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IFERROR(VLOOKUP(TRANSHARI7_ACCMALAM[[#This Row],[PRODUK]],DATA_ACC[],9,FALSE),"")</f>
        <v/>
      </c>
      <c r="T321" s="374"/>
      <c r="U321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21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21" s="12"/>
      <c r="X321" s="384" t="str">
        <f>IFERROR(IF(TRANSHARI7_ACCMALAM[[#This Row],[NAMA REKENING]]="","",TRANSHARI7_ACCMALAM[[#This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IFERROR(VLOOKUP(TRANSHARI7_ACCPAGI[[#This Row],[PRODUK]],DATA_ACC[],9,FALSE),"")</f>
        <v/>
      </c>
      <c r="E322" s="374"/>
      <c r="F322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22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22" s="12"/>
      <c r="I322" s="386" t="str">
        <f>IFERROR(IF(TRANSHARI7_ACCPAGI[[#This Row],[NAMA REKENING]]="","",TRANSHARI7_ACCPAGI[[#This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IFERROR(VLOOKUP(TRANSHARI7_ACCMALAM[[#This Row],[PRODUK]],DATA_ACC[],9,FALSE),"")</f>
        <v/>
      </c>
      <c r="T322" s="374"/>
      <c r="U322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22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22" s="12"/>
      <c r="X322" s="386" t="str">
        <f>IFERROR(IF(TRANSHARI7_ACCMALAM[[#This Row],[NAMA REKENING]]="","",TRANSHARI7_ACCMALAM[[#This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IFERROR(VLOOKUP(TRANSHARI7_ACCPAGI[[#This Row],[PRODUK]],DATA_ACC[],9,FALSE),"")</f>
        <v/>
      </c>
      <c r="E323" s="374"/>
      <c r="F323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23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23" s="12"/>
      <c r="I323" s="384" t="str">
        <f>IFERROR(IF(TRANSHARI7_ACCPAGI[[#This Row],[NAMA REKENING]]="","",TRANSHARI7_ACCPAGI[[#This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IFERROR(VLOOKUP(TRANSHARI7_ACCMALAM[[#This Row],[PRODUK]],DATA_ACC[],9,FALSE),"")</f>
        <v/>
      </c>
      <c r="T323" s="374"/>
      <c r="U323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23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23" s="12"/>
      <c r="X323" s="384" t="str">
        <f>IFERROR(IF(TRANSHARI7_ACCMALAM[[#This Row],[NAMA REKENING]]="","",TRANSHARI7_ACCMALAM[[#This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IFERROR(VLOOKUP(TRANSHARI7_ACCPAGI[[#This Row],[PRODUK]],DATA_ACC[],9,FALSE),"")</f>
        <v/>
      </c>
      <c r="E324" s="374"/>
      <c r="F324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24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24" s="12"/>
      <c r="I324" s="386" t="str">
        <f>IFERROR(IF(TRANSHARI7_ACCPAGI[[#This Row],[NAMA REKENING]]="","",TRANSHARI7_ACCPAGI[[#This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IFERROR(VLOOKUP(TRANSHARI7_ACCMALAM[[#This Row],[PRODUK]],DATA_ACC[],9,FALSE),"")</f>
        <v/>
      </c>
      <c r="T324" s="374"/>
      <c r="U324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24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24" s="12"/>
      <c r="X324" s="386" t="str">
        <f>IFERROR(IF(TRANSHARI7_ACCMALAM[[#This Row],[NAMA REKENING]]="","",TRANSHARI7_ACCMALAM[[#This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IFERROR(VLOOKUP(TRANSHARI7_ACCPAGI[[#This Row],[PRODUK]],DATA_ACC[],9,FALSE),"")</f>
        <v/>
      </c>
      <c r="E325" s="374"/>
      <c r="F325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25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25" s="12"/>
      <c r="I325" s="384" t="str">
        <f>IFERROR(IF(TRANSHARI7_ACCPAGI[[#This Row],[NAMA REKENING]]="","",TRANSHARI7_ACCPAGI[[#This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IFERROR(VLOOKUP(TRANSHARI7_ACCMALAM[[#This Row],[PRODUK]],DATA_ACC[],9,FALSE),"")</f>
        <v/>
      </c>
      <c r="T325" s="374"/>
      <c r="U325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25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25" s="12"/>
      <c r="X325" s="384" t="str">
        <f>IFERROR(IF(TRANSHARI7_ACCMALAM[[#This Row],[NAMA REKENING]]="","",TRANSHARI7_ACCMALAM[[#This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IFERROR(VLOOKUP(TRANSHARI7_ACCPAGI[[#This Row],[PRODUK]],DATA_ACC[],9,FALSE),"")</f>
        <v/>
      </c>
      <c r="E326" s="374"/>
      <c r="F326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26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26" s="12"/>
      <c r="I326" s="386" t="str">
        <f>IFERROR(IF(TRANSHARI7_ACCPAGI[[#This Row],[NAMA REKENING]]="","",TRANSHARI7_ACCPAGI[[#This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IFERROR(VLOOKUP(TRANSHARI7_ACCMALAM[[#This Row],[PRODUK]],DATA_ACC[],9,FALSE),"")</f>
        <v/>
      </c>
      <c r="T326" s="374"/>
      <c r="U326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26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26" s="12"/>
      <c r="X326" s="386" t="str">
        <f>IFERROR(IF(TRANSHARI7_ACCMALAM[[#This Row],[NAMA REKENING]]="","",TRANSHARI7_ACCMALAM[[#This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IFERROR(VLOOKUP(TRANSHARI7_ACCPAGI[[#This Row],[PRODUK]],DATA_ACC[],9,FALSE),"")</f>
        <v/>
      </c>
      <c r="E327" s="374"/>
      <c r="F327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27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27" s="12"/>
      <c r="I327" s="384" t="str">
        <f>IFERROR(IF(TRANSHARI7_ACCPAGI[[#This Row],[NAMA REKENING]]="","",TRANSHARI7_ACCPAGI[[#This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IFERROR(VLOOKUP(TRANSHARI7_ACCMALAM[[#This Row],[PRODUK]],DATA_ACC[],9,FALSE),"")</f>
        <v/>
      </c>
      <c r="T327" s="374"/>
      <c r="U327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27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27" s="12"/>
      <c r="X327" s="384" t="str">
        <f>IFERROR(IF(TRANSHARI7_ACCMALAM[[#This Row],[NAMA REKENING]]="","",TRANSHARI7_ACCMALAM[[#This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IFERROR(VLOOKUP(TRANSHARI7_ACCPAGI[[#This Row],[PRODUK]],DATA_ACC[],9,FALSE),"")</f>
        <v/>
      </c>
      <c r="E328" s="374"/>
      <c r="F328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28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28" s="12"/>
      <c r="I328" s="386" t="str">
        <f>IFERROR(IF(TRANSHARI7_ACCPAGI[[#This Row],[NAMA REKENING]]="","",TRANSHARI7_ACCPAGI[[#This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IFERROR(VLOOKUP(TRANSHARI7_ACCMALAM[[#This Row],[PRODUK]],DATA_ACC[],9,FALSE),"")</f>
        <v/>
      </c>
      <c r="T328" s="374"/>
      <c r="U328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28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28" s="12"/>
      <c r="X328" s="386" t="str">
        <f>IFERROR(IF(TRANSHARI7_ACCMALAM[[#This Row],[NAMA REKENING]]="","",TRANSHARI7_ACCMALAM[[#This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IFERROR(VLOOKUP(TRANSHARI7_ACCPAGI[[#This Row],[PRODUK]],DATA_ACC[],9,FALSE),"")</f>
        <v/>
      </c>
      <c r="E329" s="374"/>
      <c r="F329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29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29" s="12"/>
      <c r="I329" s="384" t="str">
        <f>IFERROR(IF(TRANSHARI7_ACCPAGI[[#This Row],[NAMA REKENING]]="","",TRANSHARI7_ACCPAGI[[#This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IFERROR(VLOOKUP(TRANSHARI7_ACCMALAM[[#This Row],[PRODUK]],DATA_ACC[],9,FALSE),"")</f>
        <v/>
      </c>
      <c r="T329" s="374"/>
      <c r="U329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29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29" s="12"/>
      <c r="X329" s="384" t="str">
        <f>IFERROR(IF(TRANSHARI7_ACCMALAM[[#This Row],[NAMA REKENING]]="","",TRANSHARI7_ACCMALAM[[#This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IFERROR(VLOOKUP(TRANSHARI7_ACCPAGI[[#This Row],[PRODUK]],DATA_ACC[],9,FALSE),"")</f>
        <v/>
      </c>
      <c r="E330" s="374"/>
      <c r="F330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30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30" s="12"/>
      <c r="I330" s="386" t="str">
        <f>IFERROR(IF(TRANSHARI7_ACCPAGI[[#This Row],[NAMA REKENING]]="","",TRANSHARI7_ACCPAGI[[#This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IFERROR(VLOOKUP(TRANSHARI7_ACCMALAM[[#This Row],[PRODUK]],DATA_ACC[],9,FALSE),"")</f>
        <v/>
      </c>
      <c r="T330" s="374"/>
      <c r="U330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30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30" s="12"/>
      <c r="X330" s="386" t="str">
        <f>IFERROR(IF(TRANSHARI7_ACCMALAM[[#This Row],[NAMA REKENING]]="","",TRANSHARI7_ACCMALAM[[#This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IFERROR(VLOOKUP(TRANSHARI7_ACCPAGI[[#This Row],[PRODUK]],DATA_ACC[],9,FALSE),"")</f>
        <v/>
      </c>
      <c r="E331" s="374"/>
      <c r="F331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31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31" s="12"/>
      <c r="I331" s="384" t="str">
        <f>IFERROR(IF(TRANSHARI7_ACCPAGI[[#This Row],[NAMA REKENING]]="","",TRANSHARI7_ACCPAGI[[#This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IFERROR(VLOOKUP(TRANSHARI7_ACCMALAM[[#This Row],[PRODUK]],DATA_ACC[],9,FALSE),"")</f>
        <v/>
      </c>
      <c r="T331" s="374"/>
      <c r="U331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31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31" s="12"/>
      <c r="X331" s="384" t="str">
        <f>IFERROR(IF(TRANSHARI7_ACCMALAM[[#This Row],[NAMA REKENING]]="","",TRANSHARI7_ACCMALAM[[#This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IFERROR(VLOOKUP(TRANSHARI7_ACCPAGI[[#This Row],[PRODUK]],DATA_ACC[],9,FALSE),"")</f>
        <v/>
      </c>
      <c r="E332" s="374"/>
      <c r="F332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32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32" s="12"/>
      <c r="I332" s="386" t="str">
        <f>IFERROR(IF(TRANSHARI7_ACCPAGI[[#This Row],[NAMA REKENING]]="","",TRANSHARI7_ACCPAGI[[#This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IFERROR(VLOOKUP(TRANSHARI7_ACCMALAM[[#This Row],[PRODUK]],DATA_ACC[],9,FALSE),"")</f>
        <v/>
      </c>
      <c r="T332" s="374"/>
      <c r="U332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32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32" s="12"/>
      <c r="X332" s="386" t="str">
        <f>IFERROR(IF(TRANSHARI7_ACCMALAM[[#This Row],[NAMA REKENING]]="","",TRANSHARI7_ACCMALAM[[#This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IFERROR(VLOOKUP(TRANSHARI7_ACCPAGI[[#This Row],[PRODUK]],DATA_ACC[],9,FALSE),"")</f>
        <v/>
      </c>
      <c r="E333" s="374"/>
      <c r="F333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33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33" s="12"/>
      <c r="I333" s="384" t="str">
        <f>IFERROR(IF(TRANSHARI7_ACCPAGI[[#This Row],[NAMA REKENING]]="","",TRANSHARI7_ACCPAGI[[#This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IFERROR(VLOOKUP(TRANSHARI7_ACCMALAM[[#This Row],[PRODUK]],DATA_ACC[],9,FALSE),"")</f>
        <v/>
      </c>
      <c r="T333" s="374"/>
      <c r="U333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33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33" s="12"/>
      <c r="X333" s="384" t="str">
        <f>IFERROR(IF(TRANSHARI7_ACCMALAM[[#This Row],[NAMA REKENING]]="","",TRANSHARI7_ACCMALAM[[#This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IFERROR(VLOOKUP(TRANSHARI7_ACCPAGI[[#This Row],[PRODUK]],DATA_ACC[],9,FALSE),"")</f>
        <v/>
      </c>
      <c r="E334" s="374"/>
      <c r="F334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34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34" s="12"/>
      <c r="I334" s="386" t="str">
        <f>IFERROR(IF(TRANSHARI7_ACCPAGI[[#This Row],[NAMA REKENING]]="","",TRANSHARI7_ACCPAGI[[#This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IFERROR(VLOOKUP(TRANSHARI7_ACCMALAM[[#This Row],[PRODUK]],DATA_ACC[],9,FALSE),"")</f>
        <v/>
      </c>
      <c r="T334" s="374"/>
      <c r="U334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34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34" s="12"/>
      <c r="X334" s="386" t="str">
        <f>IFERROR(IF(TRANSHARI7_ACCMALAM[[#This Row],[NAMA REKENING]]="","",TRANSHARI7_ACCMALAM[[#This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IFERROR(VLOOKUP(TRANSHARI7_ACCPAGI[[#This Row],[PRODUK]],DATA_ACC[],9,FALSE),"")</f>
        <v/>
      </c>
      <c r="E335" s="374"/>
      <c r="F335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35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35" s="12"/>
      <c r="I335" s="384" t="str">
        <f>IFERROR(IF(TRANSHARI7_ACCPAGI[[#This Row],[NAMA REKENING]]="","",TRANSHARI7_ACCPAGI[[#This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IFERROR(VLOOKUP(TRANSHARI7_ACCMALAM[[#This Row],[PRODUK]],DATA_ACC[],9,FALSE),"")</f>
        <v/>
      </c>
      <c r="T335" s="374"/>
      <c r="U335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35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35" s="12"/>
      <c r="X335" s="384" t="str">
        <f>IFERROR(IF(TRANSHARI7_ACCMALAM[[#This Row],[NAMA REKENING]]="","",TRANSHARI7_ACCMALAM[[#This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IFERROR(VLOOKUP(TRANSHARI7_ACCPAGI[[#This Row],[PRODUK]],DATA_ACC[],9,FALSE),"")</f>
        <v/>
      </c>
      <c r="E336" s="374"/>
      <c r="F336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36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36" s="12"/>
      <c r="I336" s="386" t="str">
        <f>IFERROR(IF(TRANSHARI7_ACCPAGI[[#This Row],[NAMA REKENING]]="","",TRANSHARI7_ACCPAGI[[#This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IFERROR(VLOOKUP(TRANSHARI7_ACCMALAM[[#This Row],[PRODUK]],DATA_ACC[],9,FALSE),"")</f>
        <v/>
      </c>
      <c r="T336" s="374"/>
      <c r="U336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36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36" s="12"/>
      <c r="X336" s="386" t="str">
        <f>IFERROR(IF(TRANSHARI7_ACCMALAM[[#This Row],[NAMA REKENING]]="","",TRANSHARI7_ACCMALAM[[#This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IFERROR(VLOOKUP(TRANSHARI7_ACCPAGI[[#This Row],[PRODUK]],DATA_ACC[],9,FALSE),"")</f>
        <v/>
      </c>
      <c r="E337" s="374"/>
      <c r="F337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37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37" s="12"/>
      <c r="I337" s="384" t="str">
        <f>IFERROR(IF(TRANSHARI7_ACCPAGI[[#This Row],[NAMA REKENING]]="","",TRANSHARI7_ACCPAGI[[#This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IFERROR(VLOOKUP(TRANSHARI7_ACCMALAM[[#This Row],[PRODUK]],DATA_ACC[],9,FALSE),"")</f>
        <v/>
      </c>
      <c r="T337" s="374"/>
      <c r="U337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37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37" s="12"/>
      <c r="X337" s="384" t="str">
        <f>IFERROR(IF(TRANSHARI7_ACCMALAM[[#This Row],[NAMA REKENING]]="","",TRANSHARI7_ACCMALAM[[#This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IFERROR(VLOOKUP(TRANSHARI7_ACCPAGI[[#This Row],[PRODUK]],DATA_ACC[],9,FALSE),"")</f>
        <v/>
      </c>
      <c r="E338" s="376"/>
      <c r="F338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38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38" s="377"/>
      <c r="I338" s="386" t="str">
        <f>IFERROR(IF(TRANSHARI7_ACCPAGI[[#This Row],[NAMA REKENING]]="","",TRANSHARI7_ACCPAGI[[#This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IFERROR(VLOOKUP(TRANSHARI7_ACCMALAM[[#This Row],[PRODUK]],DATA_ACC[],9,FALSE),"")</f>
        <v/>
      </c>
      <c r="T338" s="376"/>
      <c r="U338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38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38" s="377"/>
      <c r="X338" s="386" t="str">
        <f>IFERROR(IF(TRANSHARI7_ACCMALAM[[#This Row],[NAMA REKENING]]="","",TRANSHARI7_ACCMALAM[[#This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IFERROR(VLOOKUP(TRANSHARI7_ACCPAGI[[#This Row],[PRODUK]],DATA_ACC[],9,FALSE),"")</f>
        <v/>
      </c>
      <c r="E339" s="374"/>
      <c r="F339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39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39" s="12"/>
      <c r="I339" s="384" t="str">
        <f>IFERROR(IF(TRANSHARI7_ACCPAGI[[#This Row],[NAMA REKENING]]="","",TRANSHARI7_ACCPAGI[[#This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IFERROR(VLOOKUP(TRANSHARI7_ACCMALAM[[#This Row],[PRODUK]],DATA_ACC[],9,FALSE),"")</f>
        <v/>
      </c>
      <c r="T339" s="374"/>
      <c r="U339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39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39" s="12"/>
      <c r="X339" s="384" t="str">
        <f>IFERROR(IF(TRANSHARI7_ACCMALAM[[#This Row],[NAMA REKENING]]="","",TRANSHARI7_ACCMALAM[[#This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IFERROR(VLOOKUP(TRANSHARI7_ACCPAGI[[#This Row],[PRODUK]],DATA_ACC[],9,FALSE),"")</f>
        <v/>
      </c>
      <c r="E340" s="374"/>
      <c r="F340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40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40" s="12"/>
      <c r="I340" s="386" t="str">
        <f>IFERROR(IF(TRANSHARI7_ACCPAGI[[#This Row],[NAMA REKENING]]="","",TRANSHARI7_ACCPAGI[[#This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IFERROR(VLOOKUP(TRANSHARI7_ACCMALAM[[#This Row],[PRODUK]],DATA_ACC[],9,FALSE),"")</f>
        <v/>
      </c>
      <c r="T340" s="374"/>
      <c r="U340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40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40" s="12"/>
      <c r="X340" s="386" t="str">
        <f>IFERROR(IF(TRANSHARI7_ACCMALAM[[#This Row],[NAMA REKENING]]="","",TRANSHARI7_ACCMALAM[[#This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IFERROR(VLOOKUP(TRANSHARI7_ACCPAGI[[#This Row],[PRODUK]],DATA_ACC[],9,FALSE),"")</f>
        <v/>
      </c>
      <c r="E341" s="374"/>
      <c r="F341" s="369" t="str">
        <f>IFERROR(IF(TRANSHARI7_ACCPAGI[[#This Row],[NAMA PENGHUTANG]]="",((TRANSHARI7_ACCPAGI[[#This Row],[HARGA]]*TRANSHARI7_ACCPAGI[[#This Row],[QUANTITY]])+TRANSHARI7_ACCPAGI[[#This Row],[PRICE TOLERANCE]]),""),"")</f>
        <v/>
      </c>
      <c r="G341" s="369" t="str">
        <f>IFERROR(IF(TRANSHARI7_ACCPAGI[[#This Row],[NAMA PENGHUTANG]]="","",((TRANSHARI7_ACCPAGI[[#This Row],[HARGA]]*TRANSHARI7_ACCPAGI[[#This Row],[QUANTITY]])+TRANSHARI7_ACCPAGI[[#This Row],[PRICE TOLERANCE]])),"")</f>
        <v/>
      </c>
      <c r="H341" s="12"/>
      <c r="I341" s="384" t="str">
        <f>IFERROR(IF(TRANSHARI7_ACCPAGI[[#This Row],[NAMA REKENING]]="","",TRANSHARI7_ACCPAGI[[#This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IFERROR(VLOOKUP(TRANSHARI7_ACCMALAM[[#This Row],[PRODUK]],DATA_ACC[],9,FALSE),"")</f>
        <v/>
      </c>
      <c r="T341" s="374"/>
      <c r="U341" s="369" t="str">
        <f>IFERROR(IF(TRANSHARI7_ACCMALAM[[#This Row],[NAMA PENGHUTANG]]="",((TRANSHARI7_ACCMALAM[[#This Row],[HARGA]]*TRANSHARI7_ACCMALAM[[#This Row],[QUANTITY]])+TRANSHARI7_ACCMALAM[[#This Row],[PRICE TOLERANCE]]),""),"")</f>
        <v/>
      </c>
      <c r="V341" s="369" t="str">
        <f>IFERROR(IF(TRANSHARI7_ACCMALAM[[#This Row],[NAMA PENGHUTANG]]="","",((TRANSHARI7_ACCMALAM[[#This Row],[HARGA]]*TRANSHARI7_ACCMALAM[[#This Row],[QUANTITY]])+TRANSHARI7_ACCMALAM[[#This Row],[PRICE TOLERANCE]])),"")</f>
        <v/>
      </c>
      <c r="W341" s="12"/>
      <c r="X341" s="384" t="str">
        <f>IFERROR(IF(TRANSHARI7_ACCMALAM[[#This Row],[NAMA REKENING]]="","",TRANSHARI7_ACCMALAM[[#This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IFERROR(VLOOKUP(TRANSHARI7_ACCPAGI[[#This Row],[PRODUK]],DATA_ACC[],9,FALSE),"")</f>
        <v/>
      </c>
      <c r="E342" s="374"/>
      <c r="F342" s="373" t="str">
        <f>IFERROR(IF(TRANSHARI7_ACCPAGI[[#This Row],[NAMA PENGHUTANG]]="",((TRANSHARI7_ACCPAGI[[#This Row],[HARGA]]*TRANSHARI7_ACCPAGI[[#This Row],[QUANTITY]])+TRANSHARI7_ACCPAGI[[#This Row],[PRICE TOLERANCE]]),""),"")</f>
        <v/>
      </c>
      <c r="G342" s="373" t="str">
        <f>IFERROR(IF(TRANSHARI7_ACCPAGI[[#This Row],[NAMA PENGHUTANG]]="","",((TRANSHARI7_ACCPAGI[[#This Row],[HARGA]]*TRANSHARI7_ACCPAGI[[#This Row],[QUANTITY]])+TRANSHARI7_ACCPAGI[[#This Row],[PRICE TOLERANCE]])),"")</f>
        <v/>
      </c>
      <c r="H342" s="12"/>
      <c r="I342" s="386" t="str">
        <f>IFERROR(IF(TRANSHARI7_ACCPAGI[[#This Row],[NAMA REKENING]]="","",TRANSHARI7_ACCPAGI[[#This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IFERROR(VLOOKUP(TRANSHARI7_ACCMALAM[[#This Row],[PRODUK]],DATA_ACC[],9,FALSE),"")</f>
        <v/>
      </c>
      <c r="T342" s="374"/>
      <c r="U342" s="373" t="str">
        <f>IFERROR(IF(TRANSHARI7_ACCMALAM[[#This Row],[NAMA PENGHUTANG]]="",((TRANSHARI7_ACCMALAM[[#This Row],[HARGA]]*TRANSHARI7_ACCMALAM[[#This Row],[QUANTITY]])+TRANSHARI7_ACCMALAM[[#This Row],[PRICE TOLERANCE]]),""),"")</f>
        <v/>
      </c>
      <c r="V342" s="373" t="str">
        <f>IFERROR(IF(TRANSHARI7_ACCMALAM[[#This Row],[NAMA PENGHUTANG]]="","",((TRANSHARI7_ACCMALAM[[#This Row],[HARGA]]*TRANSHARI7_ACCMALAM[[#This Row],[QUANTITY]])+TRANSHARI7_ACCMALAM[[#This Row],[PRICE TOLERANCE]])),"")</f>
        <v/>
      </c>
      <c r="W342" s="12"/>
      <c r="X342" s="386" t="str">
        <f>IFERROR(IF(TRANSHARI7_ACCMALAM[[#This Row],[NAMA REKENING]]="","",TRANSHARI7_ACCMALAM[[#This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SUM(TRANSHARI7_ACCPAGI[QUANTITY])</f>
        <v>0</v>
      </c>
      <c r="E343" s="398">
        <f>SUM(TRANSHARI7_ACCPAGI[PRICE TOLERANCE])</f>
        <v>0</v>
      </c>
      <c r="F343" s="396">
        <f>SUM(TRANSHARI7_ACCPAGI[DEBIT])</f>
        <v>0</v>
      </c>
      <c r="G343" s="396">
        <f>SUM(TRANSHARI7_ACCPAGI[KREDIT])</f>
        <v>0</v>
      </c>
      <c r="I343" s="396">
        <f>SUM(TRANSHARI7_ACCPAGI[NOMINAL TRANSFER])</f>
        <v>0</v>
      </c>
      <c r="O343" s="324"/>
      <c r="P343" s="303" t="s">
        <v>78</v>
      </c>
      <c r="Q343" s="316"/>
      <c r="R343" s="395">
        <f>SUM(TRANSHARI7_ACCMALAM[QUANTITY])</f>
        <v>0</v>
      </c>
      <c r="T343" s="398">
        <f>SUM(TRANSHARI7_ACCMALAM[PRICE TOLERANCE])</f>
        <v>0</v>
      </c>
      <c r="U343" s="396">
        <f>SUM(TRANSHARI7_ACCMALAM[DEBIT])</f>
        <v>0</v>
      </c>
      <c r="V343" s="396">
        <f>SUM(TRANSHARI7_ACCMALAM[KREDIT])</f>
        <v>0</v>
      </c>
      <c r="X343" s="396">
        <f>SUM(TRANSHARI7_ACCMALAM[NOMINAL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tr">
        <f>A25</f>
        <v>HARI 7 : PAGI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tr">
        <f>P25</f>
        <v>HARI 7 : MALAM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IFERROR(VLOOKUP(TRANSHARI7_HYDROPAGI[[#This Row],[PRODUK]],DATA_HYDRO[],9,FALSE),"")</f>
        <v/>
      </c>
      <c r="E350" s="370"/>
      <c r="F350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0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0" s="371"/>
      <c r="I350" s="384" t="str">
        <f>IFERROR(IF(TRANSHARI7_HYDROPAGI[[#This Row],[NAMA REKENING]]="","",TRANSHARI7_HYDROPAGI[[#This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IFERROR(VLOOKUP(TRANSHARI7_HYDROMALAM[[#This Row],[PRODUK]],DATA_HYDRO[],9,FALSE),"")</f>
        <v/>
      </c>
      <c r="T350" s="370"/>
      <c r="U350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0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0" s="371"/>
      <c r="X350" s="384" t="str">
        <f>IFERROR(IF(TRANSHARI7_HYDROMALAM[[#This Row],[NAMA REKENING]]="","",TRANSHARI7_HYDROMALAM[[#This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IFERROR(VLOOKUP(TRANSHARI7_HYDROPAGI[[#This Row],[PRODUK]],DATA_HYDRO[],9,FALSE),"")</f>
        <v/>
      </c>
      <c r="E351" s="374"/>
      <c r="F351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1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1" s="12"/>
      <c r="I351" s="386" t="str">
        <f>IFERROR(IF(TRANSHARI7_HYDROPAGI[[#This Row],[NAMA REKENING]]="","",TRANSHARI7_HYDROPAGI[[#This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IFERROR(VLOOKUP(TRANSHARI7_HYDROMALAM[[#This Row],[PRODUK]],DATA_HYDRO[],9,FALSE),"")</f>
        <v/>
      </c>
      <c r="T351" s="374"/>
      <c r="U351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1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1" s="12"/>
      <c r="X351" s="386" t="str">
        <f>IFERROR(IF(TRANSHARI7_HYDROMALAM[[#This Row],[NAMA REKENING]]="","",TRANSHARI7_HYDROMALAM[[#This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IFERROR(VLOOKUP(TRANSHARI7_HYDROPAGI[[#This Row],[PRODUK]],DATA_HYDRO[],9,FALSE),"")</f>
        <v/>
      </c>
      <c r="E352" s="374"/>
      <c r="F352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2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2" s="12"/>
      <c r="I352" s="384" t="str">
        <f>IFERROR(IF(TRANSHARI7_HYDROPAGI[[#This Row],[NAMA REKENING]]="","",TRANSHARI7_HYDROPAGI[[#This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IFERROR(VLOOKUP(TRANSHARI7_HYDROMALAM[[#This Row],[PRODUK]],DATA_HYDRO[],9,FALSE),"")</f>
        <v/>
      </c>
      <c r="T352" s="374"/>
      <c r="U352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2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2" s="12"/>
      <c r="X352" s="384" t="str">
        <f>IFERROR(IF(TRANSHARI7_HYDROMALAM[[#This Row],[NAMA REKENING]]="","",TRANSHARI7_HYDROMALAM[[#This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IFERROR(VLOOKUP(TRANSHARI7_HYDROPAGI[[#This Row],[PRODUK]],DATA_HYDRO[],9,FALSE),"")</f>
        <v/>
      </c>
      <c r="E353" s="374"/>
      <c r="F353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3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3" s="12"/>
      <c r="I353" s="386" t="str">
        <f>IFERROR(IF(TRANSHARI7_HYDROPAGI[[#This Row],[NAMA REKENING]]="","",TRANSHARI7_HYDROPAGI[[#This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IFERROR(VLOOKUP(TRANSHARI7_HYDROMALAM[[#This Row],[PRODUK]],DATA_HYDRO[],9,FALSE),"")</f>
        <v/>
      </c>
      <c r="T353" s="374"/>
      <c r="U353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3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3" s="12"/>
      <c r="X353" s="386" t="str">
        <f>IFERROR(IF(TRANSHARI7_HYDROMALAM[[#This Row],[NAMA REKENING]]="","",TRANSHARI7_HYDROMALAM[[#This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IFERROR(VLOOKUP(TRANSHARI7_HYDROPAGI[[#This Row],[PRODUK]],DATA_HYDRO[],9,FALSE),"")</f>
        <v/>
      </c>
      <c r="E354" s="374"/>
      <c r="F354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4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4" s="12"/>
      <c r="I354" s="384" t="str">
        <f>IFERROR(IF(TRANSHARI7_HYDROPAGI[[#This Row],[NAMA REKENING]]="","",TRANSHARI7_HYDROPAGI[[#This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IFERROR(VLOOKUP(TRANSHARI7_HYDROMALAM[[#This Row],[PRODUK]],DATA_HYDRO[],9,FALSE),"")</f>
        <v/>
      </c>
      <c r="T354" s="374"/>
      <c r="U354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4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4" s="12"/>
      <c r="X354" s="384" t="str">
        <f>IFERROR(IF(TRANSHARI7_HYDROMALAM[[#This Row],[NAMA REKENING]]="","",TRANSHARI7_HYDROMALAM[[#This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IFERROR(VLOOKUP(TRANSHARI7_HYDROPAGI[[#This Row],[PRODUK]],DATA_HYDRO[],9,FALSE),"")</f>
        <v/>
      </c>
      <c r="E355" s="374"/>
      <c r="F355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5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5" s="12"/>
      <c r="I355" s="386" t="str">
        <f>IFERROR(IF(TRANSHARI7_HYDROPAGI[[#This Row],[NAMA REKENING]]="","",TRANSHARI7_HYDROPAGI[[#This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IFERROR(VLOOKUP(TRANSHARI7_HYDROMALAM[[#This Row],[PRODUK]],DATA_HYDRO[],9,FALSE),"")</f>
        <v/>
      </c>
      <c r="T355" s="374"/>
      <c r="U355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5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5" s="12"/>
      <c r="X355" s="386" t="str">
        <f>IFERROR(IF(TRANSHARI7_HYDROMALAM[[#This Row],[NAMA REKENING]]="","",TRANSHARI7_HYDROMALAM[[#This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IFERROR(VLOOKUP(TRANSHARI7_HYDROPAGI[[#This Row],[PRODUK]],DATA_HYDRO[],9,FALSE),"")</f>
        <v/>
      </c>
      <c r="E356" s="374"/>
      <c r="F356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6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6" s="12"/>
      <c r="I356" s="384" t="str">
        <f>IFERROR(IF(TRANSHARI7_HYDROPAGI[[#This Row],[NAMA REKENING]]="","",TRANSHARI7_HYDROPAGI[[#This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IFERROR(VLOOKUP(TRANSHARI7_HYDROMALAM[[#This Row],[PRODUK]],DATA_HYDRO[],9,FALSE),"")</f>
        <v/>
      </c>
      <c r="T356" s="374"/>
      <c r="U356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6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6" s="12"/>
      <c r="X356" s="384" t="str">
        <f>IFERROR(IF(TRANSHARI7_HYDROMALAM[[#This Row],[NAMA REKENING]]="","",TRANSHARI7_HYDROMALAM[[#This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IFERROR(VLOOKUP(TRANSHARI7_HYDROPAGI[[#This Row],[PRODUK]],DATA_HYDRO[],9,FALSE),"")</f>
        <v/>
      </c>
      <c r="E357" s="374"/>
      <c r="F357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7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7" s="12"/>
      <c r="I357" s="386" t="str">
        <f>IFERROR(IF(TRANSHARI7_HYDROPAGI[[#This Row],[NAMA REKENING]]="","",TRANSHARI7_HYDROPAGI[[#This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IFERROR(VLOOKUP(TRANSHARI7_HYDROMALAM[[#This Row],[PRODUK]],DATA_HYDRO[],9,FALSE),"")</f>
        <v/>
      </c>
      <c r="T357" s="374"/>
      <c r="U357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7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7" s="12"/>
      <c r="X357" s="386" t="str">
        <f>IFERROR(IF(TRANSHARI7_HYDROMALAM[[#This Row],[NAMA REKENING]]="","",TRANSHARI7_HYDROMALAM[[#This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IFERROR(VLOOKUP(TRANSHARI7_HYDROPAGI[[#This Row],[PRODUK]],DATA_HYDRO[],9,FALSE),"")</f>
        <v/>
      </c>
      <c r="E358" s="374"/>
      <c r="F358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8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8" s="12"/>
      <c r="I358" s="384" t="str">
        <f>IFERROR(IF(TRANSHARI7_HYDROPAGI[[#This Row],[NAMA REKENING]]="","",TRANSHARI7_HYDROPAGI[[#This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IFERROR(VLOOKUP(TRANSHARI7_HYDROMALAM[[#This Row],[PRODUK]],DATA_HYDRO[],9,FALSE),"")</f>
        <v/>
      </c>
      <c r="T358" s="374"/>
      <c r="U358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8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8" s="12"/>
      <c r="X358" s="384" t="str">
        <f>IFERROR(IF(TRANSHARI7_HYDROMALAM[[#This Row],[NAMA REKENING]]="","",TRANSHARI7_HYDROMALAM[[#This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IFERROR(VLOOKUP(TRANSHARI7_HYDROPAGI[[#This Row],[PRODUK]],DATA_HYDRO[],9,FALSE),"")</f>
        <v/>
      </c>
      <c r="E359" s="374"/>
      <c r="F359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59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59" s="12"/>
      <c r="I359" s="386" t="str">
        <f>IFERROR(IF(TRANSHARI7_HYDROPAGI[[#This Row],[NAMA REKENING]]="","",TRANSHARI7_HYDROPAGI[[#This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IFERROR(VLOOKUP(TRANSHARI7_HYDROMALAM[[#This Row],[PRODUK]],DATA_HYDRO[],9,FALSE),"")</f>
        <v/>
      </c>
      <c r="T359" s="374"/>
      <c r="U359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59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59" s="12"/>
      <c r="X359" s="386" t="str">
        <f>IFERROR(IF(TRANSHARI7_HYDROMALAM[[#This Row],[NAMA REKENING]]="","",TRANSHARI7_HYDROMALAM[[#This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IFERROR(VLOOKUP(TRANSHARI7_HYDROPAGI[[#This Row],[PRODUK]],DATA_HYDRO[],9,FALSE),"")</f>
        <v/>
      </c>
      <c r="E360" s="374"/>
      <c r="F360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0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0" s="12"/>
      <c r="I360" s="384" t="str">
        <f>IFERROR(IF(TRANSHARI7_HYDROPAGI[[#This Row],[NAMA REKENING]]="","",TRANSHARI7_HYDROPAGI[[#This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IFERROR(VLOOKUP(TRANSHARI7_HYDROMALAM[[#This Row],[PRODUK]],DATA_HYDRO[],9,FALSE),"")</f>
        <v/>
      </c>
      <c r="T360" s="374"/>
      <c r="U360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0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0" s="12"/>
      <c r="X360" s="384" t="str">
        <f>IFERROR(IF(TRANSHARI7_HYDROMALAM[[#This Row],[NAMA REKENING]]="","",TRANSHARI7_HYDROMALAM[[#This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IFERROR(VLOOKUP(TRANSHARI7_HYDROPAGI[[#This Row],[PRODUK]],DATA_HYDRO[],9,FALSE),"")</f>
        <v/>
      </c>
      <c r="E361" s="374"/>
      <c r="F361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1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1" s="12"/>
      <c r="I361" s="386" t="str">
        <f>IFERROR(IF(TRANSHARI7_HYDROPAGI[[#This Row],[NAMA REKENING]]="","",TRANSHARI7_HYDROPAGI[[#This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IFERROR(VLOOKUP(TRANSHARI7_HYDROMALAM[[#This Row],[PRODUK]],DATA_HYDRO[],9,FALSE),"")</f>
        <v/>
      </c>
      <c r="T361" s="374"/>
      <c r="U361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1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1" s="12"/>
      <c r="X361" s="386" t="str">
        <f>IFERROR(IF(TRANSHARI7_HYDROMALAM[[#This Row],[NAMA REKENING]]="","",TRANSHARI7_HYDROMALAM[[#This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IFERROR(VLOOKUP(TRANSHARI7_HYDROPAGI[[#This Row],[PRODUK]],DATA_HYDRO[],9,FALSE),"")</f>
        <v/>
      </c>
      <c r="E362" s="374"/>
      <c r="F362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2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2" s="12"/>
      <c r="I362" s="384" t="str">
        <f>IFERROR(IF(TRANSHARI7_HYDROPAGI[[#This Row],[NAMA REKENING]]="","",TRANSHARI7_HYDROPAGI[[#This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IFERROR(VLOOKUP(TRANSHARI7_HYDROMALAM[[#This Row],[PRODUK]],DATA_HYDRO[],9,FALSE),"")</f>
        <v/>
      </c>
      <c r="T362" s="374"/>
      <c r="U362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2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2" s="12"/>
      <c r="X362" s="384" t="str">
        <f>IFERROR(IF(TRANSHARI7_HYDROMALAM[[#This Row],[NAMA REKENING]]="","",TRANSHARI7_HYDROMALAM[[#This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IFERROR(VLOOKUP(TRANSHARI7_HYDROPAGI[[#This Row],[PRODUK]],DATA_HYDRO[],9,FALSE),"")</f>
        <v/>
      </c>
      <c r="E363" s="374"/>
      <c r="F363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3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3" s="12"/>
      <c r="I363" s="386" t="str">
        <f>IFERROR(IF(TRANSHARI7_HYDROPAGI[[#This Row],[NAMA REKENING]]="","",TRANSHARI7_HYDROPAGI[[#This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IFERROR(VLOOKUP(TRANSHARI7_HYDROMALAM[[#This Row],[PRODUK]],DATA_HYDRO[],9,FALSE),"")</f>
        <v/>
      </c>
      <c r="T363" s="374"/>
      <c r="U363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3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3" s="12"/>
      <c r="X363" s="386" t="str">
        <f>IFERROR(IF(TRANSHARI7_HYDROMALAM[[#This Row],[NAMA REKENING]]="","",TRANSHARI7_HYDROMALAM[[#This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IFERROR(VLOOKUP(TRANSHARI7_HYDROPAGI[[#This Row],[PRODUK]],DATA_HYDRO[],9,FALSE),"")</f>
        <v/>
      </c>
      <c r="E364" s="374"/>
      <c r="F364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4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4" s="12"/>
      <c r="I364" s="384" t="str">
        <f>IFERROR(IF(TRANSHARI7_HYDROPAGI[[#This Row],[NAMA REKENING]]="","",TRANSHARI7_HYDROPAGI[[#This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IFERROR(VLOOKUP(TRANSHARI7_HYDROMALAM[[#This Row],[PRODUK]],DATA_HYDRO[],9,FALSE),"")</f>
        <v/>
      </c>
      <c r="T364" s="374"/>
      <c r="U364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4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4" s="12"/>
      <c r="X364" s="384" t="str">
        <f>IFERROR(IF(TRANSHARI7_HYDROMALAM[[#This Row],[NAMA REKENING]]="","",TRANSHARI7_HYDROMALAM[[#This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IFERROR(VLOOKUP(TRANSHARI7_HYDROPAGI[[#This Row],[PRODUK]],DATA_HYDRO[],9,FALSE),"")</f>
        <v/>
      </c>
      <c r="E365" s="374"/>
      <c r="F365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5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5" s="12"/>
      <c r="I365" s="386" t="str">
        <f>IFERROR(IF(TRANSHARI7_HYDROPAGI[[#This Row],[NAMA REKENING]]="","",TRANSHARI7_HYDROPAGI[[#This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IFERROR(VLOOKUP(TRANSHARI7_HYDROMALAM[[#This Row],[PRODUK]],DATA_HYDRO[],9,FALSE),"")</f>
        <v/>
      </c>
      <c r="T365" s="374"/>
      <c r="U365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5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5" s="12"/>
      <c r="X365" s="386" t="str">
        <f>IFERROR(IF(TRANSHARI7_HYDROMALAM[[#This Row],[NAMA REKENING]]="","",TRANSHARI7_HYDROMALAM[[#This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IFERROR(VLOOKUP(TRANSHARI7_HYDROPAGI[[#This Row],[PRODUK]],DATA_HYDRO[],9,FALSE),"")</f>
        <v/>
      </c>
      <c r="E366" s="374"/>
      <c r="F366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6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6" s="12"/>
      <c r="I366" s="384" t="str">
        <f>IFERROR(IF(TRANSHARI7_HYDROPAGI[[#This Row],[NAMA REKENING]]="","",TRANSHARI7_HYDROPAGI[[#This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IFERROR(VLOOKUP(TRANSHARI7_HYDROMALAM[[#This Row],[PRODUK]],DATA_HYDRO[],9,FALSE),"")</f>
        <v/>
      </c>
      <c r="T366" s="374"/>
      <c r="U366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6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6" s="12"/>
      <c r="X366" s="384" t="str">
        <f>IFERROR(IF(TRANSHARI7_HYDROMALAM[[#This Row],[NAMA REKENING]]="","",TRANSHARI7_HYDROMALAM[[#This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IFERROR(VLOOKUP(TRANSHARI7_HYDROPAGI[[#This Row],[PRODUK]],DATA_HYDRO[],9,FALSE),"")</f>
        <v/>
      </c>
      <c r="E367" s="374"/>
      <c r="F367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7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7" s="12"/>
      <c r="I367" s="386" t="str">
        <f>IFERROR(IF(TRANSHARI7_HYDROPAGI[[#This Row],[NAMA REKENING]]="","",TRANSHARI7_HYDROPAGI[[#This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IFERROR(VLOOKUP(TRANSHARI7_HYDROMALAM[[#This Row],[PRODUK]],DATA_HYDRO[],9,FALSE),"")</f>
        <v/>
      </c>
      <c r="T367" s="374"/>
      <c r="U367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7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7" s="12"/>
      <c r="X367" s="386" t="str">
        <f>IFERROR(IF(TRANSHARI7_HYDROMALAM[[#This Row],[NAMA REKENING]]="","",TRANSHARI7_HYDROMALAM[[#This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IFERROR(VLOOKUP(TRANSHARI7_HYDROPAGI[[#This Row],[PRODUK]],DATA_HYDRO[],9,FALSE),"")</f>
        <v/>
      </c>
      <c r="E368" s="374"/>
      <c r="F368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8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8" s="12"/>
      <c r="I368" s="384" t="str">
        <f>IFERROR(IF(TRANSHARI7_HYDROPAGI[[#This Row],[NAMA REKENING]]="","",TRANSHARI7_HYDROPAGI[[#This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IFERROR(VLOOKUP(TRANSHARI7_HYDROMALAM[[#This Row],[PRODUK]],DATA_HYDRO[],9,FALSE),"")</f>
        <v/>
      </c>
      <c r="T368" s="374"/>
      <c r="U368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8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8" s="12"/>
      <c r="X368" s="384" t="str">
        <f>IFERROR(IF(TRANSHARI7_HYDROMALAM[[#This Row],[NAMA REKENING]]="","",TRANSHARI7_HYDROMALAM[[#This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IFERROR(VLOOKUP(TRANSHARI7_HYDROPAGI[[#This Row],[PRODUK]],DATA_HYDRO[],9,FALSE),"")</f>
        <v/>
      </c>
      <c r="E369" s="374"/>
      <c r="F369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69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69" s="12"/>
      <c r="I369" s="386" t="str">
        <f>IFERROR(IF(TRANSHARI7_HYDROPAGI[[#This Row],[NAMA REKENING]]="","",TRANSHARI7_HYDROPAGI[[#This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IFERROR(VLOOKUP(TRANSHARI7_HYDROMALAM[[#This Row],[PRODUK]],DATA_HYDRO[],9,FALSE),"")</f>
        <v/>
      </c>
      <c r="T369" s="374"/>
      <c r="U369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69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69" s="12"/>
      <c r="X369" s="386" t="str">
        <f>IFERROR(IF(TRANSHARI7_HYDROMALAM[[#This Row],[NAMA REKENING]]="","",TRANSHARI7_HYDROMALAM[[#This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IFERROR(VLOOKUP(TRANSHARI7_HYDROPAGI[[#This Row],[PRODUK]],DATA_HYDRO[],9,FALSE),"")</f>
        <v/>
      </c>
      <c r="E370" s="374"/>
      <c r="F370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0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0" s="12"/>
      <c r="I370" s="384" t="str">
        <f>IFERROR(IF(TRANSHARI7_HYDROPAGI[[#This Row],[NAMA REKENING]]="","",TRANSHARI7_HYDROPAGI[[#This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IFERROR(VLOOKUP(TRANSHARI7_HYDROMALAM[[#This Row],[PRODUK]],DATA_HYDRO[],9,FALSE),"")</f>
        <v/>
      </c>
      <c r="T370" s="374"/>
      <c r="U370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0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0" s="12"/>
      <c r="X370" s="384" t="str">
        <f>IFERROR(IF(TRANSHARI7_HYDROMALAM[[#This Row],[NAMA REKENING]]="","",TRANSHARI7_HYDROMALAM[[#This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IFERROR(VLOOKUP(TRANSHARI7_HYDROPAGI[[#This Row],[PRODUK]],DATA_HYDRO[],9,FALSE),"")</f>
        <v/>
      </c>
      <c r="E371" s="374"/>
      <c r="F371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1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1" s="12"/>
      <c r="I371" s="386" t="str">
        <f>IFERROR(IF(TRANSHARI7_HYDROPAGI[[#This Row],[NAMA REKENING]]="","",TRANSHARI7_HYDROPAGI[[#This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IFERROR(VLOOKUP(TRANSHARI7_HYDROMALAM[[#This Row],[PRODUK]],DATA_HYDRO[],9,FALSE),"")</f>
        <v/>
      </c>
      <c r="T371" s="374"/>
      <c r="U371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1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1" s="12"/>
      <c r="X371" s="386" t="str">
        <f>IFERROR(IF(TRANSHARI7_HYDROMALAM[[#This Row],[NAMA REKENING]]="","",TRANSHARI7_HYDROMALAM[[#This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IFERROR(VLOOKUP(TRANSHARI7_HYDROPAGI[[#This Row],[PRODUK]],DATA_HYDRO[],9,FALSE),"")</f>
        <v/>
      </c>
      <c r="E372" s="374"/>
      <c r="F372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2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2" s="12"/>
      <c r="I372" s="384" t="str">
        <f>IFERROR(IF(TRANSHARI7_HYDROPAGI[[#This Row],[NAMA REKENING]]="","",TRANSHARI7_HYDROPAGI[[#This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IFERROR(VLOOKUP(TRANSHARI7_HYDROMALAM[[#This Row],[PRODUK]],DATA_HYDRO[],9,FALSE),"")</f>
        <v/>
      </c>
      <c r="T372" s="374"/>
      <c r="U372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2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2" s="12"/>
      <c r="X372" s="384" t="str">
        <f>IFERROR(IF(TRANSHARI7_HYDROMALAM[[#This Row],[NAMA REKENING]]="","",TRANSHARI7_HYDROMALAM[[#This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IFERROR(VLOOKUP(TRANSHARI7_HYDROPAGI[[#This Row],[PRODUK]],DATA_HYDRO[],9,FALSE),"")</f>
        <v/>
      </c>
      <c r="E373" s="374"/>
      <c r="F373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3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3" s="12"/>
      <c r="I373" s="386" t="str">
        <f>IFERROR(IF(TRANSHARI7_HYDROPAGI[[#This Row],[NAMA REKENING]]="","",TRANSHARI7_HYDROPAGI[[#This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IFERROR(VLOOKUP(TRANSHARI7_HYDROMALAM[[#This Row],[PRODUK]],DATA_HYDRO[],9,FALSE),"")</f>
        <v/>
      </c>
      <c r="T373" s="374"/>
      <c r="U373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3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3" s="12"/>
      <c r="X373" s="386" t="str">
        <f>IFERROR(IF(TRANSHARI7_HYDROMALAM[[#This Row],[NAMA REKENING]]="","",TRANSHARI7_HYDROMALAM[[#This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IFERROR(VLOOKUP(TRANSHARI7_HYDROPAGI[[#This Row],[PRODUK]],DATA_HYDRO[],9,FALSE),"")</f>
        <v/>
      </c>
      <c r="E374" s="374"/>
      <c r="F374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4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4" s="12"/>
      <c r="I374" s="384" t="str">
        <f>IFERROR(IF(TRANSHARI7_HYDROPAGI[[#This Row],[NAMA REKENING]]="","",TRANSHARI7_HYDROPAGI[[#This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IFERROR(VLOOKUP(TRANSHARI7_HYDROMALAM[[#This Row],[PRODUK]],DATA_HYDRO[],9,FALSE),"")</f>
        <v/>
      </c>
      <c r="T374" s="374"/>
      <c r="U374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4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4" s="12"/>
      <c r="X374" s="384" t="str">
        <f>IFERROR(IF(TRANSHARI7_HYDROMALAM[[#This Row],[NAMA REKENING]]="","",TRANSHARI7_HYDROMALAM[[#This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IFERROR(VLOOKUP(TRANSHARI7_HYDROPAGI[[#This Row],[PRODUK]],DATA_HYDRO[],9,FALSE),"")</f>
        <v/>
      </c>
      <c r="E375" s="376"/>
      <c r="F375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5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5" s="377"/>
      <c r="I375" s="386" t="str">
        <f>IFERROR(IF(TRANSHARI7_HYDROPAGI[[#This Row],[NAMA REKENING]]="","",TRANSHARI7_HYDROPAGI[[#This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IFERROR(VLOOKUP(TRANSHARI7_HYDROMALAM[[#This Row],[PRODUK]],DATA_HYDRO[],9,FALSE),"")</f>
        <v/>
      </c>
      <c r="T375" s="376"/>
      <c r="U375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5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5" s="377"/>
      <c r="X375" s="386" t="str">
        <f>IFERROR(IF(TRANSHARI7_HYDROMALAM[[#This Row],[NAMA REKENING]]="","",TRANSHARI7_HYDROMALAM[[#This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IFERROR(VLOOKUP(TRANSHARI7_HYDROPAGI[[#This Row],[PRODUK]],DATA_HYDRO[],9,FALSE),"")</f>
        <v/>
      </c>
      <c r="E376" s="374"/>
      <c r="F376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6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6" s="12"/>
      <c r="I376" s="384" t="str">
        <f>IFERROR(IF(TRANSHARI7_HYDROPAGI[[#This Row],[NAMA REKENING]]="","",TRANSHARI7_HYDROPAGI[[#This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IFERROR(VLOOKUP(TRANSHARI7_HYDROMALAM[[#This Row],[PRODUK]],DATA_HYDRO[],9,FALSE),"")</f>
        <v/>
      </c>
      <c r="T376" s="374"/>
      <c r="U376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6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6" s="12"/>
      <c r="X376" s="384" t="str">
        <f>IFERROR(IF(TRANSHARI7_HYDROMALAM[[#This Row],[NAMA REKENING]]="","",TRANSHARI7_HYDROMALAM[[#This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IFERROR(VLOOKUP(TRANSHARI7_HYDROPAGI[[#This Row],[PRODUK]],DATA_HYDRO[],9,FALSE),"")</f>
        <v/>
      </c>
      <c r="E377" s="374"/>
      <c r="F377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7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7" s="12"/>
      <c r="I377" s="386" t="str">
        <f>IFERROR(IF(TRANSHARI7_HYDROPAGI[[#This Row],[NAMA REKENING]]="","",TRANSHARI7_HYDROPAGI[[#This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IFERROR(VLOOKUP(TRANSHARI7_HYDROMALAM[[#This Row],[PRODUK]],DATA_HYDRO[],9,FALSE),"")</f>
        <v/>
      </c>
      <c r="T377" s="374"/>
      <c r="U377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7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7" s="12"/>
      <c r="X377" s="386" t="str">
        <f>IFERROR(IF(TRANSHARI7_HYDROMALAM[[#This Row],[NAMA REKENING]]="","",TRANSHARI7_HYDROMALAM[[#This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IFERROR(VLOOKUP(TRANSHARI7_HYDROPAGI[[#This Row],[PRODUK]],DATA_HYDRO[],9,FALSE),"")</f>
        <v/>
      </c>
      <c r="E378" s="374"/>
      <c r="F378" s="369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8" s="369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8" s="12"/>
      <c r="I378" s="384" t="str">
        <f>IFERROR(IF(TRANSHARI7_HYDROPAGI[[#This Row],[NAMA REKENING]]="","",TRANSHARI7_HYDROPAGI[[#This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IFERROR(VLOOKUP(TRANSHARI7_HYDROMALAM[[#This Row],[PRODUK]],DATA_HYDRO[],9,FALSE),"")</f>
        <v/>
      </c>
      <c r="T378" s="374"/>
      <c r="U378" s="369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8" s="369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8" s="12"/>
      <c r="X378" s="384" t="str">
        <f>IFERROR(IF(TRANSHARI7_HYDROMALAM[[#This Row],[NAMA REKENING]]="","",TRANSHARI7_HYDROMALAM[[#This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IFERROR(VLOOKUP(TRANSHARI7_HYDROPAGI[[#This Row],[PRODUK]],DATA_HYDRO[],9,FALSE),"")</f>
        <v/>
      </c>
      <c r="E379" s="374"/>
      <c r="F379" s="373" t="str">
        <f>IFERROR(IF(TRANSHARI7_HYDROPAGI[[#This Row],[NAMA PENGHUTANG]]="",((TRANSHARI7_HYDROPAGI[[#This Row],[HARGA]]*TRANSHARI7_HYDROPAGI[[#This Row],[QUANTITY]])+TRANSHARI7_HYDROPAGI[[#This Row],[PRICE TOLERANCE]]),""),"")</f>
        <v/>
      </c>
      <c r="G379" s="373" t="str">
        <f>IFERROR(IF(TRANSHARI7_HYDROPAGI[[#This Row],[NAMA PENGHUTANG]]="","",((TRANSHARI7_HYDROPAGI[[#This Row],[HARGA]]*TRANSHARI7_HYDROPAGI[[#This Row],[QUANTITY]])+TRANSHARI7_HYDROPAGI[[#This Row],[PRICE TOLERANCE]])),"")</f>
        <v/>
      </c>
      <c r="H379" s="12"/>
      <c r="I379" s="386" t="str">
        <f>IFERROR(IF(TRANSHARI7_HYDROPAGI[[#This Row],[NAMA REKENING]]="","",TRANSHARI7_HYDROPAGI[[#This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IFERROR(VLOOKUP(TRANSHARI7_HYDROMALAM[[#This Row],[PRODUK]],DATA_HYDRO[],9,FALSE),"")</f>
        <v/>
      </c>
      <c r="T379" s="374"/>
      <c r="U379" s="373" t="str">
        <f>IFERROR(IF(TRANSHARI7_HYDROMALAM[[#This Row],[NAMA PENGHUTANG]]="",((TRANSHARI7_HYDROMALAM[[#This Row],[HARGA]]*TRANSHARI7_HYDROMALAM[[#This Row],[QUANTITY]])+TRANSHARI7_HYDROMALAM[[#This Row],[PRICE TOLERANCE]]),""),"")</f>
        <v/>
      </c>
      <c r="V379" s="373" t="str">
        <f>IFERROR(IF(TRANSHARI7_HYDROMALAM[[#This Row],[NAMA PENGHUTANG]]="","",((TRANSHARI7_HYDROMALAM[[#This Row],[HARGA]]*TRANSHARI7_HYDROMALAM[[#This Row],[QUANTITY]])+TRANSHARI7_HYDROMALAM[[#This Row],[PRICE TOLERANCE]])),"")</f>
        <v/>
      </c>
      <c r="W379" s="12"/>
      <c r="X379" s="386" t="str">
        <f>IFERROR(IF(TRANSHARI7_HYDROMALAM[[#This Row],[NAMA REKENING]]="","",TRANSHARI7_HYDROMALAM[[#This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SUM(TRANSHARI7_HYDROPAGI[QUANTITY])</f>
        <v>0</v>
      </c>
      <c r="E380" s="398">
        <f>SUM(TRANSHARI7_HYDROPAGI[PRICE TOLERANCE])</f>
        <v>0</v>
      </c>
      <c r="F380" s="396">
        <f>SUM(TRANSHARI7_HYDROPAGI[DEBIT])</f>
        <v>0</v>
      </c>
      <c r="G380" s="396">
        <f>SUM(TRANSHARI7_HYDROPAGI[KREDIT])</f>
        <v>0</v>
      </c>
      <c r="I380" s="396">
        <f>SUM(TRANSHARI7_HYDROPAGI[NOMINAL TRANSFER])</f>
        <v>0</v>
      </c>
      <c r="O380" s="324"/>
      <c r="P380" s="303" t="s">
        <v>78</v>
      </c>
      <c r="Q380" s="316"/>
      <c r="R380" s="395">
        <f>SUM(TRANSHARI7_HYDROMALAM[QUANTITY])</f>
        <v>0</v>
      </c>
      <c r="T380" s="398">
        <f>SUM(TRANSHARI7_HYDROMALAM[PRICE TOLERANCE])</f>
        <v>0</v>
      </c>
      <c r="U380" s="396">
        <f>SUM(TRANSHARI7_HYDROMALAM[DEBIT])</f>
        <v>0</v>
      </c>
      <c r="V380" s="396">
        <f>SUM(TRANSHARI7_HYDROMALAM[KREDIT])</f>
        <v>0</v>
      </c>
      <c r="X380" s="396">
        <f>SUM(TRANSHARI7_HYDROMALAM[NOMINAL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220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221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SUM(TRANSHARI7_PULSAPAGI[DEBIT])</f>
        <v>0</v>
      </c>
      <c r="D390" s="431">
        <f>SUM(TRANSHARI7_PULSAPAGI[KREDIT])</f>
        <v>0</v>
      </c>
      <c r="E390" s="432">
        <f>SUM(TRANSHARI7_PULSAPAGI[NOMINAL TRANSFER])</f>
        <v>0</v>
      </c>
      <c r="F390" s="433">
        <f>0</f>
        <v>0</v>
      </c>
      <c r="G390" s="434">
        <f>COUNTA(TRANSHARI7_PULSAPAGI[[DEBIT]:[KREDIT]])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SUM(TRANSHARI7_PULSAMALAM[DEBIT])</f>
        <v>0</v>
      </c>
      <c r="S390" s="431">
        <f>SUM(TRANSHARI7_PULSAMALAM[KREDIT])</f>
        <v>0</v>
      </c>
      <c r="T390" s="432">
        <f>SUM(TRANSHARI7_PULSAMALAM[NOMINAL TRANSFER])</f>
        <v>0</v>
      </c>
      <c r="U390" s="433">
        <f>0</f>
        <v>0</v>
      </c>
      <c r="V390" s="434">
        <f>COUNTA(TRANSHARI7_PULSAMALAM[[DEBIT]:[KREDIT]])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SUM(TRANSHARI7_ROKOKPAGI[DEBIT])</f>
        <v>0</v>
      </c>
      <c r="D391" s="431">
        <f>SUM(TRANSHARI7_ROKOKPAGI[KREDIT])</f>
        <v>0</v>
      </c>
      <c r="E391" s="432">
        <f>SUM(TRANSHARI7_ROKOKPAGI[NOMINAL TRANSFER])</f>
        <v>0</v>
      </c>
      <c r="F391" s="433">
        <f>SUM(TRANSHARI7_ROKOKPAGI[PRICE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SUM(TRANSHARI7_ROKOKMALAM[DEBIT])</f>
        <v>0</v>
      </c>
      <c r="S391" s="431">
        <f>SUM(TRANSHARI7_ROKOKMALAM[KREDIT])</f>
        <v>0</v>
      </c>
      <c r="T391" s="432">
        <f>SUM(TRANSHARI7_ROKOKMALAM[NOMINAL TRANSFER])</f>
        <v>0</v>
      </c>
      <c r="U391" s="433">
        <f>SUM(TRANSHARI7_ROKOKMALAM[PRICE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SUM(TRANSHARI7_SPVOUPAGI[DEBIT])</f>
        <v>0</v>
      </c>
      <c r="D392" s="431">
        <f>SUM(TRANSHARI7_SPVOUPAGI[KREDIT])</f>
        <v>0</v>
      </c>
      <c r="E392" s="432">
        <f>SUM(TRANSHARI7_SPVOUPAGI[NOMINAL TRANSFER])</f>
        <v>0</v>
      </c>
      <c r="F392" s="433">
        <f>SUM(TRANSHARI7_SPVOUPAGI[PRICE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SUM(TRANSHARI7_SPVOUMALAM[DEBIT])</f>
        <v>0</v>
      </c>
      <c r="S392" s="431">
        <f>SUM(TRANSHARI7_SPVOUMALAM[KREDIT])</f>
        <v>0</v>
      </c>
      <c r="T392" s="432">
        <f>SUM(TRANSHARI7_SPVOUMALAM[NOMINAL TRANSFER])</f>
        <v>0</v>
      </c>
      <c r="U392" s="433">
        <f>SUM(TRANSHARI7_SPVOUMALAM[PRICE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SUM(TRANSHARI7_SOFTDRINKPAGI[DEBIT])</f>
        <v>0</v>
      </c>
      <c r="D393" s="431">
        <f>SUM(TRANSHARI7_SOFTDRINKPAGI[KREDIT])</f>
        <v>0</v>
      </c>
      <c r="E393" s="432">
        <f>SUM(TRANSHARI7_SOFTDRINKPAGI[NOMINAL TRANSFER])</f>
        <v>0</v>
      </c>
      <c r="F393" s="433">
        <f>SUM(TRANSHARI7_SOFTDRINKPAGI[PRICE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SUM(TRANSHARI7_SOFTDRINKMALAM[DEBIT])</f>
        <v>0</v>
      </c>
      <c r="S393" s="431">
        <f>SUM(TRANSHARI7_SOFTDRINKMALAM[KREDIT])</f>
        <v>0</v>
      </c>
      <c r="T393" s="432">
        <f>SUM(TRANSHARI7_SOFTDRINKMALAM[NOMINAL TRANSFER])</f>
        <v>0</v>
      </c>
      <c r="U393" s="433">
        <f>SUM(TRANSHARI7_SOFTDRINKMALAM[PRICE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SUM(TRANSHARI7_ICECREAMPAGI[DEBIT])</f>
        <v>0</v>
      </c>
      <c r="D394" s="431">
        <f>SUM(TRANSHARI7_ICECREAMPAGI[KREDIT])</f>
        <v>0</v>
      </c>
      <c r="E394" s="432">
        <f>SUM(TRANSHARI7_ICECREAMPAGI[NOMINAL TRANSFER])</f>
        <v>0</v>
      </c>
      <c r="F394" s="433">
        <f>SUM(TRANSHARI7_ICECREAMPAGI[PRICE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SUM(TRANSHARI7_ICECREAMMALAM[DEBIT])</f>
        <v>0</v>
      </c>
      <c r="S394" s="431">
        <f>SUM(TRANSHARI7_ICECREAMMALAM[KREDIT])</f>
        <v>0</v>
      </c>
      <c r="T394" s="432">
        <f>SUM(TRANSHARI7_ICECREAMMALAM[NOMINAL TRANSFER])</f>
        <v>0</v>
      </c>
      <c r="U394" s="433">
        <f>SUM(TRANSHARI7_ICECREAMMALAM[PRICE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SUM(TRANSHARI7_ACCPAGI[DEBIT])</f>
        <v>0</v>
      </c>
      <c r="D395" s="431">
        <f>SUM(TRANSHARI7_ACCPAGI[KREDIT])</f>
        <v>0</v>
      </c>
      <c r="E395" s="432">
        <f>SUM(TRANSHARI7_ACCPAGI[NOMINAL TRANSFER])</f>
        <v>0</v>
      </c>
      <c r="F395" s="433">
        <f>SUM(TRANSHARI7_ACCPAGI[PRICE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SUM(TRANSHARI7_ACCMALAM[DEBIT])</f>
        <v>0</v>
      </c>
      <c r="S395" s="431">
        <f>SUM(TRANSHARI7_ACCMALAM[KREDIT])</f>
        <v>0</v>
      </c>
      <c r="T395" s="432">
        <f>SUM(TRANSHARI7_ACCMALAM[NOMINAL TRANSFER])</f>
        <v>0</v>
      </c>
      <c r="U395" s="433">
        <f>SUM(TRANSHARI7_ACCMALAM[PRICE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SUM(TRANSHARI7_HYDROPAGI[DEBIT])</f>
        <v>0</v>
      </c>
      <c r="D396" s="437">
        <f>SUM(TRANSHARI7_HYDROPAGI[KREDIT])</f>
        <v>0</v>
      </c>
      <c r="E396" s="438">
        <f>SUM(TRANSHARI7_HYDROPAGI[NOMINAL TRANSFER])</f>
        <v>0</v>
      </c>
      <c r="F396" s="439">
        <f>SUM(TRANSHARI7_HYDROPAGI[PRICE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SUM(TRANSHARI7_HYDROMALAM[DEBIT])</f>
        <v>0</v>
      </c>
      <c r="S396" s="437">
        <f>SUM(TRANSHARI7_HYDROMALAM[KREDIT])</f>
        <v>0</v>
      </c>
      <c r="T396" s="438">
        <f>SUM(TRANSHARI7_HYDROMALAM[NOMINAL TRANSFER])</f>
        <v>0</v>
      </c>
      <c r="U396" s="439">
        <f>SUM(TRANSHARI7_HYDROMALAM[PRICE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6'!T430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yWPa05axd0TUN1bjcQDI539W/biSlkXFWQJkeVH8HzRxbBNpaz4s0ColCGrx/quMBO5OVg9fBiP+JhoZZXJH0w==" saltValue="lCz+6FokBQ1mC4ZTNij/YQ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24:AC447"/>
  <sheetViews>
    <sheetView showGridLines="0" zoomScale="64" zoomScaleNormal="64" topLeftCell="R401" workbookViewId="0">
      <selection activeCell="D336" sqref="D336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222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223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IFERROR(IF(TRANSHARI8_PULSAPAGI[[#This Row],[NAMA REKENING]]="","",TRANSHARI8_PULSAPAGI[[#This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IFERROR(IF(TRANSHARI8_PULSAMALAM[[#This Row],[NAMA REKENING]]="","",TRANSHARI8_PULSAMALAM[[#This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IFERROR(IF(TRANSHARI8_PULSAPAGI[[#This Row],[NAMA REKENING]]="","",TRANSHARI8_PULSAPAGI[[#This Row],[DEBIT]]),"")</f>
        <v/>
      </c>
      <c r="I29" s="311"/>
      <c r="J29" s="326"/>
      <c r="K29" s="330" t="s">
        <v>27</v>
      </c>
      <c r="L29" s="331">
        <f>'HARI 7'!AA33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IFERROR(IF(TRANSHARI8_PULSAMALAM[[#This Row],[NAMA REKENING]]="","",TRANSHARI8_PULSAMALAM[[#This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IFERROR(IF(TRANSHARI8_PULSAPAGI[[#This Row],[NAMA REKENING]]="","",TRANSHARI8_PULSAPAGI[[#This Row],[DEBIT]]),"")</f>
        <v/>
      </c>
      <c r="I30" s="311"/>
      <c r="J30" s="326"/>
      <c r="K30" s="332" t="s">
        <v>30</v>
      </c>
      <c r="L30" s="333">
        <f>SUMIF(TRANSHARI8_PULSAPAGI[APLIKASI],K28,TRANSHARI8_PULSAPAGI[SALDO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IFERROR(IF(TRANSHARI8_PULSAMALAM[[#This Row],[NAMA REKENING]]="","",TRANSHARI8_PULSAMALAM[[#This Row],[DEBIT]]),"")</f>
        <v/>
      </c>
      <c r="X30" s="311"/>
      <c r="Y30" s="326"/>
      <c r="Z30" s="332" t="s">
        <v>30</v>
      </c>
      <c r="AA30" s="333">
        <f>SUMIF(TRANSHARI8_PULSAMALAM[APLIKASI],Z28,TRANSHARI8_PULSAMALAM[SALDO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IFERROR(IF(TRANSHARI8_PULSAPAGI[[#This Row],[NAMA REKENING]]="","",TRANSHARI8_PULSAPAGI[[#This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IFERROR(IF(TRANSHARI8_PULSAMALAM[[#This Row],[NAMA REKENING]]="","",TRANSHARI8_PULSAMALAM[[#This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IFERROR(IF(TRANSHARI8_PULSAPAGI[[#This Row],[NAMA REKENING]]="","",TRANSHARI8_PULSAPAGI[[#This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IFERROR(IF(TRANSHARI8_PULSAMALAM[[#This Row],[NAMA REKENING]]="","",TRANSHARI8_PULSAMALAM[[#This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IFERROR(IF(TRANSHARI8_PULSAPAGI[[#This Row],[NAMA REKENING]]="","",TRANSHARI8_PULSAPAGI[[#This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IFERROR(IF(TRANSHARI8_PULSAMALAM[[#This Row],[NAMA REKENING]]="","",TRANSHARI8_PULSAMALAM[[#This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IFERROR(IF(TRANSHARI8_PULSAPAGI[[#This Row],[NAMA REKENING]]="","",TRANSHARI8_PULSAPAGI[[#This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IFERROR(IF(TRANSHARI8_PULSAMALAM[[#This Row],[NAMA REKENING]]="","",TRANSHARI8_PULSAMALAM[[#This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IFERROR(IF(TRANSHARI8_PULSAPAGI[[#This Row],[NAMA REKENING]]="","",TRANSHARI8_PULSAPAGI[[#This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IFERROR(IF(TRANSHARI8_PULSAMALAM[[#This Row],[NAMA REKENING]]="","",TRANSHARI8_PULSAMALAM[[#This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IFERROR(IF(TRANSHARI8_PULSAPAGI[[#This Row],[NAMA REKENING]]="","",TRANSHARI8_PULSAPAGI[[#This Row],[DEBIT]]),"")</f>
        <v/>
      </c>
      <c r="I36" s="311"/>
      <c r="J36" s="326"/>
      <c r="K36" s="330" t="s">
        <v>27</v>
      </c>
      <c r="L36" s="331">
        <f>'HARI 7'!AA40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IFERROR(IF(TRANSHARI8_PULSAMALAM[[#This Row],[NAMA REKENING]]="","",TRANSHARI8_PULSAMALAM[[#This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IFERROR(IF(TRANSHARI8_PULSAPAGI[[#This Row],[NAMA REKENING]]="","",TRANSHARI8_PULSAPAGI[[#This Row],[DEBIT]]),"")</f>
        <v/>
      </c>
      <c r="I37" s="311"/>
      <c r="J37" s="326"/>
      <c r="K37" s="332" t="s">
        <v>30</v>
      </c>
      <c r="L37" s="333">
        <f>SUMIF(TRANSHARI8_PULSAPAGI[APLIKASI],K35,TRANSHARI8_PULSAPAGI[SALDO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IFERROR(IF(TRANSHARI8_PULSAMALAM[[#This Row],[NAMA REKENING]]="","",TRANSHARI8_PULSAMALAM[[#This Row],[DEBIT]]),"")</f>
        <v/>
      </c>
      <c r="X37" s="311"/>
      <c r="Y37" s="326"/>
      <c r="Z37" s="332" t="s">
        <v>30</v>
      </c>
      <c r="AA37" s="333">
        <f>SUMIF(TRANSHARI8_PULSAMALAM[APLIKASI],Z35,TRANSHARI8_PULSAMALAM[SALDO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IFERROR(IF(TRANSHARI8_PULSAPAGI[[#This Row],[NAMA REKENING]]="","",TRANSHARI8_PULSAPAGI[[#This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IFERROR(IF(TRANSHARI8_PULSAMALAM[[#This Row],[NAMA REKENING]]="","",TRANSHARI8_PULSAMALAM[[#This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IFERROR(IF(TRANSHARI8_PULSAPAGI[[#This Row],[NAMA REKENING]]="","",TRANSHARI8_PULSAPAGI[[#This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IFERROR(IF(TRANSHARI8_PULSAMALAM[[#This Row],[NAMA REKENING]]="","",TRANSHARI8_PULSAMALAM[[#This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IFERROR(IF(TRANSHARI8_PULSAPAGI[[#This Row],[NAMA REKENING]]="","",TRANSHARI8_PULSAPAGI[[#This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IFERROR(IF(TRANSHARI8_PULSAMALAM[[#This Row],[NAMA REKENING]]="","",TRANSHARI8_PULSAMALAM[[#This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IFERROR(IF(TRANSHARI8_PULSAPAGI[[#This Row],[NAMA REKENING]]="","",TRANSHARI8_PULSAPAGI[[#This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IFERROR(IF(TRANSHARI8_PULSAMALAM[[#This Row],[NAMA REKENING]]="","",TRANSHARI8_PULSAMALAM[[#This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IFERROR(IF(TRANSHARI8_PULSAPAGI[[#This Row],[NAMA REKENING]]="","",TRANSHARI8_PULSAPAGI[[#This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IFERROR(IF(TRANSHARI8_PULSAMALAM[[#This Row],[NAMA REKENING]]="","",TRANSHARI8_PULSAMALAM[[#This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IFERROR(IF(TRANSHARI8_PULSAPAGI[[#This Row],[NAMA REKENING]]="","",TRANSHARI8_PULSAPAGI[[#This Row],[DEBIT]]),"")</f>
        <v/>
      </c>
      <c r="I43" s="311"/>
      <c r="J43" s="326"/>
      <c r="K43" s="330" t="s">
        <v>27</v>
      </c>
      <c r="L43" s="331">
        <f>'HARI 7'!AA47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IFERROR(IF(TRANSHARI8_PULSAMALAM[[#This Row],[NAMA REKENING]]="","",TRANSHARI8_PULSAMALAM[[#This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IFERROR(IF(TRANSHARI8_PULSAPAGI[[#This Row],[NAMA REKENING]]="","",TRANSHARI8_PULSAPAGI[[#This Row],[DEBIT]]),"")</f>
        <v/>
      </c>
      <c r="I44" s="311"/>
      <c r="J44" s="326"/>
      <c r="K44" s="332" t="s">
        <v>30</v>
      </c>
      <c r="L44" s="333">
        <f>SUMIF(TRANSHARI8_PULSAPAGI[APLIKASI],K42,TRANSHARI8_PULSAPAGI[SALDO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IFERROR(IF(TRANSHARI8_PULSAMALAM[[#This Row],[NAMA REKENING]]="","",TRANSHARI8_PULSAMALAM[[#This Row],[DEBIT]]),"")</f>
        <v/>
      </c>
      <c r="X44" s="311"/>
      <c r="Y44" s="326"/>
      <c r="Z44" s="332" t="s">
        <v>30</v>
      </c>
      <c r="AA44" s="333">
        <f>SUMIF(TRANSHARI8_PULSAMALAM[APLIKASI],Z42,TRANSHARI8_PULSAMALAM[SALDO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IFERROR(IF(TRANSHARI8_PULSAPAGI[[#This Row],[NAMA REKENING]]="","",TRANSHARI8_PULSAPAGI[[#This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IFERROR(IF(TRANSHARI8_PULSAMALAM[[#This Row],[NAMA REKENING]]="","",TRANSHARI8_PULSAMALAM[[#This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IFERROR(IF(TRANSHARI8_PULSAPAGI[[#This Row],[NAMA REKENING]]="","",TRANSHARI8_PULSAPAGI[[#This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IFERROR(IF(TRANSHARI8_PULSAMALAM[[#This Row],[NAMA REKENING]]="","",TRANSHARI8_PULSAMALAM[[#This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IFERROR(IF(TRANSHARI8_PULSAPAGI[[#This Row],[NAMA REKENING]]="","",TRANSHARI8_PULSAPAGI[[#This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IFERROR(IF(TRANSHARI8_PULSAMALAM[[#This Row],[NAMA REKENING]]="","",TRANSHARI8_PULSAMALAM[[#This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IFERROR(IF(TRANSHARI8_PULSAPAGI[[#This Row],[NAMA REKENING]]="","",TRANSHARI8_PULSAPAGI[[#This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IFERROR(IF(TRANSHARI8_PULSAMALAM[[#This Row],[NAMA REKENING]]="","",TRANSHARI8_PULSAMALAM[[#This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IFERROR(IF(TRANSHARI8_PULSAPAGI[[#This Row],[NAMA REKENING]]="","",TRANSHARI8_PULSAPAGI[[#This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IFERROR(IF(TRANSHARI8_PULSAMALAM[[#This Row],[NAMA REKENING]]="","",TRANSHARI8_PULSAMALAM[[#This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IFERROR(IF(TRANSHARI8_PULSAPAGI[[#This Row],[NAMA REKENING]]="","",TRANSHARI8_PULSAPAGI[[#This Row],[DEBIT]]),"")</f>
        <v/>
      </c>
      <c r="I50" s="311"/>
      <c r="J50" s="326"/>
      <c r="K50" s="330" t="s">
        <v>27</v>
      </c>
      <c r="L50" s="331">
        <f>'HARI 7'!AA54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IFERROR(IF(TRANSHARI8_PULSAMALAM[[#This Row],[NAMA REKENING]]="","",TRANSHARI8_PULSAMALAM[[#This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IFERROR(IF(TRANSHARI8_PULSAPAGI[[#This Row],[NAMA REKENING]]="","",TRANSHARI8_PULSAPAGI[[#This Row],[DEBIT]]),"")</f>
        <v/>
      </c>
      <c r="I51" s="311"/>
      <c r="J51" s="326"/>
      <c r="K51" s="332" t="s">
        <v>30</v>
      </c>
      <c r="L51" s="333">
        <f>SUMIF(TRANSHARI8_PULSAPAGI[APLIKASI],K49,TRANSHARI8_PULSAPAGI[SALDO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IFERROR(IF(TRANSHARI8_PULSAMALAM[[#This Row],[NAMA REKENING]]="","",TRANSHARI8_PULSAMALAM[[#This Row],[DEBIT]]),"")</f>
        <v/>
      </c>
      <c r="X51" s="311"/>
      <c r="Y51" s="326"/>
      <c r="Z51" s="332" t="s">
        <v>30</v>
      </c>
      <c r="AA51" s="333">
        <f>SUMIF(TRANSHARI8_PULSAMALAM[APLIKASI],Z49,TRANSHARI8_PULSAMALAM[SALDO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IFERROR(IF(TRANSHARI8_PULSAPAGI[[#This Row],[NAMA REKENING]]="","",TRANSHARI8_PULSAPAGI[[#This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IFERROR(IF(TRANSHARI8_PULSAMALAM[[#This Row],[NAMA REKENING]]="","",TRANSHARI8_PULSAMALAM[[#This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IFERROR(IF(TRANSHARI8_PULSAPAGI[[#This Row],[NAMA REKENING]]="","",TRANSHARI8_PULSAPAGI[[#This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IFERROR(IF(TRANSHARI8_PULSAMALAM[[#This Row],[NAMA REKENING]]="","",TRANSHARI8_PULSAMALAM[[#This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IFERROR(IF(TRANSHARI8_PULSAPAGI[[#This Row],[NAMA REKENING]]="","",TRANSHARI8_PULSAPAGI[[#This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IFERROR(IF(TRANSHARI8_PULSAMALAM[[#This Row],[NAMA REKENING]]="","",TRANSHARI8_PULSAMALAM[[#This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IFERROR(IF(TRANSHARI8_PULSAPAGI[[#This Row],[NAMA REKENING]]="","",TRANSHARI8_PULSAPAGI[[#This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IFERROR(IF(TRANSHARI8_PULSAMALAM[[#This Row],[NAMA REKENING]]="","",TRANSHARI8_PULSAMALAM[[#This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IFERROR(IF(TRANSHARI8_PULSAPAGI[[#This Row],[NAMA REKENING]]="","",TRANSHARI8_PULSAPAGI[[#This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IFERROR(IF(TRANSHARI8_PULSAMALAM[[#This Row],[NAMA REKENING]]="","",TRANSHARI8_PULSAMALAM[[#This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IFERROR(IF(TRANSHARI8_PULSAPAGI[[#This Row],[NAMA REKENING]]="","",TRANSHARI8_PULSAPAGI[[#This Row],[DEBIT]]),"")</f>
        <v/>
      </c>
      <c r="I57" s="311"/>
      <c r="J57" s="326"/>
      <c r="K57" s="330" t="s">
        <v>27</v>
      </c>
      <c r="L57" s="331">
        <f>'HARI 7'!AA61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IFERROR(IF(TRANSHARI8_PULSAMALAM[[#This Row],[NAMA REKENING]]="","",TRANSHARI8_PULSAMALAM[[#This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IFERROR(IF(TRANSHARI8_PULSAPAGI[[#This Row],[NAMA REKENING]]="","",TRANSHARI8_PULSAPAGI[[#This Row],[DEBIT]]),"")</f>
        <v/>
      </c>
      <c r="I58" s="311"/>
      <c r="J58" s="326"/>
      <c r="K58" s="332" t="s">
        <v>30</v>
      </c>
      <c r="L58" s="333">
        <f>SUMIF(TRANSHARI8_PULSAPAGI[APLIKASI],K56,TRANSHARI8_PULSAPAGI[SALDO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IFERROR(IF(TRANSHARI8_PULSAMALAM[[#This Row],[NAMA REKENING]]="","",TRANSHARI8_PULSAMALAM[[#This Row],[DEBIT]]),"")</f>
        <v/>
      </c>
      <c r="X58" s="311"/>
      <c r="Y58" s="326"/>
      <c r="Z58" s="332" t="s">
        <v>30</v>
      </c>
      <c r="AA58" s="333">
        <f>SUMIF(TRANSHARI8_PULSAMALAM[APLIKASI],Z56,TRANSHARI8_PULSAMALAM[SALDO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IFERROR(IF(TRANSHARI8_PULSAPAGI[[#This Row],[NAMA REKENING]]="","",TRANSHARI8_PULSAPAGI[[#This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IFERROR(IF(TRANSHARI8_PULSAMALAM[[#This Row],[NAMA REKENING]]="","",TRANSHARI8_PULSAMALAM[[#This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IFERROR(IF(TRANSHARI8_PULSAPAGI[[#This Row],[NAMA REKENING]]="","",TRANSHARI8_PULSAPAGI[[#This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IFERROR(IF(TRANSHARI8_PULSAMALAM[[#This Row],[NAMA REKENING]]="","",TRANSHARI8_PULSAMALAM[[#This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IFERROR(IF(TRANSHARI8_PULSAPAGI[[#This Row],[NAMA REKENING]]="","",TRANSHARI8_PULSAPAGI[[#This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IFERROR(IF(TRANSHARI8_PULSAMALAM[[#This Row],[NAMA REKENING]]="","",TRANSHARI8_PULSAMALAM[[#This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IFERROR(IF(TRANSHARI8_PULSAPAGI[[#This Row],[NAMA REKENING]]="","",TRANSHARI8_PULSAPAGI[[#This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IFERROR(IF(TRANSHARI8_PULSAMALAM[[#This Row],[NAMA REKENING]]="","",TRANSHARI8_PULSAMALAM[[#This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IFERROR(IF(TRANSHARI8_PULSAPAGI[[#This Row],[NAMA REKENING]]="","",TRANSHARI8_PULSAPAGI[[#This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IFERROR(IF(TRANSHARI8_PULSAMALAM[[#This Row],[NAMA REKENING]]="","",TRANSHARI8_PULSAMALAM[[#This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IFERROR(IF(TRANSHARI8_PULSAPAGI[[#This Row],[NAMA REKENING]]="","",TRANSHARI8_PULSAPAGI[[#This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IFERROR(IF(TRANSHARI8_PULSAMALAM[[#This Row],[NAMA REKENING]]="","",TRANSHARI8_PULSAMALAM[[#This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IFERROR(IF(TRANSHARI8_PULSAPAGI[[#This Row],[NAMA REKENING]]="","",TRANSHARI8_PULSAPAGI[[#This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IFERROR(IF(TRANSHARI8_PULSAMALAM[[#This Row],[NAMA REKENING]]="","",TRANSHARI8_PULSAMALAM[[#This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IFERROR(IF(TRANSHARI8_PULSAPAGI[[#This Row],[NAMA REKENING]]="","",TRANSHARI8_PULSAPAGI[[#This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IFERROR(IF(TRANSHARI8_PULSAMALAM[[#This Row],[NAMA REKENING]]="","",TRANSHARI8_PULSAMALAM[[#This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IFERROR(IF(TRANSHARI8_PULSAPAGI[[#This Row],[NAMA REKENING]]="","",TRANSHARI8_PULSAPAGI[[#This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IFERROR(IF(TRANSHARI8_PULSAMALAM[[#This Row],[NAMA REKENING]]="","",TRANSHARI8_PULSAMALAM[[#This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IFERROR(IF(TRANSHARI8_PULSAPAGI[[#This Row],[NAMA REKENING]]="","",TRANSHARI8_PULSAPAGI[[#This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IFERROR(IF(TRANSHARI8_PULSAMALAM[[#This Row],[NAMA REKENING]]="","",TRANSHARI8_PULSAMALAM[[#This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IFERROR(IF(TRANSHARI8_PULSAPAGI[[#This Row],[NAMA REKENING]]="","",TRANSHARI8_PULSAPAGI[[#This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IFERROR(IF(TRANSHARI8_PULSAMALAM[[#This Row],[NAMA REKENING]]="","",TRANSHARI8_PULSAMALAM[[#This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IFERROR(IF(TRANSHARI8_PULSAPAGI[[#This Row],[NAMA REKENING]]="","",TRANSHARI8_PULSAPAGI[[#This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IFERROR(IF(TRANSHARI8_PULSAMALAM[[#This Row],[NAMA REKENING]]="","",TRANSHARI8_PULSAMALAM[[#This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IFERROR(IF(TRANSHARI8_PULSAPAGI[[#This Row],[NAMA REKENING]]="","",TRANSHARI8_PULSAPAGI[[#This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IFERROR(IF(TRANSHARI8_PULSAMALAM[[#This Row],[NAMA REKENING]]="","",TRANSHARI8_PULSAMALAM[[#This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IFERROR(IF(TRANSHARI8_PULSAPAGI[[#This Row],[NAMA REKENING]]="","",TRANSHARI8_PULSAPAGI[[#This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IFERROR(IF(TRANSHARI8_PULSAMALAM[[#This Row],[NAMA REKENING]]="","",TRANSHARI8_PULSAMALAM[[#This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IFERROR(IF(TRANSHARI8_PULSAPAGI[[#This Row],[NAMA REKENING]]="","",TRANSHARI8_PULSAPAGI[[#This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IFERROR(IF(TRANSHARI8_PULSAMALAM[[#This Row],[NAMA REKENING]]="","",TRANSHARI8_PULSAMALAM[[#This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IFERROR(IF(TRANSHARI8_PULSAPAGI[[#This Row],[NAMA REKENING]]="","",TRANSHARI8_PULSAPAGI[[#This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IFERROR(IF(TRANSHARI8_PULSAMALAM[[#This Row],[NAMA REKENING]]="","",TRANSHARI8_PULSAMALAM[[#This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IFERROR(IF(TRANSHARI8_PULSAPAGI[[#This Row],[NAMA REKENING]]="","",TRANSHARI8_PULSAPAGI[[#This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IFERROR(IF(TRANSHARI8_PULSAMALAM[[#This Row],[NAMA REKENING]]="","",TRANSHARI8_PULSAMALAM[[#This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IFERROR(IF(TRANSHARI8_PULSAPAGI[[#This Row],[NAMA REKENING]]="","",TRANSHARI8_PULSAPAGI[[#This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IFERROR(IF(TRANSHARI8_PULSAMALAM[[#This Row],[NAMA REKENING]]="","",TRANSHARI8_PULSAMALAM[[#This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IFERROR(IF(TRANSHARI8_PULSAPAGI[[#This Row],[NAMA REKENING]]="","",TRANSHARI8_PULSAPAGI[[#This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IFERROR(IF(TRANSHARI8_PULSAMALAM[[#This Row],[NAMA REKENING]]="","",TRANSHARI8_PULSAMALAM[[#This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SUM(TRANSHARI8_PULSAPAGI[DEBIT])</f>
        <v>0</v>
      </c>
      <c r="D78" s="353">
        <f>SUM(TRANSHARI8_PULSAPAGI[KREDIT])</f>
        <v>0</v>
      </c>
      <c r="E78" s="167"/>
      <c r="F78" s="354">
        <f>SUM(TRANSHARI8_PULSAPAGI[SALDO MINUS])</f>
        <v>0</v>
      </c>
      <c r="G78" s="167"/>
      <c r="H78" s="355">
        <f>SUM(TRANSHARI8_PULSAPAGI[NOMINAL TRANSFER])</f>
        <v>0</v>
      </c>
      <c r="I78" s="167"/>
      <c r="O78" s="324"/>
      <c r="P78" s="379" t="s">
        <v>64</v>
      </c>
      <c r="Q78" s="352"/>
      <c r="R78" s="353">
        <f>SUM(TRANSHARI8_PULSAMALAM[DEBIT])</f>
        <v>0</v>
      </c>
      <c r="S78" s="353">
        <f>SUM(TRANSHARI8_PULSAMALAM[KREDIT])</f>
        <v>0</v>
      </c>
      <c r="T78" s="167"/>
      <c r="U78" s="354">
        <f>SUM(TRANSHARI8_PULSAMALAM[SALDO MINUS])</f>
        <v>0</v>
      </c>
      <c r="V78" s="167"/>
      <c r="W78" s="355">
        <f>SUM(TRANSHARI8_PULSAMALAM[NOMINAL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tr">
        <f>A25</f>
        <v>HARI 8 : PAGI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tr">
        <f>P25</f>
        <v>HARI 8 : MALAM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IFERROR(VLOOKUP(TRANSHARI8_ROKOKPAGI[[#This Row],[PRODUK]],DATA_ROKOK[],10,FALSE),"")</f>
        <v/>
      </c>
      <c r="E85" s="370"/>
      <c r="F85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85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85" s="371"/>
      <c r="I85" s="384" t="str">
        <f>IFERROR(IF(TRANSHARI8_ROKOKPAGI[[#This Row],[NAMA REKENING]]="","",TRANSHARI8_ROKOKPAGI[[#This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IFERROR(VLOOKUP(TRANSHARI8_ROKOKMALAM[[#This Row],[PRODUK]],DATA_ROKOK[],10,FALSE),"")</f>
        <v/>
      </c>
      <c r="T85" s="370"/>
      <c r="U85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85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85" s="371"/>
      <c r="X85" s="384" t="str">
        <f>IFERROR(IF(TRANSHARI8_ROKOKMALAM[[#This Row],[NAMA REKENING]]="","",TRANSHARI8_ROKOKMALAM[[#This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IFERROR(VLOOKUP(TRANSHARI8_ROKOKPAGI[[#This Row],[PRODUK]],DATA_ROKOK[],10,FALSE),"")</f>
        <v/>
      </c>
      <c r="E86" s="374"/>
      <c r="F86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86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86" s="12"/>
      <c r="I86" s="386" t="str">
        <f>IFERROR(IF(TRANSHARI8_ROKOKPAGI[[#This Row],[NAMA REKENING]]="","",TRANSHARI8_ROKOKPAGI[[#This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IFERROR(VLOOKUP(TRANSHARI8_ROKOKMALAM[[#This Row],[PRODUK]],DATA_ROKOK[],10,FALSE),"")</f>
        <v/>
      </c>
      <c r="T86" s="374"/>
      <c r="U86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86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86" s="12"/>
      <c r="X86" s="386" t="str">
        <f>IFERROR(IF(TRANSHARI8_ROKOKMALAM[[#This Row],[NAMA REKENING]]="","",TRANSHARI8_ROKOKMALAM[[#This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IFERROR(VLOOKUP(TRANSHARI8_ROKOKPAGI[[#This Row],[PRODUK]],DATA_ROKOK[],10,FALSE),"")</f>
        <v/>
      </c>
      <c r="E87" s="374"/>
      <c r="F87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87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87" s="12"/>
      <c r="I87" s="384" t="str">
        <f>IFERROR(IF(TRANSHARI8_ROKOKPAGI[[#This Row],[NAMA REKENING]]="","",TRANSHARI8_ROKOKPAGI[[#This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IFERROR(VLOOKUP(TRANSHARI8_ROKOKMALAM[[#This Row],[PRODUK]],DATA_ROKOK[],10,FALSE),"")</f>
        <v/>
      </c>
      <c r="T87" s="374"/>
      <c r="U87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87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87" s="12"/>
      <c r="X87" s="384" t="str">
        <f>IFERROR(IF(TRANSHARI8_ROKOKMALAM[[#This Row],[NAMA REKENING]]="","",TRANSHARI8_ROKOKMALAM[[#This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IFERROR(VLOOKUP(TRANSHARI8_ROKOKPAGI[[#This Row],[PRODUK]],DATA_ROKOK[],10,FALSE),"")</f>
        <v/>
      </c>
      <c r="E88" s="374"/>
      <c r="F88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88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88" s="12"/>
      <c r="I88" s="386" t="str">
        <f>IFERROR(IF(TRANSHARI8_ROKOKPAGI[[#This Row],[NAMA REKENING]]="","",TRANSHARI8_ROKOKPAGI[[#This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IFERROR(VLOOKUP(TRANSHARI8_ROKOKMALAM[[#This Row],[PRODUK]],DATA_ROKOK[],10,FALSE),"")</f>
        <v/>
      </c>
      <c r="T88" s="374"/>
      <c r="U88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88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88" s="12"/>
      <c r="X88" s="386" t="str">
        <f>IFERROR(IF(TRANSHARI8_ROKOKMALAM[[#This Row],[NAMA REKENING]]="","",TRANSHARI8_ROKOKMALAM[[#This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IFERROR(VLOOKUP(TRANSHARI8_ROKOKPAGI[[#This Row],[PRODUK]],DATA_ROKOK[],10,FALSE),"")</f>
        <v/>
      </c>
      <c r="E89" s="374"/>
      <c r="F89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89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89" s="12"/>
      <c r="I89" s="384" t="str">
        <f>IFERROR(IF(TRANSHARI8_ROKOKPAGI[[#This Row],[NAMA REKENING]]="","",TRANSHARI8_ROKOKPAGI[[#This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IFERROR(VLOOKUP(TRANSHARI8_ROKOKMALAM[[#This Row],[PRODUK]],DATA_ROKOK[],10,FALSE),"")</f>
        <v/>
      </c>
      <c r="T89" s="374"/>
      <c r="U89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89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89" s="12"/>
      <c r="X89" s="384" t="str">
        <f>IFERROR(IF(TRANSHARI8_ROKOKMALAM[[#This Row],[NAMA REKENING]]="","",TRANSHARI8_ROKOKMALAM[[#This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IFERROR(VLOOKUP(TRANSHARI8_ROKOKPAGI[[#This Row],[PRODUK]],DATA_ROKOK[],10,FALSE),"")</f>
        <v/>
      </c>
      <c r="E90" s="374"/>
      <c r="F90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0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0" s="12"/>
      <c r="I90" s="386" t="str">
        <f>IFERROR(IF(TRANSHARI8_ROKOKPAGI[[#This Row],[NAMA REKENING]]="","",TRANSHARI8_ROKOKPAGI[[#This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IFERROR(VLOOKUP(TRANSHARI8_ROKOKMALAM[[#This Row],[PRODUK]],DATA_ROKOK[],10,FALSE),"")</f>
        <v/>
      </c>
      <c r="T90" s="374"/>
      <c r="U90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0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0" s="12"/>
      <c r="X90" s="386" t="str">
        <f>IFERROR(IF(TRANSHARI8_ROKOKMALAM[[#This Row],[NAMA REKENING]]="","",TRANSHARI8_ROKOKMALAM[[#This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IFERROR(VLOOKUP(TRANSHARI8_ROKOKPAGI[[#This Row],[PRODUK]],DATA_ROKOK[],10,FALSE),"")</f>
        <v/>
      </c>
      <c r="E91" s="374"/>
      <c r="F91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1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1" s="12"/>
      <c r="I91" s="384" t="str">
        <f>IFERROR(IF(TRANSHARI8_ROKOKPAGI[[#This Row],[NAMA REKENING]]="","",TRANSHARI8_ROKOKPAGI[[#This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IFERROR(VLOOKUP(TRANSHARI8_ROKOKMALAM[[#This Row],[PRODUK]],DATA_ROKOK[],10,FALSE),"")</f>
        <v/>
      </c>
      <c r="T91" s="374"/>
      <c r="U91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1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1" s="12"/>
      <c r="X91" s="384" t="str">
        <f>IFERROR(IF(TRANSHARI8_ROKOKMALAM[[#This Row],[NAMA REKENING]]="","",TRANSHARI8_ROKOKMALAM[[#This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IFERROR(VLOOKUP(TRANSHARI8_ROKOKPAGI[[#This Row],[PRODUK]],DATA_ROKOK[],10,FALSE),"")</f>
        <v/>
      </c>
      <c r="E92" s="374"/>
      <c r="F92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2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2" s="12"/>
      <c r="I92" s="386" t="str">
        <f>IFERROR(IF(TRANSHARI8_ROKOKPAGI[[#This Row],[NAMA REKENING]]="","",TRANSHARI8_ROKOKPAGI[[#This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IFERROR(VLOOKUP(TRANSHARI8_ROKOKMALAM[[#This Row],[PRODUK]],DATA_ROKOK[],10,FALSE),"")</f>
        <v/>
      </c>
      <c r="T92" s="374"/>
      <c r="U92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2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2" s="12"/>
      <c r="X92" s="386" t="str">
        <f>IFERROR(IF(TRANSHARI8_ROKOKMALAM[[#This Row],[NAMA REKENING]]="","",TRANSHARI8_ROKOKMALAM[[#This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IFERROR(VLOOKUP(TRANSHARI8_ROKOKPAGI[[#This Row],[PRODUK]],DATA_ROKOK[],10,FALSE),"")</f>
        <v/>
      </c>
      <c r="E93" s="374"/>
      <c r="F93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3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3" s="12"/>
      <c r="I93" s="384" t="str">
        <f>IFERROR(IF(TRANSHARI8_ROKOKPAGI[[#This Row],[NAMA REKENING]]="","",TRANSHARI8_ROKOKPAGI[[#This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IFERROR(VLOOKUP(TRANSHARI8_ROKOKMALAM[[#This Row],[PRODUK]],DATA_ROKOK[],10,FALSE),"")</f>
        <v/>
      </c>
      <c r="T93" s="374"/>
      <c r="U93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3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3" s="12"/>
      <c r="X93" s="384" t="str">
        <f>IFERROR(IF(TRANSHARI8_ROKOKMALAM[[#This Row],[NAMA REKENING]]="","",TRANSHARI8_ROKOKMALAM[[#This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IFERROR(VLOOKUP(TRANSHARI8_ROKOKPAGI[[#This Row],[PRODUK]],DATA_ROKOK[],10,FALSE),"")</f>
        <v/>
      </c>
      <c r="E94" s="374"/>
      <c r="F94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4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4" s="12"/>
      <c r="I94" s="386" t="str">
        <f>IFERROR(IF(TRANSHARI8_ROKOKPAGI[[#This Row],[NAMA REKENING]]="","",TRANSHARI8_ROKOKPAGI[[#This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IFERROR(VLOOKUP(TRANSHARI8_ROKOKMALAM[[#This Row],[PRODUK]],DATA_ROKOK[],10,FALSE),"")</f>
        <v/>
      </c>
      <c r="T94" s="374"/>
      <c r="U94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4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4" s="12"/>
      <c r="X94" s="386" t="str">
        <f>IFERROR(IF(TRANSHARI8_ROKOKMALAM[[#This Row],[NAMA REKENING]]="","",TRANSHARI8_ROKOKMALAM[[#This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IFERROR(VLOOKUP(TRANSHARI8_ROKOKPAGI[[#This Row],[PRODUK]],DATA_ROKOK[],10,FALSE),"")</f>
        <v/>
      </c>
      <c r="E95" s="374"/>
      <c r="F95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5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5" s="12"/>
      <c r="I95" s="384" t="str">
        <f>IFERROR(IF(TRANSHARI8_ROKOKPAGI[[#This Row],[NAMA REKENING]]="","",TRANSHARI8_ROKOKPAGI[[#This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IFERROR(VLOOKUP(TRANSHARI8_ROKOKMALAM[[#This Row],[PRODUK]],DATA_ROKOK[],10,FALSE),"")</f>
        <v/>
      </c>
      <c r="T95" s="374"/>
      <c r="U95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5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5" s="12"/>
      <c r="X95" s="384" t="str">
        <f>IFERROR(IF(TRANSHARI8_ROKOKMALAM[[#This Row],[NAMA REKENING]]="","",TRANSHARI8_ROKOKMALAM[[#This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IFERROR(VLOOKUP(TRANSHARI8_ROKOKPAGI[[#This Row],[PRODUK]],DATA_ROKOK[],10,FALSE),"")</f>
        <v/>
      </c>
      <c r="E96" s="374"/>
      <c r="F96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6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6" s="12"/>
      <c r="I96" s="386" t="str">
        <f>IFERROR(IF(TRANSHARI8_ROKOKPAGI[[#This Row],[NAMA REKENING]]="","",TRANSHARI8_ROKOKPAGI[[#This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IFERROR(VLOOKUP(TRANSHARI8_ROKOKMALAM[[#This Row],[PRODUK]],DATA_ROKOK[],10,FALSE),"")</f>
        <v/>
      </c>
      <c r="T96" s="374"/>
      <c r="U96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6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6" s="12"/>
      <c r="X96" s="386" t="str">
        <f>IFERROR(IF(TRANSHARI8_ROKOKMALAM[[#This Row],[NAMA REKENING]]="","",TRANSHARI8_ROKOKMALAM[[#This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IFERROR(VLOOKUP(TRANSHARI8_ROKOKPAGI[[#This Row],[PRODUK]],DATA_ROKOK[],10,FALSE),"")</f>
        <v/>
      </c>
      <c r="E97" s="374"/>
      <c r="F97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7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7" s="12"/>
      <c r="I97" s="384" t="str">
        <f>IFERROR(IF(TRANSHARI8_ROKOKPAGI[[#This Row],[NAMA REKENING]]="","",TRANSHARI8_ROKOKPAGI[[#This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IFERROR(VLOOKUP(TRANSHARI8_ROKOKMALAM[[#This Row],[PRODUK]],DATA_ROKOK[],10,FALSE),"")</f>
        <v/>
      </c>
      <c r="T97" s="374"/>
      <c r="U97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7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7" s="12"/>
      <c r="X97" s="384" t="str">
        <f>IFERROR(IF(TRANSHARI8_ROKOKMALAM[[#This Row],[NAMA REKENING]]="","",TRANSHARI8_ROKOKMALAM[[#This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IFERROR(VLOOKUP(TRANSHARI8_ROKOKPAGI[[#This Row],[PRODUK]],DATA_ROKOK[],10,FALSE),"")</f>
        <v/>
      </c>
      <c r="E98" s="374"/>
      <c r="F98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8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8" s="12"/>
      <c r="I98" s="386" t="str">
        <f>IFERROR(IF(TRANSHARI8_ROKOKPAGI[[#This Row],[NAMA REKENING]]="","",TRANSHARI8_ROKOKPAGI[[#This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IFERROR(VLOOKUP(TRANSHARI8_ROKOKMALAM[[#This Row],[PRODUK]],DATA_ROKOK[],10,FALSE),"")</f>
        <v/>
      </c>
      <c r="T98" s="374"/>
      <c r="U98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8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8" s="12"/>
      <c r="X98" s="386" t="str">
        <f>IFERROR(IF(TRANSHARI8_ROKOKMALAM[[#This Row],[NAMA REKENING]]="","",TRANSHARI8_ROKOKMALAM[[#This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IFERROR(VLOOKUP(TRANSHARI8_ROKOKPAGI[[#This Row],[PRODUK]],DATA_ROKOK[],10,FALSE),"")</f>
        <v/>
      </c>
      <c r="E99" s="374"/>
      <c r="F99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99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99" s="12"/>
      <c r="I99" s="384" t="str">
        <f>IFERROR(IF(TRANSHARI8_ROKOKPAGI[[#This Row],[NAMA REKENING]]="","",TRANSHARI8_ROKOKPAGI[[#This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IFERROR(VLOOKUP(TRANSHARI8_ROKOKMALAM[[#This Row],[PRODUK]],DATA_ROKOK[],10,FALSE),"")</f>
        <v/>
      </c>
      <c r="T99" s="374"/>
      <c r="U99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99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99" s="12"/>
      <c r="X99" s="384" t="str">
        <f>IFERROR(IF(TRANSHARI8_ROKOKMALAM[[#This Row],[NAMA REKENING]]="","",TRANSHARI8_ROKOKMALAM[[#This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IFERROR(VLOOKUP(TRANSHARI8_ROKOKPAGI[[#This Row],[PRODUK]],DATA_ROKOK[],10,FALSE),"")</f>
        <v/>
      </c>
      <c r="E100" s="374"/>
      <c r="F100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0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0" s="12"/>
      <c r="I100" s="386" t="str">
        <f>IFERROR(IF(TRANSHARI8_ROKOKPAGI[[#This Row],[NAMA REKENING]]="","",TRANSHARI8_ROKOKPAGI[[#This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IFERROR(VLOOKUP(TRANSHARI8_ROKOKMALAM[[#This Row],[PRODUK]],DATA_ROKOK[],10,FALSE),"")</f>
        <v/>
      </c>
      <c r="T100" s="374"/>
      <c r="U100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0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0" s="12"/>
      <c r="X100" s="386" t="str">
        <f>IFERROR(IF(TRANSHARI8_ROKOKMALAM[[#This Row],[NAMA REKENING]]="","",TRANSHARI8_ROKOKMALAM[[#This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IFERROR(VLOOKUP(TRANSHARI8_ROKOKPAGI[[#This Row],[PRODUK]],DATA_ROKOK[],10,FALSE),"")</f>
        <v/>
      </c>
      <c r="E101" s="374"/>
      <c r="F101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1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1" s="12"/>
      <c r="I101" s="384" t="str">
        <f>IFERROR(IF(TRANSHARI8_ROKOKPAGI[[#This Row],[NAMA REKENING]]="","",TRANSHARI8_ROKOKPAGI[[#This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IFERROR(VLOOKUP(TRANSHARI8_ROKOKMALAM[[#This Row],[PRODUK]],DATA_ROKOK[],10,FALSE),"")</f>
        <v/>
      </c>
      <c r="T101" s="374"/>
      <c r="U101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1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1" s="12"/>
      <c r="X101" s="384" t="str">
        <f>IFERROR(IF(TRANSHARI8_ROKOKMALAM[[#This Row],[NAMA REKENING]]="","",TRANSHARI8_ROKOKMALAM[[#This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IFERROR(VLOOKUP(TRANSHARI8_ROKOKPAGI[[#This Row],[PRODUK]],DATA_ROKOK[],10,FALSE),"")</f>
        <v/>
      </c>
      <c r="E102" s="374"/>
      <c r="F102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2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2" s="12"/>
      <c r="I102" s="386" t="str">
        <f>IFERROR(IF(TRANSHARI8_ROKOKPAGI[[#This Row],[NAMA REKENING]]="","",TRANSHARI8_ROKOKPAGI[[#This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IFERROR(VLOOKUP(TRANSHARI8_ROKOKMALAM[[#This Row],[PRODUK]],DATA_ROKOK[],10,FALSE),"")</f>
        <v/>
      </c>
      <c r="T102" s="374"/>
      <c r="U102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2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2" s="12"/>
      <c r="X102" s="386" t="str">
        <f>IFERROR(IF(TRANSHARI8_ROKOKMALAM[[#This Row],[NAMA REKENING]]="","",TRANSHARI8_ROKOKMALAM[[#This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IFERROR(VLOOKUP(TRANSHARI8_ROKOKPAGI[[#This Row],[PRODUK]],DATA_ROKOK[],10,FALSE),"")</f>
        <v/>
      </c>
      <c r="E103" s="374"/>
      <c r="F103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3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3" s="12"/>
      <c r="I103" s="384" t="str">
        <f>IFERROR(IF(TRANSHARI8_ROKOKPAGI[[#This Row],[NAMA REKENING]]="","",TRANSHARI8_ROKOKPAGI[[#This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IFERROR(VLOOKUP(TRANSHARI8_ROKOKMALAM[[#This Row],[PRODUK]],DATA_ROKOK[],10,FALSE),"")</f>
        <v/>
      </c>
      <c r="T103" s="374"/>
      <c r="U103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3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3" s="12"/>
      <c r="X103" s="384" t="str">
        <f>IFERROR(IF(TRANSHARI8_ROKOKMALAM[[#This Row],[NAMA REKENING]]="","",TRANSHARI8_ROKOKMALAM[[#This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IFERROR(VLOOKUP(TRANSHARI8_ROKOKPAGI[[#This Row],[PRODUK]],DATA_ROKOK[],10,FALSE),"")</f>
        <v/>
      </c>
      <c r="E104" s="374"/>
      <c r="F104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4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4" s="12"/>
      <c r="I104" s="386" t="str">
        <f>IFERROR(IF(TRANSHARI8_ROKOKPAGI[[#This Row],[NAMA REKENING]]="","",TRANSHARI8_ROKOKPAGI[[#This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IFERROR(VLOOKUP(TRANSHARI8_ROKOKMALAM[[#This Row],[PRODUK]],DATA_ROKOK[],10,FALSE),"")</f>
        <v/>
      </c>
      <c r="T104" s="374"/>
      <c r="U104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4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4" s="12"/>
      <c r="X104" s="386" t="str">
        <f>IFERROR(IF(TRANSHARI8_ROKOKMALAM[[#This Row],[NAMA REKENING]]="","",TRANSHARI8_ROKOKMALAM[[#This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IFERROR(VLOOKUP(TRANSHARI8_ROKOKPAGI[[#This Row],[PRODUK]],DATA_ROKOK[],10,FALSE),"")</f>
        <v/>
      </c>
      <c r="E105" s="374"/>
      <c r="F105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5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5" s="12"/>
      <c r="I105" s="384" t="str">
        <f>IFERROR(IF(TRANSHARI8_ROKOKPAGI[[#This Row],[NAMA REKENING]]="","",TRANSHARI8_ROKOKPAGI[[#This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IFERROR(VLOOKUP(TRANSHARI8_ROKOKMALAM[[#This Row],[PRODUK]],DATA_ROKOK[],10,FALSE),"")</f>
        <v/>
      </c>
      <c r="T105" s="374"/>
      <c r="U105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5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5" s="12"/>
      <c r="X105" s="384" t="str">
        <f>IFERROR(IF(TRANSHARI8_ROKOKMALAM[[#This Row],[NAMA REKENING]]="","",TRANSHARI8_ROKOKMALAM[[#This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IFERROR(VLOOKUP(TRANSHARI8_ROKOKPAGI[[#This Row],[PRODUK]],DATA_ROKOK[],10,FALSE),"")</f>
        <v/>
      </c>
      <c r="E106" s="374"/>
      <c r="F106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6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6" s="12"/>
      <c r="I106" s="386" t="str">
        <f>IFERROR(IF(TRANSHARI8_ROKOKPAGI[[#This Row],[NAMA REKENING]]="","",TRANSHARI8_ROKOKPAGI[[#This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IFERROR(VLOOKUP(TRANSHARI8_ROKOKMALAM[[#This Row],[PRODUK]],DATA_ROKOK[],10,FALSE),"")</f>
        <v/>
      </c>
      <c r="T106" s="374"/>
      <c r="U106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6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6" s="12"/>
      <c r="X106" s="386" t="str">
        <f>IFERROR(IF(TRANSHARI8_ROKOKMALAM[[#This Row],[NAMA REKENING]]="","",TRANSHARI8_ROKOKMALAM[[#This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IFERROR(VLOOKUP(TRANSHARI8_ROKOKPAGI[[#This Row],[PRODUK]],DATA_ROKOK[],10,FALSE),"")</f>
        <v/>
      </c>
      <c r="E107" s="374"/>
      <c r="F107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7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7" s="12"/>
      <c r="I107" s="384" t="str">
        <f>IFERROR(IF(TRANSHARI8_ROKOKPAGI[[#This Row],[NAMA REKENING]]="","",TRANSHARI8_ROKOKPAGI[[#This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IFERROR(VLOOKUP(TRANSHARI8_ROKOKMALAM[[#This Row],[PRODUK]],DATA_ROKOK[],10,FALSE),"")</f>
        <v/>
      </c>
      <c r="T107" s="374"/>
      <c r="U107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7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7" s="12"/>
      <c r="X107" s="384" t="str">
        <f>IFERROR(IF(TRANSHARI8_ROKOKMALAM[[#This Row],[NAMA REKENING]]="","",TRANSHARI8_ROKOKMALAM[[#This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IFERROR(VLOOKUP(TRANSHARI8_ROKOKPAGI[[#This Row],[PRODUK]],DATA_ROKOK[],10,FALSE),"")</f>
        <v/>
      </c>
      <c r="E108" s="374"/>
      <c r="F108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8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8" s="12"/>
      <c r="I108" s="386" t="str">
        <f>IFERROR(IF(TRANSHARI8_ROKOKPAGI[[#This Row],[NAMA REKENING]]="","",TRANSHARI8_ROKOKPAGI[[#This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IFERROR(VLOOKUP(TRANSHARI8_ROKOKMALAM[[#This Row],[PRODUK]],DATA_ROKOK[],10,FALSE),"")</f>
        <v/>
      </c>
      <c r="T108" s="374"/>
      <c r="U108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8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8" s="12"/>
      <c r="X108" s="386" t="str">
        <f>IFERROR(IF(TRANSHARI8_ROKOKMALAM[[#This Row],[NAMA REKENING]]="","",TRANSHARI8_ROKOKMALAM[[#This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IFERROR(VLOOKUP(TRANSHARI8_ROKOKPAGI[[#This Row],[PRODUK]],DATA_ROKOK[],10,FALSE),"")</f>
        <v/>
      </c>
      <c r="E109" s="374"/>
      <c r="F109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09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09" s="12"/>
      <c r="I109" s="384" t="str">
        <f>IFERROR(IF(TRANSHARI8_ROKOKPAGI[[#This Row],[NAMA REKENING]]="","",TRANSHARI8_ROKOKPAGI[[#This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IFERROR(VLOOKUP(TRANSHARI8_ROKOKMALAM[[#This Row],[PRODUK]],DATA_ROKOK[],10,FALSE),"")</f>
        <v/>
      </c>
      <c r="T109" s="374"/>
      <c r="U109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09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09" s="12"/>
      <c r="X109" s="384" t="str">
        <f>IFERROR(IF(TRANSHARI8_ROKOKMALAM[[#This Row],[NAMA REKENING]]="","",TRANSHARI8_ROKOKMALAM[[#This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IFERROR(VLOOKUP(TRANSHARI8_ROKOKPAGI[[#This Row],[PRODUK]],DATA_ROKOK[],10,FALSE),"")</f>
        <v/>
      </c>
      <c r="E110" s="376"/>
      <c r="F110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0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0" s="377"/>
      <c r="I110" s="386" t="str">
        <f>IFERROR(IF(TRANSHARI8_ROKOKPAGI[[#This Row],[NAMA REKENING]]="","",TRANSHARI8_ROKOKPAGI[[#This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IFERROR(VLOOKUP(TRANSHARI8_ROKOKMALAM[[#This Row],[PRODUK]],DATA_ROKOK[],10,FALSE),"")</f>
        <v/>
      </c>
      <c r="T110" s="376"/>
      <c r="U110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0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0" s="377"/>
      <c r="X110" s="386" t="str">
        <f>IFERROR(IF(TRANSHARI8_ROKOKMALAM[[#This Row],[NAMA REKENING]]="","",TRANSHARI8_ROKOKMALAM[[#This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IFERROR(VLOOKUP(TRANSHARI8_ROKOKPAGI[[#This Row],[PRODUK]],DATA_ROKOK[],10,FALSE),"")</f>
        <v/>
      </c>
      <c r="E111" s="374"/>
      <c r="F111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1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1" s="12"/>
      <c r="I111" s="384" t="str">
        <f>IFERROR(IF(TRANSHARI8_ROKOKPAGI[[#This Row],[NAMA REKENING]]="","",TRANSHARI8_ROKOKPAGI[[#This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IFERROR(VLOOKUP(TRANSHARI8_ROKOKMALAM[[#This Row],[PRODUK]],DATA_ROKOK[],10,FALSE),"")</f>
        <v/>
      </c>
      <c r="T111" s="374"/>
      <c r="U111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1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1" s="12"/>
      <c r="X111" s="384" t="str">
        <f>IFERROR(IF(TRANSHARI8_ROKOKMALAM[[#This Row],[NAMA REKENING]]="","",TRANSHARI8_ROKOKMALAM[[#This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IFERROR(VLOOKUP(TRANSHARI8_ROKOKPAGI[[#This Row],[PRODUK]],DATA_ROKOK[],10,FALSE),"")</f>
        <v/>
      </c>
      <c r="E112" s="374"/>
      <c r="F112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2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2" s="12"/>
      <c r="I112" s="386" t="str">
        <f>IFERROR(IF(TRANSHARI8_ROKOKPAGI[[#This Row],[NAMA REKENING]]="","",TRANSHARI8_ROKOKPAGI[[#This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IFERROR(VLOOKUP(TRANSHARI8_ROKOKMALAM[[#This Row],[PRODUK]],DATA_ROKOK[],10,FALSE),"")</f>
        <v/>
      </c>
      <c r="T112" s="374"/>
      <c r="U112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2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2" s="12"/>
      <c r="X112" s="386" t="str">
        <f>IFERROR(IF(TRANSHARI8_ROKOKMALAM[[#This Row],[NAMA REKENING]]="","",TRANSHARI8_ROKOKMALAM[[#This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IFERROR(VLOOKUP(TRANSHARI8_ROKOKPAGI[[#This Row],[PRODUK]],DATA_ROKOK[],10,FALSE),"")</f>
        <v/>
      </c>
      <c r="E113" s="374"/>
      <c r="F113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3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3" s="12"/>
      <c r="I113" s="384" t="str">
        <f>IFERROR(IF(TRANSHARI8_ROKOKPAGI[[#This Row],[NAMA REKENING]]="","",TRANSHARI8_ROKOKPAGI[[#This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IFERROR(VLOOKUP(TRANSHARI8_ROKOKMALAM[[#This Row],[PRODUK]],DATA_ROKOK[],10,FALSE),"")</f>
        <v/>
      </c>
      <c r="T113" s="374"/>
      <c r="U113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3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3" s="12"/>
      <c r="X113" s="384" t="str">
        <f>IFERROR(IF(TRANSHARI8_ROKOKMALAM[[#This Row],[NAMA REKENING]]="","",TRANSHARI8_ROKOKMALAM[[#This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IFERROR(VLOOKUP(TRANSHARI8_ROKOKPAGI[[#This Row],[PRODUK]],DATA_ROKOK[],10,FALSE),"")</f>
        <v/>
      </c>
      <c r="E114" s="374"/>
      <c r="F114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4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4" s="12"/>
      <c r="I114" s="386" t="str">
        <f>IFERROR(IF(TRANSHARI8_ROKOKPAGI[[#This Row],[NAMA REKENING]]="","",TRANSHARI8_ROKOKPAGI[[#This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IFERROR(VLOOKUP(TRANSHARI8_ROKOKMALAM[[#This Row],[PRODUK]],DATA_ROKOK[],10,FALSE),"")</f>
        <v/>
      </c>
      <c r="T114" s="374"/>
      <c r="U114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4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4" s="12"/>
      <c r="X114" s="386" t="str">
        <f>IFERROR(IF(TRANSHARI8_ROKOKMALAM[[#This Row],[NAMA REKENING]]="","",TRANSHARI8_ROKOKMALAM[[#This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IFERROR(VLOOKUP(TRANSHARI8_ROKOKPAGI[[#This Row],[PRODUK]],DATA_ROKOK[],10,FALSE),"")</f>
        <v/>
      </c>
      <c r="E115" s="374"/>
      <c r="F115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5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5" s="12"/>
      <c r="I115" s="384" t="str">
        <f>IFERROR(IF(TRANSHARI8_ROKOKPAGI[[#This Row],[NAMA REKENING]]="","",TRANSHARI8_ROKOKPAGI[[#This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IFERROR(VLOOKUP(TRANSHARI8_ROKOKMALAM[[#This Row],[PRODUK]],DATA_ROKOK[],10,FALSE),"")</f>
        <v/>
      </c>
      <c r="T115" s="374"/>
      <c r="U115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5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5" s="12"/>
      <c r="X115" s="384" t="str">
        <f>IFERROR(IF(TRANSHARI8_ROKOKMALAM[[#This Row],[NAMA REKENING]]="","",TRANSHARI8_ROKOKMALAM[[#This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IFERROR(VLOOKUP(TRANSHARI8_ROKOKPAGI[[#This Row],[PRODUK]],DATA_ROKOK[],10,FALSE),"")</f>
        <v/>
      </c>
      <c r="E116" s="374"/>
      <c r="F116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6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6" s="12"/>
      <c r="I116" s="386" t="str">
        <f>IFERROR(IF(TRANSHARI8_ROKOKPAGI[[#This Row],[NAMA REKENING]]="","",TRANSHARI8_ROKOKPAGI[[#This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IFERROR(VLOOKUP(TRANSHARI8_ROKOKMALAM[[#This Row],[PRODUK]],DATA_ROKOK[],10,FALSE),"")</f>
        <v/>
      </c>
      <c r="T116" s="374"/>
      <c r="U116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6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6" s="12"/>
      <c r="X116" s="386" t="str">
        <f>IFERROR(IF(TRANSHARI8_ROKOKMALAM[[#This Row],[NAMA REKENING]]="","",TRANSHARI8_ROKOKMALAM[[#This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IFERROR(VLOOKUP(TRANSHARI8_ROKOKPAGI[[#This Row],[PRODUK]],DATA_ROKOK[],10,FALSE),"")</f>
        <v/>
      </c>
      <c r="E117" s="374"/>
      <c r="F117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7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7" s="12"/>
      <c r="I117" s="384" t="str">
        <f>IFERROR(IF(TRANSHARI8_ROKOKPAGI[[#This Row],[NAMA REKENING]]="","",TRANSHARI8_ROKOKPAGI[[#This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IFERROR(VLOOKUP(TRANSHARI8_ROKOKMALAM[[#This Row],[PRODUK]],DATA_ROKOK[],10,FALSE),"")</f>
        <v/>
      </c>
      <c r="T117" s="374"/>
      <c r="U117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7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7" s="12"/>
      <c r="X117" s="384" t="str">
        <f>IFERROR(IF(TRANSHARI8_ROKOKMALAM[[#This Row],[NAMA REKENING]]="","",TRANSHARI8_ROKOKMALAM[[#This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IFERROR(VLOOKUP(TRANSHARI8_ROKOKPAGI[[#This Row],[PRODUK]],DATA_ROKOK[],10,FALSE),"")</f>
        <v/>
      </c>
      <c r="E118" s="374"/>
      <c r="F118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8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8" s="12"/>
      <c r="I118" s="386" t="str">
        <f>IFERROR(IF(TRANSHARI8_ROKOKPAGI[[#This Row],[NAMA REKENING]]="","",TRANSHARI8_ROKOKPAGI[[#This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IFERROR(VLOOKUP(TRANSHARI8_ROKOKMALAM[[#This Row],[PRODUK]],DATA_ROKOK[],10,FALSE),"")</f>
        <v/>
      </c>
      <c r="T118" s="374"/>
      <c r="U118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8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8" s="12"/>
      <c r="X118" s="386" t="str">
        <f>IFERROR(IF(TRANSHARI8_ROKOKMALAM[[#This Row],[NAMA REKENING]]="","",TRANSHARI8_ROKOKMALAM[[#This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IFERROR(VLOOKUP(TRANSHARI8_ROKOKPAGI[[#This Row],[PRODUK]],DATA_ROKOK[],10,FALSE),"")</f>
        <v/>
      </c>
      <c r="E119" s="374"/>
      <c r="F119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19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19" s="12"/>
      <c r="I119" s="384" t="str">
        <f>IFERROR(IF(TRANSHARI8_ROKOKPAGI[[#This Row],[NAMA REKENING]]="","",TRANSHARI8_ROKOKPAGI[[#This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IFERROR(VLOOKUP(TRANSHARI8_ROKOKMALAM[[#This Row],[PRODUK]],DATA_ROKOK[],10,FALSE),"")</f>
        <v/>
      </c>
      <c r="T119" s="374"/>
      <c r="U119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19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19" s="12"/>
      <c r="X119" s="384" t="str">
        <f>IFERROR(IF(TRANSHARI8_ROKOKMALAM[[#This Row],[NAMA REKENING]]="","",TRANSHARI8_ROKOKMALAM[[#This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IFERROR(VLOOKUP(TRANSHARI8_ROKOKPAGI[[#This Row],[PRODUK]],DATA_ROKOK[],10,FALSE),"")</f>
        <v/>
      </c>
      <c r="E120" s="374"/>
      <c r="F120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0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0" s="12"/>
      <c r="I120" s="386" t="str">
        <f>IFERROR(IF(TRANSHARI8_ROKOKPAGI[[#This Row],[NAMA REKENING]]="","",TRANSHARI8_ROKOKPAGI[[#This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IFERROR(VLOOKUP(TRANSHARI8_ROKOKMALAM[[#This Row],[PRODUK]],DATA_ROKOK[],10,FALSE),"")</f>
        <v/>
      </c>
      <c r="T120" s="374"/>
      <c r="U120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0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0" s="12"/>
      <c r="X120" s="386" t="str">
        <f>IFERROR(IF(TRANSHARI8_ROKOKMALAM[[#This Row],[NAMA REKENING]]="","",TRANSHARI8_ROKOKMALAM[[#This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IFERROR(VLOOKUP(TRANSHARI8_ROKOKPAGI[[#This Row],[PRODUK]],DATA_ROKOK[],10,FALSE),"")</f>
        <v/>
      </c>
      <c r="E121" s="374"/>
      <c r="F121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1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1" s="12"/>
      <c r="I121" s="384" t="str">
        <f>IFERROR(IF(TRANSHARI8_ROKOKPAGI[[#This Row],[NAMA REKENING]]="","",TRANSHARI8_ROKOKPAGI[[#This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IFERROR(VLOOKUP(TRANSHARI8_ROKOKMALAM[[#This Row],[PRODUK]],DATA_ROKOK[],10,FALSE),"")</f>
        <v/>
      </c>
      <c r="T121" s="374"/>
      <c r="U121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1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1" s="12"/>
      <c r="X121" s="384" t="str">
        <f>IFERROR(IF(TRANSHARI8_ROKOKMALAM[[#This Row],[NAMA REKENING]]="","",TRANSHARI8_ROKOKMALAM[[#This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IFERROR(VLOOKUP(TRANSHARI8_ROKOKPAGI[[#This Row],[PRODUK]],DATA_ROKOK[],10,FALSE),"")</f>
        <v/>
      </c>
      <c r="E122" s="374"/>
      <c r="F122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2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2" s="12"/>
      <c r="I122" s="386" t="str">
        <f>IFERROR(IF(TRANSHARI8_ROKOKPAGI[[#This Row],[NAMA REKENING]]="","",TRANSHARI8_ROKOKPAGI[[#This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IFERROR(VLOOKUP(TRANSHARI8_ROKOKMALAM[[#This Row],[PRODUK]],DATA_ROKOK[],10,FALSE),"")</f>
        <v/>
      </c>
      <c r="T122" s="374"/>
      <c r="U122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2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2" s="12"/>
      <c r="X122" s="386" t="str">
        <f>IFERROR(IF(TRANSHARI8_ROKOKMALAM[[#This Row],[NAMA REKENING]]="","",TRANSHARI8_ROKOKMALAM[[#This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IFERROR(VLOOKUP(TRANSHARI8_ROKOKPAGI[[#This Row],[PRODUK]],DATA_ROKOK[],10,FALSE),"")</f>
        <v/>
      </c>
      <c r="E123" s="374"/>
      <c r="F123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3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3" s="12"/>
      <c r="I123" s="384" t="str">
        <f>IFERROR(IF(TRANSHARI8_ROKOKPAGI[[#This Row],[NAMA REKENING]]="","",TRANSHARI8_ROKOKPAGI[[#This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IFERROR(VLOOKUP(TRANSHARI8_ROKOKMALAM[[#This Row],[PRODUK]],DATA_ROKOK[],10,FALSE),"")</f>
        <v/>
      </c>
      <c r="T123" s="374"/>
      <c r="U123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3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3" s="12"/>
      <c r="X123" s="384" t="str">
        <f>IFERROR(IF(TRANSHARI8_ROKOKMALAM[[#This Row],[NAMA REKENING]]="","",TRANSHARI8_ROKOKMALAM[[#This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IFERROR(VLOOKUP(TRANSHARI8_ROKOKPAGI[[#This Row],[PRODUK]],DATA_ROKOK[],10,FALSE),"")</f>
        <v/>
      </c>
      <c r="E124" s="374"/>
      <c r="F124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4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4" s="12"/>
      <c r="I124" s="386" t="str">
        <f>IFERROR(IF(TRANSHARI8_ROKOKPAGI[[#This Row],[NAMA REKENING]]="","",TRANSHARI8_ROKOKPAGI[[#This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IFERROR(VLOOKUP(TRANSHARI8_ROKOKMALAM[[#This Row],[PRODUK]],DATA_ROKOK[],10,FALSE),"")</f>
        <v/>
      </c>
      <c r="T124" s="374"/>
      <c r="U124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4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4" s="12"/>
      <c r="X124" s="386" t="str">
        <f>IFERROR(IF(TRANSHARI8_ROKOKMALAM[[#This Row],[NAMA REKENING]]="","",TRANSHARI8_ROKOKMALAM[[#This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IFERROR(VLOOKUP(TRANSHARI8_ROKOKPAGI[[#This Row],[PRODUK]],DATA_ROKOK[],10,FALSE),"")</f>
        <v/>
      </c>
      <c r="E125" s="374"/>
      <c r="F125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5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5" s="12"/>
      <c r="I125" s="384" t="str">
        <f>IFERROR(IF(TRANSHARI8_ROKOKPAGI[[#This Row],[NAMA REKENING]]="","",TRANSHARI8_ROKOKPAGI[[#This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IFERROR(VLOOKUP(TRANSHARI8_ROKOKMALAM[[#This Row],[PRODUK]],DATA_ROKOK[],10,FALSE),"")</f>
        <v/>
      </c>
      <c r="T125" s="374"/>
      <c r="U125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5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5" s="12"/>
      <c r="X125" s="384" t="str">
        <f>IFERROR(IF(TRANSHARI8_ROKOKMALAM[[#This Row],[NAMA REKENING]]="","",TRANSHARI8_ROKOKMALAM[[#This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IFERROR(VLOOKUP(TRANSHARI8_ROKOKPAGI[[#This Row],[PRODUK]],DATA_ROKOK[],10,FALSE),"")</f>
        <v/>
      </c>
      <c r="E126" s="374"/>
      <c r="F126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6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6" s="12"/>
      <c r="I126" s="386" t="str">
        <f>IFERROR(IF(TRANSHARI8_ROKOKPAGI[[#This Row],[NAMA REKENING]]="","",TRANSHARI8_ROKOKPAGI[[#This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IFERROR(VLOOKUP(TRANSHARI8_ROKOKMALAM[[#This Row],[PRODUK]],DATA_ROKOK[],10,FALSE),"")</f>
        <v/>
      </c>
      <c r="T126" s="374"/>
      <c r="U126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6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6" s="12"/>
      <c r="X126" s="386" t="str">
        <f>IFERROR(IF(TRANSHARI8_ROKOKMALAM[[#This Row],[NAMA REKENING]]="","",TRANSHARI8_ROKOKMALAM[[#This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IFERROR(VLOOKUP(TRANSHARI8_ROKOKPAGI[[#This Row],[PRODUK]],DATA_ROKOK[],10,FALSE),"")</f>
        <v/>
      </c>
      <c r="E127" s="374"/>
      <c r="F127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7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7" s="12"/>
      <c r="I127" s="384" t="str">
        <f>IFERROR(IF(TRANSHARI8_ROKOKPAGI[[#This Row],[NAMA REKENING]]="","",TRANSHARI8_ROKOKPAGI[[#This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IFERROR(VLOOKUP(TRANSHARI8_ROKOKMALAM[[#This Row],[PRODUK]],DATA_ROKOK[],10,FALSE),"")</f>
        <v/>
      </c>
      <c r="T127" s="374"/>
      <c r="U127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7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7" s="12"/>
      <c r="X127" s="384" t="str">
        <f>IFERROR(IF(TRANSHARI8_ROKOKMALAM[[#This Row],[NAMA REKENING]]="","",TRANSHARI8_ROKOKMALAM[[#This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IFERROR(VLOOKUP(TRANSHARI8_ROKOKPAGI[[#This Row],[PRODUK]],DATA_ROKOK[],10,FALSE),"")</f>
        <v/>
      </c>
      <c r="E128" s="374"/>
      <c r="F128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8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8" s="12"/>
      <c r="I128" s="386" t="str">
        <f>IFERROR(IF(TRANSHARI8_ROKOKPAGI[[#This Row],[NAMA REKENING]]="","",TRANSHARI8_ROKOKPAGI[[#This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IFERROR(VLOOKUP(TRANSHARI8_ROKOKMALAM[[#This Row],[PRODUK]],DATA_ROKOK[],10,FALSE),"")</f>
        <v/>
      </c>
      <c r="T128" s="374"/>
      <c r="U128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8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8" s="12"/>
      <c r="X128" s="386" t="str">
        <f>IFERROR(IF(TRANSHARI8_ROKOKMALAM[[#This Row],[NAMA REKENING]]="","",TRANSHARI8_ROKOKMALAM[[#This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IFERROR(VLOOKUP(TRANSHARI8_ROKOKPAGI[[#This Row],[PRODUK]],DATA_ROKOK[],10,FALSE),"")</f>
        <v/>
      </c>
      <c r="E129" s="374"/>
      <c r="F129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29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29" s="12"/>
      <c r="I129" s="384" t="str">
        <f>IFERROR(IF(TRANSHARI8_ROKOKPAGI[[#This Row],[NAMA REKENING]]="","",TRANSHARI8_ROKOKPAGI[[#This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IFERROR(VLOOKUP(TRANSHARI8_ROKOKMALAM[[#This Row],[PRODUK]],DATA_ROKOK[],10,FALSE),"")</f>
        <v/>
      </c>
      <c r="T129" s="374"/>
      <c r="U129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29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29" s="12"/>
      <c r="X129" s="384" t="str">
        <f>IFERROR(IF(TRANSHARI8_ROKOKMALAM[[#This Row],[NAMA REKENING]]="","",TRANSHARI8_ROKOKMALAM[[#This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IFERROR(VLOOKUP(TRANSHARI8_ROKOKPAGI[[#This Row],[PRODUK]],DATA_ROKOK[],10,FALSE),"")</f>
        <v/>
      </c>
      <c r="E130" s="374"/>
      <c r="F130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30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30" s="12"/>
      <c r="I130" s="386" t="str">
        <f>IFERROR(IF(TRANSHARI8_ROKOKPAGI[[#This Row],[NAMA REKENING]]="","",TRANSHARI8_ROKOKPAGI[[#This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IFERROR(VLOOKUP(TRANSHARI8_ROKOKMALAM[[#This Row],[PRODUK]],DATA_ROKOK[],10,FALSE),"")</f>
        <v/>
      </c>
      <c r="T130" s="374"/>
      <c r="U130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30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30" s="12"/>
      <c r="X130" s="386" t="str">
        <f>IFERROR(IF(TRANSHARI8_ROKOKMALAM[[#This Row],[NAMA REKENING]]="","",TRANSHARI8_ROKOKMALAM[[#This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IFERROR(VLOOKUP(TRANSHARI8_ROKOKPAGI[[#This Row],[PRODUK]],DATA_ROKOK[],10,FALSE),"")</f>
        <v/>
      </c>
      <c r="E131" s="374"/>
      <c r="F131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31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31" s="12"/>
      <c r="I131" s="384" t="str">
        <f>IFERROR(IF(TRANSHARI8_ROKOKPAGI[[#This Row],[NAMA REKENING]]="","",TRANSHARI8_ROKOKPAGI[[#This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IFERROR(VLOOKUP(TRANSHARI8_ROKOKMALAM[[#This Row],[PRODUK]],DATA_ROKOK[],10,FALSE),"")</f>
        <v/>
      </c>
      <c r="T131" s="374"/>
      <c r="U131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31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31" s="12"/>
      <c r="X131" s="384" t="str">
        <f>IFERROR(IF(TRANSHARI8_ROKOKMALAM[[#This Row],[NAMA REKENING]]="","",TRANSHARI8_ROKOKMALAM[[#This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IFERROR(VLOOKUP(TRANSHARI8_ROKOKPAGI[[#This Row],[PRODUK]],DATA_ROKOK[],10,FALSE),"")</f>
        <v/>
      </c>
      <c r="E132" s="374"/>
      <c r="F132" s="373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32" s="373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32" s="12"/>
      <c r="I132" s="386" t="str">
        <f>IFERROR(IF(TRANSHARI8_ROKOKPAGI[[#This Row],[NAMA REKENING]]="","",TRANSHARI8_ROKOKPAGI[[#This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IFERROR(VLOOKUP(TRANSHARI8_ROKOKMALAM[[#This Row],[PRODUK]],DATA_ROKOK[],10,FALSE),"")</f>
        <v/>
      </c>
      <c r="T132" s="374"/>
      <c r="U132" s="373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32" s="373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32" s="12"/>
      <c r="X132" s="386" t="str">
        <f>IFERROR(IF(TRANSHARI8_ROKOKMALAM[[#This Row],[NAMA REKENING]]="","",TRANSHARI8_ROKOKMALAM[[#This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IFERROR(VLOOKUP(TRANSHARI8_ROKOKPAGI[[#This Row],[PRODUK]],DATA_ROKOK[],10,FALSE),"")</f>
        <v/>
      </c>
      <c r="E133" s="374"/>
      <c r="F133" s="369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33" s="369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33" s="12"/>
      <c r="I133" s="384" t="str">
        <f>IFERROR(IF(TRANSHARI8_ROKOKPAGI[[#This Row],[NAMA REKENING]]="","",TRANSHARI8_ROKOKPAGI[[#This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IFERROR(VLOOKUP(TRANSHARI8_ROKOKMALAM[[#This Row],[PRODUK]],DATA_ROKOK[],10,FALSE),"")</f>
        <v/>
      </c>
      <c r="T133" s="374"/>
      <c r="U133" s="369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33" s="369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33" s="12"/>
      <c r="X133" s="384" t="str">
        <f>IFERROR(IF(TRANSHARI8_ROKOKMALAM[[#This Row],[NAMA REKENING]]="","",TRANSHARI8_ROKOKMALAM[[#This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IFERROR(VLOOKUP(TRANSHARI8_ROKOKPAGI[[#This Row],[PRODUK]],DATA_ROKOK[],10,FALSE),"")</f>
        <v/>
      </c>
      <c r="E134" s="376"/>
      <c r="F134" s="394" t="str">
        <f>IFERROR(IF(TRANSHARI8_ROKOKPAGI[[#This Row],[NAMA PENGHUTANG]]="",((TRANSHARI8_ROKOKPAGI[[#This Row],[HARGA]]*TRANSHARI8_ROKOKPAGI[[#This Row],[QUANTITY]])+TRANSHARI8_ROKOKPAGI[[#This Row],[PRICE TOLERANCE]]),""),"")</f>
        <v/>
      </c>
      <c r="G134" s="394" t="str">
        <f>IFERROR(IF(TRANSHARI8_ROKOKPAGI[[#This Row],[NAMA PENGHUTANG]]="","",((TRANSHARI8_ROKOKPAGI[[#This Row],[HARGA]]*TRANSHARI8_ROKOKPAGI[[#This Row],[QUANTITY]])+TRANSHARI8_ROKOKPAGI[[#This Row],[PRICE TOLERANCE]])),"")</f>
        <v/>
      </c>
      <c r="H134" s="377"/>
      <c r="I134" s="399" t="str">
        <f>IFERROR(IF(TRANSHARI8_ROKOKPAGI[[#This Row],[NAMA REKENING]]="","",TRANSHARI8_ROKOKPAGI[[#This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IFERROR(VLOOKUP(TRANSHARI8_ROKOKMALAM[[#This Row],[PRODUK]],DATA_ROKOK[],10,FALSE),"")</f>
        <v/>
      </c>
      <c r="T134" s="376"/>
      <c r="U134" s="394" t="str">
        <f>IFERROR(IF(TRANSHARI8_ROKOKMALAM[[#This Row],[NAMA PENGHUTANG]]="",((TRANSHARI8_ROKOKMALAM[[#This Row],[HARGA]]*TRANSHARI8_ROKOKMALAM[[#This Row],[QUANTITY]])+TRANSHARI8_ROKOKMALAM[[#This Row],[PRICE TOLERANCE]]),""),"")</f>
        <v/>
      </c>
      <c r="V134" s="394" t="str">
        <f>IFERROR(IF(TRANSHARI8_ROKOKMALAM[[#This Row],[NAMA PENGHUTANG]]="","",((TRANSHARI8_ROKOKMALAM[[#This Row],[HARGA]]*TRANSHARI8_ROKOKMALAM[[#This Row],[QUANTITY]])+TRANSHARI8_ROKOKMALAM[[#This Row],[PRICE TOLERANCE]])),"")</f>
        <v/>
      </c>
      <c r="W134" s="377"/>
      <c r="X134" s="399" t="str">
        <f>IFERROR(IF(TRANSHARI8_ROKOKMALAM[[#This Row],[NAMA REKENING]]="","",TRANSHARI8_ROKOKMALAM[[#This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SUM(TRANSHARI8_ROKOKPAGI[QUANTITY])</f>
        <v>0</v>
      </c>
      <c r="E135" s="396">
        <f>SUM(TRANSHARI8_ROKOKPAGI[PRICE TOLERANCE])</f>
        <v>0</v>
      </c>
      <c r="F135" s="396">
        <f>SUM(TRANSHARI8_ROKOKPAGI[DEBIT])</f>
        <v>0</v>
      </c>
      <c r="G135" s="396">
        <f>SUM(TRANSHARI8_ROKOKPAGI[KREDIT])</f>
        <v>0</v>
      </c>
      <c r="I135" s="396">
        <f>SUM(TRANSHARI8_ROKOKPAGI[NOMINAL TRANSFER])</f>
        <v>0</v>
      </c>
      <c r="O135" s="324"/>
      <c r="P135" s="303" t="s">
        <v>78</v>
      </c>
      <c r="Q135" s="316"/>
      <c r="R135" s="395">
        <f>SUM(TRANSHARI8_ROKOKMALAM[QUANTITY])</f>
        <v>0</v>
      </c>
      <c r="T135" s="396">
        <f>SUM(TRANSHARI8_ROKOKMALAM[PRICE TOLERANCE])</f>
        <v>0</v>
      </c>
      <c r="U135" s="396">
        <f>SUM(TRANSHARI8_ROKOKMALAM[DEBIT])</f>
        <v>0</v>
      </c>
      <c r="V135" s="396">
        <f>SUM(TRANSHARI8_ROKOKMALAM[KREDIT])</f>
        <v>0</v>
      </c>
      <c r="X135" s="396">
        <f>SUM(TRANSHARI8_ROKOKMALAM[NOMINAL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tr">
        <f>A25</f>
        <v>HARI 8 : PAGI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tr">
        <f>P25</f>
        <v>HARI 8 : MALAM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IFERROR(VLOOKUP(TRANSHARI8_SPVOUPAGI[[#This Row],[PRODUK]],DATA_SPVOU[],10,FALSE),"")</f>
        <v/>
      </c>
      <c r="E142" s="370"/>
      <c r="F142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2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2" s="371"/>
      <c r="I142" s="384" t="str">
        <f>IFERROR(IF(TRANSHARI8_SPVOUPAGI[[#This Row],[NAMA REKENING]]="","",TRANSHARI8_SPVOUPAGI[[#This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IFERROR(VLOOKUP(TRANSHARI8_SPVOUMALAM[[#This Row],[PRODUK]],DATA_SPVOU[],10,FALSE),"")</f>
        <v/>
      </c>
      <c r="T142" s="370"/>
      <c r="U142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2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2" s="371"/>
      <c r="X142" s="384" t="str">
        <f>IFERROR(IF(TRANSHARI8_SPVOUMALAM[[#This Row],[NAMA REKENING]]="","",TRANSHARI8_SPVOUMALAM[[#This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IFERROR(VLOOKUP(TRANSHARI8_SPVOUPAGI[[#This Row],[PRODUK]],DATA_SPVOU[],10,FALSE),"")</f>
        <v/>
      </c>
      <c r="E143" s="374"/>
      <c r="F143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3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3" s="12"/>
      <c r="I143" s="386" t="str">
        <f>IFERROR(IF(TRANSHARI8_SPVOUPAGI[[#This Row],[NAMA REKENING]]="","",TRANSHARI8_SPVOUPAGI[[#This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IFERROR(VLOOKUP(TRANSHARI8_SPVOUMALAM[[#This Row],[PRODUK]],DATA_SPVOU[],10,FALSE),"")</f>
        <v/>
      </c>
      <c r="T143" s="374"/>
      <c r="U143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3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3" s="12"/>
      <c r="X143" s="386" t="str">
        <f>IFERROR(IF(TRANSHARI8_SPVOUMALAM[[#This Row],[NAMA REKENING]]="","",TRANSHARI8_SPVOUMALAM[[#This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IFERROR(VLOOKUP(TRANSHARI8_SPVOUPAGI[[#This Row],[PRODUK]],DATA_SPVOU[],10,FALSE),"")</f>
        <v/>
      </c>
      <c r="E144" s="374"/>
      <c r="F144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4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4" s="12"/>
      <c r="I144" s="384" t="str">
        <f>IFERROR(IF(TRANSHARI8_SPVOUPAGI[[#This Row],[NAMA REKENING]]="","",TRANSHARI8_SPVOUPAGI[[#This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IFERROR(VLOOKUP(TRANSHARI8_SPVOUMALAM[[#This Row],[PRODUK]],DATA_SPVOU[],10,FALSE),"")</f>
        <v/>
      </c>
      <c r="T144" s="374"/>
      <c r="U144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4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4" s="12"/>
      <c r="X144" s="384" t="str">
        <f>IFERROR(IF(TRANSHARI8_SPVOUMALAM[[#This Row],[NAMA REKENING]]="","",TRANSHARI8_SPVOUMALAM[[#This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IFERROR(VLOOKUP(TRANSHARI8_SPVOUPAGI[[#This Row],[PRODUK]],DATA_SPVOU[],10,FALSE),"")</f>
        <v/>
      </c>
      <c r="E145" s="374"/>
      <c r="F145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5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5" s="12"/>
      <c r="I145" s="386" t="str">
        <f>IFERROR(IF(TRANSHARI8_SPVOUPAGI[[#This Row],[NAMA REKENING]]="","",TRANSHARI8_SPVOUPAGI[[#This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IFERROR(VLOOKUP(TRANSHARI8_SPVOUMALAM[[#This Row],[PRODUK]],DATA_SPVOU[],10,FALSE),"")</f>
        <v/>
      </c>
      <c r="T145" s="374"/>
      <c r="U145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5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5" s="12"/>
      <c r="X145" s="386" t="str">
        <f>IFERROR(IF(TRANSHARI8_SPVOUMALAM[[#This Row],[NAMA REKENING]]="","",TRANSHARI8_SPVOUMALAM[[#This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IFERROR(VLOOKUP(TRANSHARI8_SPVOUPAGI[[#This Row],[PRODUK]],DATA_SPVOU[],10,FALSE),"")</f>
        <v/>
      </c>
      <c r="E146" s="374"/>
      <c r="F146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6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6" s="12"/>
      <c r="I146" s="384" t="str">
        <f>IFERROR(IF(TRANSHARI8_SPVOUPAGI[[#This Row],[NAMA REKENING]]="","",TRANSHARI8_SPVOUPAGI[[#This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IFERROR(VLOOKUP(TRANSHARI8_SPVOUMALAM[[#This Row],[PRODUK]],DATA_SPVOU[],10,FALSE),"")</f>
        <v/>
      </c>
      <c r="T146" s="374"/>
      <c r="U146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6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6" s="12"/>
      <c r="X146" s="384" t="str">
        <f>IFERROR(IF(TRANSHARI8_SPVOUMALAM[[#This Row],[NAMA REKENING]]="","",TRANSHARI8_SPVOUMALAM[[#This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IFERROR(VLOOKUP(TRANSHARI8_SPVOUPAGI[[#This Row],[PRODUK]],DATA_SPVOU[],10,FALSE),"")</f>
        <v/>
      </c>
      <c r="E147" s="374"/>
      <c r="F147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7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7" s="12"/>
      <c r="I147" s="386" t="str">
        <f>IFERROR(IF(TRANSHARI8_SPVOUPAGI[[#This Row],[NAMA REKENING]]="","",TRANSHARI8_SPVOUPAGI[[#This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IFERROR(VLOOKUP(TRANSHARI8_SPVOUMALAM[[#This Row],[PRODUK]],DATA_SPVOU[],10,FALSE),"")</f>
        <v/>
      </c>
      <c r="T147" s="374"/>
      <c r="U147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7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7" s="12"/>
      <c r="X147" s="386" t="str">
        <f>IFERROR(IF(TRANSHARI8_SPVOUMALAM[[#This Row],[NAMA REKENING]]="","",TRANSHARI8_SPVOUMALAM[[#This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IFERROR(VLOOKUP(TRANSHARI8_SPVOUPAGI[[#This Row],[PRODUK]],DATA_SPVOU[],10,FALSE),"")</f>
        <v/>
      </c>
      <c r="E148" s="374"/>
      <c r="F148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8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8" s="12"/>
      <c r="I148" s="384" t="str">
        <f>IFERROR(IF(TRANSHARI8_SPVOUPAGI[[#This Row],[NAMA REKENING]]="","",TRANSHARI8_SPVOUPAGI[[#This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IFERROR(VLOOKUP(TRANSHARI8_SPVOUMALAM[[#This Row],[PRODUK]],DATA_SPVOU[],10,FALSE),"")</f>
        <v/>
      </c>
      <c r="T148" s="374"/>
      <c r="U148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8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8" s="12"/>
      <c r="X148" s="384" t="str">
        <f>IFERROR(IF(TRANSHARI8_SPVOUMALAM[[#This Row],[NAMA REKENING]]="","",TRANSHARI8_SPVOUMALAM[[#This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IFERROR(VLOOKUP(TRANSHARI8_SPVOUPAGI[[#This Row],[PRODUK]],DATA_SPVOU[],10,FALSE),"")</f>
        <v/>
      </c>
      <c r="E149" s="374"/>
      <c r="F149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49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49" s="12"/>
      <c r="I149" s="386" t="str">
        <f>IFERROR(IF(TRANSHARI8_SPVOUPAGI[[#This Row],[NAMA REKENING]]="","",TRANSHARI8_SPVOUPAGI[[#This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IFERROR(VLOOKUP(TRANSHARI8_SPVOUMALAM[[#This Row],[PRODUK]],DATA_SPVOU[],10,FALSE),"")</f>
        <v/>
      </c>
      <c r="T149" s="374"/>
      <c r="U149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49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49" s="12"/>
      <c r="X149" s="386" t="str">
        <f>IFERROR(IF(TRANSHARI8_SPVOUMALAM[[#This Row],[NAMA REKENING]]="","",TRANSHARI8_SPVOUMALAM[[#This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IFERROR(VLOOKUP(TRANSHARI8_SPVOUPAGI[[#This Row],[PRODUK]],DATA_SPVOU[],10,FALSE),"")</f>
        <v/>
      </c>
      <c r="E150" s="374"/>
      <c r="F150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0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0" s="12"/>
      <c r="I150" s="384" t="str">
        <f>IFERROR(IF(TRANSHARI8_SPVOUPAGI[[#This Row],[NAMA REKENING]]="","",TRANSHARI8_SPVOUPAGI[[#This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IFERROR(VLOOKUP(TRANSHARI8_SPVOUMALAM[[#This Row],[PRODUK]],DATA_SPVOU[],10,FALSE),"")</f>
        <v/>
      </c>
      <c r="T150" s="374"/>
      <c r="U150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0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0" s="12"/>
      <c r="X150" s="384" t="str">
        <f>IFERROR(IF(TRANSHARI8_SPVOUMALAM[[#This Row],[NAMA REKENING]]="","",TRANSHARI8_SPVOUMALAM[[#This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IFERROR(VLOOKUP(TRANSHARI8_SPVOUPAGI[[#This Row],[PRODUK]],DATA_SPVOU[],10,FALSE),"")</f>
        <v/>
      </c>
      <c r="E151" s="374"/>
      <c r="F151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1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1" s="12"/>
      <c r="I151" s="386" t="str">
        <f>IFERROR(IF(TRANSHARI8_SPVOUPAGI[[#This Row],[NAMA REKENING]]="","",TRANSHARI8_SPVOUPAGI[[#This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IFERROR(VLOOKUP(TRANSHARI8_SPVOUMALAM[[#This Row],[PRODUK]],DATA_SPVOU[],10,FALSE),"")</f>
        <v/>
      </c>
      <c r="T151" s="374"/>
      <c r="U151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1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1" s="12"/>
      <c r="X151" s="386" t="str">
        <f>IFERROR(IF(TRANSHARI8_SPVOUMALAM[[#This Row],[NAMA REKENING]]="","",TRANSHARI8_SPVOUMALAM[[#This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IFERROR(VLOOKUP(TRANSHARI8_SPVOUPAGI[[#This Row],[PRODUK]],DATA_SPVOU[],10,FALSE),"")</f>
        <v/>
      </c>
      <c r="E152" s="374"/>
      <c r="F152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2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2" s="12"/>
      <c r="I152" s="384" t="str">
        <f>IFERROR(IF(TRANSHARI8_SPVOUPAGI[[#This Row],[NAMA REKENING]]="","",TRANSHARI8_SPVOUPAGI[[#This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IFERROR(VLOOKUP(TRANSHARI8_SPVOUMALAM[[#This Row],[PRODUK]],DATA_SPVOU[],10,FALSE),"")</f>
        <v/>
      </c>
      <c r="T152" s="374"/>
      <c r="U152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2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2" s="12"/>
      <c r="X152" s="384" t="str">
        <f>IFERROR(IF(TRANSHARI8_SPVOUMALAM[[#This Row],[NAMA REKENING]]="","",TRANSHARI8_SPVOUMALAM[[#This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IFERROR(VLOOKUP(TRANSHARI8_SPVOUPAGI[[#This Row],[PRODUK]],DATA_SPVOU[],10,FALSE),"")</f>
        <v/>
      </c>
      <c r="E153" s="374"/>
      <c r="F153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3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3" s="12"/>
      <c r="I153" s="386" t="str">
        <f>IFERROR(IF(TRANSHARI8_SPVOUPAGI[[#This Row],[NAMA REKENING]]="","",TRANSHARI8_SPVOUPAGI[[#This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IFERROR(VLOOKUP(TRANSHARI8_SPVOUMALAM[[#This Row],[PRODUK]],DATA_SPVOU[],10,FALSE),"")</f>
        <v/>
      </c>
      <c r="T153" s="374"/>
      <c r="U153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3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3" s="12"/>
      <c r="X153" s="386" t="str">
        <f>IFERROR(IF(TRANSHARI8_SPVOUMALAM[[#This Row],[NAMA REKENING]]="","",TRANSHARI8_SPVOUMALAM[[#This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IFERROR(VLOOKUP(TRANSHARI8_SPVOUPAGI[[#This Row],[PRODUK]],DATA_SPVOU[],10,FALSE),"")</f>
        <v/>
      </c>
      <c r="E154" s="374"/>
      <c r="F154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4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4" s="12"/>
      <c r="I154" s="384" t="str">
        <f>IFERROR(IF(TRANSHARI8_SPVOUPAGI[[#This Row],[NAMA REKENING]]="","",TRANSHARI8_SPVOUPAGI[[#This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IFERROR(VLOOKUP(TRANSHARI8_SPVOUMALAM[[#This Row],[PRODUK]],DATA_SPVOU[],10,FALSE),"")</f>
        <v/>
      </c>
      <c r="T154" s="374"/>
      <c r="U154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4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4" s="12"/>
      <c r="X154" s="384" t="str">
        <f>IFERROR(IF(TRANSHARI8_SPVOUMALAM[[#This Row],[NAMA REKENING]]="","",TRANSHARI8_SPVOUMALAM[[#This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IFERROR(VLOOKUP(TRANSHARI8_SPVOUPAGI[[#This Row],[PRODUK]],DATA_SPVOU[],10,FALSE),"")</f>
        <v/>
      </c>
      <c r="E155" s="374"/>
      <c r="F155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5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5" s="12"/>
      <c r="I155" s="386" t="str">
        <f>IFERROR(IF(TRANSHARI8_SPVOUPAGI[[#This Row],[NAMA REKENING]]="","",TRANSHARI8_SPVOUPAGI[[#This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IFERROR(VLOOKUP(TRANSHARI8_SPVOUMALAM[[#This Row],[PRODUK]],DATA_SPVOU[],10,FALSE),"")</f>
        <v/>
      </c>
      <c r="T155" s="374"/>
      <c r="U155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5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5" s="12"/>
      <c r="X155" s="386" t="str">
        <f>IFERROR(IF(TRANSHARI8_SPVOUMALAM[[#This Row],[NAMA REKENING]]="","",TRANSHARI8_SPVOUMALAM[[#This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IFERROR(VLOOKUP(TRANSHARI8_SPVOUPAGI[[#This Row],[PRODUK]],DATA_SPVOU[],10,FALSE),"")</f>
        <v/>
      </c>
      <c r="E156" s="374"/>
      <c r="F156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6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6" s="12"/>
      <c r="I156" s="384" t="str">
        <f>IFERROR(IF(TRANSHARI8_SPVOUPAGI[[#This Row],[NAMA REKENING]]="","",TRANSHARI8_SPVOUPAGI[[#This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IFERROR(VLOOKUP(TRANSHARI8_SPVOUMALAM[[#This Row],[PRODUK]],DATA_SPVOU[],10,FALSE),"")</f>
        <v/>
      </c>
      <c r="T156" s="374"/>
      <c r="U156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6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6" s="12"/>
      <c r="X156" s="384" t="str">
        <f>IFERROR(IF(TRANSHARI8_SPVOUMALAM[[#This Row],[NAMA REKENING]]="","",TRANSHARI8_SPVOUMALAM[[#This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IFERROR(VLOOKUP(TRANSHARI8_SPVOUPAGI[[#This Row],[PRODUK]],DATA_SPVOU[],10,FALSE),"")</f>
        <v/>
      </c>
      <c r="E157" s="374"/>
      <c r="F157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7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7" s="12"/>
      <c r="I157" s="386" t="str">
        <f>IFERROR(IF(TRANSHARI8_SPVOUPAGI[[#This Row],[NAMA REKENING]]="","",TRANSHARI8_SPVOUPAGI[[#This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IFERROR(VLOOKUP(TRANSHARI8_SPVOUMALAM[[#This Row],[PRODUK]],DATA_SPVOU[],10,FALSE),"")</f>
        <v/>
      </c>
      <c r="T157" s="374"/>
      <c r="U157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7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7" s="12"/>
      <c r="X157" s="386" t="str">
        <f>IFERROR(IF(TRANSHARI8_SPVOUMALAM[[#This Row],[NAMA REKENING]]="","",TRANSHARI8_SPVOUMALAM[[#This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IFERROR(VLOOKUP(TRANSHARI8_SPVOUPAGI[[#This Row],[PRODUK]],DATA_SPVOU[],10,FALSE),"")</f>
        <v/>
      </c>
      <c r="E158" s="374"/>
      <c r="F158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8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8" s="12"/>
      <c r="I158" s="384" t="str">
        <f>IFERROR(IF(TRANSHARI8_SPVOUPAGI[[#This Row],[NAMA REKENING]]="","",TRANSHARI8_SPVOUPAGI[[#This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IFERROR(VLOOKUP(TRANSHARI8_SPVOUMALAM[[#This Row],[PRODUK]],DATA_SPVOU[],10,FALSE),"")</f>
        <v/>
      </c>
      <c r="T158" s="374"/>
      <c r="U158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8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8" s="12"/>
      <c r="X158" s="384" t="str">
        <f>IFERROR(IF(TRANSHARI8_SPVOUMALAM[[#This Row],[NAMA REKENING]]="","",TRANSHARI8_SPVOUMALAM[[#This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IFERROR(VLOOKUP(TRANSHARI8_SPVOUPAGI[[#This Row],[PRODUK]],DATA_SPVOU[],10,FALSE),"")</f>
        <v/>
      </c>
      <c r="E159" s="374"/>
      <c r="F159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59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59" s="12"/>
      <c r="I159" s="386" t="str">
        <f>IFERROR(IF(TRANSHARI8_SPVOUPAGI[[#This Row],[NAMA REKENING]]="","",TRANSHARI8_SPVOUPAGI[[#This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IFERROR(VLOOKUP(TRANSHARI8_SPVOUMALAM[[#This Row],[PRODUK]],DATA_SPVOU[],10,FALSE),"")</f>
        <v/>
      </c>
      <c r="T159" s="374"/>
      <c r="U159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59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59" s="12"/>
      <c r="X159" s="386" t="str">
        <f>IFERROR(IF(TRANSHARI8_SPVOUMALAM[[#This Row],[NAMA REKENING]]="","",TRANSHARI8_SPVOUMALAM[[#This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IFERROR(VLOOKUP(TRANSHARI8_SPVOUPAGI[[#This Row],[PRODUK]],DATA_SPVOU[],10,FALSE),"")</f>
        <v/>
      </c>
      <c r="E160" s="374"/>
      <c r="F160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0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0" s="12"/>
      <c r="I160" s="384" t="str">
        <f>IFERROR(IF(TRANSHARI8_SPVOUPAGI[[#This Row],[NAMA REKENING]]="","",TRANSHARI8_SPVOUPAGI[[#This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IFERROR(VLOOKUP(TRANSHARI8_SPVOUMALAM[[#This Row],[PRODUK]],DATA_SPVOU[],10,FALSE),"")</f>
        <v/>
      </c>
      <c r="T160" s="374"/>
      <c r="U160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0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0" s="12"/>
      <c r="X160" s="384" t="str">
        <f>IFERROR(IF(TRANSHARI8_SPVOUMALAM[[#This Row],[NAMA REKENING]]="","",TRANSHARI8_SPVOUMALAM[[#This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IFERROR(VLOOKUP(TRANSHARI8_SPVOUPAGI[[#This Row],[PRODUK]],DATA_SPVOU[],10,FALSE),"")</f>
        <v/>
      </c>
      <c r="E161" s="374"/>
      <c r="F161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1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1" s="12"/>
      <c r="I161" s="386" t="str">
        <f>IFERROR(IF(TRANSHARI8_SPVOUPAGI[[#This Row],[NAMA REKENING]]="","",TRANSHARI8_SPVOUPAGI[[#This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IFERROR(VLOOKUP(TRANSHARI8_SPVOUMALAM[[#This Row],[PRODUK]],DATA_SPVOU[],10,FALSE),"")</f>
        <v/>
      </c>
      <c r="T161" s="374"/>
      <c r="U161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1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1" s="12"/>
      <c r="X161" s="386" t="str">
        <f>IFERROR(IF(TRANSHARI8_SPVOUMALAM[[#This Row],[NAMA REKENING]]="","",TRANSHARI8_SPVOUMALAM[[#This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IFERROR(VLOOKUP(TRANSHARI8_SPVOUPAGI[[#This Row],[PRODUK]],DATA_SPVOU[],10,FALSE),"")</f>
        <v/>
      </c>
      <c r="E162" s="374"/>
      <c r="F162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2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2" s="12"/>
      <c r="I162" s="384" t="str">
        <f>IFERROR(IF(TRANSHARI8_SPVOUPAGI[[#This Row],[NAMA REKENING]]="","",TRANSHARI8_SPVOUPAGI[[#This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IFERROR(VLOOKUP(TRANSHARI8_SPVOUMALAM[[#This Row],[PRODUK]],DATA_SPVOU[],10,FALSE),"")</f>
        <v/>
      </c>
      <c r="T162" s="374"/>
      <c r="U162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2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2" s="12"/>
      <c r="X162" s="384" t="str">
        <f>IFERROR(IF(TRANSHARI8_SPVOUMALAM[[#This Row],[NAMA REKENING]]="","",TRANSHARI8_SPVOUMALAM[[#This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IFERROR(VLOOKUP(TRANSHARI8_SPVOUPAGI[[#This Row],[PRODUK]],DATA_SPVOU[],10,FALSE),"")</f>
        <v/>
      </c>
      <c r="E163" s="374"/>
      <c r="F163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3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3" s="12"/>
      <c r="I163" s="386" t="str">
        <f>IFERROR(IF(TRANSHARI8_SPVOUPAGI[[#This Row],[NAMA REKENING]]="","",TRANSHARI8_SPVOUPAGI[[#This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IFERROR(VLOOKUP(TRANSHARI8_SPVOUMALAM[[#This Row],[PRODUK]],DATA_SPVOU[],10,FALSE),"")</f>
        <v/>
      </c>
      <c r="T163" s="374"/>
      <c r="U163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3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3" s="12"/>
      <c r="X163" s="386" t="str">
        <f>IFERROR(IF(TRANSHARI8_SPVOUMALAM[[#This Row],[NAMA REKENING]]="","",TRANSHARI8_SPVOUMALAM[[#This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IFERROR(VLOOKUP(TRANSHARI8_SPVOUPAGI[[#This Row],[PRODUK]],DATA_SPVOU[],10,FALSE),"")</f>
        <v/>
      </c>
      <c r="E164" s="374"/>
      <c r="F164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4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4" s="12"/>
      <c r="I164" s="384" t="str">
        <f>IFERROR(IF(TRANSHARI8_SPVOUPAGI[[#This Row],[NAMA REKENING]]="","",TRANSHARI8_SPVOUPAGI[[#This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IFERROR(VLOOKUP(TRANSHARI8_SPVOUMALAM[[#This Row],[PRODUK]],DATA_SPVOU[],10,FALSE),"")</f>
        <v/>
      </c>
      <c r="T164" s="374"/>
      <c r="U164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4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4" s="12"/>
      <c r="X164" s="384" t="str">
        <f>IFERROR(IF(TRANSHARI8_SPVOUMALAM[[#This Row],[NAMA REKENING]]="","",TRANSHARI8_SPVOUMALAM[[#This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IFERROR(VLOOKUP(TRANSHARI8_SPVOUPAGI[[#This Row],[PRODUK]],DATA_SPVOU[],10,FALSE),"")</f>
        <v/>
      </c>
      <c r="E165" s="374"/>
      <c r="F165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5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5" s="12"/>
      <c r="I165" s="386" t="str">
        <f>IFERROR(IF(TRANSHARI8_SPVOUPAGI[[#This Row],[NAMA REKENING]]="","",TRANSHARI8_SPVOUPAGI[[#This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IFERROR(VLOOKUP(TRANSHARI8_SPVOUMALAM[[#This Row],[PRODUK]],DATA_SPVOU[],10,FALSE),"")</f>
        <v/>
      </c>
      <c r="T165" s="374"/>
      <c r="U165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5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5" s="12"/>
      <c r="X165" s="386" t="str">
        <f>IFERROR(IF(TRANSHARI8_SPVOUMALAM[[#This Row],[NAMA REKENING]]="","",TRANSHARI8_SPVOUMALAM[[#This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IFERROR(VLOOKUP(TRANSHARI8_SPVOUPAGI[[#This Row],[PRODUK]],DATA_SPVOU[],10,FALSE),"")</f>
        <v/>
      </c>
      <c r="E166" s="374"/>
      <c r="F166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6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6" s="12"/>
      <c r="I166" s="384" t="str">
        <f>IFERROR(IF(TRANSHARI8_SPVOUPAGI[[#This Row],[NAMA REKENING]]="","",TRANSHARI8_SPVOUPAGI[[#This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IFERROR(VLOOKUP(TRANSHARI8_SPVOUMALAM[[#This Row],[PRODUK]],DATA_SPVOU[],10,FALSE),"")</f>
        <v/>
      </c>
      <c r="T166" s="374"/>
      <c r="U166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6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6" s="12"/>
      <c r="X166" s="384" t="str">
        <f>IFERROR(IF(TRANSHARI8_SPVOUMALAM[[#This Row],[NAMA REKENING]]="","",TRANSHARI8_SPVOUMALAM[[#This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IFERROR(VLOOKUP(TRANSHARI8_SPVOUPAGI[[#This Row],[PRODUK]],DATA_SPVOU[],10,FALSE),"")</f>
        <v/>
      </c>
      <c r="E167" s="376"/>
      <c r="F167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7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7" s="377"/>
      <c r="I167" s="386" t="str">
        <f>IFERROR(IF(TRANSHARI8_SPVOUPAGI[[#This Row],[NAMA REKENING]]="","",TRANSHARI8_SPVOUPAGI[[#This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IFERROR(VLOOKUP(TRANSHARI8_SPVOUMALAM[[#This Row],[PRODUK]],DATA_SPVOU[],10,FALSE),"")</f>
        <v/>
      </c>
      <c r="T167" s="376"/>
      <c r="U167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7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7" s="377"/>
      <c r="X167" s="386" t="str">
        <f>IFERROR(IF(TRANSHARI8_SPVOUMALAM[[#This Row],[NAMA REKENING]]="","",TRANSHARI8_SPVOUMALAM[[#This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IFERROR(VLOOKUP(TRANSHARI8_SPVOUPAGI[[#This Row],[PRODUK]],DATA_SPVOU[],10,FALSE),"")</f>
        <v/>
      </c>
      <c r="E168" s="374"/>
      <c r="F168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8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8" s="12"/>
      <c r="I168" s="384" t="str">
        <f>IFERROR(IF(TRANSHARI8_SPVOUPAGI[[#This Row],[NAMA REKENING]]="","",TRANSHARI8_SPVOUPAGI[[#This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IFERROR(VLOOKUP(TRANSHARI8_SPVOUMALAM[[#This Row],[PRODUK]],DATA_SPVOU[],10,FALSE),"")</f>
        <v/>
      </c>
      <c r="T168" s="374"/>
      <c r="U168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8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8" s="12"/>
      <c r="X168" s="384" t="str">
        <f>IFERROR(IF(TRANSHARI8_SPVOUMALAM[[#This Row],[NAMA REKENING]]="","",TRANSHARI8_SPVOUMALAM[[#This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IFERROR(VLOOKUP(TRANSHARI8_SPVOUPAGI[[#This Row],[PRODUK]],DATA_SPVOU[],10,FALSE),"")</f>
        <v/>
      </c>
      <c r="E169" s="374"/>
      <c r="F169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69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69" s="12"/>
      <c r="I169" s="386" t="str">
        <f>IFERROR(IF(TRANSHARI8_SPVOUPAGI[[#This Row],[NAMA REKENING]]="","",TRANSHARI8_SPVOUPAGI[[#This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IFERROR(VLOOKUP(TRANSHARI8_SPVOUMALAM[[#This Row],[PRODUK]],DATA_SPVOU[],10,FALSE),"")</f>
        <v/>
      </c>
      <c r="T169" s="374"/>
      <c r="U169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69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69" s="12"/>
      <c r="X169" s="386" t="str">
        <f>IFERROR(IF(TRANSHARI8_SPVOUMALAM[[#This Row],[NAMA REKENING]]="","",TRANSHARI8_SPVOUMALAM[[#This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IFERROR(VLOOKUP(TRANSHARI8_SPVOUPAGI[[#This Row],[PRODUK]],DATA_SPVOU[],10,FALSE),"")</f>
        <v/>
      </c>
      <c r="E170" s="374"/>
      <c r="F170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0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0" s="12"/>
      <c r="I170" s="384" t="str">
        <f>IFERROR(IF(TRANSHARI8_SPVOUPAGI[[#This Row],[NAMA REKENING]]="","",TRANSHARI8_SPVOUPAGI[[#This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IFERROR(VLOOKUP(TRANSHARI8_SPVOUMALAM[[#This Row],[PRODUK]],DATA_SPVOU[],10,FALSE),"")</f>
        <v/>
      </c>
      <c r="T170" s="374"/>
      <c r="U170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0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0" s="12"/>
      <c r="X170" s="384" t="str">
        <f>IFERROR(IF(TRANSHARI8_SPVOUMALAM[[#This Row],[NAMA REKENING]]="","",TRANSHARI8_SPVOUMALAM[[#This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IFERROR(VLOOKUP(TRANSHARI8_SPVOUPAGI[[#This Row],[PRODUK]],DATA_SPVOU[],10,FALSE),"")</f>
        <v/>
      </c>
      <c r="E171" s="374"/>
      <c r="F171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1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1" s="12"/>
      <c r="I171" s="386" t="str">
        <f>IFERROR(IF(TRANSHARI8_SPVOUPAGI[[#This Row],[NAMA REKENING]]="","",TRANSHARI8_SPVOUPAGI[[#This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IFERROR(VLOOKUP(TRANSHARI8_SPVOUMALAM[[#This Row],[PRODUK]],DATA_SPVOU[],10,FALSE),"")</f>
        <v/>
      </c>
      <c r="T171" s="374"/>
      <c r="U171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1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1" s="12"/>
      <c r="X171" s="386" t="str">
        <f>IFERROR(IF(TRANSHARI8_SPVOUMALAM[[#This Row],[NAMA REKENING]]="","",TRANSHARI8_SPVOUMALAM[[#This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IFERROR(VLOOKUP(TRANSHARI8_SPVOUPAGI[[#This Row],[PRODUK]],DATA_SPVOU[],10,FALSE),"")</f>
        <v/>
      </c>
      <c r="E172" s="374"/>
      <c r="F172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2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2" s="12"/>
      <c r="I172" s="384" t="str">
        <f>IFERROR(IF(TRANSHARI8_SPVOUPAGI[[#This Row],[NAMA REKENING]]="","",TRANSHARI8_SPVOUPAGI[[#This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IFERROR(VLOOKUP(TRANSHARI8_SPVOUMALAM[[#This Row],[PRODUK]],DATA_SPVOU[],10,FALSE),"")</f>
        <v/>
      </c>
      <c r="T172" s="374"/>
      <c r="U172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2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2" s="12"/>
      <c r="X172" s="384" t="str">
        <f>IFERROR(IF(TRANSHARI8_SPVOUMALAM[[#This Row],[NAMA REKENING]]="","",TRANSHARI8_SPVOUMALAM[[#This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IFERROR(VLOOKUP(TRANSHARI8_SPVOUPAGI[[#This Row],[PRODUK]],DATA_SPVOU[],10,FALSE),"")</f>
        <v/>
      </c>
      <c r="E173" s="374"/>
      <c r="F173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3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3" s="12"/>
      <c r="I173" s="386" t="str">
        <f>IFERROR(IF(TRANSHARI8_SPVOUPAGI[[#This Row],[NAMA REKENING]]="","",TRANSHARI8_SPVOUPAGI[[#This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IFERROR(VLOOKUP(TRANSHARI8_SPVOUMALAM[[#This Row],[PRODUK]],DATA_SPVOU[],10,FALSE),"")</f>
        <v/>
      </c>
      <c r="T173" s="374"/>
      <c r="U173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3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3" s="12"/>
      <c r="X173" s="386" t="str">
        <f>IFERROR(IF(TRANSHARI8_SPVOUMALAM[[#This Row],[NAMA REKENING]]="","",TRANSHARI8_SPVOUMALAM[[#This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IFERROR(VLOOKUP(TRANSHARI8_SPVOUPAGI[[#This Row],[PRODUK]],DATA_SPVOU[],10,FALSE),"")</f>
        <v/>
      </c>
      <c r="E174" s="374"/>
      <c r="F174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4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4" s="12"/>
      <c r="I174" s="384" t="str">
        <f>IFERROR(IF(TRANSHARI8_SPVOUPAGI[[#This Row],[NAMA REKENING]]="","",TRANSHARI8_SPVOUPAGI[[#This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IFERROR(VLOOKUP(TRANSHARI8_SPVOUMALAM[[#This Row],[PRODUK]],DATA_SPVOU[],10,FALSE),"")</f>
        <v/>
      </c>
      <c r="T174" s="374"/>
      <c r="U174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4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4" s="12"/>
      <c r="X174" s="384" t="str">
        <f>IFERROR(IF(TRANSHARI8_SPVOUMALAM[[#This Row],[NAMA REKENING]]="","",TRANSHARI8_SPVOUMALAM[[#This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IFERROR(VLOOKUP(TRANSHARI8_SPVOUPAGI[[#This Row],[PRODUK]],DATA_SPVOU[],10,FALSE),"")</f>
        <v/>
      </c>
      <c r="E175" s="374"/>
      <c r="F175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5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5" s="12"/>
      <c r="I175" s="386" t="str">
        <f>IFERROR(IF(TRANSHARI8_SPVOUPAGI[[#This Row],[NAMA REKENING]]="","",TRANSHARI8_SPVOUPAGI[[#This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IFERROR(VLOOKUP(TRANSHARI8_SPVOUMALAM[[#This Row],[PRODUK]],DATA_SPVOU[],10,FALSE),"")</f>
        <v/>
      </c>
      <c r="T175" s="374"/>
      <c r="U175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5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5" s="12"/>
      <c r="X175" s="386" t="str">
        <f>IFERROR(IF(TRANSHARI8_SPVOUMALAM[[#This Row],[NAMA REKENING]]="","",TRANSHARI8_SPVOUMALAM[[#This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IFERROR(VLOOKUP(TRANSHARI8_SPVOUPAGI[[#This Row],[PRODUK]],DATA_SPVOU[],10,FALSE),"")</f>
        <v/>
      </c>
      <c r="E176" s="374"/>
      <c r="F176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6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6" s="12"/>
      <c r="I176" s="384" t="str">
        <f>IFERROR(IF(TRANSHARI8_SPVOUPAGI[[#This Row],[NAMA REKENING]]="","",TRANSHARI8_SPVOUPAGI[[#This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IFERROR(VLOOKUP(TRANSHARI8_SPVOUMALAM[[#This Row],[PRODUK]],DATA_SPVOU[],10,FALSE),"")</f>
        <v/>
      </c>
      <c r="T176" s="374"/>
      <c r="U176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6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6" s="12"/>
      <c r="X176" s="384" t="str">
        <f>IFERROR(IF(TRANSHARI8_SPVOUMALAM[[#This Row],[NAMA REKENING]]="","",TRANSHARI8_SPVOUMALAM[[#This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IFERROR(VLOOKUP(TRANSHARI8_SPVOUPAGI[[#This Row],[PRODUK]],DATA_SPVOU[],10,FALSE),"")</f>
        <v/>
      </c>
      <c r="E177" s="374"/>
      <c r="F177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7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7" s="12"/>
      <c r="I177" s="386" t="str">
        <f>IFERROR(IF(TRANSHARI8_SPVOUPAGI[[#This Row],[NAMA REKENING]]="","",TRANSHARI8_SPVOUPAGI[[#This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IFERROR(VLOOKUP(TRANSHARI8_SPVOUMALAM[[#This Row],[PRODUK]],DATA_SPVOU[],10,FALSE),"")</f>
        <v/>
      </c>
      <c r="T177" s="374"/>
      <c r="U177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7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7" s="12"/>
      <c r="X177" s="386" t="str">
        <f>IFERROR(IF(TRANSHARI8_SPVOUMALAM[[#This Row],[NAMA REKENING]]="","",TRANSHARI8_SPVOUMALAM[[#This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IFERROR(VLOOKUP(TRANSHARI8_SPVOUPAGI[[#This Row],[PRODUK]],DATA_SPVOU[],10,FALSE),"")</f>
        <v/>
      </c>
      <c r="E178" s="374"/>
      <c r="F178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8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8" s="12"/>
      <c r="I178" s="384" t="str">
        <f>IFERROR(IF(TRANSHARI8_SPVOUPAGI[[#This Row],[NAMA REKENING]]="","",TRANSHARI8_SPVOUPAGI[[#This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IFERROR(VLOOKUP(TRANSHARI8_SPVOUMALAM[[#This Row],[PRODUK]],DATA_SPVOU[],10,FALSE),"")</f>
        <v/>
      </c>
      <c r="T178" s="374"/>
      <c r="U178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8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8" s="12"/>
      <c r="X178" s="384" t="str">
        <f>IFERROR(IF(TRANSHARI8_SPVOUMALAM[[#This Row],[NAMA REKENING]]="","",TRANSHARI8_SPVOUMALAM[[#This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IFERROR(VLOOKUP(TRANSHARI8_SPVOUPAGI[[#This Row],[PRODUK]],DATA_SPVOU[],10,FALSE),"")</f>
        <v/>
      </c>
      <c r="E179" s="374"/>
      <c r="F179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79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79" s="12"/>
      <c r="I179" s="386" t="str">
        <f>IFERROR(IF(TRANSHARI8_SPVOUPAGI[[#This Row],[NAMA REKENING]]="","",TRANSHARI8_SPVOUPAGI[[#This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IFERROR(VLOOKUP(TRANSHARI8_SPVOUMALAM[[#This Row],[PRODUK]],DATA_SPVOU[],10,FALSE),"")</f>
        <v/>
      </c>
      <c r="T179" s="374"/>
      <c r="U179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79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79" s="12"/>
      <c r="X179" s="386" t="str">
        <f>IFERROR(IF(TRANSHARI8_SPVOUMALAM[[#This Row],[NAMA REKENING]]="","",TRANSHARI8_SPVOUMALAM[[#This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IFERROR(VLOOKUP(TRANSHARI8_SPVOUPAGI[[#This Row],[PRODUK]],DATA_SPVOU[],10,FALSE),"")</f>
        <v/>
      </c>
      <c r="E180" s="374"/>
      <c r="F180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0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0" s="12"/>
      <c r="I180" s="384" t="str">
        <f>IFERROR(IF(TRANSHARI8_SPVOUPAGI[[#This Row],[NAMA REKENING]]="","",TRANSHARI8_SPVOUPAGI[[#This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IFERROR(VLOOKUP(TRANSHARI8_SPVOUMALAM[[#This Row],[PRODUK]],DATA_SPVOU[],10,FALSE),"")</f>
        <v/>
      </c>
      <c r="T180" s="374"/>
      <c r="U180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0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0" s="12"/>
      <c r="X180" s="384" t="str">
        <f>IFERROR(IF(TRANSHARI8_SPVOUMALAM[[#This Row],[NAMA REKENING]]="","",TRANSHARI8_SPVOUMALAM[[#This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IFERROR(VLOOKUP(TRANSHARI8_SPVOUPAGI[[#This Row],[PRODUK]],DATA_SPVOU[],10,FALSE),"")</f>
        <v/>
      </c>
      <c r="E181" s="374"/>
      <c r="F181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1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1" s="12"/>
      <c r="I181" s="386" t="str">
        <f>IFERROR(IF(TRANSHARI8_SPVOUPAGI[[#This Row],[NAMA REKENING]]="","",TRANSHARI8_SPVOUPAGI[[#This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IFERROR(VLOOKUP(TRANSHARI8_SPVOUMALAM[[#This Row],[PRODUK]],DATA_SPVOU[],10,FALSE),"")</f>
        <v/>
      </c>
      <c r="T181" s="374"/>
      <c r="U181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1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1" s="12"/>
      <c r="X181" s="386" t="str">
        <f>IFERROR(IF(TRANSHARI8_SPVOUMALAM[[#This Row],[NAMA REKENING]]="","",TRANSHARI8_SPVOUMALAM[[#This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IFERROR(VLOOKUP(TRANSHARI8_SPVOUPAGI[[#This Row],[PRODUK]],DATA_SPVOU[],10,FALSE),"")</f>
        <v/>
      </c>
      <c r="E182" s="374"/>
      <c r="F182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2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2" s="12"/>
      <c r="I182" s="384" t="str">
        <f>IFERROR(IF(TRANSHARI8_SPVOUPAGI[[#This Row],[NAMA REKENING]]="","",TRANSHARI8_SPVOUPAGI[[#This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IFERROR(VLOOKUP(TRANSHARI8_SPVOUMALAM[[#This Row],[PRODUK]],DATA_SPVOU[],10,FALSE),"")</f>
        <v/>
      </c>
      <c r="T182" s="374"/>
      <c r="U182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2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2" s="12"/>
      <c r="X182" s="384" t="str">
        <f>IFERROR(IF(TRANSHARI8_SPVOUMALAM[[#This Row],[NAMA REKENING]]="","",TRANSHARI8_SPVOUMALAM[[#This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IFERROR(VLOOKUP(TRANSHARI8_SPVOUPAGI[[#This Row],[PRODUK]],DATA_SPVOU[],10,FALSE),"")</f>
        <v/>
      </c>
      <c r="E183" s="374"/>
      <c r="F183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3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3" s="12"/>
      <c r="I183" s="386" t="str">
        <f>IFERROR(IF(TRANSHARI8_SPVOUPAGI[[#This Row],[NAMA REKENING]]="","",TRANSHARI8_SPVOUPAGI[[#This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IFERROR(VLOOKUP(TRANSHARI8_SPVOUMALAM[[#This Row],[PRODUK]],DATA_SPVOU[],10,FALSE),"")</f>
        <v/>
      </c>
      <c r="T183" s="374"/>
      <c r="U183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3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3" s="12"/>
      <c r="X183" s="386" t="str">
        <f>IFERROR(IF(TRANSHARI8_SPVOUMALAM[[#This Row],[NAMA REKENING]]="","",TRANSHARI8_SPVOUMALAM[[#This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IFERROR(VLOOKUP(TRANSHARI8_SPVOUPAGI[[#This Row],[PRODUK]],DATA_SPVOU[],10,FALSE),"")</f>
        <v/>
      </c>
      <c r="E184" s="374"/>
      <c r="F184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4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4" s="12"/>
      <c r="I184" s="384" t="str">
        <f>IFERROR(IF(TRANSHARI8_SPVOUPAGI[[#This Row],[NAMA REKENING]]="","",TRANSHARI8_SPVOUPAGI[[#This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IFERROR(VLOOKUP(TRANSHARI8_SPVOUMALAM[[#This Row],[PRODUK]],DATA_SPVOU[],10,FALSE),"")</f>
        <v/>
      </c>
      <c r="T184" s="374"/>
      <c r="U184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4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4" s="12"/>
      <c r="X184" s="384" t="str">
        <f>IFERROR(IF(TRANSHARI8_SPVOUMALAM[[#This Row],[NAMA REKENING]]="","",TRANSHARI8_SPVOUMALAM[[#This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IFERROR(VLOOKUP(TRANSHARI8_SPVOUPAGI[[#This Row],[PRODUK]],DATA_SPVOU[],10,FALSE),"")</f>
        <v/>
      </c>
      <c r="E185" s="374"/>
      <c r="F185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5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5" s="12"/>
      <c r="I185" s="386" t="str">
        <f>IFERROR(IF(TRANSHARI8_SPVOUPAGI[[#This Row],[NAMA REKENING]]="","",TRANSHARI8_SPVOUPAGI[[#This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IFERROR(VLOOKUP(TRANSHARI8_SPVOUMALAM[[#This Row],[PRODUK]],DATA_SPVOU[],10,FALSE),"")</f>
        <v/>
      </c>
      <c r="T185" s="374"/>
      <c r="U185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5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5" s="12"/>
      <c r="X185" s="386" t="str">
        <f>IFERROR(IF(TRANSHARI8_SPVOUMALAM[[#This Row],[NAMA REKENING]]="","",TRANSHARI8_SPVOUMALAM[[#This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IFERROR(VLOOKUP(TRANSHARI8_SPVOUPAGI[[#This Row],[PRODUK]],DATA_SPVOU[],10,FALSE),"")</f>
        <v/>
      </c>
      <c r="E186" s="374"/>
      <c r="F186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6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6" s="12"/>
      <c r="I186" s="384" t="str">
        <f>IFERROR(IF(TRANSHARI8_SPVOUPAGI[[#This Row],[NAMA REKENING]]="","",TRANSHARI8_SPVOUPAGI[[#This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IFERROR(VLOOKUP(TRANSHARI8_SPVOUMALAM[[#This Row],[PRODUK]],DATA_SPVOU[],10,FALSE),"")</f>
        <v/>
      </c>
      <c r="T186" s="374"/>
      <c r="U186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6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6" s="12"/>
      <c r="X186" s="384" t="str">
        <f>IFERROR(IF(TRANSHARI8_SPVOUMALAM[[#This Row],[NAMA REKENING]]="","",TRANSHARI8_SPVOUMALAM[[#This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IFERROR(VLOOKUP(TRANSHARI8_SPVOUPAGI[[#This Row],[PRODUK]],DATA_SPVOU[],10,FALSE),"")</f>
        <v/>
      </c>
      <c r="E187" s="374"/>
      <c r="F187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7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7" s="12"/>
      <c r="I187" s="386" t="str">
        <f>IFERROR(IF(TRANSHARI8_SPVOUPAGI[[#This Row],[NAMA REKENING]]="","",TRANSHARI8_SPVOUPAGI[[#This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IFERROR(VLOOKUP(TRANSHARI8_SPVOUMALAM[[#This Row],[PRODUK]],DATA_SPVOU[],10,FALSE),"")</f>
        <v/>
      </c>
      <c r="T187" s="374"/>
      <c r="U187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7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7" s="12"/>
      <c r="X187" s="386" t="str">
        <f>IFERROR(IF(TRANSHARI8_SPVOUMALAM[[#This Row],[NAMA REKENING]]="","",TRANSHARI8_SPVOUMALAM[[#This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IFERROR(VLOOKUP(TRANSHARI8_SPVOUPAGI[[#This Row],[PRODUK]],DATA_SPVOU[],10,FALSE),"")</f>
        <v/>
      </c>
      <c r="E188" s="374"/>
      <c r="F188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8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8" s="12"/>
      <c r="I188" s="384" t="str">
        <f>IFERROR(IF(TRANSHARI8_SPVOUPAGI[[#This Row],[NAMA REKENING]]="","",TRANSHARI8_SPVOUPAGI[[#This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IFERROR(VLOOKUP(TRANSHARI8_SPVOUMALAM[[#This Row],[PRODUK]],DATA_SPVOU[],10,FALSE),"")</f>
        <v/>
      </c>
      <c r="T188" s="374"/>
      <c r="U188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8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8" s="12"/>
      <c r="X188" s="384" t="str">
        <f>IFERROR(IF(TRANSHARI8_SPVOUMALAM[[#This Row],[NAMA REKENING]]="","",TRANSHARI8_SPVOUMALAM[[#This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IFERROR(VLOOKUP(TRANSHARI8_SPVOUPAGI[[#This Row],[PRODUK]],DATA_SPVOU[],10,FALSE),"")</f>
        <v/>
      </c>
      <c r="E189" s="374"/>
      <c r="F189" s="373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89" s="373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89" s="12"/>
      <c r="I189" s="386" t="str">
        <f>IFERROR(IF(TRANSHARI8_SPVOUPAGI[[#This Row],[NAMA REKENING]]="","",TRANSHARI8_SPVOUPAGI[[#This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IFERROR(VLOOKUP(TRANSHARI8_SPVOUMALAM[[#This Row],[PRODUK]],DATA_SPVOU[],10,FALSE),"")</f>
        <v/>
      </c>
      <c r="T189" s="374"/>
      <c r="U189" s="373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89" s="373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89" s="12"/>
      <c r="X189" s="386" t="str">
        <f>IFERROR(IF(TRANSHARI8_SPVOUMALAM[[#This Row],[NAMA REKENING]]="","",TRANSHARI8_SPVOUMALAM[[#This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IFERROR(VLOOKUP(TRANSHARI8_SPVOUPAGI[[#This Row],[PRODUK]],DATA_SPVOU[],10,FALSE),"")</f>
        <v/>
      </c>
      <c r="E190" s="374"/>
      <c r="F190" s="369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90" s="369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90" s="12"/>
      <c r="I190" s="384" t="str">
        <f>IFERROR(IF(TRANSHARI8_SPVOUPAGI[[#This Row],[NAMA REKENING]]="","",TRANSHARI8_SPVOUPAGI[[#This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IFERROR(VLOOKUP(TRANSHARI8_SPVOUMALAM[[#This Row],[PRODUK]],DATA_SPVOU[],10,FALSE),"")</f>
        <v/>
      </c>
      <c r="T190" s="374"/>
      <c r="U190" s="369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90" s="369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90" s="12"/>
      <c r="X190" s="384" t="str">
        <f>IFERROR(IF(TRANSHARI8_SPVOUMALAM[[#This Row],[NAMA REKENING]]="","",TRANSHARI8_SPVOUMALAM[[#This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IFERROR(VLOOKUP(TRANSHARI8_SPVOUPAGI[[#This Row],[PRODUK]],DATA_SPVOU[],10,FALSE),"")</f>
        <v/>
      </c>
      <c r="E191" s="376"/>
      <c r="F191" s="394" t="str">
        <f>IFERROR(IF(TRANSHARI8_SPVOUPAGI[[#This Row],[NAMA PENGHUTANG]]="",((TRANSHARI8_SPVOUPAGI[[#This Row],[HARGA]]*TRANSHARI8_SPVOUPAGI[[#This Row],[QUANTITY]])+TRANSHARI8_SPVOUPAGI[[#This Row],[PRICE TOLERANCE]]),""),"")</f>
        <v/>
      </c>
      <c r="G191" s="394" t="str">
        <f>IFERROR(IF(TRANSHARI8_SPVOUPAGI[[#This Row],[NAMA PENGHUTANG]]="","",((TRANSHARI8_SPVOUPAGI[[#This Row],[HARGA]]*TRANSHARI8_SPVOUPAGI[[#This Row],[QUANTITY]])+TRANSHARI8_SPVOUPAGI[[#This Row],[PRICE TOLERANCE]])),"")</f>
        <v/>
      </c>
      <c r="H191" s="377"/>
      <c r="I191" s="399" t="str">
        <f>IFERROR(IF(TRANSHARI8_SPVOUPAGI[[#This Row],[NAMA REKENING]]="","",TRANSHARI8_SPVOUPAGI[[#This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IFERROR(VLOOKUP(TRANSHARI8_SPVOUMALAM[[#This Row],[PRODUK]],DATA_SPVOU[],10,FALSE),"")</f>
        <v/>
      </c>
      <c r="T191" s="376"/>
      <c r="U191" s="394" t="str">
        <f>IFERROR(IF(TRANSHARI8_SPVOUMALAM[[#This Row],[NAMA PENGHUTANG]]="",((TRANSHARI8_SPVOUMALAM[[#This Row],[HARGA]]*TRANSHARI8_SPVOUMALAM[[#This Row],[QUANTITY]])+TRANSHARI8_SPVOUMALAM[[#This Row],[PRICE TOLERANCE]]),""),"")</f>
        <v/>
      </c>
      <c r="V191" s="394" t="str">
        <f>IFERROR(IF(TRANSHARI8_SPVOUMALAM[[#This Row],[NAMA PENGHUTANG]]="","",((TRANSHARI8_SPVOUMALAM[[#This Row],[HARGA]]*TRANSHARI8_SPVOUMALAM[[#This Row],[QUANTITY]])+TRANSHARI8_SPVOUMALAM[[#This Row],[PRICE TOLERANCE]])),"")</f>
        <v/>
      </c>
      <c r="W191" s="377"/>
      <c r="X191" s="399" t="str">
        <f>IFERROR(IF(TRANSHARI8_SPVOUMALAM[[#This Row],[NAMA REKENING]]="","",TRANSHARI8_SPVOUMALAM[[#This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SUM(TRANSHARI8_SPVOUPAGI[QUANTITY])</f>
        <v>0</v>
      </c>
      <c r="E192" s="398">
        <f>SUM(TRANSHARI8_SPVOUPAGI[PRICE TOLERANCE])</f>
        <v>0</v>
      </c>
      <c r="F192" s="396">
        <f>SUM(TRANSHARI8_SPVOUPAGI[DEBIT])</f>
        <v>0</v>
      </c>
      <c r="G192" s="396">
        <f>SUM(TRANSHARI8_SPVOUPAGI[KREDIT])</f>
        <v>0</v>
      </c>
      <c r="I192" s="396">
        <f>SUM(TRANSHARI8_SPVOUPAGI[NOMINAL TRANSFER])</f>
        <v>0</v>
      </c>
      <c r="O192" s="324"/>
      <c r="P192" s="303" t="s">
        <v>78</v>
      </c>
      <c r="Q192" s="316"/>
      <c r="R192" s="395">
        <f>SUM(TRANSHARI8_SPVOUMALAM[QUANTITY])</f>
        <v>0</v>
      </c>
      <c r="T192" s="398">
        <f>SUM(TRANSHARI8_SPVOUMALAM[PRICE TOLERANCE])</f>
        <v>0</v>
      </c>
      <c r="U192" s="396">
        <f>SUM(TRANSHARI8_SPVOUMALAM[DEBIT])</f>
        <v>0</v>
      </c>
      <c r="V192" s="396">
        <f>SUM(TRANSHARI8_SPVOUMALAM[KREDIT])</f>
        <v>0</v>
      </c>
      <c r="X192" s="396">
        <f>SUM(TRANSHARI8_SPVOUMALAM[NOMINAL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tr">
        <f>A25</f>
        <v>HARI 8 : PAGI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tr">
        <f>P25</f>
        <v>HARI 8 : MALAM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IFERROR(VLOOKUP(TRANSHARI8_SOFTDRINKPAGI[[#This Row],[PRODUK]],DATA_SOFTDRINK[],10,FALSE),"")</f>
        <v/>
      </c>
      <c r="E199" s="370"/>
      <c r="F199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199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199" s="371"/>
      <c r="I199" s="384" t="str">
        <f>IFERROR(IF(TRANSHARI8_SOFTDRINKPAGI[[#This Row],[NAMA REKENING]]="","",TRANSHARI8_SOFTDRINKPAGI[[#This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IFERROR(VLOOKUP(TRANSHARI8_SOFTDRINKMALAM[[#This Row],[PRODUK]],DATA_SOFTDRINK[],10,FALSE),"")</f>
        <v/>
      </c>
      <c r="T199" s="370"/>
      <c r="U199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199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199" s="371"/>
      <c r="X199" s="384" t="str">
        <f>IFERROR(IF(TRANSHARI8_SOFTDRINKMALAM[[#This Row],[NAMA REKENING]]="","",TRANSHARI8_SOFTDRINKMALAM[[#This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IFERROR(VLOOKUP(TRANSHARI8_SOFTDRINKPAGI[[#This Row],[PRODUK]],DATA_SOFTDRINK[],10,FALSE),"")</f>
        <v/>
      </c>
      <c r="E200" s="374"/>
      <c r="F200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0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0" s="12"/>
      <c r="I200" s="386" t="str">
        <f>IFERROR(IF(TRANSHARI8_SOFTDRINKPAGI[[#This Row],[NAMA REKENING]]="","",TRANSHARI8_SOFTDRINKPAGI[[#This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IFERROR(VLOOKUP(TRANSHARI8_SOFTDRINKMALAM[[#This Row],[PRODUK]],DATA_SOFTDRINK[],10,FALSE),"")</f>
        <v/>
      </c>
      <c r="T200" s="374"/>
      <c r="U200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0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0" s="12"/>
      <c r="X200" s="386" t="str">
        <f>IFERROR(IF(TRANSHARI8_SOFTDRINKMALAM[[#This Row],[NAMA REKENING]]="","",TRANSHARI8_SOFTDRINKMALAM[[#This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IFERROR(VLOOKUP(TRANSHARI8_SOFTDRINKPAGI[[#This Row],[PRODUK]],DATA_SOFTDRINK[],10,FALSE),"")</f>
        <v/>
      </c>
      <c r="E201" s="374"/>
      <c r="F201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1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1" s="12"/>
      <c r="I201" s="384" t="str">
        <f>IFERROR(IF(TRANSHARI8_SOFTDRINKPAGI[[#This Row],[NAMA REKENING]]="","",TRANSHARI8_SOFTDRINKPAGI[[#This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IFERROR(VLOOKUP(TRANSHARI8_SOFTDRINKMALAM[[#This Row],[PRODUK]],DATA_SOFTDRINK[],10,FALSE),"")</f>
        <v/>
      </c>
      <c r="T201" s="374"/>
      <c r="U201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1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1" s="12"/>
      <c r="X201" s="384" t="str">
        <f>IFERROR(IF(TRANSHARI8_SOFTDRINKMALAM[[#This Row],[NAMA REKENING]]="","",TRANSHARI8_SOFTDRINKMALAM[[#This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IFERROR(VLOOKUP(TRANSHARI8_SOFTDRINKPAGI[[#This Row],[PRODUK]],DATA_SOFTDRINK[],10,FALSE),"")</f>
        <v/>
      </c>
      <c r="E202" s="374"/>
      <c r="F202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2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2" s="12"/>
      <c r="I202" s="386" t="str">
        <f>IFERROR(IF(TRANSHARI8_SOFTDRINKPAGI[[#This Row],[NAMA REKENING]]="","",TRANSHARI8_SOFTDRINKPAGI[[#This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IFERROR(VLOOKUP(TRANSHARI8_SOFTDRINKMALAM[[#This Row],[PRODUK]],DATA_SOFTDRINK[],10,FALSE),"")</f>
        <v/>
      </c>
      <c r="T202" s="374"/>
      <c r="U202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2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2" s="12"/>
      <c r="X202" s="386" t="str">
        <f>IFERROR(IF(TRANSHARI8_SOFTDRINKMALAM[[#This Row],[NAMA REKENING]]="","",TRANSHARI8_SOFTDRINKMALAM[[#This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IFERROR(VLOOKUP(TRANSHARI8_SOFTDRINKPAGI[[#This Row],[PRODUK]],DATA_SOFTDRINK[],10,FALSE),"")</f>
        <v/>
      </c>
      <c r="E203" s="374"/>
      <c r="F203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3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3" s="12"/>
      <c r="I203" s="384" t="str">
        <f>IFERROR(IF(TRANSHARI8_SOFTDRINKPAGI[[#This Row],[NAMA REKENING]]="","",TRANSHARI8_SOFTDRINKPAGI[[#This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IFERROR(VLOOKUP(TRANSHARI8_SOFTDRINKMALAM[[#This Row],[PRODUK]],DATA_SOFTDRINK[],10,FALSE),"")</f>
        <v/>
      </c>
      <c r="T203" s="374"/>
      <c r="U203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3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3" s="12"/>
      <c r="X203" s="384" t="str">
        <f>IFERROR(IF(TRANSHARI8_SOFTDRINKMALAM[[#This Row],[NAMA REKENING]]="","",TRANSHARI8_SOFTDRINKMALAM[[#This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IFERROR(VLOOKUP(TRANSHARI8_SOFTDRINKPAGI[[#This Row],[PRODUK]],DATA_SOFTDRINK[],10,FALSE),"")</f>
        <v/>
      </c>
      <c r="E204" s="374"/>
      <c r="F204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4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4" s="12"/>
      <c r="I204" s="386" t="str">
        <f>IFERROR(IF(TRANSHARI8_SOFTDRINKPAGI[[#This Row],[NAMA REKENING]]="","",TRANSHARI8_SOFTDRINKPAGI[[#This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IFERROR(VLOOKUP(TRANSHARI8_SOFTDRINKMALAM[[#This Row],[PRODUK]],DATA_SOFTDRINK[],10,FALSE),"")</f>
        <v/>
      </c>
      <c r="T204" s="374"/>
      <c r="U204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4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4" s="12"/>
      <c r="X204" s="386" t="str">
        <f>IFERROR(IF(TRANSHARI8_SOFTDRINKMALAM[[#This Row],[NAMA REKENING]]="","",TRANSHARI8_SOFTDRINKMALAM[[#This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IFERROR(VLOOKUP(TRANSHARI8_SOFTDRINKPAGI[[#This Row],[PRODUK]],DATA_SOFTDRINK[],10,FALSE),"")</f>
        <v/>
      </c>
      <c r="E205" s="374"/>
      <c r="F205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5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5" s="12"/>
      <c r="I205" s="384" t="str">
        <f>IFERROR(IF(TRANSHARI8_SOFTDRINKPAGI[[#This Row],[NAMA REKENING]]="","",TRANSHARI8_SOFTDRINKPAGI[[#This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IFERROR(VLOOKUP(TRANSHARI8_SOFTDRINKMALAM[[#This Row],[PRODUK]],DATA_SOFTDRINK[],10,FALSE),"")</f>
        <v/>
      </c>
      <c r="T205" s="374"/>
      <c r="U205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5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5" s="12"/>
      <c r="X205" s="384" t="str">
        <f>IFERROR(IF(TRANSHARI8_SOFTDRINKMALAM[[#This Row],[NAMA REKENING]]="","",TRANSHARI8_SOFTDRINKMALAM[[#This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IFERROR(VLOOKUP(TRANSHARI8_SOFTDRINKPAGI[[#This Row],[PRODUK]],DATA_SOFTDRINK[],10,FALSE),"")</f>
        <v/>
      </c>
      <c r="E206" s="374"/>
      <c r="F206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6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6" s="12"/>
      <c r="I206" s="386" t="str">
        <f>IFERROR(IF(TRANSHARI8_SOFTDRINKPAGI[[#This Row],[NAMA REKENING]]="","",TRANSHARI8_SOFTDRINKPAGI[[#This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IFERROR(VLOOKUP(TRANSHARI8_SOFTDRINKMALAM[[#This Row],[PRODUK]],DATA_SOFTDRINK[],10,FALSE),"")</f>
        <v/>
      </c>
      <c r="T206" s="374"/>
      <c r="U206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6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6" s="12"/>
      <c r="X206" s="386" t="str">
        <f>IFERROR(IF(TRANSHARI8_SOFTDRINKMALAM[[#This Row],[NAMA REKENING]]="","",TRANSHARI8_SOFTDRINKMALAM[[#This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IFERROR(VLOOKUP(TRANSHARI8_SOFTDRINKPAGI[[#This Row],[PRODUK]],DATA_SOFTDRINK[],10,FALSE),"")</f>
        <v/>
      </c>
      <c r="E207" s="374"/>
      <c r="F207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7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7" s="12"/>
      <c r="I207" s="384" t="str">
        <f>IFERROR(IF(TRANSHARI8_SOFTDRINKPAGI[[#This Row],[NAMA REKENING]]="","",TRANSHARI8_SOFTDRINKPAGI[[#This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IFERROR(VLOOKUP(TRANSHARI8_SOFTDRINKMALAM[[#This Row],[PRODUK]],DATA_SOFTDRINK[],10,FALSE),"")</f>
        <v/>
      </c>
      <c r="T207" s="374"/>
      <c r="U207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7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7" s="12"/>
      <c r="X207" s="384" t="str">
        <f>IFERROR(IF(TRANSHARI8_SOFTDRINKMALAM[[#This Row],[NAMA REKENING]]="","",TRANSHARI8_SOFTDRINKMALAM[[#This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IFERROR(VLOOKUP(TRANSHARI8_SOFTDRINKPAGI[[#This Row],[PRODUK]],DATA_SOFTDRINK[],10,FALSE),"")</f>
        <v/>
      </c>
      <c r="E208" s="374"/>
      <c r="F208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8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8" s="12"/>
      <c r="I208" s="386" t="str">
        <f>IFERROR(IF(TRANSHARI8_SOFTDRINKPAGI[[#This Row],[NAMA REKENING]]="","",TRANSHARI8_SOFTDRINKPAGI[[#This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IFERROR(VLOOKUP(TRANSHARI8_SOFTDRINKMALAM[[#This Row],[PRODUK]],DATA_SOFTDRINK[],10,FALSE),"")</f>
        <v/>
      </c>
      <c r="T208" s="374"/>
      <c r="U208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8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8" s="12"/>
      <c r="X208" s="386" t="str">
        <f>IFERROR(IF(TRANSHARI8_SOFTDRINKMALAM[[#This Row],[NAMA REKENING]]="","",TRANSHARI8_SOFTDRINKMALAM[[#This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IFERROR(VLOOKUP(TRANSHARI8_SOFTDRINKPAGI[[#This Row],[PRODUK]],DATA_SOFTDRINK[],10,FALSE),"")</f>
        <v/>
      </c>
      <c r="E209" s="374"/>
      <c r="F209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09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09" s="12"/>
      <c r="I209" s="384" t="str">
        <f>IFERROR(IF(TRANSHARI8_SOFTDRINKPAGI[[#This Row],[NAMA REKENING]]="","",TRANSHARI8_SOFTDRINKPAGI[[#This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IFERROR(VLOOKUP(TRANSHARI8_SOFTDRINKMALAM[[#This Row],[PRODUK]],DATA_SOFTDRINK[],10,FALSE),"")</f>
        <v/>
      </c>
      <c r="T209" s="374"/>
      <c r="U209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09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09" s="12"/>
      <c r="X209" s="384" t="str">
        <f>IFERROR(IF(TRANSHARI8_SOFTDRINKMALAM[[#This Row],[NAMA REKENING]]="","",TRANSHARI8_SOFTDRINKMALAM[[#This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IFERROR(VLOOKUP(TRANSHARI8_SOFTDRINKPAGI[[#This Row],[PRODUK]],DATA_SOFTDRINK[],10,FALSE),"")</f>
        <v/>
      </c>
      <c r="E210" s="374"/>
      <c r="F210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0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0" s="12"/>
      <c r="I210" s="386" t="str">
        <f>IFERROR(IF(TRANSHARI8_SOFTDRINKPAGI[[#This Row],[NAMA REKENING]]="","",TRANSHARI8_SOFTDRINKPAGI[[#This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IFERROR(VLOOKUP(TRANSHARI8_SOFTDRINKMALAM[[#This Row],[PRODUK]],DATA_SOFTDRINK[],10,FALSE),"")</f>
        <v/>
      </c>
      <c r="T210" s="374"/>
      <c r="U210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0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0" s="12"/>
      <c r="X210" s="386" t="str">
        <f>IFERROR(IF(TRANSHARI8_SOFTDRINKMALAM[[#This Row],[NAMA REKENING]]="","",TRANSHARI8_SOFTDRINKMALAM[[#This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IFERROR(VLOOKUP(TRANSHARI8_SOFTDRINKPAGI[[#This Row],[PRODUK]],DATA_SOFTDRINK[],10,FALSE),"")</f>
        <v/>
      </c>
      <c r="E211" s="374"/>
      <c r="F211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1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1" s="12"/>
      <c r="I211" s="384" t="str">
        <f>IFERROR(IF(TRANSHARI8_SOFTDRINKPAGI[[#This Row],[NAMA REKENING]]="","",TRANSHARI8_SOFTDRINKPAGI[[#This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IFERROR(VLOOKUP(TRANSHARI8_SOFTDRINKMALAM[[#This Row],[PRODUK]],DATA_SOFTDRINK[],10,FALSE),"")</f>
        <v/>
      </c>
      <c r="T211" s="374"/>
      <c r="U211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1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1" s="12"/>
      <c r="X211" s="384" t="str">
        <f>IFERROR(IF(TRANSHARI8_SOFTDRINKMALAM[[#This Row],[NAMA REKENING]]="","",TRANSHARI8_SOFTDRINKMALAM[[#This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IFERROR(VLOOKUP(TRANSHARI8_SOFTDRINKPAGI[[#This Row],[PRODUK]],DATA_SOFTDRINK[],10,FALSE),"")</f>
        <v/>
      </c>
      <c r="E212" s="374"/>
      <c r="F212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2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2" s="12"/>
      <c r="I212" s="386" t="str">
        <f>IFERROR(IF(TRANSHARI8_SOFTDRINKPAGI[[#This Row],[NAMA REKENING]]="","",TRANSHARI8_SOFTDRINKPAGI[[#This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IFERROR(VLOOKUP(TRANSHARI8_SOFTDRINKMALAM[[#This Row],[PRODUK]],DATA_SOFTDRINK[],10,FALSE),"")</f>
        <v/>
      </c>
      <c r="T212" s="374"/>
      <c r="U212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2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2" s="12"/>
      <c r="X212" s="386" t="str">
        <f>IFERROR(IF(TRANSHARI8_SOFTDRINKMALAM[[#This Row],[NAMA REKENING]]="","",TRANSHARI8_SOFTDRINKMALAM[[#This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IFERROR(VLOOKUP(TRANSHARI8_SOFTDRINKPAGI[[#This Row],[PRODUK]],DATA_SOFTDRINK[],10,FALSE),"")</f>
        <v/>
      </c>
      <c r="E213" s="374"/>
      <c r="F213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3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3" s="12"/>
      <c r="I213" s="384" t="str">
        <f>IFERROR(IF(TRANSHARI8_SOFTDRINKPAGI[[#This Row],[NAMA REKENING]]="","",TRANSHARI8_SOFTDRINKPAGI[[#This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IFERROR(VLOOKUP(TRANSHARI8_SOFTDRINKMALAM[[#This Row],[PRODUK]],DATA_SOFTDRINK[],10,FALSE),"")</f>
        <v/>
      </c>
      <c r="T213" s="374"/>
      <c r="U213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3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3" s="12"/>
      <c r="X213" s="384" t="str">
        <f>IFERROR(IF(TRANSHARI8_SOFTDRINKMALAM[[#This Row],[NAMA REKENING]]="","",TRANSHARI8_SOFTDRINKMALAM[[#This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IFERROR(VLOOKUP(TRANSHARI8_SOFTDRINKPAGI[[#This Row],[PRODUK]],DATA_SOFTDRINK[],10,FALSE),"")</f>
        <v/>
      </c>
      <c r="E214" s="374"/>
      <c r="F214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4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4" s="12"/>
      <c r="I214" s="386" t="str">
        <f>IFERROR(IF(TRANSHARI8_SOFTDRINKPAGI[[#This Row],[NAMA REKENING]]="","",TRANSHARI8_SOFTDRINKPAGI[[#This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IFERROR(VLOOKUP(TRANSHARI8_SOFTDRINKMALAM[[#This Row],[PRODUK]],DATA_SOFTDRINK[],10,FALSE),"")</f>
        <v/>
      </c>
      <c r="T214" s="374"/>
      <c r="U214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4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4" s="12"/>
      <c r="X214" s="386" t="str">
        <f>IFERROR(IF(TRANSHARI8_SOFTDRINKMALAM[[#This Row],[NAMA REKENING]]="","",TRANSHARI8_SOFTDRINKMALAM[[#This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IFERROR(VLOOKUP(TRANSHARI8_SOFTDRINKPAGI[[#This Row],[PRODUK]],DATA_SOFTDRINK[],10,FALSE),"")</f>
        <v/>
      </c>
      <c r="E215" s="374"/>
      <c r="F215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5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5" s="12"/>
      <c r="I215" s="384" t="str">
        <f>IFERROR(IF(TRANSHARI8_SOFTDRINKPAGI[[#This Row],[NAMA REKENING]]="","",TRANSHARI8_SOFTDRINKPAGI[[#This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IFERROR(VLOOKUP(TRANSHARI8_SOFTDRINKMALAM[[#This Row],[PRODUK]],DATA_SOFTDRINK[],10,FALSE),"")</f>
        <v/>
      </c>
      <c r="T215" s="374"/>
      <c r="U215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5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5" s="12"/>
      <c r="X215" s="384" t="str">
        <f>IFERROR(IF(TRANSHARI8_SOFTDRINKMALAM[[#This Row],[NAMA REKENING]]="","",TRANSHARI8_SOFTDRINKMALAM[[#This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IFERROR(VLOOKUP(TRANSHARI8_SOFTDRINKPAGI[[#This Row],[PRODUK]],DATA_SOFTDRINK[],10,FALSE),"")</f>
        <v/>
      </c>
      <c r="E216" s="374"/>
      <c r="F216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6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6" s="12"/>
      <c r="I216" s="386" t="str">
        <f>IFERROR(IF(TRANSHARI8_SOFTDRINKPAGI[[#This Row],[NAMA REKENING]]="","",TRANSHARI8_SOFTDRINKPAGI[[#This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IFERROR(VLOOKUP(TRANSHARI8_SOFTDRINKMALAM[[#This Row],[PRODUK]],DATA_SOFTDRINK[],10,FALSE),"")</f>
        <v/>
      </c>
      <c r="T216" s="374"/>
      <c r="U216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6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6" s="12"/>
      <c r="X216" s="386" t="str">
        <f>IFERROR(IF(TRANSHARI8_SOFTDRINKMALAM[[#This Row],[NAMA REKENING]]="","",TRANSHARI8_SOFTDRINKMALAM[[#This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IFERROR(VLOOKUP(TRANSHARI8_SOFTDRINKPAGI[[#This Row],[PRODUK]],DATA_SOFTDRINK[],10,FALSE),"")</f>
        <v/>
      </c>
      <c r="E217" s="374"/>
      <c r="F217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7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7" s="12"/>
      <c r="I217" s="384" t="str">
        <f>IFERROR(IF(TRANSHARI8_SOFTDRINKPAGI[[#This Row],[NAMA REKENING]]="","",TRANSHARI8_SOFTDRINKPAGI[[#This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IFERROR(VLOOKUP(TRANSHARI8_SOFTDRINKMALAM[[#This Row],[PRODUK]],DATA_SOFTDRINK[],10,FALSE),"")</f>
        <v/>
      </c>
      <c r="T217" s="374"/>
      <c r="U217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7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7" s="12"/>
      <c r="X217" s="384" t="str">
        <f>IFERROR(IF(TRANSHARI8_SOFTDRINKMALAM[[#This Row],[NAMA REKENING]]="","",TRANSHARI8_SOFTDRINKMALAM[[#This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IFERROR(VLOOKUP(TRANSHARI8_SOFTDRINKPAGI[[#This Row],[PRODUK]],DATA_SOFTDRINK[],10,FALSE),"")</f>
        <v/>
      </c>
      <c r="E218" s="374"/>
      <c r="F218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8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8" s="12"/>
      <c r="I218" s="386" t="str">
        <f>IFERROR(IF(TRANSHARI8_SOFTDRINKPAGI[[#This Row],[NAMA REKENING]]="","",TRANSHARI8_SOFTDRINKPAGI[[#This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IFERROR(VLOOKUP(TRANSHARI8_SOFTDRINKMALAM[[#This Row],[PRODUK]],DATA_SOFTDRINK[],10,FALSE),"")</f>
        <v/>
      </c>
      <c r="T218" s="374"/>
      <c r="U218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8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8" s="12"/>
      <c r="X218" s="386" t="str">
        <f>IFERROR(IF(TRANSHARI8_SOFTDRINKMALAM[[#This Row],[NAMA REKENING]]="","",TRANSHARI8_SOFTDRINKMALAM[[#This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IFERROR(VLOOKUP(TRANSHARI8_SOFTDRINKPAGI[[#This Row],[PRODUK]],DATA_SOFTDRINK[],10,FALSE),"")</f>
        <v/>
      </c>
      <c r="E219" s="374"/>
      <c r="F219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19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19" s="12"/>
      <c r="I219" s="384" t="str">
        <f>IFERROR(IF(TRANSHARI8_SOFTDRINKPAGI[[#This Row],[NAMA REKENING]]="","",TRANSHARI8_SOFTDRINKPAGI[[#This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IFERROR(VLOOKUP(TRANSHARI8_SOFTDRINKMALAM[[#This Row],[PRODUK]],DATA_SOFTDRINK[],10,FALSE),"")</f>
        <v/>
      </c>
      <c r="T219" s="374"/>
      <c r="U219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19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19" s="12"/>
      <c r="X219" s="384" t="str">
        <f>IFERROR(IF(TRANSHARI8_SOFTDRINKMALAM[[#This Row],[NAMA REKENING]]="","",TRANSHARI8_SOFTDRINKMALAM[[#This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IFERROR(VLOOKUP(TRANSHARI8_SOFTDRINKPAGI[[#This Row],[PRODUK]],DATA_SOFTDRINK[],10,FALSE),"")</f>
        <v/>
      </c>
      <c r="E220" s="374"/>
      <c r="F220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0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0" s="12"/>
      <c r="I220" s="386" t="str">
        <f>IFERROR(IF(TRANSHARI8_SOFTDRINKPAGI[[#This Row],[NAMA REKENING]]="","",TRANSHARI8_SOFTDRINKPAGI[[#This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IFERROR(VLOOKUP(TRANSHARI8_SOFTDRINKMALAM[[#This Row],[PRODUK]],DATA_SOFTDRINK[],10,FALSE),"")</f>
        <v/>
      </c>
      <c r="T220" s="374"/>
      <c r="U220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0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0" s="12"/>
      <c r="X220" s="386" t="str">
        <f>IFERROR(IF(TRANSHARI8_SOFTDRINKMALAM[[#This Row],[NAMA REKENING]]="","",TRANSHARI8_SOFTDRINKMALAM[[#This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IFERROR(VLOOKUP(TRANSHARI8_SOFTDRINKPAGI[[#This Row],[PRODUK]],DATA_SOFTDRINK[],10,FALSE),"")</f>
        <v/>
      </c>
      <c r="E221" s="374"/>
      <c r="F221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1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1" s="12"/>
      <c r="I221" s="384" t="str">
        <f>IFERROR(IF(TRANSHARI8_SOFTDRINKPAGI[[#This Row],[NAMA REKENING]]="","",TRANSHARI8_SOFTDRINKPAGI[[#This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IFERROR(VLOOKUP(TRANSHARI8_SOFTDRINKMALAM[[#This Row],[PRODUK]],DATA_SOFTDRINK[],10,FALSE),"")</f>
        <v/>
      </c>
      <c r="T221" s="374"/>
      <c r="U221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1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1" s="12"/>
      <c r="X221" s="384" t="str">
        <f>IFERROR(IF(TRANSHARI8_SOFTDRINKMALAM[[#This Row],[NAMA REKENING]]="","",TRANSHARI8_SOFTDRINKMALAM[[#This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IFERROR(VLOOKUP(TRANSHARI8_SOFTDRINKPAGI[[#This Row],[PRODUK]],DATA_SOFTDRINK[],10,FALSE),"")</f>
        <v/>
      </c>
      <c r="E222" s="374"/>
      <c r="F222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2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2" s="12"/>
      <c r="I222" s="386" t="str">
        <f>IFERROR(IF(TRANSHARI8_SOFTDRINKPAGI[[#This Row],[NAMA REKENING]]="","",TRANSHARI8_SOFTDRINKPAGI[[#This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IFERROR(VLOOKUP(TRANSHARI8_SOFTDRINKMALAM[[#This Row],[PRODUK]],DATA_SOFTDRINK[],10,FALSE),"")</f>
        <v/>
      </c>
      <c r="T222" s="374"/>
      <c r="U222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2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2" s="12"/>
      <c r="X222" s="386" t="str">
        <f>IFERROR(IF(TRANSHARI8_SOFTDRINKMALAM[[#This Row],[NAMA REKENING]]="","",TRANSHARI8_SOFTDRINKMALAM[[#This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IFERROR(VLOOKUP(TRANSHARI8_SOFTDRINKPAGI[[#This Row],[PRODUK]],DATA_SOFTDRINK[],10,FALSE),"")</f>
        <v/>
      </c>
      <c r="E223" s="374"/>
      <c r="F223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3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3" s="12"/>
      <c r="I223" s="384" t="str">
        <f>IFERROR(IF(TRANSHARI8_SOFTDRINKPAGI[[#This Row],[NAMA REKENING]]="","",TRANSHARI8_SOFTDRINKPAGI[[#This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IFERROR(VLOOKUP(TRANSHARI8_SOFTDRINKMALAM[[#This Row],[PRODUK]],DATA_SOFTDRINK[],10,FALSE),"")</f>
        <v/>
      </c>
      <c r="T223" s="374"/>
      <c r="U223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3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3" s="12"/>
      <c r="X223" s="384" t="str">
        <f>IFERROR(IF(TRANSHARI8_SOFTDRINKMALAM[[#This Row],[NAMA REKENING]]="","",TRANSHARI8_SOFTDRINKMALAM[[#This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IFERROR(VLOOKUP(TRANSHARI8_SOFTDRINKPAGI[[#This Row],[PRODUK]],DATA_SOFTDRINK[],10,FALSE),"")</f>
        <v/>
      </c>
      <c r="E224" s="376"/>
      <c r="F224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4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4" s="377"/>
      <c r="I224" s="386" t="str">
        <f>IFERROR(IF(TRANSHARI8_SOFTDRINKPAGI[[#This Row],[NAMA REKENING]]="","",TRANSHARI8_SOFTDRINKPAGI[[#This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IFERROR(VLOOKUP(TRANSHARI8_SOFTDRINKMALAM[[#This Row],[PRODUK]],DATA_SOFTDRINK[],10,FALSE),"")</f>
        <v/>
      </c>
      <c r="T224" s="376"/>
      <c r="U224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4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4" s="377"/>
      <c r="X224" s="386" t="str">
        <f>IFERROR(IF(TRANSHARI8_SOFTDRINKMALAM[[#This Row],[NAMA REKENING]]="","",TRANSHARI8_SOFTDRINKMALAM[[#This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IFERROR(VLOOKUP(TRANSHARI8_SOFTDRINKPAGI[[#This Row],[PRODUK]],DATA_SOFTDRINK[],10,FALSE),"")</f>
        <v/>
      </c>
      <c r="E225" s="374"/>
      <c r="F225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5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5" s="12"/>
      <c r="I225" s="384" t="str">
        <f>IFERROR(IF(TRANSHARI8_SOFTDRINKPAGI[[#This Row],[NAMA REKENING]]="","",TRANSHARI8_SOFTDRINKPAGI[[#This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IFERROR(VLOOKUP(TRANSHARI8_SOFTDRINKMALAM[[#This Row],[PRODUK]],DATA_SOFTDRINK[],10,FALSE),"")</f>
        <v/>
      </c>
      <c r="T225" s="374"/>
      <c r="U225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5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5" s="12"/>
      <c r="X225" s="384" t="str">
        <f>IFERROR(IF(TRANSHARI8_SOFTDRINKMALAM[[#This Row],[NAMA REKENING]]="","",TRANSHARI8_SOFTDRINKMALAM[[#This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IFERROR(VLOOKUP(TRANSHARI8_SOFTDRINKPAGI[[#This Row],[PRODUK]],DATA_SOFTDRINK[],10,FALSE),"")</f>
        <v/>
      </c>
      <c r="E226" s="374"/>
      <c r="F226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6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6" s="12"/>
      <c r="I226" s="386" t="str">
        <f>IFERROR(IF(TRANSHARI8_SOFTDRINKPAGI[[#This Row],[NAMA REKENING]]="","",TRANSHARI8_SOFTDRINKPAGI[[#This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IFERROR(VLOOKUP(TRANSHARI8_SOFTDRINKMALAM[[#This Row],[PRODUK]],DATA_SOFTDRINK[],10,FALSE),"")</f>
        <v/>
      </c>
      <c r="T226" s="374"/>
      <c r="U226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6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6" s="12"/>
      <c r="X226" s="386" t="str">
        <f>IFERROR(IF(TRANSHARI8_SOFTDRINKMALAM[[#This Row],[NAMA REKENING]]="","",TRANSHARI8_SOFTDRINKMALAM[[#This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IFERROR(VLOOKUP(TRANSHARI8_SOFTDRINKPAGI[[#This Row],[PRODUK]],DATA_SOFTDRINK[],10,FALSE),"")</f>
        <v/>
      </c>
      <c r="E227" s="374"/>
      <c r="F227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7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7" s="12"/>
      <c r="I227" s="384" t="str">
        <f>IFERROR(IF(TRANSHARI8_SOFTDRINKPAGI[[#This Row],[NAMA REKENING]]="","",TRANSHARI8_SOFTDRINKPAGI[[#This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IFERROR(VLOOKUP(TRANSHARI8_SOFTDRINKMALAM[[#This Row],[PRODUK]],DATA_SOFTDRINK[],10,FALSE),"")</f>
        <v/>
      </c>
      <c r="T227" s="374"/>
      <c r="U227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7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7" s="12"/>
      <c r="X227" s="384" t="str">
        <f>IFERROR(IF(TRANSHARI8_SOFTDRINKMALAM[[#This Row],[NAMA REKENING]]="","",TRANSHARI8_SOFTDRINKMALAM[[#This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IFERROR(VLOOKUP(TRANSHARI8_SOFTDRINKPAGI[[#This Row],[PRODUK]],DATA_SOFTDRINK[],10,FALSE),"")</f>
        <v/>
      </c>
      <c r="E228" s="374"/>
      <c r="F228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8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8" s="12"/>
      <c r="I228" s="386" t="str">
        <f>IFERROR(IF(TRANSHARI8_SOFTDRINKPAGI[[#This Row],[NAMA REKENING]]="","",TRANSHARI8_SOFTDRINKPAGI[[#This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IFERROR(VLOOKUP(TRANSHARI8_SOFTDRINKMALAM[[#This Row],[PRODUK]],DATA_SOFTDRINK[],10,FALSE),"")</f>
        <v/>
      </c>
      <c r="T228" s="374"/>
      <c r="U228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8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8" s="12"/>
      <c r="X228" s="386" t="str">
        <f>IFERROR(IF(TRANSHARI8_SOFTDRINKMALAM[[#This Row],[NAMA REKENING]]="","",TRANSHARI8_SOFTDRINKMALAM[[#This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IFERROR(VLOOKUP(TRANSHARI8_SOFTDRINKPAGI[[#This Row],[PRODUK]],DATA_SOFTDRINK[],10,FALSE),"")</f>
        <v/>
      </c>
      <c r="E229" s="374"/>
      <c r="F229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29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29" s="12"/>
      <c r="I229" s="384" t="str">
        <f>IFERROR(IF(TRANSHARI8_SOFTDRINKPAGI[[#This Row],[NAMA REKENING]]="","",TRANSHARI8_SOFTDRINKPAGI[[#This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IFERROR(VLOOKUP(TRANSHARI8_SOFTDRINKMALAM[[#This Row],[PRODUK]],DATA_SOFTDRINK[],10,FALSE),"")</f>
        <v/>
      </c>
      <c r="T229" s="374"/>
      <c r="U229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29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29" s="12"/>
      <c r="X229" s="384" t="str">
        <f>IFERROR(IF(TRANSHARI8_SOFTDRINKMALAM[[#This Row],[NAMA REKENING]]="","",TRANSHARI8_SOFTDRINKMALAM[[#This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IFERROR(VLOOKUP(TRANSHARI8_SOFTDRINKPAGI[[#This Row],[PRODUK]],DATA_SOFTDRINK[],10,FALSE),"")</f>
        <v/>
      </c>
      <c r="E230" s="374"/>
      <c r="F230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0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0" s="12"/>
      <c r="I230" s="386" t="str">
        <f>IFERROR(IF(TRANSHARI8_SOFTDRINKPAGI[[#This Row],[NAMA REKENING]]="","",TRANSHARI8_SOFTDRINKPAGI[[#This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IFERROR(VLOOKUP(TRANSHARI8_SOFTDRINKMALAM[[#This Row],[PRODUK]],DATA_SOFTDRINK[],10,FALSE),"")</f>
        <v/>
      </c>
      <c r="T230" s="374"/>
      <c r="U230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0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0" s="12"/>
      <c r="X230" s="386" t="str">
        <f>IFERROR(IF(TRANSHARI8_SOFTDRINKMALAM[[#This Row],[NAMA REKENING]]="","",TRANSHARI8_SOFTDRINKMALAM[[#This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IFERROR(VLOOKUP(TRANSHARI8_SOFTDRINKPAGI[[#This Row],[PRODUK]],DATA_SOFTDRINK[],10,FALSE),"")</f>
        <v/>
      </c>
      <c r="E231" s="374"/>
      <c r="F231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1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1" s="12"/>
      <c r="I231" s="384" t="str">
        <f>IFERROR(IF(TRANSHARI8_SOFTDRINKPAGI[[#This Row],[NAMA REKENING]]="","",TRANSHARI8_SOFTDRINKPAGI[[#This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IFERROR(VLOOKUP(TRANSHARI8_SOFTDRINKMALAM[[#This Row],[PRODUK]],DATA_SOFTDRINK[],10,FALSE),"")</f>
        <v/>
      </c>
      <c r="T231" s="374"/>
      <c r="U231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1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1" s="12"/>
      <c r="X231" s="384" t="str">
        <f>IFERROR(IF(TRANSHARI8_SOFTDRINKMALAM[[#This Row],[NAMA REKENING]]="","",TRANSHARI8_SOFTDRINKMALAM[[#This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IFERROR(VLOOKUP(TRANSHARI8_SOFTDRINKPAGI[[#This Row],[PRODUK]],DATA_SOFTDRINK[],10,FALSE),"")</f>
        <v/>
      </c>
      <c r="E232" s="374"/>
      <c r="F232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2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2" s="12"/>
      <c r="I232" s="386" t="str">
        <f>IFERROR(IF(TRANSHARI8_SOFTDRINKPAGI[[#This Row],[NAMA REKENING]]="","",TRANSHARI8_SOFTDRINKPAGI[[#This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IFERROR(VLOOKUP(TRANSHARI8_SOFTDRINKMALAM[[#This Row],[PRODUK]],DATA_SOFTDRINK[],10,FALSE),"")</f>
        <v/>
      </c>
      <c r="T232" s="374"/>
      <c r="U232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2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2" s="12"/>
      <c r="X232" s="386" t="str">
        <f>IFERROR(IF(TRANSHARI8_SOFTDRINKMALAM[[#This Row],[NAMA REKENING]]="","",TRANSHARI8_SOFTDRINKMALAM[[#This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IFERROR(VLOOKUP(TRANSHARI8_SOFTDRINKPAGI[[#This Row],[PRODUK]],DATA_SOFTDRINK[],10,FALSE),"")</f>
        <v/>
      </c>
      <c r="E233" s="374"/>
      <c r="F233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3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3" s="12"/>
      <c r="I233" s="384" t="str">
        <f>IFERROR(IF(TRANSHARI8_SOFTDRINKPAGI[[#This Row],[NAMA REKENING]]="","",TRANSHARI8_SOFTDRINKPAGI[[#This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IFERROR(VLOOKUP(TRANSHARI8_SOFTDRINKMALAM[[#This Row],[PRODUK]],DATA_SOFTDRINK[],10,FALSE),"")</f>
        <v/>
      </c>
      <c r="T233" s="374"/>
      <c r="U233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3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3" s="12"/>
      <c r="X233" s="384" t="str">
        <f>IFERROR(IF(TRANSHARI8_SOFTDRINKMALAM[[#This Row],[NAMA REKENING]]="","",TRANSHARI8_SOFTDRINKMALAM[[#This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IFERROR(VLOOKUP(TRANSHARI8_SOFTDRINKPAGI[[#This Row],[PRODUK]],DATA_SOFTDRINK[],10,FALSE),"")</f>
        <v/>
      </c>
      <c r="E234" s="374"/>
      <c r="F234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4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4" s="12"/>
      <c r="I234" s="386" t="str">
        <f>IFERROR(IF(TRANSHARI8_SOFTDRINKPAGI[[#This Row],[NAMA REKENING]]="","",TRANSHARI8_SOFTDRINKPAGI[[#This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IFERROR(VLOOKUP(TRANSHARI8_SOFTDRINKMALAM[[#This Row],[PRODUK]],DATA_SOFTDRINK[],10,FALSE),"")</f>
        <v/>
      </c>
      <c r="T234" s="374"/>
      <c r="U234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4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4" s="12"/>
      <c r="X234" s="386" t="str">
        <f>IFERROR(IF(TRANSHARI8_SOFTDRINKMALAM[[#This Row],[NAMA REKENING]]="","",TRANSHARI8_SOFTDRINKMALAM[[#This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IFERROR(VLOOKUP(TRANSHARI8_SOFTDRINKPAGI[[#This Row],[PRODUK]],DATA_SOFTDRINK[],10,FALSE),"")</f>
        <v/>
      </c>
      <c r="E235" s="374"/>
      <c r="F235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5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5" s="12"/>
      <c r="I235" s="384" t="str">
        <f>IFERROR(IF(TRANSHARI8_SOFTDRINKPAGI[[#This Row],[NAMA REKENING]]="","",TRANSHARI8_SOFTDRINKPAGI[[#This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IFERROR(VLOOKUP(TRANSHARI8_SOFTDRINKMALAM[[#This Row],[PRODUK]],DATA_SOFTDRINK[],10,FALSE),"")</f>
        <v/>
      </c>
      <c r="T235" s="374"/>
      <c r="U235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5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5" s="12"/>
      <c r="X235" s="384" t="str">
        <f>IFERROR(IF(TRANSHARI8_SOFTDRINKMALAM[[#This Row],[NAMA REKENING]]="","",TRANSHARI8_SOFTDRINKMALAM[[#This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IFERROR(VLOOKUP(TRANSHARI8_SOFTDRINKPAGI[[#This Row],[PRODUK]],DATA_SOFTDRINK[],10,FALSE),"")</f>
        <v/>
      </c>
      <c r="E236" s="374"/>
      <c r="F236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6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6" s="12"/>
      <c r="I236" s="386" t="str">
        <f>IFERROR(IF(TRANSHARI8_SOFTDRINKPAGI[[#This Row],[NAMA REKENING]]="","",TRANSHARI8_SOFTDRINKPAGI[[#This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IFERROR(VLOOKUP(TRANSHARI8_SOFTDRINKMALAM[[#This Row],[PRODUK]],DATA_SOFTDRINK[],10,FALSE),"")</f>
        <v/>
      </c>
      <c r="T236" s="374"/>
      <c r="U236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6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6" s="12"/>
      <c r="X236" s="386" t="str">
        <f>IFERROR(IF(TRANSHARI8_SOFTDRINKMALAM[[#This Row],[NAMA REKENING]]="","",TRANSHARI8_SOFTDRINKMALAM[[#This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IFERROR(VLOOKUP(TRANSHARI8_SOFTDRINKPAGI[[#This Row],[PRODUK]],DATA_SOFTDRINK[],10,FALSE),"")</f>
        <v/>
      </c>
      <c r="E237" s="374"/>
      <c r="F237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7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7" s="12"/>
      <c r="I237" s="384" t="str">
        <f>IFERROR(IF(TRANSHARI8_SOFTDRINKPAGI[[#This Row],[NAMA REKENING]]="","",TRANSHARI8_SOFTDRINKPAGI[[#This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IFERROR(VLOOKUP(TRANSHARI8_SOFTDRINKMALAM[[#This Row],[PRODUK]],DATA_SOFTDRINK[],10,FALSE),"")</f>
        <v/>
      </c>
      <c r="T237" s="374"/>
      <c r="U237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7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7" s="12"/>
      <c r="X237" s="384" t="str">
        <f>IFERROR(IF(TRANSHARI8_SOFTDRINKMALAM[[#This Row],[NAMA REKENING]]="","",TRANSHARI8_SOFTDRINKMALAM[[#This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IFERROR(VLOOKUP(TRANSHARI8_SOFTDRINKPAGI[[#This Row],[PRODUK]],DATA_SOFTDRINK[],10,FALSE),"")</f>
        <v/>
      </c>
      <c r="E238" s="374"/>
      <c r="F238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8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8" s="12"/>
      <c r="I238" s="386" t="str">
        <f>IFERROR(IF(TRANSHARI8_SOFTDRINKPAGI[[#This Row],[NAMA REKENING]]="","",TRANSHARI8_SOFTDRINKPAGI[[#This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IFERROR(VLOOKUP(TRANSHARI8_SOFTDRINKMALAM[[#This Row],[PRODUK]],DATA_SOFTDRINK[],10,FALSE),"")</f>
        <v/>
      </c>
      <c r="T238" s="374"/>
      <c r="U238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8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8" s="12"/>
      <c r="X238" s="386" t="str">
        <f>IFERROR(IF(TRANSHARI8_SOFTDRINKMALAM[[#This Row],[NAMA REKENING]]="","",TRANSHARI8_SOFTDRINKMALAM[[#This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IFERROR(VLOOKUP(TRANSHARI8_SOFTDRINKPAGI[[#This Row],[PRODUK]],DATA_SOFTDRINK[],10,FALSE),"")</f>
        <v/>
      </c>
      <c r="E239" s="374"/>
      <c r="F239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39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39" s="12"/>
      <c r="I239" s="384" t="str">
        <f>IFERROR(IF(TRANSHARI8_SOFTDRINKPAGI[[#This Row],[NAMA REKENING]]="","",TRANSHARI8_SOFTDRINKPAGI[[#This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IFERROR(VLOOKUP(TRANSHARI8_SOFTDRINKMALAM[[#This Row],[PRODUK]],DATA_SOFTDRINK[],10,FALSE),"")</f>
        <v/>
      </c>
      <c r="T239" s="374"/>
      <c r="U239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39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39" s="12"/>
      <c r="X239" s="384" t="str">
        <f>IFERROR(IF(TRANSHARI8_SOFTDRINKMALAM[[#This Row],[NAMA REKENING]]="","",TRANSHARI8_SOFTDRINKMALAM[[#This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IFERROR(VLOOKUP(TRANSHARI8_SOFTDRINKPAGI[[#This Row],[PRODUK]],DATA_SOFTDRINK[],10,FALSE),"")</f>
        <v/>
      </c>
      <c r="E240" s="374"/>
      <c r="F240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0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0" s="12"/>
      <c r="I240" s="386" t="str">
        <f>IFERROR(IF(TRANSHARI8_SOFTDRINKPAGI[[#This Row],[NAMA REKENING]]="","",TRANSHARI8_SOFTDRINKPAGI[[#This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IFERROR(VLOOKUP(TRANSHARI8_SOFTDRINKMALAM[[#This Row],[PRODUK]],DATA_SOFTDRINK[],10,FALSE),"")</f>
        <v/>
      </c>
      <c r="T240" s="374"/>
      <c r="U240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0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0" s="12"/>
      <c r="X240" s="386" t="str">
        <f>IFERROR(IF(TRANSHARI8_SOFTDRINKMALAM[[#This Row],[NAMA REKENING]]="","",TRANSHARI8_SOFTDRINKMALAM[[#This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IFERROR(VLOOKUP(TRANSHARI8_SOFTDRINKPAGI[[#This Row],[PRODUK]],DATA_SOFTDRINK[],10,FALSE),"")</f>
        <v/>
      </c>
      <c r="E241" s="374"/>
      <c r="F241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1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1" s="12"/>
      <c r="I241" s="384" t="str">
        <f>IFERROR(IF(TRANSHARI8_SOFTDRINKPAGI[[#This Row],[NAMA REKENING]]="","",TRANSHARI8_SOFTDRINKPAGI[[#This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IFERROR(VLOOKUP(TRANSHARI8_SOFTDRINKMALAM[[#This Row],[PRODUK]],DATA_SOFTDRINK[],10,FALSE),"")</f>
        <v/>
      </c>
      <c r="T241" s="374"/>
      <c r="U241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1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1" s="12"/>
      <c r="X241" s="384" t="str">
        <f>IFERROR(IF(TRANSHARI8_SOFTDRINKMALAM[[#This Row],[NAMA REKENING]]="","",TRANSHARI8_SOFTDRINKMALAM[[#This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IFERROR(VLOOKUP(TRANSHARI8_SOFTDRINKPAGI[[#This Row],[PRODUK]],DATA_SOFTDRINK[],10,FALSE),"")</f>
        <v/>
      </c>
      <c r="E242" s="374"/>
      <c r="F242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2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2" s="12"/>
      <c r="I242" s="386" t="str">
        <f>IFERROR(IF(TRANSHARI8_SOFTDRINKPAGI[[#This Row],[NAMA REKENING]]="","",TRANSHARI8_SOFTDRINKPAGI[[#This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IFERROR(VLOOKUP(TRANSHARI8_SOFTDRINKMALAM[[#This Row],[PRODUK]],DATA_SOFTDRINK[],10,FALSE),"")</f>
        <v/>
      </c>
      <c r="T242" s="374"/>
      <c r="U242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2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2" s="12"/>
      <c r="X242" s="386" t="str">
        <f>IFERROR(IF(TRANSHARI8_SOFTDRINKMALAM[[#This Row],[NAMA REKENING]]="","",TRANSHARI8_SOFTDRINKMALAM[[#This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IFERROR(VLOOKUP(TRANSHARI8_SOFTDRINKPAGI[[#This Row],[PRODUK]],DATA_SOFTDRINK[],10,FALSE),"")</f>
        <v/>
      </c>
      <c r="E243" s="374"/>
      <c r="F243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3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3" s="12"/>
      <c r="I243" s="384" t="str">
        <f>IFERROR(IF(TRANSHARI8_SOFTDRINKPAGI[[#This Row],[NAMA REKENING]]="","",TRANSHARI8_SOFTDRINKPAGI[[#This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IFERROR(VLOOKUP(TRANSHARI8_SOFTDRINKMALAM[[#This Row],[PRODUK]],DATA_SOFTDRINK[],10,FALSE),"")</f>
        <v/>
      </c>
      <c r="T243" s="374"/>
      <c r="U243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3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3" s="12"/>
      <c r="X243" s="384" t="str">
        <f>IFERROR(IF(TRANSHARI8_SOFTDRINKMALAM[[#This Row],[NAMA REKENING]]="","",TRANSHARI8_SOFTDRINKMALAM[[#This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IFERROR(VLOOKUP(TRANSHARI8_SOFTDRINKPAGI[[#This Row],[PRODUK]],DATA_SOFTDRINK[],10,FALSE),"")</f>
        <v/>
      </c>
      <c r="E244" s="374"/>
      <c r="F244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4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4" s="12"/>
      <c r="I244" s="386" t="str">
        <f>IFERROR(IF(TRANSHARI8_SOFTDRINKPAGI[[#This Row],[NAMA REKENING]]="","",TRANSHARI8_SOFTDRINKPAGI[[#This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IFERROR(VLOOKUP(TRANSHARI8_SOFTDRINKMALAM[[#This Row],[PRODUK]],DATA_SOFTDRINK[],10,FALSE),"")</f>
        <v/>
      </c>
      <c r="T244" s="374"/>
      <c r="U244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4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4" s="12"/>
      <c r="X244" s="386" t="str">
        <f>IFERROR(IF(TRANSHARI8_SOFTDRINKMALAM[[#This Row],[NAMA REKENING]]="","",TRANSHARI8_SOFTDRINKMALAM[[#This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IFERROR(VLOOKUP(TRANSHARI8_SOFTDRINKPAGI[[#This Row],[PRODUK]],DATA_SOFTDRINK[],10,FALSE),"")</f>
        <v/>
      </c>
      <c r="E245" s="374"/>
      <c r="F245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5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5" s="12"/>
      <c r="I245" s="384" t="str">
        <f>IFERROR(IF(TRANSHARI8_SOFTDRINKPAGI[[#This Row],[NAMA REKENING]]="","",TRANSHARI8_SOFTDRINKPAGI[[#This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IFERROR(VLOOKUP(TRANSHARI8_SOFTDRINKMALAM[[#This Row],[PRODUK]],DATA_SOFTDRINK[],10,FALSE),"")</f>
        <v/>
      </c>
      <c r="T245" s="374"/>
      <c r="U245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5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5" s="12"/>
      <c r="X245" s="384" t="str">
        <f>IFERROR(IF(TRANSHARI8_SOFTDRINKMALAM[[#This Row],[NAMA REKENING]]="","",TRANSHARI8_SOFTDRINKMALAM[[#This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IFERROR(VLOOKUP(TRANSHARI8_SOFTDRINKPAGI[[#This Row],[PRODUK]],DATA_SOFTDRINK[],10,FALSE),"")</f>
        <v/>
      </c>
      <c r="E246" s="374"/>
      <c r="F246" s="373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6" s="373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6" s="12"/>
      <c r="I246" s="386" t="str">
        <f>IFERROR(IF(TRANSHARI8_SOFTDRINKPAGI[[#This Row],[NAMA REKENING]]="","",TRANSHARI8_SOFTDRINKPAGI[[#This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IFERROR(VLOOKUP(TRANSHARI8_SOFTDRINKMALAM[[#This Row],[PRODUK]],DATA_SOFTDRINK[],10,FALSE),"")</f>
        <v/>
      </c>
      <c r="T246" s="374"/>
      <c r="U246" s="373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6" s="373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6" s="12"/>
      <c r="X246" s="386" t="str">
        <f>IFERROR(IF(TRANSHARI8_SOFTDRINKMALAM[[#This Row],[NAMA REKENING]]="","",TRANSHARI8_SOFTDRINKMALAM[[#This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IFERROR(VLOOKUP(TRANSHARI8_SOFTDRINKPAGI[[#This Row],[PRODUK]],DATA_SOFTDRINK[],10,FALSE),"")</f>
        <v/>
      </c>
      <c r="E247" s="374"/>
      <c r="F247" s="369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7" s="369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7" s="12"/>
      <c r="I247" s="384" t="str">
        <f>IFERROR(IF(TRANSHARI8_SOFTDRINKPAGI[[#This Row],[NAMA REKENING]]="","",TRANSHARI8_SOFTDRINKPAGI[[#This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IFERROR(VLOOKUP(TRANSHARI8_SOFTDRINKMALAM[[#This Row],[PRODUK]],DATA_SOFTDRINK[],10,FALSE),"")</f>
        <v/>
      </c>
      <c r="T247" s="374"/>
      <c r="U247" s="369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7" s="369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7" s="12"/>
      <c r="X247" s="384" t="str">
        <f>IFERROR(IF(TRANSHARI8_SOFTDRINKMALAM[[#This Row],[NAMA REKENING]]="","",TRANSHARI8_SOFTDRINKMALAM[[#This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IFERROR(VLOOKUP(TRANSHARI8_SOFTDRINKPAGI[[#This Row],[PRODUK]],DATA_SOFTDRINK[],10,FALSE),"")</f>
        <v/>
      </c>
      <c r="E248" s="376"/>
      <c r="F248" s="394" t="str">
        <f>IFERROR(IF(TRANSHARI8_SOFTDRINKPAGI[[#This Row],[NAMA PENGHUTANG]]="",((TRANSHARI8_SOFTDRINKPAGI[[#This Row],[HARGA]]*TRANSHARI8_SOFTDRINKPAGI[[#This Row],[QUANTITY]])+TRANSHARI8_SOFTDRINKPAGI[[#This Row],[PRICE TOLERANCE]]),""),"")</f>
        <v/>
      </c>
      <c r="G248" s="394" t="str">
        <f>IFERROR(IF(TRANSHARI8_SOFTDRINKPAGI[[#This Row],[NAMA PENGHUTANG]]="","",((TRANSHARI8_SOFTDRINKPAGI[[#This Row],[HARGA]]*TRANSHARI8_SOFTDRINKPAGI[[#This Row],[QUANTITY]])+TRANSHARI8_SOFTDRINKPAGI[[#This Row],[PRICE TOLERANCE]])),"")</f>
        <v/>
      </c>
      <c r="H248" s="377"/>
      <c r="I248" s="399" t="str">
        <f>IFERROR(IF(TRANSHARI8_SOFTDRINKPAGI[[#This Row],[NAMA REKENING]]="","",TRANSHARI8_SOFTDRINKPAGI[[#This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IFERROR(VLOOKUP(TRANSHARI8_SOFTDRINKMALAM[[#This Row],[PRODUK]],DATA_SOFTDRINK[],10,FALSE),"")</f>
        <v/>
      </c>
      <c r="T248" s="376"/>
      <c r="U248" s="394" t="str">
        <f>IFERROR(IF(TRANSHARI8_SOFTDRINKMALAM[[#This Row],[NAMA PENGHUTANG]]="",((TRANSHARI8_SOFTDRINKMALAM[[#This Row],[HARGA]]*TRANSHARI8_SOFTDRINKMALAM[[#This Row],[QUANTITY]])+TRANSHARI8_SOFTDRINKMALAM[[#This Row],[PRICE TOLERANCE]]),""),"")</f>
        <v/>
      </c>
      <c r="V248" s="394" t="str">
        <f>IFERROR(IF(TRANSHARI8_SOFTDRINKMALAM[[#This Row],[NAMA PENGHUTANG]]="","",((TRANSHARI8_SOFTDRINKMALAM[[#This Row],[HARGA]]*TRANSHARI8_SOFTDRINKMALAM[[#This Row],[QUANTITY]])+TRANSHARI8_SOFTDRINKMALAM[[#This Row],[PRICE TOLERANCE]])),"")</f>
        <v/>
      </c>
      <c r="W248" s="377"/>
      <c r="X248" s="399" t="str">
        <f>IFERROR(IF(TRANSHARI8_SOFTDRINKMALAM[[#This Row],[NAMA REKENING]]="","",TRANSHARI8_SOFTDRINKMALAM[[#This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SUM(TRANSHARI8_SOFTDRINKPAGI[QUANTITY])</f>
        <v>0</v>
      </c>
      <c r="E249" s="398">
        <f>SUM(TRANSHARI8_SOFTDRINKPAGI[PRICE TOLERANCE])</f>
        <v>0</v>
      </c>
      <c r="F249" s="396">
        <f>SUM(TRANSHARI8_SOFTDRINKPAGI[DEBIT])</f>
        <v>0</v>
      </c>
      <c r="G249" s="396">
        <f>SUM(TRANSHARI8_SOFTDRINKPAGI[KREDIT])</f>
        <v>0</v>
      </c>
      <c r="I249" s="396">
        <f>SUM(TRANSHARI8_SOFTDRINKPAGI[NOMINAL TRANSFER])</f>
        <v>0</v>
      </c>
      <c r="O249" s="324"/>
      <c r="P249" s="303" t="s">
        <v>78</v>
      </c>
      <c r="Q249" s="316"/>
      <c r="R249" s="395">
        <f>SUM(TRANSHARI8_SOFTDRINKMALAM[QUANTITY])</f>
        <v>0</v>
      </c>
      <c r="T249" s="398">
        <f>SUM(TRANSHARI8_SOFTDRINKMALAM[PRICE TOLERANCE])</f>
        <v>0</v>
      </c>
      <c r="U249" s="396">
        <f>SUM(TRANSHARI8_SOFTDRINKMALAM[DEBIT])</f>
        <v>0</v>
      </c>
      <c r="V249" s="396">
        <f>SUM(TRANSHARI8_SOFTDRINKMALAM[KREDIT])</f>
        <v>0</v>
      </c>
      <c r="X249" s="396">
        <f>SUM(TRANSHARI8_SOFTDRINKMALAM[NOMINAL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tr">
        <f>A25</f>
        <v>HARI 8 : PAGI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tr">
        <f>P25</f>
        <v>HARI 8 : MALAM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IFERROR(VLOOKUP(TRANSHARI8_ICECREAMPAGI[[#This Row],[PRODUK]],DATA_ICECREAM[],10,FALSE),"")</f>
        <v/>
      </c>
      <c r="E256" s="370"/>
      <c r="F256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56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56" s="371"/>
      <c r="I256" s="384" t="str">
        <f>IFERROR(IF(TRANSHARI8_ICECREAMPAGI[[#This Row],[NAMA REKENING]]="","",TRANSHARI8_ICECREAMPAGI[[#This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IFERROR(VLOOKUP(TRANSHARI8_ICECREAMMALAM[[#This Row],[PRODUK]],DATA_ICECREAM[],10,FALSE),"")</f>
        <v/>
      </c>
      <c r="T256" s="370"/>
      <c r="U256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56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56" s="371"/>
      <c r="X256" s="384" t="str">
        <f>IFERROR(IF(TRANSHARI8_ICECREAMMALAM[[#This Row],[NAMA REKENING]]="","",TRANSHARI8_ICECREAMMALAM[[#This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IFERROR(VLOOKUP(TRANSHARI8_ICECREAMPAGI[[#This Row],[PRODUK]],DATA_ICECREAM[],10,FALSE),"")</f>
        <v/>
      </c>
      <c r="E257" s="374"/>
      <c r="F257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57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57" s="12"/>
      <c r="I257" s="386" t="str">
        <f>IFERROR(IF(TRANSHARI8_ICECREAMPAGI[[#This Row],[NAMA REKENING]]="","",TRANSHARI8_ICECREAMPAGI[[#This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IFERROR(VLOOKUP(TRANSHARI8_ICECREAMMALAM[[#This Row],[PRODUK]],DATA_ICECREAM[],10,FALSE),"")</f>
        <v/>
      </c>
      <c r="T257" s="374"/>
      <c r="U257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57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57" s="12"/>
      <c r="X257" s="386" t="str">
        <f>IFERROR(IF(TRANSHARI8_ICECREAMMALAM[[#This Row],[NAMA REKENING]]="","",TRANSHARI8_ICECREAMMALAM[[#This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IFERROR(VLOOKUP(TRANSHARI8_ICECREAMPAGI[[#This Row],[PRODUK]],DATA_ICECREAM[],10,FALSE),"")</f>
        <v/>
      </c>
      <c r="E258" s="374"/>
      <c r="F258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58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58" s="12"/>
      <c r="I258" s="384" t="str">
        <f>IFERROR(IF(TRANSHARI8_ICECREAMPAGI[[#This Row],[NAMA REKENING]]="","",TRANSHARI8_ICECREAMPAGI[[#This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IFERROR(VLOOKUP(TRANSHARI8_ICECREAMMALAM[[#This Row],[PRODUK]],DATA_ICECREAM[],10,FALSE),"")</f>
        <v/>
      </c>
      <c r="T258" s="374"/>
      <c r="U258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58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58" s="12"/>
      <c r="X258" s="384" t="str">
        <f>IFERROR(IF(TRANSHARI8_ICECREAMMALAM[[#This Row],[NAMA REKENING]]="","",TRANSHARI8_ICECREAMMALAM[[#This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IFERROR(VLOOKUP(TRANSHARI8_ICECREAMPAGI[[#This Row],[PRODUK]],DATA_ICECREAM[],10,FALSE),"")</f>
        <v/>
      </c>
      <c r="E259" s="374"/>
      <c r="F259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59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59" s="12"/>
      <c r="I259" s="386" t="str">
        <f>IFERROR(IF(TRANSHARI8_ICECREAMPAGI[[#This Row],[NAMA REKENING]]="","",TRANSHARI8_ICECREAMPAGI[[#This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IFERROR(VLOOKUP(TRANSHARI8_ICECREAMMALAM[[#This Row],[PRODUK]],DATA_ICECREAM[],10,FALSE),"")</f>
        <v/>
      </c>
      <c r="T259" s="374"/>
      <c r="U259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59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59" s="12"/>
      <c r="X259" s="386" t="str">
        <f>IFERROR(IF(TRANSHARI8_ICECREAMMALAM[[#This Row],[NAMA REKENING]]="","",TRANSHARI8_ICECREAMMALAM[[#This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IFERROR(VLOOKUP(TRANSHARI8_ICECREAMPAGI[[#This Row],[PRODUK]],DATA_ICECREAM[],10,FALSE),"")</f>
        <v/>
      </c>
      <c r="E260" s="374"/>
      <c r="F260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0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0" s="12"/>
      <c r="I260" s="384" t="str">
        <f>IFERROR(IF(TRANSHARI8_ICECREAMPAGI[[#This Row],[NAMA REKENING]]="","",TRANSHARI8_ICECREAMPAGI[[#This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IFERROR(VLOOKUP(TRANSHARI8_ICECREAMMALAM[[#This Row],[PRODUK]],DATA_ICECREAM[],10,FALSE),"")</f>
        <v/>
      </c>
      <c r="T260" s="374"/>
      <c r="U260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0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0" s="12"/>
      <c r="X260" s="384" t="str">
        <f>IFERROR(IF(TRANSHARI8_ICECREAMMALAM[[#This Row],[NAMA REKENING]]="","",TRANSHARI8_ICECREAMMALAM[[#This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IFERROR(VLOOKUP(TRANSHARI8_ICECREAMPAGI[[#This Row],[PRODUK]],DATA_ICECREAM[],10,FALSE),"")</f>
        <v/>
      </c>
      <c r="E261" s="374"/>
      <c r="F261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1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1" s="12"/>
      <c r="I261" s="386" t="str">
        <f>IFERROR(IF(TRANSHARI8_ICECREAMPAGI[[#This Row],[NAMA REKENING]]="","",TRANSHARI8_ICECREAMPAGI[[#This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IFERROR(VLOOKUP(TRANSHARI8_ICECREAMMALAM[[#This Row],[PRODUK]],DATA_ICECREAM[],10,FALSE),"")</f>
        <v/>
      </c>
      <c r="T261" s="374"/>
      <c r="U261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1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1" s="12"/>
      <c r="X261" s="386" t="str">
        <f>IFERROR(IF(TRANSHARI8_ICECREAMMALAM[[#This Row],[NAMA REKENING]]="","",TRANSHARI8_ICECREAMMALAM[[#This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IFERROR(VLOOKUP(TRANSHARI8_ICECREAMPAGI[[#This Row],[PRODUK]],DATA_ICECREAM[],10,FALSE),"")</f>
        <v/>
      </c>
      <c r="E262" s="374"/>
      <c r="F262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2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2" s="12"/>
      <c r="I262" s="384" t="str">
        <f>IFERROR(IF(TRANSHARI8_ICECREAMPAGI[[#This Row],[NAMA REKENING]]="","",TRANSHARI8_ICECREAMPAGI[[#This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IFERROR(VLOOKUP(TRANSHARI8_ICECREAMMALAM[[#This Row],[PRODUK]],DATA_ICECREAM[],10,FALSE),"")</f>
        <v/>
      </c>
      <c r="T262" s="374"/>
      <c r="U262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2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2" s="12"/>
      <c r="X262" s="384" t="str">
        <f>IFERROR(IF(TRANSHARI8_ICECREAMMALAM[[#This Row],[NAMA REKENING]]="","",TRANSHARI8_ICECREAMMALAM[[#This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IFERROR(VLOOKUP(TRANSHARI8_ICECREAMPAGI[[#This Row],[PRODUK]],DATA_ICECREAM[],10,FALSE),"")</f>
        <v/>
      </c>
      <c r="E263" s="374"/>
      <c r="F263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3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3" s="12"/>
      <c r="I263" s="386" t="str">
        <f>IFERROR(IF(TRANSHARI8_ICECREAMPAGI[[#This Row],[NAMA REKENING]]="","",TRANSHARI8_ICECREAMPAGI[[#This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IFERROR(VLOOKUP(TRANSHARI8_ICECREAMMALAM[[#This Row],[PRODUK]],DATA_ICECREAM[],10,FALSE),"")</f>
        <v/>
      </c>
      <c r="T263" s="374"/>
      <c r="U263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3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3" s="12"/>
      <c r="X263" s="386" t="str">
        <f>IFERROR(IF(TRANSHARI8_ICECREAMMALAM[[#This Row],[NAMA REKENING]]="","",TRANSHARI8_ICECREAMMALAM[[#This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IFERROR(VLOOKUP(TRANSHARI8_ICECREAMPAGI[[#This Row],[PRODUK]],DATA_ICECREAM[],10,FALSE),"")</f>
        <v/>
      </c>
      <c r="E264" s="374"/>
      <c r="F264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4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4" s="12"/>
      <c r="I264" s="384" t="str">
        <f>IFERROR(IF(TRANSHARI8_ICECREAMPAGI[[#This Row],[NAMA REKENING]]="","",TRANSHARI8_ICECREAMPAGI[[#This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IFERROR(VLOOKUP(TRANSHARI8_ICECREAMMALAM[[#This Row],[PRODUK]],DATA_ICECREAM[],10,FALSE),"")</f>
        <v/>
      </c>
      <c r="T264" s="374"/>
      <c r="U264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4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4" s="12"/>
      <c r="X264" s="384" t="str">
        <f>IFERROR(IF(TRANSHARI8_ICECREAMMALAM[[#This Row],[NAMA REKENING]]="","",TRANSHARI8_ICECREAMMALAM[[#This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IFERROR(VLOOKUP(TRANSHARI8_ICECREAMPAGI[[#This Row],[PRODUK]],DATA_ICECREAM[],10,FALSE),"")</f>
        <v/>
      </c>
      <c r="E265" s="374"/>
      <c r="F265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5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5" s="12"/>
      <c r="I265" s="386" t="str">
        <f>IFERROR(IF(TRANSHARI8_ICECREAMPAGI[[#This Row],[NAMA REKENING]]="","",TRANSHARI8_ICECREAMPAGI[[#This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IFERROR(VLOOKUP(TRANSHARI8_ICECREAMMALAM[[#This Row],[PRODUK]],DATA_ICECREAM[],10,FALSE),"")</f>
        <v/>
      </c>
      <c r="T265" s="374"/>
      <c r="U265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5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5" s="12"/>
      <c r="X265" s="386" t="str">
        <f>IFERROR(IF(TRANSHARI8_ICECREAMMALAM[[#This Row],[NAMA REKENING]]="","",TRANSHARI8_ICECREAMMALAM[[#This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IFERROR(VLOOKUP(TRANSHARI8_ICECREAMPAGI[[#This Row],[PRODUK]],DATA_ICECREAM[],10,FALSE),"")</f>
        <v/>
      </c>
      <c r="E266" s="374"/>
      <c r="F266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6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6" s="12"/>
      <c r="I266" s="384" t="str">
        <f>IFERROR(IF(TRANSHARI8_ICECREAMPAGI[[#This Row],[NAMA REKENING]]="","",TRANSHARI8_ICECREAMPAGI[[#This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IFERROR(VLOOKUP(TRANSHARI8_ICECREAMMALAM[[#This Row],[PRODUK]],DATA_ICECREAM[],10,FALSE),"")</f>
        <v/>
      </c>
      <c r="T266" s="374"/>
      <c r="U266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6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6" s="12"/>
      <c r="X266" s="384" t="str">
        <f>IFERROR(IF(TRANSHARI8_ICECREAMMALAM[[#This Row],[NAMA REKENING]]="","",TRANSHARI8_ICECREAMMALAM[[#This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IFERROR(VLOOKUP(TRANSHARI8_ICECREAMPAGI[[#This Row],[PRODUK]],DATA_ICECREAM[],10,FALSE),"")</f>
        <v/>
      </c>
      <c r="E267" s="374"/>
      <c r="F267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7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7" s="12"/>
      <c r="I267" s="386" t="str">
        <f>IFERROR(IF(TRANSHARI8_ICECREAMPAGI[[#This Row],[NAMA REKENING]]="","",TRANSHARI8_ICECREAMPAGI[[#This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IFERROR(VLOOKUP(TRANSHARI8_ICECREAMMALAM[[#This Row],[PRODUK]],DATA_ICECREAM[],10,FALSE),"")</f>
        <v/>
      </c>
      <c r="T267" s="374"/>
      <c r="U267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7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7" s="12"/>
      <c r="X267" s="386" t="str">
        <f>IFERROR(IF(TRANSHARI8_ICECREAMMALAM[[#This Row],[NAMA REKENING]]="","",TRANSHARI8_ICECREAMMALAM[[#This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IFERROR(VLOOKUP(TRANSHARI8_ICECREAMPAGI[[#This Row],[PRODUK]],DATA_ICECREAM[],10,FALSE),"")</f>
        <v/>
      </c>
      <c r="E268" s="374"/>
      <c r="F268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8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8" s="12"/>
      <c r="I268" s="384" t="str">
        <f>IFERROR(IF(TRANSHARI8_ICECREAMPAGI[[#This Row],[NAMA REKENING]]="","",TRANSHARI8_ICECREAMPAGI[[#This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IFERROR(VLOOKUP(TRANSHARI8_ICECREAMMALAM[[#This Row],[PRODUK]],DATA_ICECREAM[],10,FALSE),"")</f>
        <v/>
      </c>
      <c r="T268" s="374"/>
      <c r="U268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8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8" s="12"/>
      <c r="X268" s="384" t="str">
        <f>IFERROR(IF(TRANSHARI8_ICECREAMMALAM[[#This Row],[NAMA REKENING]]="","",TRANSHARI8_ICECREAMMALAM[[#This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IFERROR(VLOOKUP(TRANSHARI8_ICECREAMPAGI[[#This Row],[PRODUK]],DATA_ICECREAM[],10,FALSE),"")</f>
        <v/>
      </c>
      <c r="E269" s="374"/>
      <c r="F269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69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69" s="12"/>
      <c r="I269" s="386" t="str">
        <f>IFERROR(IF(TRANSHARI8_ICECREAMPAGI[[#This Row],[NAMA REKENING]]="","",TRANSHARI8_ICECREAMPAGI[[#This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IFERROR(VLOOKUP(TRANSHARI8_ICECREAMMALAM[[#This Row],[PRODUK]],DATA_ICECREAM[],10,FALSE),"")</f>
        <v/>
      </c>
      <c r="T269" s="374"/>
      <c r="U269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69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69" s="12"/>
      <c r="X269" s="386" t="str">
        <f>IFERROR(IF(TRANSHARI8_ICECREAMMALAM[[#This Row],[NAMA REKENING]]="","",TRANSHARI8_ICECREAMMALAM[[#This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IFERROR(VLOOKUP(TRANSHARI8_ICECREAMPAGI[[#This Row],[PRODUK]],DATA_ICECREAM[],10,FALSE),"")</f>
        <v/>
      </c>
      <c r="E270" s="374"/>
      <c r="F270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0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0" s="12"/>
      <c r="I270" s="384" t="str">
        <f>IFERROR(IF(TRANSHARI8_ICECREAMPAGI[[#This Row],[NAMA REKENING]]="","",TRANSHARI8_ICECREAMPAGI[[#This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IFERROR(VLOOKUP(TRANSHARI8_ICECREAMMALAM[[#This Row],[PRODUK]],DATA_ICECREAM[],10,FALSE),"")</f>
        <v/>
      </c>
      <c r="T270" s="374"/>
      <c r="U270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0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0" s="12"/>
      <c r="X270" s="384" t="str">
        <f>IFERROR(IF(TRANSHARI8_ICECREAMMALAM[[#This Row],[NAMA REKENING]]="","",TRANSHARI8_ICECREAMMALAM[[#This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IFERROR(VLOOKUP(TRANSHARI8_ICECREAMPAGI[[#This Row],[PRODUK]],DATA_ICECREAM[],10,FALSE),"")</f>
        <v/>
      </c>
      <c r="E271" s="374"/>
      <c r="F271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1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1" s="12"/>
      <c r="I271" s="386" t="str">
        <f>IFERROR(IF(TRANSHARI8_ICECREAMPAGI[[#This Row],[NAMA REKENING]]="","",TRANSHARI8_ICECREAMPAGI[[#This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IFERROR(VLOOKUP(TRANSHARI8_ICECREAMMALAM[[#This Row],[PRODUK]],DATA_ICECREAM[],10,FALSE),"")</f>
        <v/>
      </c>
      <c r="T271" s="374"/>
      <c r="U271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1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1" s="12"/>
      <c r="X271" s="386" t="str">
        <f>IFERROR(IF(TRANSHARI8_ICECREAMMALAM[[#This Row],[NAMA REKENING]]="","",TRANSHARI8_ICECREAMMALAM[[#This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IFERROR(VLOOKUP(TRANSHARI8_ICECREAMPAGI[[#This Row],[PRODUK]],DATA_ICECREAM[],10,FALSE),"")</f>
        <v/>
      </c>
      <c r="E272" s="374"/>
      <c r="F272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2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2" s="12"/>
      <c r="I272" s="384" t="str">
        <f>IFERROR(IF(TRANSHARI8_ICECREAMPAGI[[#This Row],[NAMA REKENING]]="","",TRANSHARI8_ICECREAMPAGI[[#This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IFERROR(VLOOKUP(TRANSHARI8_ICECREAMMALAM[[#This Row],[PRODUK]],DATA_ICECREAM[],10,FALSE),"")</f>
        <v/>
      </c>
      <c r="T272" s="374"/>
      <c r="U272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2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2" s="12"/>
      <c r="X272" s="384" t="str">
        <f>IFERROR(IF(TRANSHARI8_ICECREAMMALAM[[#This Row],[NAMA REKENING]]="","",TRANSHARI8_ICECREAMMALAM[[#This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IFERROR(VLOOKUP(TRANSHARI8_ICECREAMPAGI[[#This Row],[PRODUK]],DATA_ICECREAM[],10,FALSE),"")</f>
        <v/>
      </c>
      <c r="E273" s="374"/>
      <c r="F273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3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3" s="12"/>
      <c r="I273" s="386" t="str">
        <f>IFERROR(IF(TRANSHARI8_ICECREAMPAGI[[#This Row],[NAMA REKENING]]="","",TRANSHARI8_ICECREAMPAGI[[#This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IFERROR(VLOOKUP(TRANSHARI8_ICECREAMMALAM[[#This Row],[PRODUK]],DATA_ICECREAM[],10,FALSE),"")</f>
        <v/>
      </c>
      <c r="T273" s="374"/>
      <c r="U273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3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3" s="12"/>
      <c r="X273" s="386" t="str">
        <f>IFERROR(IF(TRANSHARI8_ICECREAMMALAM[[#This Row],[NAMA REKENING]]="","",TRANSHARI8_ICECREAMMALAM[[#This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IFERROR(VLOOKUP(TRANSHARI8_ICECREAMPAGI[[#This Row],[PRODUK]],DATA_ICECREAM[],10,FALSE),"")</f>
        <v/>
      </c>
      <c r="E274" s="374"/>
      <c r="F274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4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4" s="12"/>
      <c r="I274" s="384" t="str">
        <f>IFERROR(IF(TRANSHARI8_ICECREAMPAGI[[#This Row],[NAMA REKENING]]="","",TRANSHARI8_ICECREAMPAGI[[#This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IFERROR(VLOOKUP(TRANSHARI8_ICECREAMMALAM[[#This Row],[PRODUK]],DATA_ICECREAM[],10,FALSE),"")</f>
        <v/>
      </c>
      <c r="T274" s="374"/>
      <c r="U274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4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4" s="12"/>
      <c r="X274" s="384" t="str">
        <f>IFERROR(IF(TRANSHARI8_ICECREAMMALAM[[#This Row],[NAMA REKENING]]="","",TRANSHARI8_ICECREAMMALAM[[#This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IFERROR(VLOOKUP(TRANSHARI8_ICECREAMPAGI[[#This Row],[PRODUK]],DATA_ICECREAM[],10,FALSE),"")</f>
        <v/>
      </c>
      <c r="E275" s="374"/>
      <c r="F275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5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5" s="12"/>
      <c r="I275" s="386" t="str">
        <f>IFERROR(IF(TRANSHARI8_ICECREAMPAGI[[#This Row],[NAMA REKENING]]="","",TRANSHARI8_ICECREAMPAGI[[#This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IFERROR(VLOOKUP(TRANSHARI8_ICECREAMMALAM[[#This Row],[PRODUK]],DATA_ICECREAM[],10,FALSE),"")</f>
        <v/>
      </c>
      <c r="T275" s="374"/>
      <c r="U275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5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5" s="12"/>
      <c r="X275" s="386" t="str">
        <f>IFERROR(IF(TRANSHARI8_ICECREAMMALAM[[#This Row],[NAMA REKENING]]="","",TRANSHARI8_ICECREAMMALAM[[#This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IFERROR(VLOOKUP(TRANSHARI8_ICECREAMPAGI[[#This Row],[PRODUK]],DATA_ICECREAM[],10,FALSE),"")</f>
        <v/>
      </c>
      <c r="E276" s="374"/>
      <c r="F276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6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6" s="12"/>
      <c r="I276" s="384" t="str">
        <f>IFERROR(IF(TRANSHARI8_ICECREAMPAGI[[#This Row],[NAMA REKENING]]="","",TRANSHARI8_ICECREAMPAGI[[#This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IFERROR(VLOOKUP(TRANSHARI8_ICECREAMMALAM[[#This Row],[PRODUK]],DATA_ICECREAM[],10,FALSE),"")</f>
        <v/>
      </c>
      <c r="T276" s="374"/>
      <c r="U276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6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6" s="12"/>
      <c r="X276" s="384" t="str">
        <f>IFERROR(IF(TRANSHARI8_ICECREAMMALAM[[#This Row],[NAMA REKENING]]="","",TRANSHARI8_ICECREAMMALAM[[#This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IFERROR(VLOOKUP(TRANSHARI8_ICECREAMPAGI[[#This Row],[PRODUK]],DATA_ICECREAM[],10,FALSE),"")</f>
        <v/>
      </c>
      <c r="E277" s="374"/>
      <c r="F277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7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7" s="12"/>
      <c r="I277" s="386" t="str">
        <f>IFERROR(IF(TRANSHARI8_ICECREAMPAGI[[#This Row],[NAMA REKENING]]="","",TRANSHARI8_ICECREAMPAGI[[#This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IFERROR(VLOOKUP(TRANSHARI8_ICECREAMMALAM[[#This Row],[PRODUK]],DATA_ICECREAM[],10,FALSE),"")</f>
        <v/>
      </c>
      <c r="T277" s="374"/>
      <c r="U277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7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7" s="12"/>
      <c r="X277" s="386" t="str">
        <f>IFERROR(IF(TRANSHARI8_ICECREAMMALAM[[#This Row],[NAMA REKENING]]="","",TRANSHARI8_ICECREAMMALAM[[#This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IFERROR(VLOOKUP(TRANSHARI8_ICECREAMPAGI[[#This Row],[PRODUK]],DATA_ICECREAM[],10,FALSE),"")</f>
        <v/>
      </c>
      <c r="E278" s="374"/>
      <c r="F278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8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8" s="12"/>
      <c r="I278" s="384" t="str">
        <f>IFERROR(IF(TRANSHARI8_ICECREAMPAGI[[#This Row],[NAMA REKENING]]="","",TRANSHARI8_ICECREAMPAGI[[#This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IFERROR(VLOOKUP(TRANSHARI8_ICECREAMMALAM[[#This Row],[PRODUK]],DATA_ICECREAM[],10,FALSE),"")</f>
        <v/>
      </c>
      <c r="T278" s="374"/>
      <c r="U278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8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8" s="12"/>
      <c r="X278" s="384" t="str">
        <f>IFERROR(IF(TRANSHARI8_ICECREAMMALAM[[#This Row],[NAMA REKENING]]="","",TRANSHARI8_ICECREAMMALAM[[#This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IFERROR(VLOOKUP(TRANSHARI8_ICECREAMPAGI[[#This Row],[PRODUK]],DATA_ICECREAM[],10,FALSE),"")</f>
        <v/>
      </c>
      <c r="E279" s="374"/>
      <c r="F279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79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79" s="12"/>
      <c r="I279" s="386" t="str">
        <f>IFERROR(IF(TRANSHARI8_ICECREAMPAGI[[#This Row],[NAMA REKENING]]="","",TRANSHARI8_ICECREAMPAGI[[#This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IFERROR(VLOOKUP(TRANSHARI8_ICECREAMMALAM[[#This Row],[PRODUK]],DATA_ICECREAM[],10,FALSE),"")</f>
        <v/>
      </c>
      <c r="T279" s="374"/>
      <c r="U279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79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79" s="12"/>
      <c r="X279" s="386" t="str">
        <f>IFERROR(IF(TRANSHARI8_ICECREAMMALAM[[#This Row],[NAMA REKENING]]="","",TRANSHARI8_ICECREAMMALAM[[#This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IFERROR(VLOOKUP(TRANSHARI8_ICECREAMPAGI[[#This Row],[PRODUK]],DATA_ICECREAM[],10,FALSE),"")</f>
        <v/>
      </c>
      <c r="E280" s="374"/>
      <c r="F280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0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0" s="12"/>
      <c r="I280" s="384" t="str">
        <f>IFERROR(IF(TRANSHARI8_ICECREAMPAGI[[#This Row],[NAMA REKENING]]="","",TRANSHARI8_ICECREAMPAGI[[#This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IFERROR(VLOOKUP(TRANSHARI8_ICECREAMMALAM[[#This Row],[PRODUK]],DATA_ICECREAM[],10,FALSE),"")</f>
        <v/>
      </c>
      <c r="T280" s="374"/>
      <c r="U280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0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0" s="12"/>
      <c r="X280" s="384" t="str">
        <f>IFERROR(IF(TRANSHARI8_ICECREAMMALAM[[#This Row],[NAMA REKENING]]="","",TRANSHARI8_ICECREAMMALAM[[#This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IFERROR(VLOOKUP(TRANSHARI8_ICECREAMPAGI[[#This Row],[PRODUK]],DATA_ICECREAM[],10,FALSE),"")</f>
        <v/>
      </c>
      <c r="E281" s="376"/>
      <c r="F281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1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1" s="377"/>
      <c r="I281" s="386" t="str">
        <f>IFERROR(IF(TRANSHARI8_ICECREAMPAGI[[#This Row],[NAMA REKENING]]="","",TRANSHARI8_ICECREAMPAGI[[#This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IFERROR(VLOOKUP(TRANSHARI8_ICECREAMMALAM[[#This Row],[PRODUK]],DATA_ICECREAM[],10,FALSE),"")</f>
        <v/>
      </c>
      <c r="T281" s="376"/>
      <c r="U281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1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1" s="377"/>
      <c r="X281" s="386" t="str">
        <f>IFERROR(IF(TRANSHARI8_ICECREAMMALAM[[#This Row],[NAMA REKENING]]="","",TRANSHARI8_ICECREAMMALAM[[#This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IFERROR(VLOOKUP(TRANSHARI8_ICECREAMPAGI[[#This Row],[PRODUK]],DATA_ICECREAM[],10,FALSE),"")</f>
        <v/>
      </c>
      <c r="E282" s="374"/>
      <c r="F282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2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2" s="12"/>
      <c r="I282" s="384" t="str">
        <f>IFERROR(IF(TRANSHARI8_ICECREAMPAGI[[#This Row],[NAMA REKENING]]="","",TRANSHARI8_ICECREAMPAGI[[#This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IFERROR(VLOOKUP(TRANSHARI8_ICECREAMMALAM[[#This Row],[PRODUK]],DATA_ICECREAM[],10,FALSE),"")</f>
        <v/>
      </c>
      <c r="T282" s="374"/>
      <c r="U282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2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2" s="12"/>
      <c r="X282" s="384" t="str">
        <f>IFERROR(IF(TRANSHARI8_ICECREAMMALAM[[#This Row],[NAMA REKENING]]="","",TRANSHARI8_ICECREAMMALAM[[#This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IFERROR(VLOOKUP(TRANSHARI8_ICECREAMPAGI[[#This Row],[PRODUK]],DATA_ICECREAM[],10,FALSE),"")</f>
        <v/>
      </c>
      <c r="E283" s="374"/>
      <c r="F283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3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3" s="12"/>
      <c r="I283" s="386" t="str">
        <f>IFERROR(IF(TRANSHARI8_ICECREAMPAGI[[#This Row],[NAMA REKENING]]="","",TRANSHARI8_ICECREAMPAGI[[#This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IFERROR(VLOOKUP(TRANSHARI8_ICECREAMMALAM[[#This Row],[PRODUK]],DATA_ICECREAM[],10,FALSE),"")</f>
        <v/>
      </c>
      <c r="T283" s="374"/>
      <c r="U283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3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3" s="12"/>
      <c r="X283" s="386" t="str">
        <f>IFERROR(IF(TRANSHARI8_ICECREAMMALAM[[#This Row],[NAMA REKENING]]="","",TRANSHARI8_ICECREAMMALAM[[#This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IFERROR(VLOOKUP(TRANSHARI8_ICECREAMPAGI[[#This Row],[PRODUK]],DATA_ICECREAM[],10,FALSE),"")</f>
        <v/>
      </c>
      <c r="E284" s="374"/>
      <c r="F284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4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4" s="12"/>
      <c r="I284" s="384" t="str">
        <f>IFERROR(IF(TRANSHARI8_ICECREAMPAGI[[#This Row],[NAMA REKENING]]="","",TRANSHARI8_ICECREAMPAGI[[#This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IFERROR(VLOOKUP(TRANSHARI8_ICECREAMMALAM[[#This Row],[PRODUK]],DATA_ICECREAM[],10,FALSE),"")</f>
        <v/>
      </c>
      <c r="T284" s="374"/>
      <c r="U284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4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4" s="12"/>
      <c r="X284" s="384" t="str">
        <f>IFERROR(IF(TRANSHARI8_ICECREAMMALAM[[#This Row],[NAMA REKENING]]="","",TRANSHARI8_ICECREAMMALAM[[#This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IFERROR(VLOOKUP(TRANSHARI8_ICECREAMPAGI[[#This Row],[PRODUK]],DATA_ICECREAM[],10,FALSE),"")</f>
        <v/>
      </c>
      <c r="E285" s="374"/>
      <c r="F285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5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5" s="12"/>
      <c r="I285" s="386" t="str">
        <f>IFERROR(IF(TRANSHARI8_ICECREAMPAGI[[#This Row],[NAMA REKENING]]="","",TRANSHARI8_ICECREAMPAGI[[#This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IFERROR(VLOOKUP(TRANSHARI8_ICECREAMMALAM[[#This Row],[PRODUK]],DATA_ICECREAM[],10,FALSE),"")</f>
        <v/>
      </c>
      <c r="T285" s="374"/>
      <c r="U285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5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5" s="12"/>
      <c r="X285" s="386" t="str">
        <f>IFERROR(IF(TRANSHARI8_ICECREAMMALAM[[#This Row],[NAMA REKENING]]="","",TRANSHARI8_ICECREAMMALAM[[#This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IFERROR(VLOOKUP(TRANSHARI8_ICECREAMPAGI[[#This Row],[PRODUK]],DATA_ICECREAM[],10,FALSE),"")</f>
        <v/>
      </c>
      <c r="E286" s="374"/>
      <c r="F286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6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6" s="12"/>
      <c r="I286" s="384" t="str">
        <f>IFERROR(IF(TRANSHARI8_ICECREAMPAGI[[#This Row],[NAMA REKENING]]="","",TRANSHARI8_ICECREAMPAGI[[#This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IFERROR(VLOOKUP(TRANSHARI8_ICECREAMMALAM[[#This Row],[PRODUK]],DATA_ICECREAM[],10,FALSE),"")</f>
        <v/>
      </c>
      <c r="T286" s="374"/>
      <c r="U286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6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6" s="12"/>
      <c r="X286" s="384" t="str">
        <f>IFERROR(IF(TRANSHARI8_ICECREAMMALAM[[#This Row],[NAMA REKENING]]="","",TRANSHARI8_ICECREAMMALAM[[#This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IFERROR(VLOOKUP(TRANSHARI8_ICECREAMPAGI[[#This Row],[PRODUK]],DATA_ICECREAM[],10,FALSE),"")</f>
        <v/>
      </c>
      <c r="E287" s="374"/>
      <c r="F287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7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7" s="12"/>
      <c r="I287" s="386" t="str">
        <f>IFERROR(IF(TRANSHARI8_ICECREAMPAGI[[#This Row],[NAMA REKENING]]="","",TRANSHARI8_ICECREAMPAGI[[#This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IFERROR(VLOOKUP(TRANSHARI8_ICECREAMMALAM[[#This Row],[PRODUK]],DATA_ICECREAM[],10,FALSE),"")</f>
        <v/>
      </c>
      <c r="T287" s="374"/>
      <c r="U287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7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7" s="12"/>
      <c r="X287" s="386" t="str">
        <f>IFERROR(IF(TRANSHARI8_ICECREAMMALAM[[#This Row],[NAMA REKENING]]="","",TRANSHARI8_ICECREAMMALAM[[#This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IFERROR(VLOOKUP(TRANSHARI8_ICECREAMPAGI[[#This Row],[PRODUK]],DATA_ICECREAM[],10,FALSE),"")</f>
        <v/>
      </c>
      <c r="E288" s="374"/>
      <c r="F288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8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8" s="12"/>
      <c r="I288" s="384" t="str">
        <f>IFERROR(IF(TRANSHARI8_ICECREAMPAGI[[#This Row],[NAMA REKENING]]="","",TRANSHARI8_ICECREAMPAGI[[#This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IFERROR(VLOOKUP(TRANSHARI8_ICECREAMMALAM[[#This Row],[PRODUK]],DATA_ICECREAM[],10,FALSE),"")</f>
        <v/>
      </c>
      <c r="T288" s="374"/>
      <c r="U288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8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8" s="12"/>
      <c r="X288" s="384" t="str">
        <f>IFERROR(IF(TRANSHARI8_ICECREAMMALAM[[#This Row],[NAMA REKENING]]="","",TRANSHARI8_ICECREAMMALAM[[#This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IFERROR(VLOOKUP(TRANSHARI8_ICECREAMPAGI[[#This Row],[PRODUK]],DATA_ICECREAM[],10,FALSE),"")</f>
        <v/>
      </c>
      <c r="E289" s="374"/>
      <c r="F289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89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89" s="12"/>
      <c r="I289" s="386" t="str">
        <f>IFERROR(IF(TRANSHARI8_ICECREAMPAGI[[#This Row],[NAMA REKENING]]="","",TRANSHARI8_ICECREAMPAGI[[#This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IFERROR(VLOOKUP(TRANSHARI8_ICECREAMMALAM[[#This Row],[PRODUK]],DATA_ICECREAM[],10,FALSE),"")</f>
        <v/>
      </c>
      <c r="T289" s="374"/>
      <c r="U289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89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89" s="12"/>
      <c r="X289" s="386" t="str">
        <f>IFERROR(IF(TRANSHARI8_ICECREAMMALAM[[#This Row],[NAMA REKENING]]="","",TRANSHARI8_ICECREAMMALAM[[#This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IFERROR(VLOOKUP(TRANSHARI8_ICECREAMPAGI[[#This Row],[PRODUK]],DATA_ICECREAM[],10,FALSE),"")</f>
        <v/>
      </c>
      <c r="E290" s="374"/>
      <c r="F290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0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0" s="12"/>
      <c r="I290" s="384" t="str">
        <f>IFERROR(IF(TRANSHARI8_ICECREAMPAGI[[#This Row],[NAMA REKENING]]="","",TRANSHARI8_ICECREAMPAGI[[#This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IFERROR(VLOOKUP(TRANSHARI8_ICECREAMMALAM[[#This Row],[PRODUK]],DATA_ICECREAM[],10,FALSE),"")</f>
        <v/>
      </c>
      <c r="T290" s="374"/>
      <c r="U290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0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0" s="12"/>
      <c r="X290" s="384" t="str">
        <f>IFERROR(IF(TRANSHARI8_ICECREAMMALAM[[#This Row],[NAMA REKENING]]="","",TRANSHARI8_ICECREAMMALAM[[#This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IFERROR(VLOOKUP(TRANSHARI8_ICECREAMPAGI[[#This Row],[PRODUK]],DATA_ICECREAM[],10,FALSE),"")</f>
        <v/>
      </c>
      <c r="E291" s="374"/>
      <c r="F291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1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1" s="12"/>
      <c r="I291" s="386" t="str">
        <f>IFERROR(IF(TRANSHARI8_ICECREAMPAGI[[#This Row],[NAMA REKENING]]="","",TRANSHARI8_ICECREAMPAGI[[#This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IFERROR(VLOOKUP(TRANSHARI8_ICECREAMMALAM[[#This Row],[PRODUK]],DATA_ICECREAM[],10,FALSE),"")</f>
        <v/>
      </c>
      <c r="T291" s="374"/>
      <c r="U291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1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1" s="12"/>
      <c r="X291" s="386" t="str">
        <f>IFERROR(IF(TRANSHARI8_ICECREAMMALAM[[#This Row],[NAMA REKENING]]="","",TRANSHARI8_ICECREAMMALAM[[#This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IFERROR(VLOOKUP(TRANSHARI8_ICECREAMPAGI[[#This Row],[PRODUK]],DATA_ICECREAM[],10,FALSE),"")</f>
        <v/>
      </c>
      <c r="E292" s="374"/>
      <c r="F292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2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2" s="12"/>
      <c r="I292" s="384" t="str">
        <f>IFERROR(IF(TRANSHARI8_ICECREAMPAGI[[#This Row],[NAMA REKENING]]="","",TRANSHARI8_ICECREAMPAGI[[#This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IFERROR(VLOOKUP(TRANSHARI8_ICECREAMMALAM[[#This Row],[PRODUK]],DATA_ICECREAM[],10,FALSE),"")</f>
        <v/>
      </c>
      <c r="T292" s="374"/>
      <c r="U292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2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2" s="12"/>
      <c r="X292" s="384" t="str">
        <f>IFERROR(IF(TRANSHARI8_ICECREAMMALAM[[#This Row],[NAMA REKENING]]="","",TRANSHARI8_ICECREAMMALAM[[#This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IFERROR(VLOOKUP(TRANSHARI8_ICECREAMPAGI[[#This Row],[PRODUK]],DATA_ICECREAM[],10,FALSE),"")</f>
        <v/>
      </c>
      <c r="E293" s="374"/>
      <c r="F293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3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3" s="12"/>
      <c r="I293" s="386" t="str">
        <f>IFERROR(IF(TRANSHARI8_ICECREAMPAGI[[#This Row],[NAMA REKENING]]="","",TRANSHARI8_ICECREAMPAGI[[#This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IFERROR(VLOOKUP(TRANSHARI8_ICECREAMMALAM[[#This Row],[PRODUK]],DATA_ICECREAM[],10,FALSE),"")</f>
        <v/>
      </c>
      <c r="T293" s="374"/>
      <c r="U293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3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3" s="12"/>
      <c r="X293" s="386" t="str">
        <f>IFERROR(IF(TRANSHARI8_ICECREAMMALAM[[#This Row],[NAMA REKENING]]="","",TRANSHARI8_ICECREAMMALAM[[#This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IFERROR(VLOOKUP(TRANSHARI8_ICECREAMPAGI[[#This Row],[PRODUK]],DATA_ICECREAM[],10,FALSE),"")</f>
        <v/>
      </c>
      <c r="E294" s="374"/>
      <c r="F294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4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4" s="12"/>
      <c r="I294" s="384" t="str">
        <f>IFERROR(IF(TRANSHARI8_ICECREAMPAGI[[#This Row],[NAMA REKENING]]="","",TRANSHARI8_ICECREAMPAGI[[#This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IFERROR(VLOOKUP(TRANSHARI8_ICECREAMMALAM[[#This Row],[PRODUK]],DATA_ICECREAM[],10,FALSE),"")</f>
        <v/>
      </c>
      <c r="T294" s="374"/>
      <c r="U294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4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4" s="12"/>
      <c r="X294" s="384" t="str">
        <f>IFERROR(IF(TRANSHARI8_ICECREAMMALAM[[#This Row],[NAMA REKENING]]="","",TRANSHARI8_ICECREAMMALAM[[#This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IFERROR(VLOOKUP(TRANSHARI8_ICECREAMPAGI[[#This Row],[PRODUK]],DATA_ICECREAM[],10,FALSE),"")</f>
        <v/>
      </c>
      <c r="E295" s="374"/>
      <c r="F295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5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5" s="12"/>
      <c r="I295" s="386" t="str">
        <f>IFERROR(IF(TRANSHARI8_ICECREAMPAGI[[#This Row],[NAMA REKENING]]="","",TRANSHARI8_ICECREAMPAGI[[#This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IFERROR(VLOOKUP(TRANSHARI8_ICECREAMMALAM[[#This Row],[PRODUK]],DATA_ICECREAM[],10,FALSE),"")</f>
        <v/>
      </c>
      <c r="T295" s="374"/>
      <c r="U295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5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5" s="12"/>
      <c r="X295" s="386" t="str">
        <f>IFERROR(IF(TRANSHARI8_ICECREAMMALAM[[#This Row],[NAMA REKENING]]="","",TRANSHARI8_ICECREAMMALAM[[#This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IFERROR(VLOOKUP(TRANSHARI8_ICECREAMPAGI[[#This Row],[PRODUK]],DATA_ICECREAM[],10,FALSE),"")</f>
        <v/>
      </c>
      <c r="E296" s="374"/>
      <c r="F296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6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6" s="12"/>
      <c r="I296" s="384" t="str">
        <f>IFERROR(IF(TRANSHARI8_ICECREAMPAGI[[#This Row],[NAMA REKENING]]="","",TRANSHARI8_ICECREAMPAGI[[#This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IFERROR(VLOOKUP(TRANSHARI8_ICECREAMMALAM[[#This Row],[PRODUK]],DATA_ICECREAM[],10,FALSE),"")</f>
        <v/>
      </c>
      <c r="T296" s="374"/>
      <c r="U296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6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6" s="12"/>
      <c r="X296" s="384" t="str">
        <f>IFERROR(IF(TRANSHARI8_ICECREAMMALAM[[#This Row],[NAMA REKENING]]="","",TRANSHARI8_ICECREAMMALAM[[#This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IFERROR(VLOOKUP(TRANSHARI8_ICECREAMPAGI[[#This Row],[PRODUK]],DATA_ICECREAM[],10,FALSE),"")</f>
        <v/>
      </c>
      <c r="E297" s="374"/>
      <c r="F297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7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7" s="12"/>
      <c r="I297" s="386" t="str">
        <f>IFERROR(IF(TRANSHARI8_ICECREAMPAGI[[#This Row],[NAMA REKENING]]="","",TRANSHARI8_ICECREAMPAGI[[#This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IFERROR(VLOOKUP(TRANSHARI8_ICECREAMMALAM[[#This Row],[PRODUK]],DATA_ICECREAM[],10,FALSE),"")</f>
        <v/>
      </c>
      <c r="T297" s="374"/>
      <c r="U297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7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7" s="12"/>
      <c r="X297" s="386" t="str">
        <f>IFERROR(IF(TRANSHARI8_ICECREAMMALAM[[#This Row],[NAMA REKENING]]="","",TRANSHARI8_ICECREAMMALAM[[#This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IFERROR(VLOOKUP(TRANSHARI8_ICECREAMPAGI[[#This Row],[PRODUK]],DATA_ICECREAM[],10,FALSE),"")</f>
        <v/>
      </c>
      <c r="E298" s="374"/>
      <c r="F298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8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8" s="12"/>
      <c r="I298" s="384" t="str">
        <f>IFERROR(IF(TRANSHARI8_ICECREAMPAGI[[#This Row],[NAMA REKENING]]="","",TRANSHARI8_ICECREAMPAGI[[#This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IFERROR(VLOOKUP(TRANSHARI8_ICECREAMMALAM[[#This Row],[PRODUK]],DATA_ICECREAM[],10,FALSE),"")</f>
        <v/>
      </c>
      <c r="T298" s="374"/>
      <c r="U298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8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8" s="12"/>
      <c r="X298" s="384" t="str">
        <f>IFERROR(IF(TRANSHARI8_ICECREAMMALAM[[#This Row],[NAMA REKENING]]="","",TRANSHARI8_ICECREAMMALAM[[#This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IFERROR(VLOOKUP(TRANSHARI8_ICECREAMPAGI[[#This Row],[PRODUK]],DATA_ICECREAM[],10,FALSE),"")</f>
        <v/>
      </c>
      <c r="E299" s="374"/>
      <c r="F299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299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299" s="12"/>
      <c r="I299" s="386" t="str">
        <f>IFERROR(IF(TRANSHARI8_ICECREAMPAGI[[#This Row],[NAMA REKENING]]="","",TRANSHARI8_ICECREAMPAGI[[#This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IFERROR(VLOOKUP(TRANSHARI8_ICECREAMMALAM[[#This Row],[PRODUK]],DATA_ICECREAM[],10,FALSE),"")</f>
        <v/>
      </c>
      <c r="T299" s="374"/>
      <c r="U299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299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299" s="12"/>
      <c r="X299" s="386" t="str">
        <f>IFERROR(IF(TRANSHARI8_ICECREAMMALAM[[#This Row],[NAMA REKENING]]="","",TRANSHARI8_ICECREAMMALAM[[#This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IFERROR(VLOOKUP(TRANSHARI8_ICECREAMPAGI[[#This Row],[PRODUK]],DATA_ICECREAM[],10,FALSE),"")</f>
        <v/>
      </c>
      <c r="E300" s="374"/>
      <c r="F300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300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300" s="12"/>
      <c r="I300" s="384" t="str">
        <f>IFERROR(IF(TRANSHARI8_ICECREAMPAGI[[#This Row],[NAMA REKENING]]="","",TRANSHARI8_ICECREAMPAGI[[#This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IFERROR(VLOOKUP(TRANSHARI8_ICECREAMMALAM[[#This Row],[PRODUK]],DATA_ICECREAM[],10,FALSE),"")</f>
        <v/>
      </c>
      <c r="T300" s="374"/>
      <c r="U300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300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300" s="12"/>
      <c r="X300" s="384" t="str">
        <f>IFERROR(IF(TRANSHARI8_ICECREAMMALAM[[#This Row],[NAMA REKENING]]="","",TRANSHARI8_ICECREAMMALAM[[#This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IFERROR(VLOOKUP(TRANSHARI8_ICECREAMPAGI[[#This Row],[PRODUK]],DATA_ICECREAM[],10,FALSE),"")</f>
        <v/>
      </c>
      <c r="E301" s="374"/>
      <c r="F301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301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301" s="12"/>
      <c r="I301" s="386" t="str">
        <f>IFERROR(IF(TRANSHARI8_ICECREAMPAGI[[#This Row],[NAMA REKENING]]="","",TRANSHARI8_ICECREAMPAGI[[#This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IFERROR(VLOOKUP(TRANSHARI8_ICECREAMMALAM[[#This Row],[PRODUK]],DATA_ICECREAM[],10,FALSE),"")</f>
        <v/>
      </c>
      <c r="T301" s="374"/>
      <c r="U301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301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301" s="12"/>
      <c r="X301" s="386" t="str">
        <f>IFERROR(IF(TRANSHARI8_ICECREAMMALAM[[#This Row],[NAMA REKENING]]="","",TRANSHARI8_ICECREAMMALAM[[#This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IFERROR(VLOOKUP(TRANSHARI8_ICECREAMPAGI[[#This Row],[PRODUK]],DATA_ICECREAM[],10,FALSE),"")</f>
        <v/>
      </c>
      <c r="E302" s="374"/>
      <c r="F302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302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302" s="12"/>
      <c r="I302" s="384" t="str">
        <f>IFERROR(IF(TRANSHARI8_ICECREAMPAGI[[#This Row],[NAMA REKENING]]="","",TRANSHARI8_ICECREAMPAGI[[#This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IFERROR(VLOOKUP(TRANSHARI8_ICECREAMMALAM[[#This Row],[PRODUK]],DATA_ICECREAM[],10,FALSE),"")</f>
        <v/>
      </c>
      <c r="T302" s="374"/>
      <c r="U302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302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302" s="12"/>
      <c r="X302" s="384" t="str">
        <f>IFERROR(IF(TRANSHARI8_ICECREAMMALAM[[#This Row],[NAMA REKENING]]="","",TRANSHARI8_ICECREAMMALAM[[#This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IFERROR(VLOOKUP(TRANSHARI8_ICECREAMPAGI[[#This Row],[PRODUK]],DATA_ICECREAM[],10,FALSE),"")</f>
        <v/>
      </c>
      <c r="E303" s="374"/>
      <c r="F303" s="373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303" s="373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303" s="12"/>
      <c r="I303" s="386" t="str">
        <f>IFERROR(IF(TRANSHARI8_ICECREAMPAGI[[#This Row],[NAMA REKENING]]="","",TRANSHARI8_ICECREAMPAGI[[#This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IFERROR(VLOOKUP(TRANSHARI8_ICECREAMMALAM[[#This Row],[PRODUK]],DATA_ICECREAM[],10,FALSE),"")</f>
        <v/>
      </c>
      <c r="T303" s="374"/>
      <c r="U303" s="373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303" s="373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303" s="12"/>
      <c r="X303" s="386" t="str">
        <f>IFERROR(IF(TRANSHARI8_ICECREAMMALAM[[#This Row],[NAMA REKENING]]="","",TRANSHARI8_ICECREAMMALAM[[#This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IFERROR(VLOOKUP(TRANSHARI8_ICECREAMPAGI[[#This Row],[PRODUK]],DATA_ICECREAM[],10,FALSE),"")</f>
        <v/>
      </c>
      <c r="E304" s="374"/>
      <c r="F304" s="369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304" s="369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304" s="12"/>
      <c r="I304" s="384" t="str">
        <f>IFERROR(IF(TRANSHARI8_ICECREAMPAGI[[#This Row],[NAMA REKENING]]="","",TRANSHARI8_ICECREAMPAGI[[#This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IFERROR(VLOOKUP(TRANSHARI8_ICECREAMMALAM[[#This Row],[PRODUK]],DATA_ICECREAM[],10,FALSE),"")</f>
        <v/>
      </c>
      <c r="T304" s="374"/>
      <c r="U304" s="369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304" s="369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304" s="12"/>
      <c r="X304" s="384" t="str">
        <f>IFERROR(IF(TRANSHARI8_ICECREAMMALAM[[#This Row],[NAMA REKENING]]="","",TRANSHARI8_ICECREAMMALAM[[#This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IFERROR(VLOOKUP(TRANSHARI8_ICECREAMPAGI[[#This Row],[PRODUK]],DATA_ICECREAM[],10,FALSE),"")</f>
        <v/>
      </c>
      <c r="E305" s="376"/>
      <c r="F305" s="394" t="str">
        <f>IFERROR(IF(TRANSHARI8_ICECREAMPAGI[[#This Row],[NAMA PENGHUTANG]]="",((TRANSHARI8_ICECREAMPAGI[[#This Row],[HARGA]]*TRANSHARI8_ICECREAMPAGI[[#This Row],[QUANTITY]])+TRANSHARI8_ICECREAMPAGI[[#This Row],[PRICE TOLERANCE]]),""),"")</f>
        <v/>
      </c>
      <c r="G305" s="394" t="str">
        <f>IFERROR(IF(TRANSHARI8_ICECREAMPAGI[[#This Row],[NAMA PENGHUTANG]]="","",((TRANSHARI8_ICECREAMPAGI[[#This Row],[HARGA]]*TRANSHARI8_ICECREAMPAGI[[#This Row],[QUANTITY]])+TRANSHARI8_ICECREAMPAGI[[#This Row],[PRICE TOLERANCE]])),"")</f>
        <v/>
      </c>
      <c r="H305" s="377"/>
      <c r="I305" s="399" t="str">
        <f>IFERROR(IF(TRANSHARI8_ICECREAMPAGI[[#This Row],[NAMA REKENING]]="","",TRANSHARI8_ICECREAMPAGI[[#This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IFERROR(VLOOKUP(TRANSHARI8_ICECREAMMALAM[[#This Row],[PRODUK]],DATA_ICECREAM[],10,FALSE),"")</f>
        <v/>
      </c>
      <c r="T305" s="376"/>
      <c r="U305" s="394" t="str">
        <f>IFERROR(IF(TRANSHARI8_ICECREAMMALAM[[#This Row],[NAMA PENGHUTANG]]="",((TRANSHARI8_ICECREAMMALAM[[#This Row],[HARGA]]*TRANSHARI8_ICECREAMMALAM[[#This Row],[QUANTITY]])+TRANSHARI8_ICECREAMMALAM[[#This Row],[PRICE TOLERANCE]]),""),"")</f>
        <v/>
      </c>
      <c r="V305" s="394" t="str">
        <f>IFERROR(IF(TRANSHARI8_ICECREAMMALAM[[#This Row],[NAMA PENGHUTANG]]="","",((TRANSHARI8_ICECREAMMALAM[[#This Row],[HARGA]]*TRANSHARI8_ICECREAMMALAM[[#This Row],[QUANTITY]])+TRANSHARI8_ICECREAMMALAM[[#This Row],[PRICE TOLERANCE]])),"")</f>
        <v/>
      </c>
      <c r="W305" s="377"/>
      <c r="X305" s="399" t="str">
        <f>IFERROR(IF(TRANSHARI8_ICECREAMMALAM[[#This Row],[NAMA REKENING]]="","",TRANSHARI8_ICECREAMMALAM[[#This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SUM(TRANSHARI8_ICECREAMPAGI[QUANTITY])</f>
        <v>0</v>
      </c>
      <c r="E306" s="398">
        <f>SUM(TRANSHARI8_ICECREAMPAGI[PRICE TOLERANCE])</f>
        <v>0</v>
      </c>
      <c r="F306" s="396">
        <f>SUM(TRANSHARI8_ICECREAMPAGI[DEBIT])</f>
        <v>0</v>
      </c>
      <c r="G306" s="396">
        <f>SUM(TRANSHARI8_ICECREAMPAGI[KREDIT])</f>
        <v>0</v>
      </c>
      <c r="I306" s="396">
        <f>SUM(TRANSHARI8_ICECREAMPAGI[NOMINAL TRANSFER])</f>
        <v>0</v>
      </c>
      <c r="O306" s="324"/>
      <c r="P306" s="303" t="s">
        <v>78</v>
      </c>
      <c r="Q306" s="316"/>
      <c r="R306" s="395">
        <f>SUM(TRANSHARI8_ICECREAMMALAM[QUANTITY])</f>
        <v>0</v>
      </c>
      <c r="T306" s="398">
        <f>SUM(TRANSHARI8_ICECREAMMALAM[PRICE TOLERANCE])</f>
        <v>0</v>
      </c>
      <c r="U306" s="396">
        <f>SUM(TRANSHARI8_ICECREAMMALAM[DEBIT])</f>
        <v>0</v>
      </c>
      <c r="V306" s="396">
        <f>SUM(TRANSHARI8_ICECREAMMALAM[KREDIT])</f>
        <v>0</v>
      </c>
      <c r="X306" s="396">
        <f>SUM(TRANSHARI8_ICECREAMMALAM[NOMINAL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tr">
        <f>A25</f>
        <v>HARI 8 : PAGI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tr">
        <f>P25</f>
        <v>HARI 8 : MALAM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IFERROR(VLOOKUP(TRANSHARI8_ACCPAGI[[#This Row],[PRODUK]],DATA_ACC[],10,FALSE),"")</f>
        <v/>
      </c>
      <c r="E313" s="370"/>
      <c r="F313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13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13" s="371"/>
      <c r="I313" s="384" t="str">
        <f>IFERROR(IF(TRANSHARI8_ACCPAGI[[#This Row],[NAMA REKENING]]="","",TRANSHARI8_ACCPAGI[[#This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IFERROR(VLOOKUP(TRANSHARI8_ACCMALAM[[#This Row],[PRODUK]],DATA_ACC[],10,FALSE),"")</f>
        <v/>
      </c>
      <c r="T313" s="370"/>
      <c r="U313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13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13" s="371"/>
      <c r="X313" s="384" t="str">
        <f>IFERROR(IF(TRANSHARI8_ACCMALAM[[#This Row],[NAMA REKENING]]="","",TRANSHARI8_ACCMALAM[[#This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IFERROR(VLOOKUP(TRANSHARI8_ACCPAGI[[#This Row],[PRODUK]],DATA_ACC[],10,FALSE),"")</f>
        <v/>
      </c>
      <c r="E314" s="374"/>
      <c r="F314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14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14" s="12"/>
      <c r="I314" s="386" t="str">
        <f>IFERROR(IF(TRANSHARI8_ACCPAGI[[#This Row],[NAMA REKENING]]="","",TRANSHARI8_ACCPAGI[[#This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IFERROR(VLOOKUP(TRANSHARI8_ACCMALAM[[#This Row],[PRODUK]],DATA_ACC[],10,FALSE),"")</f>
        <v/>
      </c>
      <c r="T314" s="374"/>
      <c r="U314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14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14" s="12"/>
      <c r="X314" s="386" t="str">
        <f>IFERROR(IF(TRANSHARI8_ACCMALAM[[#This Row],[NAMA REKENING]]="","",TRANSHARI8_ACCMALAM[[#This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IFERROR(VLOOKUP(TRANSHARI8_ACCPAGI[[#This Row],[PRODUK]],DATA_ACC[],10,FALSE),"")</f>
        <v/>
      </c>
      <c r="E315" s="374"/>
      <c r="F315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15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15" s="12"/>
      <c r="I315" s="384" t="str">
        <f>IFERROR(IF(TRANSHARI8_ACCPAGI[[#This Row],[NAMA REKENING]]="","",TRANSHARI8_ACCPAGI[[#This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IFERROR(VLOOKUP(TRANSHARI8_ACCMALAM[[#This Row],[PRODUK]],DATA_ACC[],10,FALSE),"")</f>
        <v/>
      </c>
      <c r="T315" s="374"/>
      <c r="U315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15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15" s="12"/>
      <c r="X315" s="384" t="str">
        <f>IFERROR(IF(TRANSHARI8_ACCMALAM[[#This Row],[NAMA REKENING]]="","",TRANSHARI8_ACCMALAM[[#This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IFERROR(VLOOKUP(TRANSHARI8_ACCPAGI[[#This Row],[PRODUK]],DATA_ACC[],10,FALSE),"")</f>
        <v/>
      </c>
      <c r="E316" s="374"/>
      <c r="F316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16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16" s="12"/>
      <c r="I316" s="386" t="str">
        <f>IFERROR(IF(TRANSHARI8_ACCPAGI[[#This Row],[NAMA REKENING]]="","",TRANSHARI8_ACCPAGI[[#This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IFERROR(VLOOKUP(TRANSHARI8_ACCMALAM[[#This Row],[PRODUK]],DATA_ACC[],10,FALSE),"")</f>
        <v/>
      </c>
      <c r="T316" s="374"/>
      <c r="U316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16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16" s="12"/>
      <c r="X316" s="386" t="str">
        <f>IFERROR(IF(TRANSHARI8_ACCMALAM[[#This Row],[NAMA REKENING]]="","",TRANSHARI8_ACCMALAM[[#This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IFERROR(VLOOKUP(TRANSHARI8_ACCPAGI[[#This Row],[PRODUK]],DATA_ACC[],10,FALSE),"")</f>
        <v/>
      </c>
      <c r="E317" s="374"/>
      <c r="F317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17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17" s="12"/>
      <c r="I317" s="384" t="str">
        <f>IFERROR(IF(TRANSHARI8_ACCPAGI[[#This Row],[NAMA REKENING]]="","",TRANSHARI8_ACCPAGI[[#This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IFERROR(VLOOKUP(TRANSHARI8_ACCMALAM[[#This Row],[PRODUK]],DATA_ACC[],10,FALSE),"")</f>
        <v/>
      </c>
      <c r="T317" s="374"/>
      <c r="U317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17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17" s="12"/>
      <c r="X317" s="384" t="str">
        <f>IFERROR(IF(TRANSHARI8_ACCMALAM[[#This Row],[NAMA REKENING]]="","",TRANSHARI8_ACCMALAM[[#This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IFERROR(VLOOKUP(TRANSHARI8_ACCPAGI[[#This Row],[PRODUK]],DATA_ACC[],10,FALSE),"")</f>
        <v/>
      </c>
      <c r="E318" s="374"/>
      <c r="F318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18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18" s="12"/>
      <c r="I318" s="386" t="str">
        <f>IFERROR(IF(TRANSHARI8_ACCPAGI[[#This Row],[NAMA REKENING]]="","",TRANSHARI8_ACCPAGI[[#This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IFERROR(VLOOKUP(TRANSHARI8_ACCMALAM[[#This Row],[PRODUK]],DATA_ACC[],10,FALSE),"")</f>
        <v/>
      </c>
      <c r="T318" s="374"/>
      <c r="U318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18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18" s="12"/>
      <c r="X318" s="386" t="str">
        <f>IFERROR(IF(TRANSHARI8_ACCMALAM[[#This Row],[NAMA REKENING]]="","",TRANSHARI8_ACCMALAM[[#This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IFERROR(VLOOKUP(TRANSHARI8_ACCPAGI[[#This Row],[PRODUK]],DATA_ACC[],10,FALSE),"")</f>
        <v/>
      </c>
      <c r="E319" s="374"/>
      <c r="F319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19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19" s="12"/>
      <c r="I319" s="384" t="str">
        <f>IFERROR(IF(TRANSHARI8_ACCPAGI[[#This Row],[NAMA REKENING]]="","",TRANSHARI8_ACCPAGI[[#This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IFERROR(VLOOKUP(TRANSHARI8_ACCMALAM[[#This Row],[PRODUK]],DATA_ACC[],10,FALSE),"")</f>
        <v/>
      </c>
      <c r="T319" s="374"/>
      <c r="U319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19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19" s="12"/>
      <c r="X319" s="384" t="str">
        <f>IFERROR(IF(TRANSHARI8_ACCMALAM[[#This Row],[NAMA REKENING]]="","",TRANSHARI8_ACCMALAM[[#This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IFERROR(VLOOKUP(TRANSHARI8_ACCPAGI[[#This Row],[PRODUK]],DATA_ACC[],10,FALSE),"")</f>
        <v/>
      </c>
      <c r="E320" s="374"/>
      <c r="F320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20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20" s="12"/>
      <c r="I320" s="386" t="str">
        <f>IFERROR(IF(TRANSHARI8_ACCPAGI[[#This Row],[NAMA REKENING]]="","",TRANSHARI8_ACCPAGI[[#This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IFERROR(VLOOKUP(TRANSHARI8_ACCMALAM[[#This Row],[PRODUK]],DATA_ACC[],10,FALSE),"")</f>
        <v/>
      </c>
      <c r="T320" s="374"/>
      <c r="U320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20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20" s="12"/>
      <c r="X320" s="386" t="str">
        <f>IFERROR(IF(TRANSHARI8_ACCMALAM[[#This Row],[NAMA REKENING]]="","",TRANSHARI8_ACCMALAM[[#This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IFERROR(VLOOKUP(TRANSHARI8_ACCPAGI[[#This Row],[PRODUK]],DATA_ACC[],10,FALSE),"")</f>
        <v/>
      </c>
      <c r="E321" s="374"/>
      <c r="F321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21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21" s="12"/>
      <c r="I321" s="384" t="str">
        <f>IFERROR(IF(TRANSHARI8_ACCPAGI[[#This Row],[NAMA REKENING]]="","",TRANSHARI8_ACCPAGI[[#This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IFERROR(VLOOKUP(TRANSHARI8_ACCMALAM[[#This Row],[PRODUK]],DATA_ACC[],10,FALSE),"")</f>
        <v/>
      </c>
      <c r="T321" s="374"/>
      <c r="U321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21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21" s="12"/>
      <c r="X321" s="384" t="str">
        <f>IFERROR(IF(TRANSHARI8_ACCMALAM[[#This Row],[NAMA REKENING]]="","",TRANSHARI8_ACCMALAM[[#This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IFERROR(VLOOKUP(TRANSHARI8_ACCPAGI[[#This Row],[PRODUK]],DATA_ACC[],10,FALSE),"")</f>
        <v/>
      </c>
      <c r="E322" s="374"/>
      <c r="F322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22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22" s="12"/>
      <c r="I322" s="386" t="str">
        <f>IFERROR(IF(TRANSHARI8_ACCPAGI[[#This Row],[NAMA REKENING]]="","",TRANSHARI8_ACCPAGI[[#This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IFERROR(VLOOKUP(TRANSHARI8_ACCMALAM[[#This Row],[PRODUK]],DATA_ACC[],10,FALSE),"")</f>
        <v/>
      </c>
      <c r="T322" s="374"/>
      <c r="U322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22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22" s="12"/>
      <c r="X322" s="386" t="str">
        <f>IFERROR(IF(TRANSHARI8_ACCMALAM[[#This Row],[NAMA REKENING]]="","",TRANSHARI8_ACCMALAM[[#This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IFERROR(VLOOKUP(TRANSHARI8_ACCPAGI[[#This Row],[PRODUK]],DATA_ACC[],10,FALSE),"")</f>
        <v/>
      </c>
      <c r="E323" s="374"/>
      <c r="F323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23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23" s="12"/>
      <c r="I323" s="384" t="str">
        <f>IFERROR(IF(TRANSHARI8_ACCPAGI[[#This Row],[NAMA REKENING]]="","",TRANSHARI8_ACCPAGI[[#This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IFERROR(VLOOKUP(TRANSHARI8_ACCMALAM[[#This Row],[PRODUK]],DATA_ACC[],10,FALSE),"")</f>
        <v/>
      </c>
      <c r="T323" s="374"/>
      <c r="U323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23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23" s="12"/>
      <c r="X323" s="384" t="str">
        <f>IFERROR(IF(TRANSHARI8_ACCMALAM[[#This Row],[NAMA REKENING]]="","",TRANSHARI8_ACCMALAM[[#This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IFERROR(VLOOKUP(TRANSHARI8_ACCPAGI[[#This Row],[PRODUK]],DATA_ACC[],10,FALSE),"")</f>
        <v/>
      </c>
      <c r="E324" s="374"/>
      <c r="F324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24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24" s="12"/>
      <c r="I324" s="386" t="str">
        <f>IFERROR(IF(TRANSHARI8_ACCPAGI[[#This Row],[NAMA REKENING]]="","",TRANSHARI8_ACCPAGI[[#This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IFERROR(VLOOKUP(TRANSHARI8_ACCMALAM[[#This Row],[PRODUK]],DATA_ACC[],10,FALSE),"")</f>
        <v/>
      </c>
      <c r="T324" s="374"/>
      <c r="U324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24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24" s="12"/>
      <c r="X324" s="386" t="str">
        <f>IFERROR(IF(TRANSHARI8_ACCMALAM[[#This Row],[NAMA REKENING]]="","",TRANSHARI8_ACCMALAM[[#This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IFERROR(VLOOKUP(TRANSHARI8_ACCPAGI[[#This Row],[PRODUK]],DATA_ACC[],10,FALSE),"")</f>
        <v/>
      </c>
      <c r="E325" s="374"/>
      <c r="F325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25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25" s="12"/>
      <c r="I325" s="384" t="str">
        <f>IFERROR(IF(TRANSHARI8_ACCPAGI[[#This Row],[NAMA REKENING]]="","",TRANSHARI8_ACCPAGI[[#This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IFERROR(VLOOKUP(TRANSHARI8_ACCMALAM[[#This Row],[PRODUK]],DATA_ACC[],10,FALSE),"")</f>
        <v/>
      </c>
      <c r="T325" s="374"/>
      <c r="U325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25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25" s="12"/>
      <c r="X325" s="384" t="str">
        <f>IFERROR(IF(TRANSHARI8_ACCMALAM[[#This Row],[NAMA REKENING]]="","",TRANSHARI8_ACCMALAM[[#This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IFERROR(VLOOKUP(TRANSHARI8_ACCPAGI[[#This Row],[PRODUK]],DATA_ACC[],10,FALSE),"")</f>
        <v/>
      </c>
      <c r="E326" s="374"/>
      <c r="F326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26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26" s="12"/>
      <c r="I326" s="386" t="str">
        <f>IFERROR(IF(TRANSHARI8_ACCPAGI[[#This Row],[NAMA REKENING]]="","",TRANSHARI8_ACCPAGI[[#This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IFERROR(VLOOKUP(TRANSHARI8_ACCMALAM[[#This Row],[PRODUK]],DATA_ACC[],10,FALSE),"")</f>
        <v/>
      </c>
      <c r="T326" s="374"/>
      <c r="U326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26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26" s="12"/>
      <c r="X326" s="386" t="str">
        <f>IFERROR(IF(TRANSHARI8_ACCMALAM[[#This Row],[NAMA REKENING]]="","",TRANSHARI8_ACCMALAM[[#This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IFERROR(VLOOKUP(TRANSHARI8_ACCPAGI[[#This Row],[PRODUK]],DATA_ACC[],10,FALSE),"")</f>
        <v/>
      </c>
      <c r="E327" s="374"/>
      <c r="F327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27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27" s="12"/>
      <c r="I327" s="384" t="str">
        <f>IFERROR(IF(TRANSHARI8_ACCPAGI[[#This Row],[NAMA REKENING]]="","",TRANSHARI8_ACCPAGI[[#This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IFERROR(VLOOKUP(TRANSHARI8_ACCMALAM[[#This Row],[PRODUK]],DATA_ACC[],10,FALSE),"")</f>
        <v/>
      </c>
      <c r="T327" s="374"/>
      <c r="U327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27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27" s="12"/>
      <c r="X327" s="384" t="str">
        <f>IFERROR(IF(TRANSHARI8_ACCMALAM[[#This Row],[NAMA REKENING]]="","",TRANSHARI8_ACCMALAM[[#This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IFERROR(VLOOKUP(TRANSHARI8_ACCPAGI[[#This Row],[PRODUK]],DATA_ACC[],10,FALSE),"")</f>
        <v/>
      </c>
      <c r="E328" s="374"/>
      <c r="F328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28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28" s="12"/>
      <c r="I328" s="386" t="str">
        <f>IFERROR(IF(TRANSHARI8_ACCPAGI[[#This Row],[NAMA REKENING]]="","",TRANSHARI8_ACCPAGI[[#This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IFERROR(VLOOKUP(TRANSHARI8_ACCMALAM[[#This Row],[PRODUK]],DATA_ACC[],10,FALSE),"")</f>
        <v/>
      </c>
      <c r="T328" s="374"/>
      <c r="U328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28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28" s="12"/>
      <c r="X328" s="386" t="str">
        <f>IFERROR(IF(TRANSHARI8_ACCMALAM[[#This Row],[NAMA REKENING]]="","",TRANSHARI8_ACCMALAM[[#This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IFERROR(VLOOKUP(TRANSHARI8_ACCPAGI[[#This Row],[PRODUK]],DATA_ACC[],10,FALSE),"")</f>
        <v/>
      </c>
      <c r="E329" s="374"/>
      <c r="F329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29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29" s="12"/>
      <c r="I329" s="384" t="str">
        <f>IFERROR(IF(TRANSHARI8_ACCPAGI[[#This Row],[NAMA REKENING]]="","",TRANSHARI8_ACCPAGI[[#This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IFERROR(VLOOKUP(TRANSHARI8_ACCMALAM[[#This Row],[PRODUK]],DATA_ACC[],10,FALSE),"")</f>
        <v/>
      </c>
      <c r="T329" s="374"/>
      <c r="U329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29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29" s="12"/>
      <c r="X329" s="384" t="str">
        <f>IFERROR(IF(TRANSHARI8_ACCMALAM[[#This Row],[NAMA REKENING]]="","",TRANSHARI8_ACCMALAM[[#This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IFERROR(VLOOKUP(TRANSHARI8_ACCPAGI[[#This Row],[PRODUK]],DATA_ACC[],10,FALSE),"")</f>
        <v/>
      </c>
      <c r="E330" s="374"/>
      <c r="F330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30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30" s="12"/>
      <c r="I330" s="386" t="str">
        <f>IFERROR(IF(TRANSHARI8_ACCPAGI[[#This Row],[NAMA REKENING]]="","",TRANSHARI8_ACCPAGI[[#This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IFERROR(VLOOKUP(TRANSHARI8_ACCMALAM[[#This Row],[PRODUK]],DATA_ACC[],10,FALSE),"")</f>
        <v/>
      </c>
      <c r="T330" s="374"/>
      <c r="U330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30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30" s="12"/>
      <c r="X330" s="386" t="str">
        <f>IFERROR(IF(TRANSHARI8_ACCMALAM[[#This Row],[NAMA REKENING]]="","",TRANSHARI8_ACCMALAM[[#This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IFERROR(VLOOKUP(TRANSHARI8_ACCPAGI[[#This Row],[PRODUK]],DATA_ACC[],10,FALSE),"")</f>
        <v/>
      </c>
      <c r="E331" s="374"/>
      <c r="F331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31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31" s="12"/>
      <c r="I331" s="384" t="str">
        <f>IFERROR(IF(TRANSHARI8_ACCPAGI[[#This Row],[NAMA REKENING]]="","",TRANSHARI8_ACCPAGI[[#This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IFERROR(VLOOKUP(TRANSHARI8_ACCMALAM[[#This Row],[PRODUK]],DATA_ACC[],10,FALSE),"")</f>
        <v/>
      </c>
      <c r="T331" s="374"/>
      <c r="U331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31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31" s="12"/>
      <c r="X331" s="384" t="str">
        <f>IFERROR(IF(TRANSHARI8_ACCMALAM[[#This Row],[NAMA REKENING]]="","",TRANSHARI8_ACCMALAM[[#This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IFERROR(VLOOKUP(TRANSHARI8_ACCPAGI[[#This Row],[PRODUK]],DATA_ACC[],10,FALSE),"")</f>
        <v/>
      </c>
      <c r="E332" s="374"/>
      <c r="F332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32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32" s="12"/>
      <c r="I332" s="386" t="str">
        <f>IFERROR(IF(TRANSHARI8_ACCPAGI[[#This Row],[NAMA REKENING]]="","",TRANSHARI8_ACCPAGI[[#This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IFERROR(VLOOKUP(TRANSHARI8_ACCMALAM[[#This Row],[PRODUK]],DATA_ACC[],10,FALSE),"")</f>
        <v/>
      </c>
      <c r="T332" s="374"/>
      <c r="U332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32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32" s="12"/>
      <c r="X332" s="386" t="str">
        <f>IFERROR(IF(TRANSHARI8_ACCMALAM[[#This Row],[NAMA REKENING]]="","",TRANSHARI8_ACCMALAM[[#This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IFERROR(VLOOKUP(TRANSHARI8_ACCPAGI[[#This Row],[PRODUK]],DATA_ACC[],10,FALSE),"")</f>
        <v/>
      </c>
      <c r="E333" s="374"/>
      <c r="F333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33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33" s="12"/>
      <c r="I333" s="384" t="str">
        <f>IFERROR(IF(TRANSHARI8_ACCPAGI[[#This Row],[NAMA REKENING]]="","",TRANSHARI8_ACCPAGI[[#This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IFERROR(VLOOKUP(TRANSHARI8_ACCMALAM[[#This Row],[PRODUK]],DATA_ACC[],10,FALSE),"")</f>
        <v/>
      </c>
      <c r="T333" s="374"/>
      <c r="U333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33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33" s="12"/>
      <c r="X333" s="384" t="str">
        <f>IFERROR(IF(TRANSHARI8_ACCMALAM[[#This Row],[NAMA REKENING]]="","",TRANSHARI8_ACCMALAM[[#This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IFERROR(VLOOKUP(TRANSHARI8_ACCPAGI[[#This Row],[PRODUK]],DATA_ACC[],10,FALSE),"")</f>
        <v/>
      </c>
      <c r="E334" s="374"/>
      <c r="F334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34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34" s="12"/>
      <c r="I334" s="386" t="str">
        <f>IFERROR(IF(TRANSHARI8_ACCPAGI[[#This Row],[NAMA REKENING]]="","",TRANSHARI8_ACCPAGI[[#This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IFERROR(VLOOKUP(TRANSHARI8_ACCMALAM[[#This Row],[PRODUK]],DATA_ACC[],10,FALSE),"")</f>
        <v/>
      </c>
      <c r="T334" s="374"/>
      <c r="U334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34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34" s="12"/>
      <c r="X334" s="386" t="str">
        <f>IFERROR(IF(TRANSHARI8_ACCMALAM[[#This Row],[NAMA REKENING]]="","",TRANSHARI8_ACCMALAM[[#This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IFERROR(VLOOKUP(TRANSHARI8_ACCPAGI[[#This Row],[PRODUK]],DATA_ACC[],10,FALSE),"")</f>
        <v/>
      </c>
      <c r="E335" s="374"/>
      <c r="F335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35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35" s="12"/>
      <c r="I335" s="384" t="str">
        <f>IFERROR(IF(TRANSHARI8_ACCPAGI[[#This Row],[NAMA REKENING]]="","",TRANSHARI8_ACCPAGI[[#This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IFERROR(VLOOKUP(TRANSHARI8_ACCMALAM[[#This Row],[PRODUK]],DATA_ACC[],10,FALSE),"")</f>
        <v/>
      </c>
      <c r="T335" s="374"/>
      <c r="U335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35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35" s="12"/>
      <c r="X335" s="384" t="str">
        <f>IFERROR(IF(TRANSHARI8_ACCMALAM[[#This Row],[NAMA REKENING]]="","",TRANSHARI8_ACCMALAM[[#This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IFERROR(VLOOKUP(TRANSHARI8_ACCPAGI[[#This Row],[PRODUK]],DATA_ACC[],10,FALSE),"")</f>
        <v/>
      </c>
      <c r="E336" s="374"/>
      <c r="F336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36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36" s="12"/>
      <c r="I336" s="386" t="str">
        <f>IFERROR(IF(TRANSHARI8_ACCPAGI[[#This Row],[NAMA REKENING]]="","",TRANSHARI8_ACCPAGI[[#This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IFERROR(VLOOKUP(TRANSHARI8_ACCMALAM[[#This Row],[PRODUK]],DATA_ACC[],10,FALSE),"")</f>
        <v/>
      </c>
      <c r="T336" s="374"/>
      <c r="U336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36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36" s="12"/>
      <c r="X336" s="386" t="str">
        <f>IFERROR(IF(TRANSHARI8_ACCMALAM[[#This Row],[NAMA REKENING]]="","",TRANSHARI8_ACCMALAM[[#This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IFERROR(VLOOKUP(TRANSHARI8_ACCPAGI[[#This Row],[PRODUK]],DATA_ACC[],10,FALSE),"")</f>
        <v/>
      </c>
      <c r="E337" s="374"/>
      <c r="F337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37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37" s="12"/>
      <c r="I337" s="384" t="str">
        <f>IFERROR(IF(TRANSHARI8_ACCPAGI[[#This Row],[NAMA REKENING]]="","",TRANSHARI8_ACCPAGI[[#This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IFERROR(VLOOKUP(TRANSHARI8_ACCMALAM[[#This Row],[PRODUK]],DATA_ACC[],10,FALSE),"")</f>
        <v/>
      </c>
      <c r="T337" s="374"/>
      <c r="U337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37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37" s="12"/>
      <c r="X337" s="384" t="str">
        <f>IFERROR(IF(TRANSHARI8_ACCMALAM[[#This Row],[NAMA REKENING]]="","",TRANSHARI8_ACCMALAM[[#This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IFERROR(VLOOKUP(TRANSHARI8_ACCPAGI[[#This Row],[PRODUK]],DATA_ACC[],10,FALSE),"")</f>
        <v/>
      </c>
      <c r="E338" s="376"/>
      <c r="F338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38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38" s="377"/>
      <c r="I338" s="386" t="str">
        <f>IFERROR(IF(TRANSHARI8_ACCPAGI[[#This Row],[NAMA REKENING]]="","",TRANSHARI8_ACCPAGI[[#This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IFERROR(VLOOKUP(TRANSHARI8_ACCMALAM[[#This Row],[PRODUK]],DATA_ACC[],10,FALSE),"")</f>
        <v/>
      </c>
      <c r="T338" s="376"/>
      <c r="U338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38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38" s="377"/>
      <c r="X338" s="386" t="str">
        <f>IFERROR(IF(TRANSHARI8_ACCMALAM[[#This Row],[NAMA REKENING]]="","",TRANSHARI8_ACCMALAM[[#This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IFERROR(VLOOKUP(TRANSHARI8_ACCPAGI[[#This Row],[PRODUK]],DATA_ACC[],10,FALSE),"")</f>
        <v/>
      </c>
      <c r="E339" s="374"/>
      <c r="F339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39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39" s="12"/>
      <c r="I339" s="384" t="str">
        <f>IFERROR(IF(TRANSHARI8_ACCPAGI[[#This Row],[NAMA REKENING]]="","",TRANSHARI8_ACCPAGI[[#This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IFERROR(VLOOKUP(TRANSHARI8_ACCMALAM[[#This Row],[PRODUK]],DATA_ACC[],10,FALSE),"")</f>
        <v/>
      </c>
      <c r="T339" s="374"/>
      <c r="U339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39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39" s="12"/>
      <c r="X339" s="384" t="str">
        <f>IFERROR(IF(TRANSHARI8_ACCMALAM[[#This Row],[NAMA REKENING]]="","",TRANSHARI8_ACCMALAM[[#This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IFERROR(VLOOKUP(TRANSHARI8_ACCPAGI[[#This Row],[PRODUK]],DATA_ACC[],10,FALSE),"")</f>
        <v/>
      </c>
      <c r="E340" s="374"/>
      <c r="F340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40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40" s="12"/>
      <c r="I340" s="386" t="str">
        <f>IFERROR(IF(TRANSHARI8_ACCPAGI[[#This Row],[NAMA REKENING]]="","",TRANSHARI8_ACCPAGI[[#This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IFERROR(VLOOKUP(TRANSHARI8_ACCMALAM[[#This Row],[PRODUK]],DATA_ACC[],10,FALSE),"")</f>
        <v/>
      </c>
      <c r="T340" s="374"/>
      <c r="U340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40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40" s="12"/>
      <c r="X340" s="386" t="str">
        <f>IFERROR(IF(TRANSHARI8_ACCMALAM[[#This Row],[NAMA REKENING]]="","",TRANSHARI8_ACCMALAM[[#This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IFERROR(VLOOKUP(TRANSHARI8_ACCPAGI[[#This Row],[PRODUK]],DATA_ACC[],10,FALSE),"")</f>
        <v/>
      </c>
      <c r="E341" s="374"/>
      <c r="F341" s="369" t="str">
        <f>IFERROR(IF(TRANSHARI8_ACCPAGI[[#This Row],[NAMA PENGHUTANG]]="",((TRANSHARI8_ACCPAGI[[#This Row],[HARGA]]*TRANSHARI8_ACCPAGI[[#This Row],[QUANTITY]])+TRANSHARI8_ACCPAGI[[#This Row],[PRICE TOLERANCE]]),""),"")</f>
        <v/>
      </c>
      <c r="G341" s="369" t="str">
        <f>IFERROR(IF(TRANSHARI8_ACCPAGI[[#This Row],[NAMA PENGHUTANG]]="","",((TRANSHARI8_ACCPAGI[[#This Row],[HARGA]]*TRANSHARI8_ACCPAGI[[#This Row],[QUANTITY]])+TRANSHARI8_ACCPAGI[[#This Row],[PRICE TOLERANCE]])),"")</f>
        <v/>
      </c>
      <c r="H341" s="12"/>
      <c r="I341" s="384" t="str">
        <f>IFERROR(IF(TRANSHARI8_ACCPAGI[[#This Row],[NAMA REKENING]]="","",TRANSHARI8_ACCPAGI[[#This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IFERROR(VLOOKUP(TRANSHARI8_ACCMALAM[[#This Row],[PRODUK]],DATA_ACC[],10,FALSE),"")</f>
        <v/>
      </c>
      <c r="T341" s="374"/>
      <c r="U341" s="369" t="str">
        <f>IFERROR(IF(TRANSHARI8_ACCMALAM[[#This Row],[NAMA PENGHUTANG]]="",((TRANSHARI8_ACCMALAM[[#This Row],[HARGA]]*TRANSHARI8_ACCMALAM[[#This Row],[QUANTITY]])+TRANSHARI8_ACCMALAM[[#This Row],[PRICE TOLERANCE]]),""),"")</f>
        <v/>
      </c>
      <c r="V341" s="369" t="str">
        <f>IFERROR(IF(TRANSHARI8_ACCMALAM[[#This Row],[NAMA PENGHUTANG]]="","",((TRANSHARI8_ACCMALAM[[#This Row],[HARGA]]*TRANSHARI8_ACCMALAM[[#This Row],[QUANTITY]])+TRANSHARI8_ACCMALAM[[#This Row],[PRICE TOLERANCE]])),"")</f>
        <v/>
      </c>
      <c r="W341" s="12"/>
      <c r="X341" s="384" t="str">
        <f>IFERROR(IF(TRANSHARI8_ACCMALAM[[#This Row],[NAMA REKENING]]="","",TRANSHARI8_ACCMALAM[[#This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IFERROR(VLOOKUP(TRANSHARI8_ACCPAGI[[#This Row],[PRODUK]],DATA_ACC[],10,FALSE),"")</f>
        <v/>
      </c>
      <c r="E342" s="374"/>
      <c r="F342" s="373" t="str">
        <f>IFERROR(IF(TRANSHARI8_ACCPAGI[[#This Row],[NAMA PENGHUTANG]]="",((TRANSHARI8_ACCPAGI[[#This Row],[HARGA]]*TRANSHARI8_ACCPAGI[[#This Row],[QUANTITY]])+TRANSHARI8_ACCPAGI[[#This Row],[PRICE TOLERANCE]]),""),"")</f>
        <v/>
      </c>
      <c r="G342" s="373" t="str">
        <f>IFERROR(IF(TRANSHARI8_ACCPAGI[[#This Row],[NAMA PENGHUTANG]]="","",((TRANSHARI8_ACCPAGI[[#This Row],[HARGA]]*TRANSHARI8_ACCPAGI[[#This Row],[QUANTITY]])+TRANSHARI8_ACCPAGI[[#This Row],[PRICE TOLERANCE]])),"")</f>
        <v/>
      </c>
      <c r="H342" s="12"/>
      <c r="I342" s="386" t="str">
        <f>IFERROR(IF(TRANSHARI8_ACCPAGI[[#This Row],[NAMA REKENING]]="","",TRANSHARI8_ACCPAGI[[#This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IFERROR(VLOOKUP(TRANSHARI8_ACCMALAM[[#This Row],[PRODUK]],DATA_ACC[],10,FALSE),"")</f>
        <v/>
      </c>
      <c r="T342" s="374"/>
      <c r="U342" s="373" t="str">
        <f>IFERROR(IF(TRANSHARI8_ACCMALAM[[#This Row],[NAMA PENGHUTANG]]="",((TRANSHARI8_ACCMALAM[[#This Row],[HARGA]]*TRANSHARI8_ACCMALAM[[#This Row],[QUANTITY]])+TRANSHARI8_ACCMALAM[[#This Row],[PRICE TOLERANCE]]),""),"")</f>
        <v/>
      </c>
      <c r="V342" s="373" t="str">
        <f>IFERROR(IF(TRANSHARI8_ACCMALAM[[#This Row],[NAMA PENGHUTANG]]="","",((TRANSHARI8_ACCMALAM[[#This Row],[HARGA]]*TRANSHARI8_ACCMALAM[[#This Row],[QUANTITY]])+TRANSHARI8_ACCMALAM[[#This Row],[PRICE TOLERANCE]])),"")</f>
        <v/>
      </c>
      <c r="W342" s="12"/>
      <c r="X342" s="386" t="str">
        <f>IFERROR(IF(TRANSHARI8_ACCMALAM[[#This Row],[NAMA REKENING]]="","",TRANSHARI8_ACCMALAM[[#This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SUM(TRANSHARI8_ACCPAGI[QUANTITY])</f>
        <v>0</v>
      </c>
      <c r="E343" s="398">
        <f>SUM(TRANSHARI8_ACCPAGI[PRICE TOLERANCE])</f>
        <v>0</v>
      </c>
      <c r="F343" s="396">
        <f>SUM(TRANSHARI8_ACCPAGI[DEBIT])</f>
        <v>0</v>
      </c>
      <c r="G343" s="396">
        <f>SUM(TRANSHARI8_ACCPAGI[KREDIT])</f>
        <v>0</v>
      </c>
      <c r="I343" s="396">
        <f>SUM(TRANSHARI8_ACCPAGI[NOMINAL TRANSFER])</f>
        <v>0</v>
      </c>
      <c r="O343" s="324"/>
      <c r="P343" s="303" t="s">
        <v>78</v>
      </c>
      <c r="Q343" s="316"/>
      <c r="R343" s="395">
        <f>SUM(TRANSHARI8_ACCMALAM[QUANTITY])</f>
        <v>0</v>
      </c>
      <c r="T343" s="398">
        <f>SUM(TRANSHARI8_ACCMALAM[PRICE TOLERANCE])</f>
        <v>0</v>
      </c>
      <c r="U343" s="396">
        <f>SUM(TRANSHARI8_ACCMALAM[DEBIT])</f>
        <v>0</v>
      </c>
      <c r="V343" s="396">
        <f>SUM(TRANSHARI8_ACCMALAM[KREDIT])</f>
        <v>0</v>
      </c>
      <c r="X343" s="396">
        <f>SUM(TRANSHARI8_ACCMALAM[NOMINAL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tr">
        <f>A25</f>
        <v>HARI 8 : PAGI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tr">
        <f>P25</f>
        <v>HARI 8 : MALAM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IFERROR(VLOOKUP(TRANSHARI8_HYDROPAGI[[#This Row],[PRODUK]],DATA_HYDRO[],10,FALSE),"")</f>
        <v/>
      </c>
      <c r="E350" s="370"/>
      <c r="F350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0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0" s="371"/>
      <c r="I350" s="384" t="str">
        <f>IFERROR(IF(TRANSHARI8_HYDROPAGI[[#This Row],[NAMA REKENING]]="","",TRANSHARI8_HYDROPAGI[[#This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IFERROR(VLOOKUP(TRANSHARI8_HYDROMALAM[[#This Row],[PRODUK]],DATA_HYDRO[],10,FALSE),"")</f>
        <v/>
      </c>
      <c r="T350" s="370"/>
      <c r="U350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0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0" s="371"/>
      <c r="X350" s="384" t="str">
        <f>IFERROR(IF(TRANSHARI8_HYDROMALAM[[#This Row],[NAMA REKENING]]="","",TRANSHARI8_HYDROMALAM[[#This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IFERROR(VLOOKUP(TRANSHARI8_HYDROPAGI[[#This Row],[PRODUK]],DATA_HYDRO[],10,FALSE),"")</f>
        <v/>
      </c>
      <c r="E351" s="374"/>
      <c r="F351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1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1" s="12"/>
      <c r="I351" s="386" t="str">
        <f>IFERROR(IF(TRANSHARI8_HYDROPAGI[[#This Row],[NAMA REKENING]]="","",TRANSHARI8_HYDROPAGI[[#This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IFERROR(VLOOKUP(TRANSHARI8_HYDROMALAM[[#This Row],[PRODUK]],DATA_HYDRO[],10,FALSE),"")</f>
        <v/>
      </c>
      <c r="T351" s="374"/>
      <c r="U351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1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1" s="12"/>
      <c r="X351" s="386" t="str">
        <f>IFERROR(IF(TRANSHARI8_HYDROMALAM[[#This Row],[NAMA REKENING]]="","",TRANSHARI8_HYDROMALAM[[#This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IFERROR(VLOOKUP(TRANSHARI8_HYDROPAGI[[#This Row],[PRODUK]],DATA_HYDRO[],10,FALSE),"")</f>
        <v/>
      </c>
      <c r="E352" s="374"/>
      <c r="F352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2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2" s="12"/>
      <c r="I352" s="384" t="str">
        <f>IFERROR(IF(TRANSHARI8_HYDROPAGI[[#This Row],[NAMA REKENING]]="","",TRANSHARI8_HYDROPAGI[[#This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IFERROR(VLOOKUP(TRANSHARI8_HYDROMALAM[[#This Row],[PRODUK]],DATA_HYDRO[],10,FALSE),"")</f>
        <v/>
      </c>
      <c r="T352" s="374"/>
      <c r="U352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2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2" s="12"/>
      <c r="X352" s="384" t="str">
        <f>IFERROR(IF(TRANSHARI8_HYDROMALAM[[#This Row],[NAMA REKENING]]="","",TRANSHARI8_HYDROMALAM[[#This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IFERROR(VLOOKUP(TRANSHARI8_HYDROPAGI[[#This Row],[PRODUK]],DATA_HYDRO[],10,FALSE),"")</f>
        <v/>
      </c>
      <c r="E353" s="374"/>
      <c r="F353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3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3" s="12"/>
      <c r="I353" s="386" t="str">
        <f>IFERROR(IF(TRANSHARI8_HYDROPAGI[[#This Row],[NAMA REKENING]]="","",TRANSHARI8_HYDROPAGI[[#This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IFERROR(VLOOKUP(TRANSHARI8_HYDROMALAM[[#This Row],[PRODUK]],DATA_HYDRO[],10,FALSE),"")</f>
        <v/>
      </c>
      <c r="T353" s="374"/>
      <c r="U353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3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3" s="12"/>
      <c r="X353" s="386" t="str">
        <f>IFERROR(IF(TRANSHARI8_HYDROMALAM[[#This Row],[NAMA REKENING]]="","",TRANSHARI8_HYDROMALAM[[#This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IFERROR(VLOOKUP(TRANSHARI8_HYDROPAGI[[#This Row],[PRODUK]],DATA_HYDRO[],10,FALSE),"")</f>
        <v/>
      </c>
      <c r="E354" s="374"/>
      <c r="F354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4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4" s="12"/>
      <c r="I354" s="384" t="str">
        <f>IFERROR(IF(TRANSHARI8_HYDROPAGI[[#This Row],[NAMA REKENING]]="","",TRANSHARI8_HYDROPAGI[[#This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IFERROR(VLOOKUP(TRANSHARI8_HYDROMALAM[[#This Row],[PRODUK]],DATA_HYDRO[],10,FALSE),"")</f>
        <v/>
      </c>
      <c r="T354" s="374"/>
      <c r="U354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4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4" s="12"/>
      <c r="X354" s="384" t="str">
        <f>IFERROR(IF(TRANSHARI8_HYDROMALAM[[#This Row],[NAMA REKENING]]="","",TRANSHARI8_HYDROMALAM[[#This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IFERROR(VLOOKUP(TRANSHARI8_HYDROPAGI[[#This Row],[PRODUK]],DATA_HYDRO[],10,FALSE),"")</f>
        <v/>
      </c>
      <c r="E355" s="374"/>
      <c r="F355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5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5" s="12"/>
      <c r="I355" s="386" t="str">
        <f>IFERROR(IF(TRANSHARI8_HYDROPAGI[[#This Row],[NAMA REKENING]]="","",TRANSHARI8_HYDROPAGI[[#This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IFERROR(VLOOKUP(TRANSHARI8_HYDROMALAM[[#This Row],[PRODUK]],DATA_HYDRO[],10,FALSE),"")</f>
        <v/>
      </c>
      <c r="T355" s="374"/>
      <c r="U355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5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5" s="12"/>
      <c r="X355" s="386" t="str">
        <f>IFERROR(IF(TRANSHARI8_HYDROMALAM[[#This Row],[NAMA REKENING]]="","",TRANSHARI8_HYDROMALAM[[#This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IFERROR(VLOOKUP(TRANSHARI8_HYDROPAGI[[#This Row],[PRODUK]],DATA_HYDRO[],10,FALSE),"")</f>
        <v/>
      </c>
      <c r="E356" s="374"/>
      <c r="F356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6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6" s="12"/>
      <c r="I356" s="384" t="str">
        <f>IFERROR(IF(TRANSHARI8_HYDROPAGI[[#This Row],[NAMA REKENING]]="","",TRANSHARI8_HYDROPAGI[[#This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IFERROR(VLOOKUP(TRANSHARI8_HYDROMALAM[[#This Row],[PRODUK]],DATA_HYDRO[],10,FALSE),"")</f>
        <v/>
      </c>
      <c r="T356" s="374"/>
      <c r="U356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6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6" s="12"/>
      <c r="X356" s="384" t="str">
        <f>IFERROR(IF(TRANSHARI8_HYDROMALAM[[#This Row],[NAMA REKENING]]="","",TRANSHARI8_HYDROMALAM[[#This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IFERROR(VLOOKUP(TRANSHARI8_HYDROPAGI[[#This Row],[PRODUK]],DATA_HYDRO[],10,FALSE),"")</f>
        <v/>
      </c>
      <c r="E357" s="374"/>
      <c r="F357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7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7" s="12"/>
      <c r="I357" s="386" t="str">
        <f>IFERROR(IF(TRANSHARI8_HYDROPAGI[[#This Row],[NAMA REKENING]]="","",TRANSHARI8_HYDROPAGI[[#This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IFERROR(VLOOKUP(TRANSHARI8_HYDROMALAM[[#This Row],[PRODUK]],DATA_HYDRO[],10,FALSE),"")</f>
        <v/>
      </c>
      <c r="T357" s="374"/>
      <c r="U357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7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7" s="12"/>
      <c r="X357" s="386" t="str">
        <f>IFERROR(IF(TRANSHARI8_HYDROMALAM[[#This Row],[NAMA REKENING]]="","",TRANSHARI8_HYDROMALAM[[#This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IFERROR(VLOOKUP(TRANSHARI8_HYDROPAGI[[#This Row],[PRODUK]],DATA_HYDRO[],10,FALSE),"")</f>
        <v/>
      </c>
      <c r="E358" s="374"/>
      <c r="F358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8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8" s="12"/>
      <c r="I358" s="384" t="str">
        <f>IFERROR(IF(TRANSHARI8_HYDROPAGI[[#This Row],[NAMA REKENING]]="","",TRANSHARI8_HYDROPAGI[[#This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IFERROR(VLOOKUP(TRANSHARI8_HYDROMALAM[[#This Row],[PRODUK]],DATA_HYDRO[],10,FALSE),"")</f>
        <v/>
      </c>
      <c r="T358" s="374"/>
      <c r="U358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8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8" s="12"/>
      <c r="X358" s="384" t="str">
        <f>IFERROR(IF(TRANSHARI8_HYDROMALAM[[#This Row],[NAMA REKENING]]="","",TRANSHARI8_HYDROMALAM[[#This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IFERROR(VLOOKUP(TRANSHARI8_HYDROPAGI[[#This Row],[PRODUK]],DATA_HYDRO[],10,FALSE),"")</f>
        <v/>
      </c>
      <c r="E359" s="374"/>
      <c r="F359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59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59" s="12"/>
      <c r="I359" s="386" t="str">
        <f>IFERROR(IF(TRANSHARI8_HYDROPAGI[[#This Row],[NAMA REKENING]]="","",TRANSHARI8_HYDROPAGI[[#This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IFERROR(VLOOKUP(TRANSHARI8_HYDROMALAM[[#This Row],[PRODUK]],DATA_HYDRO[],10,FALSE),"")</f>
        <v/>
      </c>
      <c r="T359" s="374"/>
      <c r="U359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59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59" s="12"/>
      <c r="X359" s="386" t="str">
        <f>IFERROR(IF(TRANSHARI8_HYDROMALAM[[#This Row],[NAMA REKENING]]="","",TRANSHARI8_HYDROMALAM[[#This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IFERROR(VLOOKUP(TRANSHARI8_HYDROPAGI[[#This Row],[PRODUK]],DATA_HYDRO[],10,FALSE),"")</f>
        <v/>
      </c>
      <c r="E360" s="374"/>
      <c r="F360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0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0" s="12"/>
      <c r="I360" s="384" t="str">
        <f>IFERROR(IF(TRANSHARI8_HYDROPAGI[[#This Row],[NAMA REKENING]]="","",TRANSHARI8_HYDROPAGI[[#This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IFERROR(VLOOKUP(TRANSHARI8_HYDROMALAM[[#This Row],[PRODUK]],DATA_HYDRO[],10,FALSE),"")</f>
        <v/>
      </c>
      <c r="T360" s="374"/>
      <c r="U360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0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0" s="12"/>
      <c r="X360" s="384" t="str">
        <f>IFERROR(IF(TRANSHARI8_HYDROMALAM[[#This Row],[NAMA REKENING]]="","",TRANSHARI8_HYDROMALAM[[#This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IFERROR(VLOOKUP(TRANSHARI8_HYDROPAGI[[#This Row],[PRODUK]],DATA_HYDRO[],10,FALSE),"")</f>
        <v/>
      </c>
      <c r="E361" s="374"/>
      <c r="F361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1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1" s="12"/>
      <c r="I361" s="386" t="str">
        <f>IFERROR(IF(TRANSHARI8_HYDROPAGI[[#This Row],[NAMA REKENING]]="","",TRANSHARI8_HYDROPAGI[[#This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IFERROR(VLOOKUP(TRANSHARI8_HYDROMALAM[[#This Row],[PRODUK]],DATA_HYDRO[],10,FALSE),"")</f>
        <v/>
      </c>
      <c r="T361" s="374"/>
      <c r="U361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1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1" s="12"/>
      <c r="X361" s="386" t="str">
        <f>IFERROR(IF(TRANSHARI8_HYDROMALAM[[#This Row],[NAMA REKENING]]="","",TRANSHARI8_HYDROMALAM[[#This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IFERROR(VLOOKUP(TRANSHARI8_HYDROPAGI[[#This Row],[PRODUK]],DATA_HYDRO[],10,FALSE),"")</f>
        <v/>
      </c>
      <c r="E362" s="374"/>
      <c r="F362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2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2" s="12"/>
      <c r="I362" s="384" t="str">
        <f>IFERROR(IF(TRANSHARI8_HYDROPAGI[[#This Row],[NAMA REKENING]]="","",TRANSHARI8_HYDROPAGI[[#This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IFERROR(VLOOKUP(TRANSHARI8_HYDROMALAM[[#This Row],[PRODUK]],DATA_HYDRO[],10,FALSE),"")</f>
        <v/>
      </c>
      <c r="T362" s="374"/>
      <c r="U362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2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2" s="12"/>
      <c r="X362" s="384" t="str">
        <f>IFERROR(IF(TRANSHARI8_HYDROMALAM[[#This Row],[NAMA REKENING]]="","",TRANSHARI8_HYDROMALAM[[#This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IFERROR(VLOOKUP(TRANSHARI8_HYDROPAGI[[#This Row],[PRODUK]],DATA_HYDRO[],10,FALSE),"")</f>
        <v/>
      </c>
      <c r="E363" s="374"/>
      <c r="F363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3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3" s="12"/>
      <c r="I363" s="386" t="str">
        <f>IFERROR(IF(TRANSHARI8_HYDROPAGI[[#This Row],[NAMA REKENING]]="","",TRANSHARI8_HYDROPAGI[[#This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IFERROR(VLOOKUP(TRANSHARI8_HYDROMALAM[[#This Row],[PRODUK]],DATA_HYDRO[],10,FALSE),"")</f>
        <v/>
      </c>
      <c r="T363" s="374"/>
      <c r="U363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3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3" s="12"/>
      <c r="X363" s="386" t="str">
        <f>IFERROR(IF(TRANSHARI8_HYDROMALAM[[#This Row],[NAMA REKENING]]="","",TRANSHARI8_HYDROMALAM[[#This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IFERROR(VLOOKUP(TRANSHARI8_HYDROPAGI[[#This Row],[PRODUK]],DATA_HYDRO[],10,FALSE),"")</f>
        <v/>
      </c>
      <c r="E364" s="374"/>
      <c r="F364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4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4" s="12"/>
      <c r="I364" s="384" t="str">
        <f>IFERROR(IF(TRANSHARI8_HYDROPAGI[[#This Row],[NAMA REKENING]]="","",TRANSHARI8_HYDROPAGI[[#This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IFERROR(VLOOKUP(TRANSHARI8_HYDROMALAM[[#This Row],[PRODUK]],DATA_HYDRO[],10,FALSE),"")</f>
        <v/>
      </c>
      <c r="T364" s="374"/>
      <c r="U364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4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4" s="12"/>
      <c r="X364" s="384" t="str">
        <f>IFERROR(IF(TRANSHARI8_HYDROMALAM[[#This Row],[NAMA REKENING]]="","",TRANSHARI8_HYDROMALAM[[#This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IFERROR(VLOOKUP(TRANSHARI8_HYDROPAGI[[#This Row],[PRODUK]],DATA_HYDRO[],10,FALSE),"")</f>
        <v/>
      </c>
      <c r="E365" s="374"/>
      <c r="F365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5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5" s="12"/>
      <c r="I365" s="386" t="str">
        <f>IFERROR(IF(TRANSHARI8_HYDROPAGI[[#This Row],[NAMA REKENING]]="","",TRANSHARI8_HYDROPAGI[[#This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IFERROR(VLOOKUP(TRANSHARI8_HYDROMALAM[[#This Row],[PRODUK]],DATA_HYDRO[],10,FALSE),"")</f>
        <v/>
      </c>
      <c r="T365" s="374"/>
      <c r="U365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5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5" s="12"/>
      <c r="X365" s="386" t="str">
        <f>IFERROR(IF(TRANSHARI8_HYDROMALAM[[#This Row],[NAMA REKENING]]="","",TRANSHARI8_HYDROMALAM[[#This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IFERROR(VLOOKUP(TRANSHARI8_HYDROPAGI[[#This Row],[PRODUK]],DATA_HYDRO[],10,FALSE),"")</f>
        <v/>
      </c>
      <c r="E366" s="374"/>
      <c r="F366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6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6" s="12"/>
      <c r="I366" s="384" t="str">
        <f>IFERROR(IF(TRANSHARI8_HYDROPAGI[[#This Row],[NAMA REKENING]]="","",TRANSHARI8_HYDROPAGI[[#This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IFERROR(VLOOKUP(TRANSHARI8_HYDROMALAM[[#This Row],[PRODUK]],DATA_HYDRO[],10,FALSE),"")</f>
        <v/>
      </c>
      <c r="T366" s="374"/>
      <c r="U366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6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6" s="12"/>
      <c r="X366" s="384" t="str">
        <f>IFERROR(IF(TRANSHARI8_HYDROMALAM[[#This Row],[NAMA REKENING]]="","",TRANSHARI8_HYDROMALAM[[#This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IFERROR(VLOOKUP(TRANSHARI8_HYDROPAGI[[#This Row],[PRODUK]],DATA_HYDRO[],10,FALSE),"")</f>
        <v/>
      </c>
      <c r="E367" s="374"/>
      <c r="F367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7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7" s="12"/>
      <c r="I367" s="386" t="str">
        <f>IFERROR(IF(TRANSHARI8_HYDROPAGI[[#This Row],[NAMA REKENING]]="","",TRANSHARI8_HYDROPAGI[[#This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IFERROR(VLOOKUP(TRANSHARI8_HYDROMALAM[[#This Row],[PRODUK]],DATA_HYDRO[],10,FALSE),"")</f>
        <v/>
      </c>
      <c r="T367" s="374"/>
      <c r="U367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7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7" s="12"/>
      <c r="X367" s="386" t="str">
        <f>IFERROR(IF(TRANSHARI8_HYDROMALAM[[#This Row],[NAMA REKENING]]="","",TRANSHARI8_HYDROMALAM[[#This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IFERROR(VLOOKUP(TRANSHARI8_HYDROPAGI[[#This Row],[PRODUK]],DATA_HYDRO[],10,FALSE),"")</f>
        <v/>
      </c>
      <c r="E368" s="374"/>
      <c r="F368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8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8" s="12"/>
      <c r="I368" s="384" t="str">
        <f>IFERROR(IF(TRANSHARI8_HYDROPAGI[[#This Row],[NAMA REKENING]]="","",TRANSHARI8_HYDROPAGI[[#This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IFERROR(VLOOKUP(TRANSHARI8_HYDROMALAM[[#This Row],[PRODUK]],DATA_HYDRO[],10,FALSE),"")</f>
        <v/>
      </c>
      <c r="T368" s="374"/>
      <c r="U368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8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8" s="12"/>
      <c r="X368" s="384" t="str">
        <f>IFERROR(IF(TRANSHARI8_HYDROMALAM[[#This Row],[NAMA REKENING]]="","",TRANSHARI8_HYDROMALAM[[#This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IFERROR(VLOOKUP(TRANSHARI8_HYDROPAGI[[#This Row],[PRODUK]],DATA_HYDRO[],10,FALSE),"")</f>
        <v/>
      </c>
      <c r="E369" s="374"/>
      <c r="F369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69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69" s="12"/>
      <c r="I369" s="386" t="str">
        <f>IFERROR(IF(TRANSHARI8_HYDROPAGI[[#This Row],[NAMA REKENING]]="","",TRANSHARI8_HYDROPAGI[[#This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IFERROR(VLOOKUP(TRANSHARI8_HYDROMALAM[[#This Row],[PRODUK]],DATA_HYDRO[],10,FALSE),"")</f>
        <v/>
      </c>
      <c r="T369" s="374"/>
      <c r="U369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69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69" s="12"/>
      <c r="X369" s="386" t="str">
        <f>IFERROR(IF(TRANSHARI8_HYDROMALAM[[#This Row],[NAMA REKENING]]="","",TRANSHARI8_HYDROMALAM[[#This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IFERROR(VLOOKUP(TRANSHARI8_HYDROPAGI[[#This Row],[PRODUK]],DATA_HYDRO[],10,FALSE),"")</f>
        <v/>
      </c>
      <c r="E370" s="374"/>
      <c r="F370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0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0" s="12"/>
      <c r="I370" s="384" t="str">
        <f>IFERROR(IF(TRANSHARI8_HYDROPAGI[[#This Row],[NAMA REKENING]]="","",TRANSHARI8_HYDROPAGI[[#This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IFERROR(VLOOKUP(TRANSHARI8_HYDROMALAM[[#This Row],[PRODUK]],DATA_HYDRO[],10,FALSE),"")</f>
        <v/>
      </c>
      <c r="T370" s="374"/>
      <c r="U370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0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0" s="12"/>
      <c r="X370" s="384" t="str">
        <f>IFERROR(IF(TRANSHARI8_HYDROMALAM[[#This Row],[NAMA REKENING]]="","",TRANSHARI8_HYDROMALAM[[#This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IFERROR(VLOOKUP(TRANSHARI8_HYDROPAGI[[#This Row],[PRODUK]],DATA_HYDRO[],10,FALSE),"")</f>
        <v/>
      </c>
      <c r="E371" s="374"/>
      <c r="F371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1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1" s="12"/>
      <c r="I371" s="386" t="str">
        <f>IFERROR(IF(TRANSHARI8_HYDROPAGI[[#This Row],[NAMA REKENING]]="","",TRANSHARI8_HYDROPAGI[[#This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IFERROR(VLOOKUP(TRANSHARI8_HYDROMALAM[[#This Row],[PRODUK]],DATA_HYDRO[],10,FALSE),"")</f>
        <v/>
      </c>
      <c r="T371" s="374"/>
      <c r="U371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1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1" s="12"/>
      <c r="X371" s="386" t="str">
        <f>IFERROR(IF(TRANSHARI8_HYDROMALAM[[#This Row],[NAMA REKENING]]="","",TRANSHARI8_HYDROMALAM[[#This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IFERROR(VLOOKUP(TRANSHARI8_HYDROPAGI[[#This Row],[PRODUK]],DATA_HYDRO[],10,FALSE),"")</f>
        <v/>
      </c>
      <c r="E372" s="374"/>
      <c r="F372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2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2" s="12"/>
      <c r="I372" s="384" t="str">
        <f>IFERROR(IF(TRANSHARI8_HYDROPAGI[[#This Row],[NAMA REKENING]]="","",TRANSHARI8_HYDROPAGI[[#This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IFERROR(VLOOKUP(TRANSHARI8_HYDROMALAM[[#This Row],[PRODUK]],DATA_HYDRO[],10,FALSE),"")</f>
        <v/>
      </c>
      <c r="T372" s="374"/>
      <c r="U372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2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2" s="12"/>
      <c r="X372" s="384" t="str">
        <f>IFERROR(IF(TRANSHARI8_HYDROMALAM[[#This Row],[NAMA REKENING]]="","",TRANSHARI8_HYDROMALAM[[#This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IFERROR(VLOOKUP(TRANSHARI8_HYDROPAGI[[#This Row],[PRODUK]],DATA_HYDRO[],10,FALSE),"")</f>
        <v/>
      </c>
      <c r="E373" s="374"/>
      <c r="F373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3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3" s="12"/>
      <c r="I373" s="386" t="str">
        <f>IFERROR(IF(TRANSHARI8_HYDROPAGI[[#This Row],[NAMA REKENING]]="","",TRANSHARI8_HYDROPAGI[[#This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IFERROR(VLOOKUP(TRANSHARI8_HYDROMALAM[[#This Row],[PRODUK]],DATA_HYDRO[],10,FALSE),"")</f>
        <v/>
      </c>
      <c r="T373" s="374"/>
      <c r="U373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3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3" s="12"/>
      <c r="X373" s="386" t="str">
        <f>IFERROR(IF(TRANSHARI8_HYDROMALAM[[#This Row],[NAMA REKENING]]="","",TRANSHARI8_HYDROMALAM[[#This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IFERROR(VLOOKUP(TRANSHARI8_HYDROPAGI[[#This Row],[PRODUK]],DATA_HYDRO[],10,FALSE),"")</f>
        <v/>
      </c>
      <c r="E374" s="374"/>
      <c r="F374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4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4" s="12"/>
      <c r="I374" s="384" t="str">
        <f>IFERROR(IF(TRANSHARI8_HYDROPAGI[[#This Row],[NAMA REKENING]]="","",TRANSHARI8_HYDROPAGI[[#This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IFERROR(VLOOKUP(TRANSHARI8_HYDROMALAM[[#This Row],[PRODUK]],DATA_HYDRO[],10,FALSE),"")</f>
        <v/>
      </c>
      <c r="T374" s="374"/>
      <c r="U374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4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4" s="12"/>
      <c r="X374" s="384" t="str">
        <f>IFERROR(IF(TRANSHARI8_HYDROMALAM[[#This Row],[NAMA REKENING]]="","",TRANSHARI8_HYDROMALAM[[#This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IFERROR(VLOOKUP(TRANSHARI8_HYDROPAGI[[#This Row],[PRODUK]],DATA_HYDRO[],10,FALSE),"")</f>
        <v/>
      </c>
      <c r="E375" s="376"/>
      <c r="F375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5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5" s="377"/>
      <c r="I375" s="386" t="str">
        <f>IFERROR(IF(TRANSHARI8_HYDROPAGI[[#This Row],[NAMA REKENING]]="","",TRANSHARI8_HYDROPAGI[[#This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IFERROR(VLOOKUP(TRANSHARI8_HYDROMALAM[[#This Row],[PRODUK]],DATA_HYDRO[],10,FALSE),"")</f>
        <v/>
      </c>
      <c r="T375" s="376"/>
      <c r="U375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5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5" s="377"/>
      <c r="X375" s="386" t="str">
        <f>IFERROR(IF(TRANSHARI8_HYDROMALAM[[#This Row],[NAMA REKENING]]="","",TRANSHARI8_HYDROMALAM[[#This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IFERROR(VLOOKUP(TRANSHARI8_HYDROPAGI[[#This Row],[PRODUK]],DATA_HYDRO[],10,FALSE),"")</f>
        <v/>
      </c>
      <c r="E376" s="374"/>
      <c r="F376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6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6" s="12"/>
      <c r="I376" s="384" t="str">
        <f>IFERROR(IF(TRANSHARI8_HYDROPAGI[[#This Row],[NAMA REKENING]]="","",TRANSHARI8_HYDROPAGI[[#This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IFERROR(VLOOKUP(TRANSHARI8_HYDROMALAM[[#This Row],[PRODUK]],DATA_HYDRO[],10,FALSE),"")</f>
        <v/>
      </c>
      <c r="T376" s="374"/>
      <c r="U376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6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6" s="12"/>
      <c r="X376" s="384" t="str">
        <f>IFERROR(IF(TRANSHARI8_HYDROMALAM[[#This Row],[NAMA REKENING]]="","",TRANSHARI8_HYDROMALAM[[#This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IFERROR(VLOOKUP(TRANSHARI8_HYDROPAGI[[#This Row],[PRODUK]],DATA_HYDRO[],10,FALSE),"")</f>
        <v/>
      </c>
      <c r="E377" s="374"/>
      <c r="F377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7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7" s="12"/>
      <c r="I377" s="386" t="str">
        <f>IFERROR(IF(TRANSHARI8_HYDROPAGI[[#This Row],[NAMA REKENING]]="","",TRANSHARI8_HYDROPAGI[[#This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IFERROR(VLOOKUP(TRANSHARI8_HYDROMALAM[[#This Row],[PRODUK]],DATA_HYDRO[],10,FALSE),"")</f>
        <v/>
      </c>
      <c r="T377" s="374"/>
      <c r="U377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7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7" s="12"/>
      <c r="X377" s="386" t="str">
        <f>IFERROR(IF(TRANSHARI8_HYDROMALAM[[#This Row],[NAMA REKENING]]="","",TRANSHARI8_HYDROMALAM[[#This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IFERROR(VLOOKUP(TRANSHARI8_HYDROPAGI[[#This Row],[PRODUK]],DATA_HYDRO[],10,FALSE),"")</f>
        <v/>
      </c>
      <c r="E378" s="374"/>
      <c r="F378" s="369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8" s="369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8" s="12"/>
      <c r="I378" s="384" t="str">
        <f>IFERROR(IF(TRANSHARI8_HYDROPAGI[[#This Row],[NAMA REKENING]]="","",TRANSHARI8_HYDROPAGI[[#This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IFERROR(VLOOKUP(TRANSHARI8_HYDROMALAM[[#This Row],[PRODUK]],DATA_HYDRO[],10,FALSE),"")</f>
        <v/>
      </c>
      <c r="T378" s="374"/>
      <c r="U378" s="369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8" s="369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8" s="12"/>
      <c r="X378" s="384" t="str">
        <f>IFERROR(IF(TRANSHARI8_HYDROMALAM[[#This Row],[NAMA REKENING]]="","",TRANSHARI8_HYDROMALAM[[#This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IFERROR(VLOOKUP(TRANSHARI8_HYDROPAGI[[#This Row],[PRODUK]],DATA_HYDRO[],10,FALSE),"")</f>
        <v/>
      </c>
      <c r="E379" s="374"/>
      <c r="F379" s="373" t="str">
        <f>IFERROR(IF(TRANSHARI8_HYDROPAGI[[#This Row],[NAMA PENGHUTANG]]="",((TRANSHARI8_HYDROPAGI[[#This Row],[HARGA]]*TRANSHARI8_HYDROPAGI[[#This Row],[QUANTITY]])+TRANSHARI8_HYDROPAGI[[#This Row],[PRICE TOLERANCE]]),""),"")</f>
        <v/>
      </c>
      <c r="G379" s="373" t="str">
        <f>IFERROR(IF(TRANSHARI8_HYDROPAGI[[#This Row],[NAMA PENGHUTANG]]="","",((TRANSHARI8_HYDROPAGI[[#This Row],[HARGA]]*TRANSHARI8_HYDROPAGI[[#This Row],[QUANTITY]])+TRANSHARI8_HYDROPAGI[[#This Row],[PRICE TOLERANCE]])),"")</f>
        <v/>
      </c>
      <c r="H379" s="12"/>
      <c r="I379" s="386" t="str">
        <f>IFERROR(IF(TRANSHARI8_HYDROPAGI[[#This Row],[NAMA REKENING]]="","",TRANSHARI8_HYDROPAGI[[#This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IFERROR(VLOOKUP(TRANSHARI8_HYDROMALAM[[#This Row],[PRODUK]],DATA_HYDRO[],10,FALSE),"")</f>
        <v/>
      </c>
      <c r="T379" s="374"/>
      <c r="U379" s="373" t="str">
        <f>IFERROR(IF(TRANSHARI8_HYDROMALAM[[#This Row],[NAMA PENGHUTANG]]="",((TRANSHARI8_HYDROMALAM[[#This Row],[HARGA]]*TRANSHARI8_HYDROMALAM[[#This Row],[QUANTITY]])+TRANSHARI8_HYDROMALAM[[#This Row],[PRICE TOLERANCE]]),""),"")</f>
        <v/>
      </c>
      <c r="V379" s="373" t="str">
        <f>IFERROR(IF(TRANSHARI8_HYDROMALAM[[#This Row],[NAMA PENGHUTANG]]="","",((TRANSHARI8_HYDROMALAM[[#This Row],[HARGA]]*TRANSHARI8_HYDROMALAM[[#This Row],[QUANTITY]])+TRANSHARI8_HYDROMALAM[[#This Row],[PRICE TOLERANCE]])),"")</f>
        <v/>
      </c>
      <c r="W379" s="12"/>
      <c r="X379" s="386" t="str">
        <f>IFERROR(IF(TRANSHARI8_HYDROMALAM[[#This Row],[NAMA REKENING]]="","",TRANSHARI8_HYDROMALAM[[#This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SUM(TRANSHARI8_HYDROPAGI[QUANTITY])</f>
        <v>0</v>
      </c>
      <c r="E380" s="398">
        <f>SUM(TRANSHARI8_HYDROPAGI[PRICE TOLERANCE])</f>
        <v>0</v>
      </c>
      <c r="F380" s="396">
        <f>SUM(TRANSHARI8_HYDROPAGI[DEBIT])</f>
        <v>0</v>
      </c>
      <c r="G380" s="396">
        <f>SUM(TRANSHARI8_HYDROPAGI[KREDIT])</f>
        <v>0</v>
      </c>
      <c r="I380" s="396">
        <f>SUM(TRANSHARI8_HYDROPAGI[NOMINAL TRANSFER])</f>
        <v>0</v>
      </c>
      <c r="O380" s="324"/>
      <c r="P380" s="303" t="s">
        <v>78</v>
      </c>
      <c r="Q380" s="316"/>
      <c r="R380" s="395">
        <f>SUM(TRANSHARI8_HYDROMALAM[QUANTITY])</f>
        <v>0</v>
      </c>
      <c r="T380" s="398">
        <f>SUM(TRANSHARI8_HYDROMALAM[PRICE TOLERANCE])</f>
        <v>0</v>
      </c>
      <c r="U380" s="396">
        <f>SUM(TRANSHARI8_HYDROMALAM[DEBIT])</f>
        <v>0</v>
      </c>
      <c r="V380" s="396">
        <f>SUM(TRANSHARI8_HYDROMALAM[KREDIT])</f>
        <v>0</v>
      </c>
      <c r="X380" s="396">
        <f>SUM(TRANSHARI8_HYDROMALAM[NOMINAL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224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225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SUM(TRANSHARI8_PULSAPAGI[DEBIT])</f>
        <v>0</v>
      </c>
      <c r="D390" s="431">
        <f>SUM(TRANSHARI8_PULSAPAGI[KREDIT])</f>
        <v>0</v>
      </c>
      <c r="E390" s="432">
        <f>SUM(TRANSHARI8_PULSAPAGI[NOMINAL TRANSFER])</f>
        <v>0</v>
      </c>
      <c r="F390" s="433">
        <f>0</f>
        <v>0</v>
      </c>
      <c r="G390" s="434">
        <f>COUNTA(TRANSHARI8_PULSAPAGI[[DEBIT]:[KREDIT]])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SUM(TRANSHARI8_PULSAMALAM[DEBIT])</f>
        <v>0</v>
      </c>
      <c r="S390" s="431">
        <f>SUM(TRANSHARI8_PULSAMALAM[KREDIT])</f>
        <v>0</v>
      </c>
      <c r="T390" s="432">
        <f>SUM(TRANSHARI8_PULSAMALAM[NOMINAL TRANSFER])</f>
        <v>0</v>
      </c>
      <c r="U390" s="433">
        <f>0</f>
        <v>0</v>
      </c>
      <c r="V390" s="434">
        <f>COUNTA(TRANSHARI8_PULSAMALAM[[DEBIT]:[KREDIT]])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SUM(TRANSHARI8_ROKOKPAGI[DEBIT])</f>
        <v>0</v>
      </c>
      <c r="D391" s="431">
        <f>SUM(TRANSHARI8_ROKOKPAGI[KREDIT])</f>
        <v>0</v>
      </c>
      <c r="E391" s="432">
        <f>SUM(TRANSHARI8_ROKOKPAGI[NOMINAL TRANSFER])</f>
        <v>0</v>
      </c>
      <c r="F391" s="433">
        <f>SUM(TRANSHARI8_ROKOKPAGI[PRICE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SUM(TRANSHARI8_ROKOKMALAM[DEBIT])</f>
        <v>0</v>
      </c>
      <c r="S391" s="431">
        <f>SUM(TRANSHARI8_ROKOKMALAM[KREDIT])</f>
        <v>0</v>
      </c>
      <c r="T391" s="432">
        <f>SUM(TRANSHARI8_ROKOKMALAM[NOMINAL TRANSFER])</f>
        <v>0</v>
      </c>
      <c r="U391" s="433">
        <f>SUM(TRANSHARI8_ROKOKMALAM[PRICE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SUM(TRANSHARI8_SPVOUPAGI[DEBIT])</f>
        <v>0</v>
      </c>
      <c r="D392" s="431">
        <f>SUM(TRANSHARI8_SPVOUPAGI[KREDIT])</f>
        <v>0</v>
      </c>
      <c r="E392" s="432">
        <f>SUM(TRANSHARI8_SPVOUPAGI[NOMINAL TRANSFER])</f>
        <v>0</v>
      </c>
      <c r="F392" s="433">
        <f>SUM(TRANSHARI8_SPVOUPAGI[PRICE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SUM(TRANSHARI8_SPVOUMALAM[DEBIT])</f>
        <v>0</v>
      </c>
      <c r="S392" s="431">
        <f>SUM(TRANSHARI8_SPVOUMALAM[KREDIT])</f>
        <v>0</v>
      </c>
      <c r="T392" s="432">
        <f>SUM(TRANSHARI8_SPVOUMALAM[NOMINAL TRANSFER])</f>
        <v>0</v>
      </c>
      <c r="U392" s="433">
        <f>SUM(TRANSHARI8_SPVOUMALAM[PRICE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SUM(TRANSHARI8_SOFTDRINKPAGI[DEBIT])</f>
        <v>0</v>
      </c>
      <c r="D393" s="431">
        <f>SUM(TRANSHARI8_SOFTDRINKPAGI[KREDIT])</f>
        <v>0</v>
      </c>
      <c r="E393" s="432">
        <f>SUM(TRANSHARI8_SOFTDRINKPAGI[NOMINAL TRANSFER])</f>
        <v>0</v>
      </c>
      <c r="F393" s="433">
        <f>SUM(TRANSHARI8_SOFTDRINKPAGI[PRICE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SUM(TRANSHARI8_SOFTDRINKMALAM[DEBIT])</f>
        <v>0</v>
      </c>
      <c r="S393" s="431">
        <f>SUM(TRANSHARI8_SOFTDRINKMALAM[KREDIT])</f>
        <v>0</v>
      </c>
      <c r="T393" s="432">
        <f>SUM(TRANSHARI8_SOFTDRINKMALAM[NOMINAL TRANSFER])</f>
        <v>0</v>
      </c>
      <c r="U393" s="433">
        <f>SUM(TRANSHARI8_SOFTDRINKMALAM[PRICE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SUM(TRANSHARI8_ICECREAMPAGI[DEBIT])</f>
        <v>0</v>
      </c>
      <c r="D394" s="431">
        <f>SUM(TRANSHARI8_ICECREAMPAGI[KREDIT])</f>
        <v>0</v>
      </c>
      <c r="E394" s="432">
        <f>SUM(TRANSHARI8_ICECREAMPAGI[NOMINAL TRANSFER])</f>
        <v>0</v>
      </c>
      <c r="F394" s="433">
        <f>SUM(TRANSHARI8_ICECREAMPAGI[PRICE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SUM(TRANSHARI8_ICECREAMMALAM[DEBIT])</f>
        <v>0</v>
      </c>
      <c r="S394" s="431">
        <f>SUM(TRANSHARI8_ICECREAMMALAM[KREDIT])</f>
        <v>0</v>
      </c>
      <c r="T394" s="432">
        <f>SUM(TRANSHARI8_ICECREAMMALAM[NOMINAL TRANSFER])</f>
        <v>0</v>
      </c>
      <c r="U394" s="433">
        <f>SUM(TRANSHARI8_ICECREAMMALAM[PRICE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SUM(TRANSHARI8_ACCPAGI[DEBIT])</f>
        <v>0</v>
      </c>
      <c r="D395" s="431">
        <f>SUM(TRANSHARI8_ACCPAGI[KREDIT])</f>
        <v>0</v>
      </c>
      <c r="E395" s="432">
        <f>SUM(TRANSHARI8_ACCPAGI[NOMINAL TRANSFER])</f>
        <v>0</v>
      </c>
      <c r="F395" s="433">
        <f>SUM(TRANSHARI8_ACCPAGI[PRICE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SUM(TRANSHARI8_ACCMALAM[DEBIT])</f>
        <v>0</v>
      </c>
      <c r="S395" s="431">
        <f>SUM(TRANSHARI8_ACCMALAM[KREDIT])</f>
        <v>0</v>
      </c>
      <c r="T395" s="432">
        <f>SUM(TRANSHARI8_ACCMALAM[NOMINAL TRANSFER])</f>
        <v>0</v>
      </c>
      <c r="U395" s="433">
        <f>SUM(TRANSHARI8_ACCMALAM[PRICE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SUM(TRANSHARI8_HYDROPAGI[DEBIT])</f>
        <v>0</v>
      </c>
      <c r="D396" s="437">
        <f>SUM(TRANSHARI8_HYDROPAGI[KREDIT])</f>
        <v>0</v>
      </c>
      <c r="E396" s="438">
        <f>SUM(TRANSHARI8_HYDROPAGI[NOMINAL TRANSFER])</f>
        <v>0</v>
      </c>
      <c r="F396" s="439">
        <f>SUM(TRANSHARI8_HYDROPAGI[PRICE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SUM(TRANSHARI8_HYDROMALAM[DEBIT])</f>
        <v>0</v>
      </c>
      <c r="S396" s="437">
        <f>SUM(TRANSHARI8_HYDROMALAM[KREDIT])</f>
        <v>0</v>
      </c>
      <c r="T396" s="438">
        <f>SUM(TRANSHARI8_HYDROMALAM[NOMINAL TRANSFER])</f>
        <v>0</v>
      </c>
      <c r="U396" s="439">
        <f>SUM(TRANSHARI8_HYDROMALAM[PRICE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 t="shared" ref="V405:V411" si="1"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si="1"/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7'!T430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jP9vbP+esT7CeeRKqZksLHT/4xaTqhk2r+s7FtymHPFgLfxwM+HjUtEUdRSeyzQP6tkvKnXGjPVWCXGfX4xADg==" saltValue="z1attkFvc1u/9hJduovisQ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24:AC447"/>
  <sheetViews>
    <sheetView showGridLines="0" zoomScale="64" zoomScaleNormal="64" topLeftCell="S406" workbookViewId="0">
      <selection activeCell="K295" sqref="K295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226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227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IFERROR(IF(TRANSHARI9_PULSAPAGI[[#This Row],[NAMA REKENING]]="","",TRANSHARI9_PULSAPAGI[[#This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IFERROR(IF(TRANSHARI9_PULSAMALAM[[#This Row],[NAMA REKENING]]="","",TRANSHARI9_PULSAMALAM[[#This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IFERROR(IF(TRANSHARI9_PULSAPAGI[[#This Row],[NAMA REKENING]]="","",TRANSHARI9_PULSAPAGI[[#This Row],[DEBIT]]),"")</f>
        <v/>
      </c>
      <c r="I29" s="311"/>
      <c r="J29" s="326"/>
      <c r="K29" s="330" t="s">
        <v>27</v>
      </c>
      <c r="L29" s="331">
        <f>'HARI 8'!AA33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IFERROR(IF(TRANSHARI9_PULSAMALAM[[#This Row],[NAMA REKENING]]="","",TRANSHARI9_PULSAMALAM[[#This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IFERROR(IF(TRANSHARI9_PULSAPAGI[[#This Row],[NAMA REKENING]]="","",TRANSHARI9_PULSAPAGI[[#This Row],[DEBIT]]),"")</f>
        <v/>
      </c>
      <c r="I30" s="311"/>
      <c r="J30" s="326"/>
      <c r="K30" s="332" t="s">
        <v>30</v>
      </c>
      <c r="L30" s="333">
        <f>SUMIF(TRANSHARI9_PULSAPAGI[APLIKASI],K28,TRANSHARI9_PULSAPAGI[SALDO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IFERROR(IF(TRANSHARI9_PULSAMALAM[[#This Row],[NAMA REKENING]]="","",TRANSHARI9_PULSAMALAM[[#This Row],[DEBIT]]),"")</f>
        <v/>
      </c>
      <c r="X30" s="311"/>
      <c r="Y30" s="326"/>
      <c r="Z30" s="332" t="s">
        <v>30</v>
      </c>
      <c r="AA30" s="333">
        <f>SUMIF(TRANSHARI9_PULSAMALAM[APLIKASI],Z28,TRANSHARI9_PULSAMALAM[SALDO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IFERROR(IF(TRANSHARI9_PULSAPAGI[[#This Row],[NAMA REKENING]]="","",TRANSHARI9_PULSAPAGI[[#This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IFERROR(IF(TRANSHARI9_PULSAMALAM[[#This Row],[NAMA REKENING]]="","",TRANSHARI9_PULSAMALAM[[#This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IFERROR(IF(TRANSHARI9_PULSAPAGI[[#This Row],[NAMA REKENING]]="","",TRANSHARI9_PULSAPAGI[[#This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IFERROR(IF(TRANSHARI9_PULSAMALAM[[#This Row],[NAMA REKENING]]="","",TRANSHARI9_PULSAMALAM[[#This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IFERROR(IF(TRANSHARI9_PULSAPAGI[[#This Row],[NAMA REKENING]]="","",TRANSHARI9_PULSAPAGI[[#This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IFERROR(IF(TRANSHARI9_PULSAMALAM[[#This Row],[NAMA REKENING]]="","",TRANSHARI9_PULSAMALAM[[#This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IFERROR(IF(TRANSHARI9_PULSAPAGI[[#This Row],[NAMA REKENING]]="","",TRANSHARI9_PULSAPAGI[[#This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IFERROR(IF(TRANSHARI9_PULSAMALAM[[#This Row],[NAMA REKENING]]="","",TRANSHARI9_PULSAMALAM[[#This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IFERROR(IF(TRANSHARI9_PULSAPAGI[[#This Row],[NAMA REKENING]]="","",TRANSHARI9_PULSAPAGI[[#This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IFERROR(IF(TRANSHARI9_PULSAMALAM[[#This Row],[NAMA REKENING]]="","",TRANSHARI9_PULSAMALAM[[#This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IFERROR(IF(TRANSHARI9_PULSAPAGI[[#This Row],[NAMA REKENING]]="","",TRANSHARI9_PULSAPAGI[[#This Row],[DEBIT]]),"")</f>
        <v/>
      </c>
      <c r="I36" s="311"/>
      <c r="J36" s="326"/>
      <c r="K36" s="330" t="s">
        <v>27</v>
      </c>
      <c r="L36" s="331">
        <f>'HARI 8'!AA40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IFERROR(IF(TRANSHARI9_PULSAMALAM[[#This Row],[NAMA REKENING]]="","",TRANSHARI9_PULSAMALAM[[#This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IFERROR(IF(TRANSHARI9_PULSAPAGI[[#This Row],[NAMA REKENING]]="","",TRANSHARI9_PULSAPAGI[[#This Row],[DEBIT]]),"")</f>
        <v/>
      </c>
      <c r="I37" s="311"/>
      <c r="J37" s="326"/>
      <c r="K37" s="332" t="s">
        <v>30</v>
      </c>
      <c r="L37" s="333">
        <f>SUMIF(TRANSHARI9_PULSAPAGI[APLIKASI],K35,TRANSHARI9_PULSAPAGI[SALDO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IFERROR(IF(TRANSHARI9_PULSAMALAM[[#This Row],[NAMA REKENING]]="","",TRANSHARI9_PULSAMALAM[[#This Row],[DEBIT]]),"")</f>
        <v/>
      </c>
      <c r="X37" s="311"/>
      <c r="Y37" s="326"/>
      <c r="Z37" s="332" t="s">
        <v>30</v>
      </c>
      <c r="AA37" s="333">
        <f>SUMIF(TRANSHARI9_PULSAMALAM[APLIKASI],Z35,TRANSHARI9_PULSAMALAM[SALDO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IFERROR(IF(TRANSHARI9_PULSAPAGI[[#This Row],[NAMA REKENING]]="","",TRANSHARI9_PULSAPAGI[[#This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IFERROR(IF(TRANSHARI9_PULSAMALAM[[#This Row],[NAMA REKENING]]="","",TRANSHARI9_PULSAMALAM[[#This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IFERROR(IF(TRANSHARI9_PULSAPAGI[[#This Row],[NAMA REKENING]]="","",TRANSHARI9_PULSAPAGI[[#This Row],[DEBIT]]),"")</f>
        <v/>
      </c>
      <c r="I39" s="311"/>
      <c r="J39" s="326"/>
      <c r="K39" s="334" t="s">
        <v>51</v>
      </c>
      <c r="L39" s="335"/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IFERROR(IF(TRANSHARI9_PULSAMALAM[[#This Row],[NAMA REKENING]]="","",TRANSHARI9_PULSAMALAM[[#This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IFERROR(IF(TRANSHARI9_PULSAPAGI[[#This Row],[NAMA REKENING]]="","",TRANSHARI9_PULSAPAGI[[#This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IFERROR(IF(TRANSHARI9_PULSAMALAM[[#This Row],[NAMA REKENING]]="","",TRANSHARI9_PULSAMALAM[[#This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IFERROR(IF(TRANSHARI9_PULSAPAGI[[#This Row],[NAMA REKENING]]="","",TRANSHARI9_PULSAPAGI[[#This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IFERROR(IF(TRANSHARI9_PULSAMALAM[[#This Row],[NAMA REKENING]]="","",TRANSHARI9_PULSAMALAM[[#This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IFERROR(IF(TRANSHARI9_PULSAPAGI[[#This Row],[NAMA REKENING]]="","",TRANSHARI9_PULSAPAGI[[#This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IFERROR(IF(TRANSHARI9_PULSAMALAM[[#This Row],[NAMA REKENING]]="","",TRANSHARI9_PULSAMALAM[[#This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IFERROR(IF(TRANSHARI9_PULSAPAGI[[#This Row],[NAMA REKENING]]="","",TRANSHARI9_PULSAPAGI[[#This Row],[DEBIT]]),"")</f>
        <v/>
      </c>
      <c r="I43" s="311"/>
      <c r="J43" s="326"/>
      <c r="K43" s="330" t="s">
        <v>27</v>
      </c>
      <c r="L43" s="331">
        <f>'HARI 8'!AA47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IFERROR(IF(TRANSHARI9_PULSAMALAM[[#This Row],[NAMA REKENING]]="","",TRANSHARI9_PULSAMALAM[[#This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IFERROR(IF(TRANSHARI9_PULSAPAGI[[#This Row],[NAMA REKENING]]="","",TRANSHARI9_PULSAPAGI[[#This Row],[DEBIT]]),"")</f>
        <v/>
      </c>
      <c r="I44" s="311"/>
      <c r="J44" s="326"/>
      <c r="K44" s="332" t="s">
        <v>30</v>
      </c>
      <c r="L44" s="333">
        <f>SUMIF(TRANSHARI9_PULSAPAGI[APLIKASI],K42,TRANSHARI9_PULSAPAGI[SALDO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IFERROR(IF(TRANSHARI9_PULSAMALAM[[#This Row],[NAMA REKENING]]="","",TRANSHARI9_PULSAMALAM[[#This Row],[DEBIT]]),"")</f>
        <v/>
      </c>
      <c r="X44" s="311"/>
      <c r="Y44" s="326"/>
      <c r="Z44" s="332" t="s">
        <v>30</v>
      </c>
      <c r="AA44" s="333">
        <f>SUMIF(TRANSHARI9_PULSAMALAM[APLIKASI],Z42,TRANSHARI9_PULSAMALAM[SALDO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IFERROR(IF(TRANSHARI9_PULSAPAGI[[#This Row],[NAMA REKENING]]="","",TRANSHARI9_PULSAPAGI[[#This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IFERROR(IF(TRANSHARI9_PULSAMALAM[[#This Row],[NAMA REKENING]]="","",TRANSHARI9_PULSAMALAM[[#This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IFERROR(IF(TRANSHARI9_PULSAPAGI[[#This Row],[NAMA REKENING]]="","",TRANSHARI9_PULSAPAGI[[#This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IFERROR(IF(TRANSHARI9_PULSAMALAM[[#This Row],[NAMA REKENING]]="","",TRANSHARI9_PULSAMALAM[[#This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IFERROR(IF(TRANSHARI9_PULSAPAGI[[#This Row],[NAMA REKENING]]="","",TRANSHARI9_PULSAPAGI[[#This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IFERROR(IF(TRANSHARI9_PULSAMALAM[[#This Row],[NAMA REKENING]]="","",TRANSHARI9_PULSAMALAM[[#This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IFERROR(IF(TRANSHARI9_PULSAPAGI[[#This Row],[NAMA REKENING]]="","",TRANSHARI9_PULSAPAGI[[#This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IFERROR(IF(TRANSHARI9_PULSAMALAM[[#This Row],[NAMA REKENING]]="","",TRANSHARI9_PULSAMALAM[[#This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IFERROR(IF(TRANSHARI9_PULSAPAGI[[#This Row],[NAMA REKENING]]="","",TRANSHARI9_PULSAPAGI[[#This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IFERROR(IF(TRANSHARI9_PULSAMALAM[[#This Row],[NAMA REKENING]]="","",TRANSHARI9_PULSAMALAM[[#This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IFERROR(IF(TRANSHARI9_PULSAPAGI[[#This Row],[NAMA REKENING]]="","",TRANSHARI9_PULSAPAGI[[#This Row],[DEBIT]]),"")</f>
        <v/>
      </c>
      <c r="I50" s="311"/>
      <c r="J50" s="326"/>
      <c r="K50" s="330" t="s">
        <v>27</v>
      </c>
      <c r="L50" s="331">
        <f>'HARI 8'!AA54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IFERROR(IF(TRANSHARI9_PULSAMALAM[[#This Row],[NAMA REKENING]]="","",TRANSHARI9_PULSAMALAM[[#This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IFERROR(IF(TRANSHARI9_PULSAPAGI[[#This Row],[NAMA REKENING]]="","",TRANSHARI9_PULSAPAGI[[#This Row],[DEBIT]]),"")</f>
        <v/>
      </c>
      <c r="I51" s="311"/>
      <c r="J51" s="326"/>
      <c r="K51" s="332" t="s">
        <v>30</v>
      </c>
      <c r="L51" s="333">
        <f>SUMIF(TRANSHARI9_PULSAPAGI[APLIKASI],K49,TRANSHARI9_PULSAPAGI[SALDO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IFERROR(IF(TRANSHARI9_PULSAMALAM[[#This Row],[NAMA REKENING]]="","",TRANSHARI9_PULSAMALAM[[#This Row],[DEBIT]]),"")</f>
        <v/>
      </c>
      <c r="X51" s="311"/>
      <c r="Y51" s="326"/>
      <c r="Z51" s="332" t="s">
        <v>30</v>
      </c>
      <c r="AA51" s="333">
        <f>SUMIF(TRANSHARI9_PULSAMALAM[APLIKASI],Z49,TRANSHARI9_PULSAMALAM[SALDO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IFERROR(IF(TRANSHARI9_PULSAPAGI[[#This Row],[NAMA REKENING]]="","",TRANSHARI9_PULSAPAGI[[#This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IFERROR(IF(TRANSHARI9_PULSAMALAM[[#This Row],[NAMA REKENING]]="","",TRANSHARI9_PULSAMALAM[[#This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IFERROR(IF(TRANSHARI9_PULSAPAGI[[#This Row],[NAMA REKENING]]="","",TRANSHARI9_PULSAPAGI[[#This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IFERROR(IF(TRANSHARI9_PULSAMALAM[[#This Row],[NAMA REKENING]]="","",TRANSHARI9_PULSAMALAM[[#This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IFERROR(IF(TRANSHARI9_PULSAPAGI[[#This Row],[NAMA REKENING]]="","",TRANSHARI9_PULSAPAGI[[#This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IFERROR(IF(TRANSHARI9_PULSAMALAM[[#This Row],[NAMA REKENING]]="","",TRANSHARI9_PULSAMALAM[[#This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IFERROR(IF(TRANSHARI9_PULSAPAGI[[#This Row],[NAMA REKENING]]="","",TRANSHARI9_PULSAPAGI[[#This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IFERROR(IF(TRANSHARI9_PULSAMALAM[[#This Row],[NAMA REKENING]]="","",TRANSHARI9_PULSAMALAM[[#This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IFERROR(IF(TRANSHARI9_PULSAPAGI[[#This Row],[NAMA REKENING]]="","",TRANSHARI9_PULSAPAGI[[#This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IFERROR(IF(TRANSHARI9_PULSAMALAM[[#This Row],[NAMA REKENING]]="","",TRANSHARI9_PULSAMALAM[[#This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IFERROR(IF(TRANSHARI9_PULSAPAGI[[#This Row],[NAMA REKENING]]="","",TRANSHARI9_PULSAPAGI[[#This Row],[DEBIT]]),"")</f>
        <v/>
      </c>
      <c r="I57" s="311"/>
      <c r="J57" s="326"/>
      <c r="K57" s="330" t="s">
        <v>27</v>
      </c>
      <c r="L57" s="331">
        <f>'HARI 8'!AA61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IFERROR(IF(TRANSHARI9_PULSAMALAM[[#This Row],[NAMA REKENING]]="","",TRANSHARI9_PULSAMALAM[[#This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IFERROR(IF(TRANSHARI9_PULSAPAGI[[#This Row],[NAMA REKENING]]="","",TRANSHARI9_PULSAPAGI[[#This Row],[DEBIT]]),"")</f>
        <v/>
      </c>
      <c r="I58" s="311"/>
      <c r="J58" s="326"/>
      <c r="K58" s="332" t="s">
        <v>30</v>
      </c>
      <c r="L58" s="333">
        <f>SUMIF(TRANSHARI9_PULSAPAGI[APLIKASI],K56,TRANSHARI9_PULSAPAGI[SALDO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IFERROR(IF(TRANSHARI9_PULSAMALAM[[#This Row],[NAMA REKENING]]="","",TRANSHARI9_PULSAMALAM[[#This Row],[DEBIT]]),"")</f>
        <v/>
      </c>
      <c r="X58" s="311"/>
      <c r="Y58" s="326"/>
      <c r="Z58" s="332" t="s">
        <v>30</v>
      </c>
      <c r="AA58" s="333">
        <f>SUMIF(TRANSHARI9_PULSAMALAM[APLIKASI],Z56,TRANSHARI9_PULSAMALAM[SALDO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IFERROR(IF(TRANSHARI9_PULSAPAGI[[#This Row],[NAMA REKENING]]="","",TRANSHARI9_PULSAPAGI[[#This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IFERROR(IF(TRANSHARI9_PULSAMALAM[[#This Row],[NAMA REKENING]]="","",TRANSHARI9_PULSAMALAM[[#This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IFERROR(IF(TRANSHARI9_PULSAPAGI[[#This Row],[NAMA REKENING]]="","",TRANSHARI9_PULSAPAGI[[#This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IFERROR(IF(TRANSHARI9_PULSAMALAM[[#This Row],[NAMA REKENING]]="","",TRANSHARI9_PULSAMALAM[[#This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IFERROR(IF(TRANSHARI9_PULSAPAGI[[#This Row],[NAMA REKENING]]="","",TRANSHARI9_PULSAPAGI[[#This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IFERROR(IF(TRANSHARI9_PULSAMALAM[[#This Row],[NAMA REKENING]]="","",TRANSHARI9_PULSAMALAM[[#This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IFERROR(IF(TRANSHARI9_PULSAPAGI[[#This Row],[NAMA REKENING]]="","",TRANSHARI9_PULSAPAGI[[#This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IFERROR(IF(TRANSHARI9_PULSAMALAM[[#This Row],[NAMA REKENING]]="","",TRANSHARI9_PULSAMALAM[[#This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IFERROR(IF(TRANSHARI9_PULSAPAGI[[#This Row],[NAMA REKENING]]="","",TRANSHARI9_PULSAPAGI[[#This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IFERROR(IF(TRANSHARI9_PULSAMALAM[[#This Row],[NAMA REKENING]]="","",TRANSHARI9_PULSAMALAM[[#This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IFERROR(IF(TRANSHARI9_PULSAPAGI[[#This Row],[NAMA REKENING]]="","",TRANSHARI9_PULSAPAGI[[#This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IFERROR(IF(TRANSHARI9_PULSAMALAM[[#This Row],[NAMA REKENING]]="","",TRANSHARI9_PULSAMALAM[[#This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IFERROR(IF(TRANSHARI9_PULSAPAGI[[#This Row],[NAMA REKENING]]="","",TRANSHARI9_PULSAPAGI[[#This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IFERROR(IF(TRANSHARI9_PULSAMALAM[[#This Row],[NAMA REKENING]]="","",TRANSHARI9_PULSAMALAM[[#This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IFERROR(IF(TRANSHARI9_PULSAPAGI[[#This Row],[NAMA REKENING]]="","",TRANSHARI9_PULSAPAGI[[#This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IFERROR(IF(TRANSHARI9_PULSAMALAM[[#This Row],[NAMA REKENING]]="","",TRANSHARI9_PULSAMALAM[[#This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IFERROR(IF(TRANSHARI9_PULSAPAGI[[#This Row],[NAMA REKENING]]="","",TRANSHARI9_PULSAPAGI[[#This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IFERROR(IF(TRANSHARI9_PULSAMALAM[[#This Row],[NAMA REKENING]]="","",TRANSHARI9_PULSAMALAM[[#This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IFERROR(IF(TRANSHARI9_PULSAPAGI[[#This Row],[NAMA REKENING]]="","",TRANSHARI9_PULSAPAGI[[#This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IFERROR(IF(TRANSHARI9_PULSAMALAM[[#This Row],[NAMA REKENING]]="","",TRANSHARI9_PULSAMALAM[[#This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IFERROR(IF(TRANSHARI9_PULSAPAGI[[#This Row],[NAMA REKENING]]="","",TRANSHARI9_PULSAPAGI[[#This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IFERROR(IF(TRANSHARI9_PULSAMALAM[[#This Row],[NAMA REKENING]]="","",TRANSHARI9_PULSAMALAM[[#This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IFERROR(IF(TRANSHARI9_PULSAPAGI[[#This Row],[NAMA REKENING]]="","",TRANSHARI9_PULSAPAGI[[#This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IFERROR(IF(TRANSHARI9_PULSAMALAM[[#This Row],[NAMA REKENING]]="","",TRANSHARI9_PULSAMALAM[[#This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IFERROR(IF(TRANSHARI9_PULSAPAGI[[#This Row],[NAMA REKENING]]="","",TRANSHARI9_PULSAPAGI[[#This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IFERROR(IF(TRANSHARI9_PULSAMALAM[[#This Row],[NAMA REKENING]]="","",TRANSHARI9_PULSAMALAM[[#This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IFERROR(IF(TRANSHARI9_PULSAPAGI[[#This Row],[NAMA REKENING]]="","",TRANSHARI9_PULSAPAGI[[#This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IFERROR(IF(TRANSHARI9_PULSAMALAM[[#This Row],[NAMA REKENING]]="","",TRANSHARI9_PULSAMALAM[[#This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IFERROR(IF(TRANSHARI9_PULSAPAGI[[#This Row],[NAMA REKENING]]="","",TRANSHARI9_PULSAPAGI[[#This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IFERROR(IF(TRANSHARI9_PULSAMALAM[[#This Row],[NAMA REKENING]]="","",TRANSHARI9_PULSAMALAM[[#This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IFERROR(IF(TRANSHARI9_PULSAPAGI[[#This Row],[NAMA REKENING]]="","",TRANSHARI9_PULSAPAGI[[#This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IFERROR(IF(TRANSHARI9_PULSAMALAM[[#This Row],[NAMA REKENING]]="","",TRANSHARI9_PULSAMALAM[[#This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IFERROR(IF(TRANSHARI9_PULSAPAGI[[#This Row],[NAMA REKENING]]="","",TRANSHARI9_PULSAPAGI[[#This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IFERROR(IF(TRANSHARI9_PULSAMALAM[[#This Row],[NAMA REKENING]]="","",TRANSHARI9_PULSAMALAM[[#This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IFERROR(IF(TRANSHARI9_PULSAPAGI[[#This Row],[NAMA REKENING]]="","",TRANSHARI9_PULSAPAGI[[#This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IFERROR(IF(TRANSHARI9_PULSAMALAM[[#This Row],[NAMA REKENING]]="","",TRANSHARI9_PULSAMALAM[[#This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IFERROR(IF(TRANSHARI9_PULSAPAGI[[#This Row],[NAMA REKENING]]="","",TRANSHARI9_PULSAPAGI[[#This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IFERROR(IF(TRANSHARI9_PULSAMALAM[[#This Row],[NAMA REKENING]]="","",TRANSHARI9_PULSAMALAM[[#This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SUM(TRANSHARI9_PULSAPAGI[DEBIT])</f>
        <v>0</v>
      </c>
      <c r="D78" s="353">
        <f>SUM(TRANSHARI9_PULSAPAGI[KREDIT])</f>
        <v>0</v>
      </c>
      <c r="E78" s="167"/>
      <c r="F78" s="354">
        <f>SUM(TRANSHARI9_PULSAPAGI[SALDO MINUS])</f>
        <v>0</v>
      </c>
      <c r="G78" s="167"/>
      <c r="H78" s="355">
        <f>SUM(TRANSHARI9_PULSAPAGI[NOMINAL TRANSFER])</f>
        <v>0</v>
      </c>
      <c r="I78" s="167"/>
      <c r="O78" s="324"/>
      <c r="P78" s="379" t="s">
        <v>64</v>
      </c>
      <c r="Q78" s="352"/>
      <c r="R78" s="353">
        <f>SUM(TRANSHARI9_PULSAMALAM[DEBIT])</f>
        <v>0</v>
      </c>
      <c r="S78" s="353">
        <f>SUM(TRANSHARI9_PULSAMALAM[KREDIT])</f>
        <v>0</v>
      </c>
      <c r="T78" s="167"/>
      <c r="U78" s="354">
        <f>SUM(TRANSHARI9_PULSAMALAM[SALDO MINUS])</f>
        <v>0</v>
      </c>
      <c r="V78" s="167"/>
      <c r="W78" s="355">
        <f>SUM(TRANSHARI9_PULSAMALAM[NOMINAL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tr">
        <f>A25</f>
        <v>HARI 9 : PAGI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tr">
        <f>P25</f>
        <v>HARI 9 : MALAM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IFERROR(VLOOKUP(TRANSHARI9_ROKOKPAGI[[#This Row],[PRODUK]],DATA_ROKOK[],11,FALSE),"")</f>
        <v/>
      </c>
      <c r="E85" s="370"/>
      <c r="F85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85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85" s="371"/>
      <c r="I85" s="384" t="str">
        <f>IFERROR(IF(TRANSHARI9_ROKOKPAGI[[#This Row],[NAMA REKENING]]="","",TRANSHARI9_ROKOKPAGI[[#This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IFERROR(VLOOKUP(TRANSHARI9_ROKOKMALAM[[#This Row],[PRODUK]],DATA_ROKOK[],11,FALSE),"")</f>
        <v/>
      </c>
      <c r="T85" s="370"/>
      <c r="U85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85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85" s="371"/>
      <c r="X85" s="384" t="str">
        <f>IFERROR(IF(TRANSHARI9_ROKOKMALAM[[#This Row],[NAMA REKENING]]="","",TRANSHARI9_ROKOKMALAM[[#This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IFERROR(VLOOKUP(TRANSHARI9_ROKOKPAGI[[#This Row],[PRODUK]],DATA_ROKOK[],11,FALSE),"")</f>
        <v/>
      </c>
      <c r="E86" s="374"/>
      <c r="F86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86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86" s="12"/>
      <c r="I86" s="386" t="str">
        <f>IFERROR(IF(TRANSHARI9_ROKOKPAGI[[#This Row],[NAMA REKENING]]="","",TRANSHARI9_ROKOKPAGI[[#This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IFERROR(VLOOKUP(TRANSHARI9_ROKOKMALAM[[#This Row],[PRODUK]],DATA_ROKOK[],11,FALSE),"")</f>
        <v/>
      </c>
      <c r="T86" s="374"/>
      <c r="U86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86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86" s="12"/>
      <c r="X86" s="386" t="str">
        <f>IFERROR(IF(TRANSHARI9_ROKOKMALAM[[#This Row],[NAMA REKENING]]="","",TRANSHARI9_ROKOKMALAM[[#This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IFERROR(VLOOKUP(TRANSHARI9_ROKOKPAGI[[#This Row],[PRODUK]],DATA_ROKOK[],11,FALSE),"")</f>
        <v/>
      </c>
      <c r="E87" s="374"/>
      <c r="F87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87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87" s="12"/>
      <c r="I87" s="384" t="str">
        <f>IFERROR(IF(TRANSHARI9_ROKOKPAGI[[#This Row],[NAMA REKENING]]="","",TRANSHARI9_ROKOKPAGI[[#This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IFERROR(VLOOKUP(TRANSHARI9_ROKOKMALAM[[#This Row],[PRODUK]],DATA_ROKOK[],11,FALSE),"")</f>
        <v/>
      </c>
      <c r="T87" s="374"/>
      <c r="U87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87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87" s="12"/>
      <c r="X87" s="384" t="str">
        <f>IFERROR(IF(TRANSHARI9_ROKOKMALAM[[#This Row],[NAMA REKENING]]="","",TRANSHARI9_ROKOKMALAM[[#This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IFERROR(VLOOKUP(TRANSHARI9_ROKOKPAGI[[#This Row],[PRODUK]],DATA_ROKOK[],11,FALSE),"")</f>
        <v/>
      </c>
      <c r="E88" s="374"/>
      <c r="F88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88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88" s="12"/>
      <c r="I88" s="386" t="str">
        <f>IFERROR(IF(TRANSHARI9_ROKOKPAGI[[#This Row],[NAMA REKENING]]="","",TRANSHARI9_ROKOKPAGI[[#This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IFERROR(VLOOKUP(TRANSHARI9_ROKOKMALAM[[#This Row],[PRODUK]],DATA_ROKOK[],11,FALSE),"")</f>
        <v/>
      </c>
      <c r="T88" s="374"/>
      <c r="U88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88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88" s="12"/>
      <c r="X88" s="386" t="str">
        <f>IFERROR(IF(TRANSHARI9_ROKOKMALAM[[#This Row],[NAMA REKENING]]="","",TRANSHARI9_ROKOKMALAM[[#This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IFERROR(VLOOKUP(TRANSHARI9_ROKOKPAGI[[#This Row],[PRODUK]],DATA_ROKOK[],11,FALSE),"")</f>
        <v/>
      </c>
      <c r="E89" s="374"/>
      <c r="F89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89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89" s="12"/>
      <c r="I89" s="384" t="str">
        <f>IFERROR(IF(TRANSHARI9_ROKOKPAGI[[#This Row],[NAMA REKENING]]="","",TRANSHARI9_ROKOKPAGI[[#This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IFERROR(VLOOKUP(TRANSHARI9_ROKOKMALAM[[#This Row],[PRODUK]],DATA_ROKOK[],11,FALSE),"")</f>
        <v/>
      </c>
      <c r="T89" s="374"/>
      <c r="U89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89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89" s="12"/>
      <c r="X89" s="384" t="str">
        <f>IFERROR(IF(TRANSHARI9_ROKOKMALAM[[#This Row],[NAMA REKENING]]="","",TRANSHARI9_ROKOKMALAM[[#This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IFERROR(VLOOKUP(TRANSHARI9_ROKOKPAGI[[#This Row],[PRODUK]],DATA_ROKOK[],11,FALSE),"")</f>
        <v/>
      </c>
      <c r="E90" s="374"/>
      <c r="F90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0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0" s="12"/>
      <c r="I90" s="386" t="str">
        <f>IFERROR(IF(TRANSHARI9_ROKOKPAGI[[#This Row],[NAMA REKENING]]="","",TRANSHARI9_ROKOKPAGI[[#This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IFERROR(VLOOKUP(TRANSHARI9_ROKOKMALAM[[#This Row],[PRODUK]],DATA_ROKOK[],11,FALSE),"")</f>
        <v/>
      </c>
      <c r="T90" s="374"/>
      <c r="U90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0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0" s="12"/>
      <c r="X90" s="386" t="str">
        <f>IFERROR(IF(TRANSHARI9_ROKOKMALAM[[#This Row],[NAMA REKENING]]="","",TRANSHARI9_ROKOKMALAM[[#This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IFERROR(VLOOKUP(TRANSHARI9_ROKOKPAGI[[#This Row],[PRODUK]],DATA_ROKOK[],11,FALSE),"")</f>
        <v/>
      </c>
      <c r="E91" s="374"/>
      <c r="F91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1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1" s="12"/>
      <c r="I91" s="384" t="str">
        <f>IFERROR(IF(TRANSHARI9_ROKOKPAGI[[#This Row],[NAMA REKENING]]="","",TRANSHARI9_ROKOKPAGI[[#This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IFERROR(VLOOKUP(TRANSHARI9_ROKOKMALAM[[#This Row],[PRODUK]],DATA_ROKOK[],11,FALSE),"")</f>
        <v/>
      </c>
      <c r="T91" s="374"/>
      <c r="U91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1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1" s="12"/>
      <c r="X91" s="384" t="str">
        <f>IFERROR(IF(TRANSHARI9_ROKOKMALAM[[#This Row],[NAMA REKENING]]="","",TRANSHARI9_ROKOKMALAM[[#This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IFERROR(VLOOKUP(TRANSHARI9_ROKOKPAGI[[#This Row],[PRODUK]],DATA_ROKOK[],11,FALSE),"")</f>
        <v/>
      </c>
      <c r="E92" s="374"/>
      <c r="F92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2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2" s="12"/>
      <c r="I92" s="386" t="str">
        <f>IFERROR(IF(TRANSHARI9_ROKOKPAGI[[#This Row],[NAMA REKENING]]="","",TRANSHARI9_ROKOKPAGI[[#This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IFERROR(VLOOKUP(TRANSHARI9_ROKOKMALAM[[#This Row],[PRODUK]],DATA_ROKOK[],11,FALSE),"")</f>
        <v/>
      </c>
      <c r="T92" s="374"/>
      <c r="U92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2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2" s="12"/>
      <c r="X92" s="386" t="str">
        <f>IFERROR(IF(TRANSHARI9_ROKOKMALAM[[#This Row],[NAMA REKENING]]="","",TRANSHARI9_ROKOKMALAM[[#This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IFERROR(VLOOKUP(TRANSHARI9_ROKOKPAGI[[#This Row],[PRODUK]],DATA_ROKOK[],11,FALSE),"")</f>
        <v/>
      </c>
      <c r="E93" s="374"/>
      <c r="F93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3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3" s="12"/>
      <c r="I93" s="384" t="str">
        <f>IFERROR(IF(TRANSHARI9_ROKOKPAGI[[#This Row],[NAMA REKENING]]="","",TRANSHARI9_ROKOKPAGI[[#This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IFERROR(VLOOKUP(TRANSHARI9_ROKOKMALAM[[#This Row],[PRODUK]],DATA_ROKOK[],11,FALSE),"")</f>
        <v/>
      </c>
      <c r="T93" s="374"/>
      <c r="U93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3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3" s="12"/>
      <c r="X93" s="384" t="str">
        <f>IFERROR(IF(TRANSHARI9_ROKOKMALAM[[#This Row],[NAMA REKENING]]="","",TRANSHARI9_ROKOKMALAM[[#This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IFERROR(VLOOKUP(TRANSHARI9_ROKOKPAGI[[#This Row],[PRODUK]],DATA_ROKOK[],11,FALSE),"")</f>
        <v/>
      </c>
      <c r="E94" s="374"/>
      <c r="F94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4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4" s="12"/>
      <c r="I94" s="386" t="str">
        <f>IFERROR(IF(TRANSHARI9_ROKOKPAGI[[#This Row],[NAMA REKENING]]="","",TRANSHARI9_ROKOKPAGI[[#This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IFERROR(VLOOKUP(TRANSHARI9_ROKOKMALAM[[#This Row],[PRODUK]],DATA_ROKOK[],11,FALSE),"")</f>
        <v/>
      </c>
      <c r="T94" s="374"/>
      <c r="U94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4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4" s="12"/>
      <c r="X94" s="386" t="str">
        <f>IFERROR(IF(TRANSHARI9_ROKOKMALAM[[#This Row],[NAMA REKENING]]="","",TRANSHARI9_ROKOKMALAM[[#This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IFERROR(VLOOKUP(TRANSHARI9_ROKOKPAGI[[#This Row],[PRODUK]],DATA_ROKOK[],11,FALSE),"")</f>
        <v/>
      </c>
      <c r="E95" s="374"/>
      <c r="F95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5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5" s="12"/>
      <c r="I95" s="384" t="str">
        <f>IFERROR(IF(TRANSHARI9_ROKOKPAGI[[#This Row],[NAMA REKENING]]="","",TRANSHARI9_ROKOKPAGI[[#This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IFERROR(VLOOKUP(TRANSHARI9_ROKOKMALAM[[#This Row],[PRODUK]],DATA_ROKOK[],11,FALSE),"")</f>
        <v/>
      </c>
      <c r="T95" s="374"/>
      <c r="U95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5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5" s="12"/>
      <c r="X95" s="384" t="str">
        <f>IFERROR(IF(TRANSHARI9_ROKOKMALAM[[#This Row],[NAMA REKENING]]="","",TRANSHARI9_ROKOKMALAM[[#This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IFERROR(VLOOKUP(TRANSHARI9_ROKOKPAGI[[#This Row],[PRODUK]],DATA_ROKOK[],11,FALSE),"")</f>
        <v/>
      </c>
      <c r="E96" s="374"/>
      <c r="F96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6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6" s="12"/>
      <c r="I96" s="386" t="str">
        <f>IFERROR(IF(TRANSHARI9_ROKOKPAGI[[#This Row],[NAMA REKENING]]="","",TRANSHARI9_ROKOKPAGI[[#This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IFERROR(VLOOKUP(TRANSHARI9_ROKOKMALAM[[#This Row],[PRODUK]],DATA_ROKOK[],11,FALSE),"")</f>
        <v/>
      </c>
      <c r="T96" s="374"/>
      <c r="U96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6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6" s="12"/>
      <c r="X96" s="386" t="str">
        <f>IFERROR(IF(TRANSHARI9_ROKOKMALAM[[#This Row],[NAMA REKENING]]="","",TRANSHARI9_ROKOKMALAM[[#This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IFERROR(VLOOKUP(TRANSHARI9_ROKOKPAGI[[#This Row],[PRODUK]],DATA_ROKOK[],11,FALSE),"")</f>
        <v/>
      </c>
      <c r="E97" s="374"/>
      <c r="F97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7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7" s="12"/>
      <c r="I97" s="384" t="str">
        <f>IFERROR(IF(TRANSHARI9_ROKOKPAGI[[#This Row],[NAMA REKENING]]="","",TRANSHARI9_ROKOKPAGI[[#This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IFERROR(VLOOKUP(TRANSHARI9_ROKOKMALAM[[#This Row],[PRODUK]],DATA_ROKOK[],11,FALSE),"")</f>
        <v/>
      </c>
      <c r="T97" s="374"/>
      <c r="U97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7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7" s="12"/>
      <c r="X97" s="384" t="str">
        <f>IFERROR(IF(TRANSHARI9_ROKOKMALAM[[#This Row],[NAMA REKENING]]="","",TRANSHARI9_ROKOKMALAM[[#This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IFERROR(VLOOKUP(TRANSHARI9_ROKOKPAGI[[#This Row],[PRODUK]],DATA_ROKOK[],11,FALSE),"")</f>
        <v/>
      </c>
      <c r="E98" s="374"/>
      <c r="F98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8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8" s="12"/>
      <c r="I98" s="386" t="str">
        <f>IFERROR(IF(TRANSHARI9_ROKOKPAGI[[#This Row],[NAMA REKENING]]="","",TRANSHARI9_ROKOKPAGI[[#This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IFERROR(VLOOKUP(TRANSHARI9_ROKOKMALAM[[#This Row],[PRODUK]],DATA_ROKOK[],11,FALSE),"")</f>
        <v/>
      </c>
      <c r="T98" s="374"/>
      <c r="U98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8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8" s="12"/>
      <c r="X98" s="386" t="str">
        <f>IFERROR(IF(TRANSHARI9_ROKOKMALAM[[#This Row],[NAMA REKENING]]="","",TRANSHARI9_ROKOKMALAM[[#This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IFERROR(VLOOKUP(TRANSHARI9_ROKOKPAGI[[#This Row],[PRODUK]],DATA_ROKOK[],11,FALSE),"")</f>
        <v/>
      </c>
      <c r="E99" s="374"/>
      <c r="F99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99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99" s="12"/>
      <c r="I99" s="384" t="str">
        <f>IFERROR(IF(TRANSHARI9_ROKOKPAGI[[#This Row],[NAMA REKENING]]="","",TRANSHARI9_ROKOKPAGI[[#This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IFERROR(VLOOKUP(TRANSHARI9_ROKOKMALAM[[#This Row],[PRODUK]],DATA_ROKOK[],11,FALSE),"")</f>
        <v/>
      </c>
      <c r="T99" s="374"/>
      <c r="U99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99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99" s="12"/>
      <c r="X99" s="384" t="str">
        <f>IFERROR(IF(TRANSHARI9_ROKOKMALAM[[#This Row],[NAMA REKENING]]="","",TRANSHARI9_ROKOKMALAM[[#This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IFERROR(VLOOKUP(TRANSHARI9_ROKOKPAGI[[#This Row],[PRODUK]],DATA_ROKOK[],11,FALSE),"")</f>
        <v/>
      </c>
      <c r="E100" s="374"/>
      <c r="F100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0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0" s="12"/>
      <c r="I100" s="386" t="str">
        <f>IFERROR(IF(TRANSHARI9_ROKOKPAGI[[#This Row],[NAMA REKENING]]="","",TRANSHARI9_ROKOKPAGI[[#This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IFERROR(VLOOKUP(TRANSHARI9_ROKOKMALAM[[#This Row],[PRODUK]],DATA_ROKOK[],11,FALSE),"")</f>
        <v/>
      </c>
      <c r="T100" s="374"/>
      <c r="U100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0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0" s="12"/>
      <c r="X100" s="386" t="str">
        <f>IFERROR(IF(TRANSHARI9_ROKOKMALAM[[#This Row],[NAMA REKENING]]="","",TRANSHARI9_ROKOKMALAM[[#This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IFERROR(VLOOKUP(TRANSHARI9_ROKOKPAGI[[#This Row],[PRODUK]],DATA_ROKOK[],11,FALSE),"")</f>
        <v/>
      </c>
      <c r="E101" s="374"/>
      <c r="F101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1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1" s="12"/>
      <c r="I101" s="384" t="str">
        <f>IFERROR(IF(TRANSHARI9_ROKOKPAGI[[#This Row],[NAMA REKENING]]="","",TRANSHARI9_ROKOKPAGI[[#This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IFERROR(VLOOKUP(TRANSHARI9_ROKOKMALAM[[#This Row],[PRODUK]],DATA_ROKOK[],11,FALSE),"")</f>
        <v/>
      </c>
      <c r="T101" s="374"/>
      <c r="U101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1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1" s="12"/>
      <c r="X101" s="384" t="str">
        <f>IFERROR(IF(TRANSHARI9_ROKOKMALAM[[#This Row],[NAMA REKENING]]="","",TRANSHARI9_ROKOKMALAM[[#This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IFERROR(VLOOKUP(TRANSHARI9_ROKOKPAGI[[#This Row],[PRODUK]],DATA_ROKOK[],11,FALSE),"")</f>
        <v/>
      </c>
      <c r="E102" s="374"/>
      <c r="F102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2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2" s="12"/>
      <c r="I102" s="386" t="str">
        <f>IFERROR(IF(TRANSHARI9_ROKOKPAGI[[#This Row],[NAMA REKENING]]="","",TRANSHARI9_ROKOKPAGI[[#This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IFERROR(VLOOKUP(TRANSHARI9_ROKOKMALAM[[#This Row],[PRODUK]],DATA_ROKOK[],11,FALSE),"")</f>
        <v/>
      </c>
      <c r="T102" s="374"/>
      <c r="U102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2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2" s="12"/>
      <c r="X102" s="386" t="str">
        <f>IFERROR(IF(TRANSHARI9_ROKOKMALAM[[#This Row],[NAMA REKENING]]="","",TRANSHARI9_ROKOKMALAM[[#This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IFERROR(VLOOKUP(TRANSHARI9_ROKOKPAGI[[#This Row],[PRODUK]],DATA_ROKOK[],11,FALSE),"")</f>
        <v/>
      </c>
      <c r="E103" s="374"/>
      <c r="F103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3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3" s="12"/>
      <c r="I103" s="384" t="str">
        <f>IFERROR(IF(TRANSHARI9_ROKOKPAGI[[#This Row],[NAMA REKENING]]="","",TRANSHARI9_ROKOKPAGI[[#This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IFERROR(VLOOKUP(TRANSHARI9_ROKOKMALAM[[#This Row],[PRODUK]],DATA_ROKOK[],11,FALSE),"")</f>
        <v/>
      </c>
      <c r="T103" s="374"/>
      <c r="U103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3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3" s="12"/>
      <c r="X103" s="384" t="str">
        <f>IFERROR(IF(TRANSHARI9_ROKOKMALAM[[#This Row],[NAMA REKENING]]="","",TRANSHARI9_ROKOKMALAM[[#This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IFERROR(VLOOKUP(TRANSHARI9_ROKOKPAGI[[#This Row],[PRODUK]],DATA_ROKOK[],11,FALSE),"")</f>
        <v/>
      </c>
      <c r="E104" s="374"/>
      <c r="F104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4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4" s="12"/>
      <c r="I104" s="386" t="str">
        <f>IFERROR(IF(TRANSHARI9_ROKOKPAGI[[#This Row],[NAMA REKENING]]="","",TRANSHARI9_ROKOKPAGI[[#This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IFERROR(VLOOKUP(TRANSHARI9_ROKOKMALAM[[#This Row],[PRODUK]],DATA_ROKOK[],11,FALSE),"")</f>
        <v/>
      </c>
      <c r="T104" s="374"/>
      <c r="U104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4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4" s="12"/>
      <c r="X104" s="386" t="str">
        <f>IFERROR(IF(TRANSHARI9_ROKOKMALAM[[#This Row],[NAMA REKENING]]="","",TRANSHARI9_ROKOKMALAM[[#This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IFERROR(VLOOKUP(TRANSHARI9_ROKOKPAGI[[#This Row],[PRODUK]],DATA_ROKOK[],11,FALSE),"")</f>
        <v/>
      </c>
      <c r="E105" s="374"/>
      <c r="F105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5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5" s="12"/>
      <c r="I105" s="384" t="str">
        <f>IFERROR(IF(TRANSHARI9_ROKOKPAGI[[#This Row],[NAMA REKENING]]="","",TRANSHARI9_ROKOKPAGI[[#This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IFERROR(VLOOKUP(TRANSHARI9_ROKOKMALAM[[#This Row],[PRODUK]],DATA_ROKOK[],11,FALSE),"")</f>
        <v/>
      </c>
      <c r="T105" s="374"/>
      <c r="U105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5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5" s="12"/>
      <c r="X105" s="384" t="str">
        <f>IFERROR(IF(TRANSHARI9_ROKOKMALAM[[#This Row],[NAMA REKENING]]="","",TRANSHARI9_ROKOKMALAM[[#This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IFERROR(VLOOKUP(TRANSHARI9_ROKOKPAGI[[#This Row],[PRODUK]],DATA_ROKOK[],11,FALSE),"")</f>
        <v/>
      </c>
      <c r="E106" s="374"/>
      <c r="F106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6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6" s="12"/>
      <c r="I106" s="386" t="str">
        <f>IFERROR(IF(TRANSHARI9_ROKOKPAGI[[#This Row],[NAMA REKENING]]="","",TRANSHARI9_ROKOKPAGI[[#This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IFERROR(VLOOKUP(TRANSHARI9_ROKOKMALAM[[#This Row],[PRODUK]],DATA_ROKOK[],11,FALSE),"")</f>
        <v/>
      </c>
      <c r="T106" s="374"/>
      <c r="U106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6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6" s="12"/>
      <c r="X106" s="386" t="str">
        <f>IFERROR(IF(TRANSHARI9_ROKOKMALAM[[#This Row],[NAMA REKENING]]="","",TRANSHARI9_ROKOKMALAM[[#This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IFERROR(VLOOKUP(TRANSHARI9_ROKOKPAGI[[#This Row],[PRODUK]],DATA_ROKOK[],11,FALSE),"")</f>
        <v/>
      </c>
      <c r="E107" s="374"/>
      <c r="F107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7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7" s="12"/>
      <c r="I107" s="384" t="str">
        <f>IFERROR(IF(TRANSHARI9_ROKOKPAGI[[#This Row],[NAMA REKENING]]="","",TRANSHARI9_ROKOKPAGI[[#This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IFERROR(VLOOKUP(TRANSHARI9_ROKOKMALAM[[#This Row],[PRODUK]],DATA_ROKOK[],11,FALSE),"")</f>
        <v/>
      </c>
      <c r="T107" s="374"/>
      <c r="U107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7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7" s="12"/>
      <c r="X107" s="384" t="str">
        <f>IFERROR(IF(TRANSHARI9_ROKOKMALAM[[#This Row],[NAMA REKENING]]="","",TRANSHARI9_ROKOKMALAM[[#This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IFERROR(VLOOKUP(TRANSHARI9_ROKOKPAGI[[#This Row],[PRODUK]],DATA_ROKOK[],11,FALSE),"")</f>
        <v/>
      </c>
      <c r="E108" s="374"/>
      <c r="F108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8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8" s="12"/>
      <c r="I108" s="386" t="str">
        <f>IFERROR(IF(TRANSHARI9_ROKOKPAGI[[#This Row],[NAMA REKENING]]="","",TRANSHARI9_ROKOKPAGI[[#This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IFERROR(VLOOKUP(TRANSHARI9_ROKOKMALAM[[#This Row],[PRODUK]],DATA_ROKOK[],11,FALSE),"")</f>
        <v/>
      </c>
      <c r="T108" s="374"/>
      <c r="U108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8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8" s="12"/>
      <c r="X108" s="386" t="str">
        <f>IFERROR(IF(TRANSHARI9_ROKOKMALAM[[#This Row],[NAMA REKENING]]="","",TRANSHARI9_ROKOKMALAM[[#This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IFERROR(VLOOKUP(TRANSHARI9_ROKOKPAGI[[#This Row],[PRODUK]],DATA_ROKOK[],11,FALSE),"")</f>
        <v/>
      </c>
      <c r="E109" s="374"/>
      <c r="F109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09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09" s="12"/>
      <c r="I109" s="384" t="str">
        <f>IFERROR(IF(TRANSHARI9_ROKOKPAGI[[#This Row],[NAMA REKENING]]="","",TRANSHARI9_ROKOKPAGI[[#This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IFERROR(VLOOKUP(TRANSHARI9_ROKOKMALAM[[#This Row],[PRODUK]],DATA_ROKOK[],11,FALSE),"")</f>
        <v/>
      </c>
      <c r="T109" s="374"/>
      <c r="U109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09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09" s="12"/>
      <c r="X109" s="384" t="str">
        <f>IFERROR(IF(TRANSHARI9_ROKOKMALAM[[#This Row],[NAMA REKENING]]="","",TRANSHARI9_ROKOKMALAM[[#This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IFERROR(VLOOKUP(TRANSHARI9_ROKOKPAGI[[#This Row],[PRODUK]],DATA_ROKOK[],11,FALSE),"")</f>
        <v/>
      </c>
      <c r="E110" s="376"/>
      <c r="F110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0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0" s="377"/>
      <c r="I110" s="386" t="str">
        <f>IFERROR(IF(TRANSHARI9_ROKOKPAGI[[#This Row],[NAMA REKENING]]="","",TRANSHARI9_ROKOKPAGI[[#This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IFERROR(VLOOKUP(TRANSHARI9_ROKOKMALAM[[#This Row],[PRODUK]],DATA_ROKOK[],11,FALSE),"")</f>
        <v/>
      </c>
      <c r="T110" s="376"/>
      <c r="U110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0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0" s="377"/>
      <c r="X110" s="386" t="str">
        <f>IFERROR(IF(TRANSHARI9_ROKOKMALAM[[#This Row],[NAMA REKENING]]="","",TRANSHARI9_ROKOKMALAM[[#This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IFERROR(VLOOKUP(TRANSHARI9_ROKOKPAGI[[#This Row],[PRODUK]],DATA_ROKOK[],11,FALSE),"")</f>
        <v/>
      </c>
      <c r="E111" s="374"/>
      <c r="F111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1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1" s="12"/>
      <c r="I111" s="384" t="str">
        <f>IFERROR(IF(TRANSHARI9_ROKOKPAGI[[#This Row],[NAMA REKENING]]="","",TRANSHARI9_ROKOKPAGI[[#This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IFERROR(VLOOKUP(TRANSHARI9_ROKOKMALAM[[#This Row],[PRODUK]],DATA_ROKOK[],11,FALSE),"")</f>
        <v/>
      </c>
      <c r="T111" s="374"/>
      <c r="U111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1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1" s="12"/>
      <c r="X111" s="384" t="str">
        <f>IFERROR(IF(TRANSHARI9_ROKOKMALAM[[#This Row],[NAMA REKENING]]="","",TRANSHARI9_ROKOKMALAM[[#This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IFERROR(VLOOKUP(TRANSHARI9_ROKOKPAGI[[#This Row],[PRODUK]],DATA_ROKOK[],11,FALSE),"")</f>
        <v/>
      </c>
      <c r="E112" s="374"/>
      <c r="F112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2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2" s="12"/>
      <c r="I112" s="386" t="str">
        <f>IFERROR(IF(TRANSHARI9_ROKOKPAGI[[#This Row],[NAMA REKENING]]="","",TRANSHARI9_ROKOKPAGI[[#This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IFERROR(VLOOKUP(TRANSHARI9_ROKOKMALAM[[#This Row],[PRODUK]],DATA_ROKOK[],11,FALSE),"")</f>
        <v/>
      </c>
      <c r="T112" s="374"/>
      <c r="U112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2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2" s="12"/>
      <c r="X112" s="386" t="str">
        <f>IFERROR(IF(TRANSHARI9_ROKOKMALAM[[#This Row],[NAMA REKENING]]="","",TRANSHARI9_ROKOKMALAM[[#This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IFERROR(VLOOKUP(TRANSHARI9_ROKOKPAGI[[#This Row],[PRODUK]],DATA_ROKOK[],11,FALSE),"")</f>
        <v/>
      </c>
      <c r="E113" s="374"/>
      <c r="F113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3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3" s="12"/>
      <c r="I113" s="384" t="str">
        <f>IFERROR(IF(TRANSHARI9_ROKOKPAGI[[#This Row],[NAMA REKENING]]="","",TRANSHARI9_ROKOKPAGI[[#This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IFERROR(VLOOKUP(TRANSHARI9_ROKOKMALAM[[#This Row],[PRODUK]],DATA_ROKOK[],11,FALSE),"")</f>
        <v/>
      </c>
      <c r="T113" s="374"/>
      <c r="U113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3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3" s="12"/>
      <c r="X113" s="384" t="str">
        <f>IFERROR(IF(TRANSHARI9_ROKOKMALAM[[#This Row],[NAMA REKENING]]="","",TRANSHARI9_ROKOKMALAM[[#This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IFERROR(VLOOKUP(TRANSHARI9_ROKOKPAGI[[#This Row],[PRODUK]],DATA_ROKOK[],11,FALSE),"")</f>
        <v/>
      </c>
      <c r="E114" s="374"/>
      <c r="F114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4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4" s="12"/>
      <c r="I114" s="386" t="str">
        <f>IFERROR(IF(TRANSHARI9_ROKOKPAGI[[#This Row],[NAMA REKENING]]="","",TRANSHARI9_ROKOKPAGI[[#This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IFERROR(VLOOKUP(TRANSHARI9_ROKOKMALAM[[#This Row],[PRODUK]],DATA_ROKOK[],11,FALSE),"")</f>
        <v/>
      </c>
      <c r="T114" s="374"/>
      <c r="U114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4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4" s="12"/>
      <c r="X114" s="386" t="str">
        <f>IFERROR(IF(TRANSHARI9_ROKOKMALAM[[#This Row],[NAMA REKENING]]="","",TRANSHARI9_ROKOKMALAM[[#This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IFERROR(VLOOKUP(TRANSHARI9_ROKOKPAGI[[#This Row],[PRODUK]],DATA_ROKOK[],11,FALSE),"")</f>
        <v/>
      </c>
      <c r="E115" s="374"/>
      <c r="F115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5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5" s="12"/>
      <c r="I115" s="384" t="str">
        <f>IFERROR(IF(TRANSHARI9_ROKOKPAGI[[#This Row],[NAMA REKENING]]="","",TRANSHARI9_ROKOKPAGI[[#This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IFERROR(VLOOKUP(TRANSHARI9_ROKOKMALAM[[#This Row],[PRODUK]],DATA_ROKOK[],11,FALSE),"")</f>
        <v/>
      </c>
      <c r="T115" s="374"/>
      <c r="U115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5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5" s="12"/>
      <c r="X115" s="384" t="str">
        <f>IFERROR(IF(TRANSHARI9_ROKOKMALAM[[#This Row],[NAMA REKENING]]="","",TRANSHARI9_ROKOKMALAM[[#This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IFERROR(VLOOKUP(TRANSHARI9_ROKOKPAGI[[#This Row],[PRODUK]],DATA_ROKOK[],11,FALSE),"")</f>
        <v/>
      </c>
      <c r="E116" s="374"/>
      <c r="F116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6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6" s="12"/>
      <c r="I116" s="386" t="str">
        <f>IFERROR(IF(TRANSHARI9_ROKOKPAGI[[#This Row],[NAMA REKENING]]="","",TRANSHARI9_ROKOKPAGI[[#This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IFERROR(VLOOKUP(TRANSHARI9_ROKOKMALAM[[#This Row],[PRODUK]],DATA_ROKOK[],11,FALSE),"")</f>
        <v/>
      </c>
      <c r="T116" s="374"/>
      <c r="U116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6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6" s="12"/>
      <c r="X116" s="386" t="str">
        <f>IFERROR(IF(TRANSHARI9_ROKOKMALAM[[#This Row],[NAMA REKENING]]="","",TRANSHARI9_ROKOKMALAM[[#This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IFERROR(VLOOKUP(TRANSHARI9_ROKOKPAGI[[#This Row],[PRODUK]],DATA_ROKOK[],11,FALSE),"")</f>
        <v/>
      </c>
      <c r="E117" s="374"/>
      <c r="F117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7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7" s="12"/>
      <c r="I117" s="384" t="str">
        <f>IFERROR(IF(TRANSHARI9_ROKOKPAGI[[#This Row],[NAMA REKENING]]="","",TRANSHARI9_ROKOKPAGI[[#This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IFERROR(VLOOKUP(TRANSHARI9_ROKOKMALAM[[#This Row],[PRODUK]],DATA_ROKOK[],11,FALSE),"")</f>
        <v/>
      </c>
      <c r="T117" s="374"/>
      <c r="U117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7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7" s="12"/>
      <c r="X117" s="384" t="str">
        <f>IFERROR(IF(TRANSHARI9_ROKOKMALAM[[#This Row],[NAMA REKENING]]="","",TRANSHARI9_ROKOKMALAM[[#This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IFERROR(VLOOKUP(TRANSHARI9_ROKOKPAGI[[#This Row],[PRODUK]],DATA_ROKOK[],11,FALSE),"")</f>
        <v/>
      </c>
      <c r="E118" s="374"/>
      <c r="F118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8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8" s="12"/>
      <c r="I118" s="386" t="str">
        <f>IFERROR(IF(TRANSHARI9_ROKOKPAGI[[#This Row],[NAMA REKENING]]="","",TRANSHARI9_ROKOKPAGI[[#This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IFERROR(VLOOKUP(TRANSHARI9_ROKOKMALAM[[#This Row],[PRODUK]],DATA_ROKOK[],11,FALSE),"")</f>
        <v/>
      </c>
      <c r="T118" s="374"/>
      <c r="U118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8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8" s="12"/>
      <c r="X118" s="386" t="str">
        <f>IFERROR(IF(TRANSHARI9_ROKOKMALAM[[#This Row],[NAMA REKENING]]="","",TRANSHARI9_ROKOKMALAM[[#This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IFERROR(VLOOKUP(TRANSHARI9_ROKOKPAGI[[#This Row],[PRODUK]],DATA_ROKOK[],11,FALSE),"")</f>
        <v/>
      </c>
      <c r="E119" s="374"/>
      <c r="F119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19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19" s="12"/>
      <c r="I119" s="384" t="str">
        <f>IFERROR(IF(TRANSHARI9_ROKOKPAGI[[#This Row],[NAMA REKENING]]="","",TRANSHARI9_ROKOKPAGI[[#This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IFERROR(VLOOKUP(TRANSHARI9_ROKOKMALAM[[#This Row],[PRODUK]],DATA_ROKOK[],11,FALSE),"")</f>
        <v/>
      </c>
      <c r="T119" s="374"/>
      <c r="U119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19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19" s="12"/>
      <c r="X119" s="384" t="str">
        <f>IFERROR(IF(TRANSHARI9_ROKOKMALAM[[#This Row],[NAMA REKENING]]="","",TRANSHARI9_ROKOKMALAM[[#This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IFERROR(VLOOKUP(TRANSHARI9_ROKOKPAGI[[#This Row],[PRODUK]],DATA_ROKOK[],11,FALSE),"")</f>
        <v/>
      </c>
      <c r="E120" s="374"/>
      <c r="F120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0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0" s="12"/>
      <c r="I120" s="386" t="str">
        <f>IFERROR(IF(TRANSHARI9_ROKOKPAGI[[#This Row],[NAMA REKENING]]="","",TRANSHARI9_ROKOKPAGI[[#This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IFERROR(VLOOKUP(TRANSHARI9_ROKOKMALAM[[#This Row],[PRODUK]],DATA_ROKOK[],11,FALSE),"")</f>
        <v/>
      </c>
      <c r="T120" s="374"/>
      <c r="U120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0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0" s="12"/>
      <c r="X120" s="386" t="str">
        <f>IFERROR(IF(TRANSHARI9_ROKOKMALAM[[#This Row],[NAMA REKENING]]="","",TRANSHARI9_ROKOKMALAM[[#This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IFERROR(VLOOKUP(TRANSHARI9_ROKOKPAGI[[#This Row],[PRODUK]],DATA_ROKOK[],11,FALSE),"")</f>
        <v/>
      </c>
      <c r="E121" s="374"/>
      <c r="F121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1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1" s="12"/>
      <c r="I121" s="384" t="str">
        <f>IFERROR(IF(TRANSHARI9_ROKOKPAGI[[#This Row],[NAMA REKENING]]="","",TRANSHARI9_ROKOKPAGI[[#This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IFERROR(VLOOKUP(TRANSHARI9_ROKOKMALAM[[#This Row],[PRODUK]],DATA_ROKOK[],11,FALSE),"")</f>
        <v/>
      </c>
      <c r="T121" s="374"/>
      <c r="U121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1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1" s="12"/>
      <c r="X121" s="384" t="str">
        <f>IFERROR(IF(TRANSHARI9_ROKOKMALAM[[#This Row],[NAMA REKENING]]="","",TRANSHARI9_ROKOKMALAM[[#This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IFERROR(VLOOKUP(TRANSHARI9_ROKOKPAGI[[#This Row],[PRODUK]],DATA_ROKOK[],11,FALSE),"")</f>
        <v/>
      </c>
      <c r="E122" s="374"/>
      <c r="F122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2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2" s="12"/>
      <c r="I122" s="386" t="str">
        <f>IFERROR(IF(TRANSHARI9_ROKOKPAGI[[#This Row],[NAMA REKENING]]="","",TRANSHARI9_ROKOKPAGI[[#This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IFERROR(VLOOKUP(TRANSHARI9_ROKOKMALAM[[#This Row],[PRODUK]],DATA_ROKOK[],11,FALSE),"")</f>
        <v/>
      </c>
      <c r="T122" s="374"/>
      <c r="U122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2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2" s="12"/>
      <c r="X122" s="386" t="str">
        <f>IFERROR(IF(TRANSHARI9_ROKOKMALAM[[#This Row],[NAMA REKENING]]="","",TRANSHARI9_ROKOKMALAM[[#This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IFERROR(VLOOKUP(TRANSHARI9_ROKOKPAGI[[#This Row],[PRODUK]],DATA_ROKOK[],11,FALSE),"")</f>
        <v/>
      </c>
      <c r="E123" s="374"/>
      <c r="F123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3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3" s="12"/>
      <c r="I123" s="384" t="str">
        <f>IFERROR(IF(TRANSHARI9_ROKOKPAGI[[#This Row],[NAMA REKENING]]="","",TRANSHARI9_ROKOKPAGI[[#This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IFERROR(VLOOKUP(TRANSHARI9_ROKOKMALAM[[#This Row],[PRODUK]],DATA_ROKOK[],11,FALSE),"")</f>
        <v/>
      </c>
      <c r="T123" s="374"/>
      <c r="U123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3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3" s="12"/>
      <c r="X123" s="384" t="str">
        <f>IFERROR(IF(TRANSHARI9_ROKOKMALAM[[#This Row],[NAMA REKENING]]="","",TRANSHARI9_ROKOKMALAM[[#This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IFERROR(VLOOKUP(TRANSHARI9_ROKOKPAGI[[#This Row],[PRODUK]],DATA_ROKOK[],11,FALSE),"")</f>
        <v/>
      </c>
      <c r="E124" s="374"/>
      <c r="F124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4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4" s="12"/>
      <c r="I124" s="386" t="str">
        <f>IFERROR(IF(TRANSHARI9_ROKOKPAGI[[#This Row],[NAMA REKENING]]="","",TRANSHARI9_ROKOKPAGI[[#This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IFERROR(VLOOKUP(TRANSHARI9_ROKOKMALAM[[#This Row],[PRODUK]],DATA_ROKOK[],11,FALSE),"")</f>
        <v/>
      </c>
      <c r="T124" s="374"/>
      <c r="U124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4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4" s="12"/>
      <c r="X124" s="386" t="str">
        <f>IFERROR(IF(TRANSHARI9_ROKOKMALAM[[#This Row],[NAMA REKENING]]="","",TRANSHARI9_ROKOKMALAM[[#This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IFERROR(VLOOKUP(TRANSHARI9_ROKOKPAGI[[#This Row],[PRODUK]],DATA_ROKOK[],11,FALSE),"")</f>
        <v/>
      </c>
      <c r="E125" s="374"/>
      <c r="F125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5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5" s="12"/>
      <c r="I125" s="384" t="str">
        <f>IFERROR(IF(TRANSHARI9_ROKOKPAGI[[#This Row],[NAMA REKENING]]="","",TRANSHARI9_ROKOKPAGI[[#This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IFERROR(VLOOKUP(TRANSHARI9_ROKOKMALAM[[#This Row],[PRODUK]],DATA_ROKOK[],11,FALSE),"")</f>
        <v/>
      </c>
      <c r="T125" s="374"/>
      <c r="U125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5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5" s="12"/>
      <c r="X125" s="384" t="str">
        <f>IFERROR(IF(TRANSHARI9_ROKOKMALAM[[#This Row],[NAMA REKENING]]="","",TRANSHARI9_ROKOKMALAM[[#This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IFERROR(VLOOKUP(TRANSHARI9_ROKOKPAGI[[#This Row],[PRODUK]],DATA_ROKOK[],11,FALSE),"")</f>
        <v/>
      </c>
      <c r="E126" s="374"/>
      <c r="F126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6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6" s="12"/>
      <c r="I126" s="386" t="str">
        <f>IFERROR(IF(TRANSHARI9_ROKOKPAGI[[#This Row],[NAMA REKENING]]="","",TRANSHARI9_ROKOKPAGI[[#This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IFERROR(VLOOKUP(TRANSHARI9_ROKOKMALAM[[#This Row],[PRODUK]],DATA_ROKOK[],11,FALSE),"")</f>
        <v/>
      </c>
      <c r="T126" s="374"/>
      <c r="U126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6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6" s="12"/>
      <c r="X126" s="386" t="str">
        <f>IFERROR(IF(TRANSHARI9_ROKOKMALAM[[#This Row],[NAMA REKENING]]="","",TRANSHARI9_ROKOKMALAM[[#This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IFERROR(VLOOKUP(TRANSHARI9_ROKOKPAGI[[#This Row],[PRODUK]],DATA_ROKOK[],11,FALSE),"")</f>
        <v/>
      </c>
      <c r="E127" s="374"/>
      <c r="F127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7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7" s="12"/>
      <c r="I127" s="384" t="str">
        <f>IFERROR(IF(TRANSHARI9_ROKOKPAGI[[#This Row],[NAMA REKENING]]="","",TRANSHARI9_ROKOKPAGI[[#This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IFERROR(VLOOKUP(TRANSHARI9_ROKOKMALAM[[#This Row],[PRODUK]],DATA_ROKOK[],11,FALSE),"")</f>
        <v/>
      </c>
      <c r="T127" s="374"/>
      <c r="U127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7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7" s="12"/>
      <c r="X127" s="384" t="str">
        <f>IFERROR(IF(TRANSHARI9_ROKOKMALAM[[#This Row],[NAMA REKENING]]="","",TRANSHARI9_ROKOKMALAM[[#This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IFERROR(VLOOKUP(TRANSHARI9_ROKOKPAGI[[#This Row],[PRODUK]],DATA_ROKOK[],11,FALSE),"")</f>
        <v/>
      </c>
      <c r="E128" s="374"/>
      <c r="F128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8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8" s="12"/>
      <c r="I128" s="386" t="str">
        <f>IFERROR(IF(TRANSHARI9_ROKOKPAGI[[#This Row],[NAMA REKENING]]="","",TRANSHARI9_ROKOKPAGI[[#This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IFERROR(VLOOKUP(TRANSHARI9_ROKOKMALAM[[#This Row],[PRODUK]],DATA_ROKOK[],11,FALSE),"")</f>
        <v/>
      </c>
      <c r="T128" s="374"/>
      <c r="U128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8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8" s="12"/>
      <c r="X128" s="386" t="str">
        <f>IFERROR(IF(TRANSHARI9_ROKOKMALAM[[#This Row],[NAMA REKENING]]="","",TRANSHARI9_ROKOKMALAM[[#This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IFERROR(VLOOKUP(TRANSHARI9_ROKOKPAGI[[#This Row],[PRODUK]],DATA_ROKOK[],11,FALSE),"")</f>
        <v/>
      </c>
      <c r="E129" s="374"/>
      <c r="F129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29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29" s="12"/>
      <c r="I129" s="384" t="str">
        <f>IFERROR(IF(TRANSHARI9_ROKOKPAGI[[#This Row],[NAMA REKENING]]="","",TRANSHARI9_ROKOKPAGI[[#This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IFERROR(VLOOKUP(TRANSHARI9_ROKOKMALAM[[#This Row],[PRODUK]],DATA_ROKOK[],11,FALSE),"")</f>
        <v/>
      </c>
      <c r="T129" s="374"/>
      <c r="U129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29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29" s="12"/>
      <c r="X129" s="384" t="str">
        <f>IFERROR(IF(TRANSHARI9_ROKOKMALAM[[#This Row],[NAMA REKENING]]="","",TRANSHARI9_ROKOKMALAM[[#This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IFERROR(VLOOKUP(TRANSHARI9_ROKOKPAGI[[#This Row],[PRODUK]],DATA_ROKOK[],11,FALSE),"")</f>
        <v/>
      </c>
      <c r="E130" s="374"/>
      <c r="F130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30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30" s="12"/>
      <c r="I130" s="386" t="str">
        <f>IFERROR(IF(TRANSHARI9_ROKOKPAGI[[#This Row],[NAMA REKENING]]="","",TRANSHARI9_ROKOKPAGI[[#This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IFERROR(VLOOKUP(TRANSHARI9_ROKOKMALAM[[#This Row],[PRODUK]],DATA_ROKOK[],11,FALSE),"")</f>
        <v/>
      </c>
      <c r="T130" s="374"/>
      <c r="U130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30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30" s="12"/>
      <c r="X130" s="386" t="str">
        <f>IFERROR(IF(TRANSHARI9_ROKOKMALAM[[#This Row],[NAMA REKENING]]="","",TRANSHARI9_ROKOKMALAM[[#This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IFERROR(VLOOKUP(TRANSHARI9_ROKOKPAGI[[#This Row],[PRODUK]],DATA_ROKOK[],11,FALSE),"")</f>
        <v/>
      </c>
      <c r="E131" s="374"/>
      <c r="F131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31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31" s="12"/>
      <c r="I131" s="384" t="str">
        <f>IFERROR(IF(TRANSHARI9_ROKOKPAGI[[#This Row],[NAMA REKENING]]="","",TRANSHARI9_ROKOKPAGI[[#This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IFERROR(VLOOKUP(TRANSHARI9_ROKOKMALAM[[#This Row],[PRODUK]],DATA_ROKOK[],11,FALSE),"")</f>
        <v/>
      </c>
      <c r="T131" s="374"/>
      <c r="U131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31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31" s="12"/>
      <c r="X131" s="384" t="str">
        <f>IFERROR(IF(TRANSHARI9_ROKOKMALAM[[#This Row],[NAMA REKENING]]="","",TRANSHARI9_ROKOKMALAM[[#This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IFERROR(VLOOKUP(TRANSHARI9_ROKOKPAGI[[#This Row],[PRODUK]],DATA_ROKOK[],11,FALSE),"")</f>
        <v/>
      </c>
      <c r="E132" s="374"/>
      <c r="F132" s="373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32" s="373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32" s="12"/>
      <c r="I132" s="386" t="str">
        <f>IFERROR(IF(TRANSHARI9_ROKOKPAGI[[#This Row],[NAMA REKENING]]="","",TRANSHARI9_ROKOKPAGI[[#This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IFERROR(VLOOKUP(TRANSHARI9_ROKOKMALAM[[#This Row],[PRODUK]],DATA_ROKOK[],11,FALSE),"")</f>
        <v/>
      </c>
      <c r="T132" s="374"/>
      <c r="U132" s="373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32" s="373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32" s="12"/>
      <c r="X132" s="386" t="str">
        <f>IFERROR(IF(TRANSHARI9_ROKOKMALAM[[#This Row],[NAMA REKENING]]="","",TRANSHARI9_ROKOKMALAM[[#This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IFERROR(VLOOKUP(TRANSHARI9_ROKOKPAGI[[#This Row],[PRODUK]],DATA_ROKOK[],11,FALSE),"")</f>
        <v/>
      </c>
      <c r="E133" s="374"/>
      <c r="F133" s="369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33" s="369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33" s="12"/>
      <c r="I133" s="384" t="str">
        <f>IFERROR(IF(TRANSHARI9_ROKOKPAGI[[#This Row],[NAMA REKENING]]="","",TRANSHARI9_ROKOKPAGI[[#This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IFERROR(VLOOKUP(TRANSHARI9_ROKOKMALAM[[#This Row],[PRODUK]],DATA_ROKOK[],11,FALSE),"")</f>
        <v/>
      </c>
      <c r="T133" s="374"/>
      <c r="U133" s="369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33" s="369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33" s="12"/>
      <c r="X133" s="384" t="str">
        <f>IFERROR(IF(TRANSHARI9_ROKOKMALAM[[#This Row],[NAMA REKENING]]="","",TRANSHARI9_ROKOKMALAM[[#This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IFERROR(VLOOKUP(TRANSHARI9_ROKOKPAGI[[#This Row],[PRODUK]],DATA_ROKOK[],11,FALSE),"")</f>
        <v/>
      </c>
      <c r="E134" s="376"/>
      <c r="F134" s="394" t="str">
        <f>IFERROR(IF(TRANSHARI9_ROKOKPAGI[[#This Row],[NAMA PENGHUTANG]]="",((TRANSHARI9_ROKOKPAGI[[#This Row],[HARGA]]*TRANSHARI9_ROKOKPAGI[[#This Row],[QUANTITY]])+TRANSHARI9_ROKOKPAGI[[#This Row],[PRICE TOLERANCE]]),""),"")</f>
        <v/>
      </c>
      <c r="G134" s="394" t="str">
        <f>IFERROR(IF(TRANSHARI9_ROKOKPAGI[[#This Row],[NAMA PENGHUTANG]]="","",((TRANSHARI9_ROKOKPAGI[[#This Row],[HARGA]]*TRANSHARI9_ROKOKPAGI[[#This Row],[QUANTITY]])+TRANSHARI9_ROKOKPAGI[[#This Row],[PRICE TOLERANCE]])),"")</f>
        <v/>
      </c>
      <c r="H134" s="377"/>
      <c r="I134" s="399" t="str">
        <f>IFERROR(IF(TRANSHARI9_ROKOKPAGI[[#This Row],[NAMA REKENING]]="","",TRANSHARI9_ROKOKPAGI[[#This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IFERROR(VLOOKUP(TRANSHARI9_ROKOKMALAM[[#This Row],[PRODUK]],DATA_ROKOK[],11,FALSE),"")</f>
        <v/>
      </c>
      <c r="T134" s="376"/>
      <c r="U134" s="394" t="str">
        <f>IFERROR(IF(TRANSHARI9_ROKOKMALAM[[#This Row],[NAMA PENGHUTANG]]="",((TRANSHARI9_ROKOKMALAM[[#This Row],[HARGA]]*TRANSHARI9_ROKOKMALAM[[#This Row],[QUANTITY]])+TRANSHARI9_ROKOKMALAM[[#This Row],[PRICE TOLERANCE]]),""),"")</f>
        <v/>
      </c>
      <c r="V134" s="394" t="str">
        <f>IFERROR(IF(TRANSHARI9_ROKOKMALAM[[#This Row],[NAMA PENGHUTANG]]="","",((TRANSHARI9_ROKOKMALAM[[#This Row],[HARGA]]*TRANSHARI9_ROKOKMALAM[[#This Row],[QUANTITY]])+TRANSHARI9_ROKOKMALAM[[#This Row],[PRICE TOLERANCE]])),"")</f>
        <v/>
      </c>
      <c r="W134" s="377"/>
      <c r="X134" s="399" t="str">
        <f>IFERROR(IF(TRANSHARI9_ROKOKMALAM[[#This Row],[NAMA REKENING]]="","",TRANSHARI9_ROKOKMALAM[[#This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SUM(TRANSHARI9_ROKOKPAGI[QUANTITY])</f>
        <v>0</v>
      </c>
      <c r="E135" s="396">
        <f>SUM(TRANSHARI9_ROKOKPAGI[PRICE TOLERANCE])</f>
        <v>0</v>
      </c>
      <c r="F135" s="396">
        <f>SUM(TRANSHARI9_ROKOKPAGI[DEBIT])</f>
        <v>0</v>
      </c>
      <c r="G135" s="396">
        <f>SUM(TRANSHARI9_ROKOKPAGI[KREDIT])</f>
        <v>0</v>
      </c>
      <c r="I135" s="396">
        <f>SUM(TRANSHARI9_ROKOKPAGI[NOMINAL TRANSFER])</f>
        <v>0</v>
      </c>
      <c r="O135" s="324"/>
      <c r="P135" s="303" t="s">
        <v>78</v>
      </c>
      <c r="Q135" s="316"/>
      <c r="R135" s="395">
        <f>SUM(TRANSHARI9_ROKOKMALAM[QUANTITY])</f>
        <v>0</v>
      </c>
      <c r="T135" s="396">
        <f>SUM(TRANSHARI9_ROKOKMALAM[PRICE TOLERANCE])</f>
        <v>0</v>
      </c>
      <c r="U135" s="396">
        <f>SUM(TRANSHARI9_ROKOKMALAM[DEBIT])</f>
        <v>0</v>
      </c>
      <c r="V135" s="396">
        <f>SUM(TRANSHARI9_ROKOKMALAM[KREDIT])</f>
        <v>0</v>
      </c>
      <c r="X135" s="396">
        <f>SUM(TRANSHARI9_ROKOKMALAM[NOMINAL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tr">
        <f>A25</f>
        <v>HARI 9 : PAGI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tr">
        <f>P25</f>
        <v>HARI 9 : MALAM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IFERROR(VLOOKUP(TRANSHARI9_SPVOUPAGI[[#This Row],[PRODUK]],DATA_SPVOU[],11,FALSE),"")</f>
        <v/>
      </c>
      <c r="E142" s="370"/>
      <c r="F142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2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2" s="371"/>
      <c r="I142" s="384" t="str">
        <f>IFERROR(IF(TRANSHARI9_SPVOUPAGI[[#This Row],[NAMA REKENING]]="","",TRANSHARI9_SPVOUPAGI[[#This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IFERROR(VLOOKUP(TRANSHARI9_SPVOUMALAM[[#This Row],[PRODUK]],DATA_SPVOU[],11,FALSE),"")</f>
        <v/>
      </c>
      <c r="T142" s="370"/>
      <c r="U142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2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2" s="371"/>
      <c r="X142" s="384" t="str">
        <f>IFERROR(IF(TRANSHARI9_SPVOUMALAM[[#This Row],[NAMA REKENING]]="","",TRANSHARI9_SPVOUMALAM[[#This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IFERROR(VLOOKUP(TRANSHARI9_SPVOUPAGI[[#This Row],[PRODUK]],DATA_SPVOU[],11,FALSE),"")</f>
        <v/>
      </c>
      <c r="E143" s="374"/>
      <c r="F143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3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3" s="12"/>
      <c r="I143" s="386" t="str">
        <f>IFERROR(IF(TRANSHARI9_SPVOUPAGI[[#This Row],[NAMA REKENING]]="","",TRANSHARI9_SPVOUPAGI[[#This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IFERROR(VLOOKUP(TRANSHARI9_SPVOUMALAM[[#This Row],[PRODUK]],DATA_SPVOU[],11,FALSE),"")</f>
        <v/>
      </c>
      <c r="T143" s="374"/>
      <c r="U143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3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3" s="12"/>
      <c r="X143" s="386" t="str">
        <f>IFERROR(IF(TRANSHARI9_SPVOUMALAM[[#This Row],[NAMA REKENING]]="","",TRANSHARI9_SPVOUMALAM[[#This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IFERROR(VLOOKUP(TRANSHARI9_SPVOUPAGI[[#This Row],[PRODUK]],DATA_SPVOU[],11,FALSE),"")</f>
        <v/>
      </c>
      <c r="E144" s="374"/>
      <c r="F144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4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4" s="12"/>
      <c r="I144" s="384" t="str">
        <f>IFERROR(IF(TRANSHARI9_SPVOUPAGI[[#This Row],[NAMA REKENING]]="","",TRANSHARI9_SPVOUPAGI[[#This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IFERROR(VLOOKUP(TRANSHARI9_SPVOUMALAM[[#This Row],[PRODUK]],DATA_SPVOU[],11,FALSE),"")</f>
        <v/>
      </c>
      <c r="T144" s="374"/>
      <c r="U144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4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4" s="12"/>
      <c r="X144" s="384" t="str">
        <f>IFERROR(IF(TRANSHARI9_SPVOUMALAM[[#This Row],[NAMA REKENING]]="","",TRANSHARI9_SPVOUMALAM[[#This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IFERROR(VLOOKUP(TRANSHARI9_SPVOUPAGI[[#This Row],[PRODUK]],DATA_SPVOU[],11,FALSE),"")</f>
        <v/>
      </c>
      <c r="E145" s="374"/>
      <c r="F145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5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5" s="12"/>
      <c r="I145" s="386" t="str">
        <f>IFERROR(IF(TRANSHARI9_SPVOUPAGI[[#This Row],[NAMA REKENING]]="","",TRANSHARI9_SPVOUPAGI[[#This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IFERROR(VLOOKUP(TRANSHARI9_SPVOUMALAM[[#This Row],[PRODUK]],DATA_SPVOU[],11,FALSE),"")</f>
        <v/>
      </c>
      <c r="T145" s="374"/>
      <c r="U145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5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5" s="12"/>
      <c r="X145" s="386" t="str">
        <f>IFERROR(IF(TRANSHARI9_SPVOUMALAM[[#This Row],[NAMA REKENING]]="","",TRANSHARI9_SPVOUMALAM[[#This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IFERROR(VLOOKUP(TRANSHARI9_SPVOUPAGI[[#This Row],[PRODUK]],DATA_SPVOU[],11,FALSE),"")</f>
        <v/>
      </c>
      <c r="E146" s="374"/>
      <c r="F146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6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6" s="12"/>
      <c r="I146" s="384" t="str">
        <f>IFERROR(IF(TRANSHARI9_SPVOUPAGI[[#This Row],[NAMA REKENING]]="","",TRANSHARI9_SPVOUPAGI[[#This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IFERROR(VLOOKUP(TRANSHARI9_SPVOUMALAM[[#This Row],[PRODUK]],DATA_SPVOU[],11,FALSE),"")</f>
        <v/>
      </c>
      <c r="T146" s="374"/>
      <c r="U146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6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6" s="12"/>
      <c r="X146" s="384" t="str">
        <f>IFERROR(IF(TRANSHARI9_SPVOUMALAM[[#This Row],[NAMA REKENING]]="","",TRANSHARI9_SPVOUMALAM[[#This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IFERROR(VLOOKUP(TRANSHARI9_SPVOUPAGI[[#This Row],[PRODUK]],DATA_SPVOU[],11,FALSE),"")</f>
        <v/>
      </c>
      <c r="E147" s="374"/>
      <c r="F147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7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7" s="12"/>
      <c r="I147" s="386" t="str">
        <f>IFERROR(IF(TRANSHARI9_SPVOUPAGI[[#This Row],[NAMA REKENING]]="","",TRANSHARI9_SPVOUPAGI[[#This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IFERROR(VLOOKUP(TRANSHARI9_SPVOUMALAM[[#This Row],[PRODUK]],DATA_SPVOU[],11,FALSE),"")</f>
        <v/>
      </c>
      <c r="T147" s="374"/>
      <c r="U147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7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7" s="12"/>
      <c r="X147" s="386" t="str">
        <f>IFERROR(IF(TRANSHARI9_SPVOUMALAM[[#This Row],[NAMA REKENING]]="","",TRANSHARI9_SPVOUMALAM[[#This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IFERROR(VLOOKUP(TRANSHARI9_SPVOUPAGI[[#This Row],[PRODUK]],DATA_SPVOU[],11,FALSE),"")</f>
        <v/>
      </c>
      <c r="E148" s="374"/>
      <c r="F148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8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8" s="12"/>
      <c r="I148" s="384" t="str">
        <f>IFERROR(IF(TRANSHARI9_SPVOUPAGI[[#This Row],[NAMA REKENING]]="","",TRANSHARI9_SPVOUPAGI[[#This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IFERROR(VLOOKUP(TRANSHARI9_SPVOUMALAM[[#This Row],[PRODUK]],DATA_SPVOU[],11,FALSE),"")</f>
        <v/>
      </c>
      <c r="T148" s="374"/>
      <c r="U148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8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8" s="12"/>
      <c r="X148" s="384" t="str">
        <f>IFERROR(IF(TRANSHARI9_SPVOUMALAM[[#This Row],[NAMA REKENING]]="","",TRANSHARI9_SPVOUMALAM[[#This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IFERROR(VLOOKUP(TRANSHARI9_SPVOUPAGI[[#This Row],[PRODUK]],DATA_SPVOU[],11,FALSE),"")</f>
        <v/>
      </c>
      <c r="E149" s="374"/>
      <c r="F149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49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49" s="12"/>
      <c r="I149" s="386" t="str">
        <f>IFERROR(IF(TRANSHARI9_SPVOUPAGI[[#This Row],[NAMA REKENING]]="","",TRANSHARI9_SPVOUPAGI[[#This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IFERROR(VLOOKUP(TRANSHARI9_SPVOUMALAM[[#This Row],[PRODUK]],DATA_SPVOU[],11,FALSE),"")</f>
        <v/>
      </c>
      <c r="T149" s="374"/>
      <c r="U149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49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49" s="12"/>
      <c r="X149" s="386" t="str">
        <f>IFERROR(IF(TRANSHARI9_SPVOUMALAM[[#This Row],[NAMA REKENING]]="","",TRANSHARI9_SPVOUMALAM[[#This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IFERROR(VLOOKUP(TRANSHARI9_SPVOUPAGI[[#This Row],[PRODUK]],DATA_SPVOU[],11,FALSE),"")</f>
        <v/>
      </c>
      <c r="E150" s="374"/>
      <c r="F150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0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0" s="12"/>
      <c r="I150" s="384" t="str">
        <f>IFERROR(IF(TRANSHARI9_SPVOUPAGI[[#This Row],[NAMA REKENING]]="","",TRANSHARI9_SPVOUPAGI[[#This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IFERROR(VLOOKUP(TRANSHARI9_SPVOUMALAM[[#This Row],[PRODUK]],DATA_SPVOU[],11,FALSE),"")</f>
        <v/>
      </c>
      <c r="T150" s="374"/>
      <c r="U150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0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0" s="12"/>
      <c r="X150" s="384" t="str">
        <f>IFERROR(IF(TRANSHARI9_SPVOUMALAM[[#This Row],[NAMA REKENING]]="","",TRANSHARI9_SPVOUMALAM[[#This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IFERROR(VLOOKUP(TRANSHARI9_SPVOUPAGI[[#This Row],[PRODUK]],DATA_SPVOU[],11,FALSE),"")</f>
        <v/>
      </c>
      <c r="E151" s="374"/>
      <c r="F151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1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1" s="12"/>
      <c r="I151" s="386" t="str">
        <f>IFERROR(IF(TRANSHARI9_SPVOUPAGI[[#This Row],[NAMA REKENING]]="","",TRANSHARI9_SPVOUPAGI[[#This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IFERROR(VLOOKUP(TRANSHARI9_SPVOUMALAM[[#This Row],[PRODUK]],DATA_SPVOU[],11,FALSE),"")</f>
        <v/>
      </c>
      <c r="T151" s="374"/>
      <c r="U151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1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1" s="12"/>
      <c r="X151" s="386" t="str">
        <f>IFERROR(IF(TRANSHARI9_SPVOUMALAM[[#This Row],[NAMA REKENING]]="","",TRANSHARI9_SPVOUMALAM[[#This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IFERROR(VLOOKUP(TRANSHARI9_SPVOUPAGI[[#This Row],[PRODUK]],DATA_SPVOU[],11,FALSE),"")</f>
        <v/>
      </c>
      <c r="E152" s="374"/>
      <c r="F152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2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2" s="12"/>
      <c r="I152" s="384" t="str">
        <f>IFERROR(IF(TRANSHARI9_SPVOUPAGI[[#This Row],[NAMA REKENING]]="","",TRANSHARI9_SPVOUPAGI[[#This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IFERROR(VLOOKUP(TRANSHARI9_SPVOUMALAM[[#This Row],[PRODUK]],DATA_SPVOU[],11,FALSE),"")</f>
        <v/>
      </c>
      <c r="T152" s="374"/>
      <c r="U152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2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2" s="12"/>
      <c r="X152" s="384" t="str">
        <f>IFERROR(IF(TRANSHARI9_SPVOUMALAM[[#This Row],[NAMA REKENING]]="","",TRANSHARI9_SPVOUMALAM[[#This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IFERROR(VLOOKUP(TRANSHARI9_SPVOUPAGI[[#This Row],[PRODUK]],DATA_SPVOU[],11,FALSE),"")</f>
        <v/>
      </c>
      <c r="E153" s="374"/>
      <c r="F153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3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3" s="12"/>
      <c r="I153" s="386" t="str">
        <f>IFERROR(IF(TRANSHARI9_SPVOUPAGI[[#This Row],[NAMA REKENING]]="","",TRANSHARI9_SPVOUPAGI[[#This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IFERROR(VLOOKUP(TRANSHARI9_SPVOUMALAM[[#This Row],[PRODUK]],DATA_SPVOU[],11,FALSE),"")</f>
        <v/>
      </c>
      <c r="T153" s="374"/>
      <c r="U153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3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3" s="12"/>
      <c r="X153" s="386" t="str">
        <f>IFERROR(IF(TRANSHARI9_SPVOUMALAM[[#This Row],[NAMA REKENING]]="","",TRANSHARI9_SPVOUMALAM[[#This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IFERROR(VLOOKUP(TRANSHARI9_SPVOUPAGI[[#This Row],[PRODUK]],DATA_SPVOU[],11,FALSE),"")</f>
        <v/>
      </c>
      <c r="E154" s="374"/>
      <c r="F154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4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4" s="12"/>
      <c r="I154" s="384" t="str">
        <f>IFERROR(IF(TRANSHARI9_SPVOUPAGI[[#This Row],[NAMA REKENING]]="","",TRANSHARI9_SPVOUPAGI[[#This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IFERROR(VLOOKUP(TRANSHARI9_SPVOUMALAM[[#This Row],[PRODUK]],DATA_SPVOU[],11,FALSE),"")</f>
        <v/>
      </c>
      <c r="T154" s="374"/>
      <c r="U154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4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4" s="12"/>
      <c r="X154" s="384" t="str">
        <f>IFERROR(IF(TRANSHARI9_SPVOUMALAM[[#This Row],[NAMA REKENING]]="","",TRANSHARI9_SPVOUMALAM[[#This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IFERROR(VLOOKUP(TRANSHARI9_SPVOUPAGI[[#This Row],[PRODUK]],DATA_SPVOU[],11,FALSE),"")</f>
        <v/>
      </c>
      <c r="E155" s="374"/>
      <c r="F155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5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5" s="12"/>
      <c r="I155" s="386" t="str">
        <f>IFERROR(IF(TRANSHARI9_SPVOUPAGI[[#This Row],[NAMA REKENING]]="","",TRANSHARI9_SPVOUPAGI[[#This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IFERROR(VLOOKUP(TRANSHARI9_SPVOUMALAM[[#This Row],[PRODUK]],DATA_SPVOU[],11,FALSE),"")</f>
        <v/>
      </c>
      <c r="T155" s="374"/>
      <c r="U155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5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5" s="12"/>
      <c r="X155" s="386" t="str">
        <f>IFERROR(IF(TRANSHARI9_SPVOUMALAM[[#This Row],[NAMA REKENING]]="","",TRANSHARI9_SPVOUMALAM[[#This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IFERROR(VLOOKUP(TRANSHARI9_SPVOUPAGI[[#This Row],[PRODUK]],DATA_SPVOU[],11,FALSE),"")</f>
        <v/>
      </c>
      <c r="E156" s="374"/>
      <c r="F156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6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6" s="12"/>
      <c r="I156" s="384" t="str">
        <f>IFERROR(IF(TRANSHARI9_SPVOUPAGI[[#This Row],[NAMA REKENING]]="","",TRANSHARI9_SPVOUPAGI[[#This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IFERROR(VLOOKUP(TRANSHARI9_SPVOUMALAM[[#This Row],[PRODUK]],DATA_SPVOU[],11,FALSE),"")</f>
        <v/>
      </c>
      <c r="T156" s="374"/>
      <c r="U156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6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6" s="12"/>
      <c r="X156" s="384" t="str">
        <f>IFERROR(IF(TRANSHARI9_SPVOUMALAM[[#This Row],[NAMA REKENING]]="","",TRANSHARI9_SPVOUMALAM[[#This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IFERROR(VLOOKUP(TRANSHARI9_SPVOUPAGI[[#This Row],[PRODUK]],DATA_SPVOU[],11,FALSE),"")</f>
        <v/>
      </c>
      <c r="E157" s="374"/>
      <c r="F157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7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7" s="12"/>
      <c r="I157" s="386" t="str">
        <f>IFERROR(IF(TRANSHARI9_SPVOUPAGI[[#This Row],[NAMA REKENING]]="","",TRANSHARI9_SPVOUPAGI[[#This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IFERROR(VLOOKUP(TRANSHARI9_SPVOUMALAM[[#This Row],[PRODUK]],DATA_SPVOU[],11,FALSE),"")</f>
        <v/>
      </c>
      <c r="T157" s="374"/>
      <c r="U157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7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7" s="12"/>
      <c r="X157" s="386" t="str">
        <f>IFERROR(IF(TRANSHARI9_SPVOUMALAM[[#This Row],[NAMA REKENING]]="","",TRANSHARI9_SPVOUMALAM[[#This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IFERROR(VLOOKUP(TRANSHARI9_SPVOUPAGI[[#This Row],[PRODUK]],DATA_SPVOU[],11,FALSE),"")</f>
        <v/>
      </c>
      <c r="E158" s="374"/>
      <c r="F158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8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8" s="12"/>
      <c r="I158" s="384" t="str">
        <f>IFERROR(IF(TRANSHARI9_SPVOUPAGI[[#This Row],[NAMA REKENING]]="","",TRANSHARI9_SPVOUPAGI[[#This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IFERROR(VLOOKUP(TRANSHARI9_SPVOUMALAM[[#This Row],[PRODUK]],DATA_SPVOU[],11,FALSE),"")</f>
        <v/>
      </c>
      <c r="T158" s="374"/>
      <c r="U158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8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8" s="12"/>
      <c r="X158" s="384" t="str">
        <f>IFERROR(IF(TRANSHARI9_SPVOUMALAM[[#This Row],[NAMA REKENING]]="","",TRANSHARI9_SPVOUMALAM[[#This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IFERROR(VLOOKUP(TRANSHARI9_SPVOUPAGI[[#This Row],[PRODUK]],DATA_SPVOU[],11,FALSE),"")</f>
        <v/>
      </c>
      <c r="E159" s="374"/>
      <c r="F159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59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59" s="12"/>
      <c r="I159" s="386" t="str">
        <f>IFERROR(IF(TRANSHARI9_SPVOUPAGI[[#This Row],[NAMA REKENING]]="","",TRANSHARI9_SPVOUPAGI[[#This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IFERROR(VLOOKUP(TRANSHARI9_SPVOUMALAM[[#This Row],[PRODUK]],DATA_SPVOU[],11,FALSE),"")</f>
        <v/>
      </c>
      <c r="T159" s="374"/>
      <c r="U159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59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59" s="12"/>
      <c r="X159" s="386" t="str">
        <f>IFERROR(IF(TRANSHARI9_SPVOUMALAM[[#This Row],[NAMA REKENING]]="","",TRANSHARI9_SPVOUMALAM[[#This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IFERROR(VLOOKUP(TRANSHARI9_SPVOUPAGI[[#This Row],[PRODUK]],DATA_SPVOU[],11,FALSE),"")</f>
        <v/>
      </c>
      <c r="E160" s="374"/>
      <c r="F160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0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0" s="12"/>
      <c r="I160" s="384" t="str">
        <f>IFERROR(IF(TRANSHARI9_SPVOUPAGI[[#This Row],[NAMA REKENING]]="","",TRANSHARI9_SPVOUPAGI[[#This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IFERROR(VLOOKUP(TRANSHARI9_SPVOUMALAM[[#This Row],[PRODUK]],DATA_SPVOU[],11,FALSE),"")</f>
        <v/>
      </c>
      <c r="T160" s="374"/>
      <c r="U160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0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0" s="12"/>
      <c r="X160" s="384" t="str">
        <f>IFERROR(IF(TRANSHARI9_SPVOUMALAM[[#This Row],[NAMA REKENING]]="","",TRANSHARI9_SPVOUMALAM[[#This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IFERROR(VLOOKUP(TRANSHARI9_SPVOUPAGI[[#This Row],[PRODUK]],DATA_SPVOU[],11,FALSE),"")</f>
        <v/>
      </c>
      <c r="E161" s="374"/>
      <c r="F161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1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1" s="12"/>
      <c r="I161" s="386" t="str">
        <f>IFERROR(IF(TRANSHARI9_SPVOUPAGI[[#This Row],[NAMA REKENING]]="","",TRANSHARI9_SPVOUPAGI[[#This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IFERROR(VLOOKUP(TRANSHARI9_SPVOUMALAM[[#This Row],[PRODUK]],DATA_SPVOU[],11,FALSE),"")</f>
        <v/>
      </c>
      <c r="T161" s="374"/>
      <c r="U161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1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1" s="12"/>
      <c r="X161" s="386" t="str">
        <f>IFERROR(IF(TRANSHARI9_SPVOUMALAM[[#This Row],[NAMA REKENING]]="","",TRANSHARI9_SPVOUMALAM[[#This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IFERROR(VLOOKUP(TRANSHARI9_SPVOUPAGI[[#This Row],[PRODUK]],DATA_SPVOU[],11,FALSE),"")</f>
        <v/>
      </c>
      <c r="E162" s="374"/>
      <c r="F162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2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2" s="12"/>
      <c r="I162" s="384" t="str">
        <f>IFERROR(IF(TRANSHARI9_SPVOUPAGI[[#This Row],[NAMA REKENING]]="","",TRANSHARI9_SPVOUPAGI[[#This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IFERROR(VLOOKUP(TRANSHARI9_SPVOUMALAM[[#This Row],[PRODUK]],DATA_SPVOU[],11,FALSE),"")</f>
        <v/>
      </c>
      <c r="T162" s="374"/>
      <c r="U162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2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2" s="12"/>
      <c r="X162" s="384" t="str">
        <f>IFERROR(IF(TRANSHARI9_SPVOUMALAM[[#This Row],[NAMA REKENING]]="","",TRANSHARI9_SPVOUMALAM[[#This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IFERROR(VLOOKUP(TRANSHARI9_SPVOUPAGI[[#This Row],[PRODUK]],DATA_SPVOU[],11,FALSE),"")</f>
        <v/>
      </c>
      <c r="E163" s="374"/>
      <c r="F163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3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3" s="12"/>
      <c r="I163" s="386" t="str">
        <f>IFERROR(IF(TRANSHARI9_SPVOUPAGI[[#This Row],[NAMA REKENING]]="","",TRANSHARI9_SPVOUPAGI[[#This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IFERROR(VLOOKUP(TRANSHARI9_SPVOUMALAM[[#This Row],[PRODUK]],DATA_SPVOU[],11,FALSE),"")</f>
        <v/>
      </c>
      <c r="T163" s="374"/>
      <c r="U163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3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3" s="12"/>
      <c r="X163" s="386" t="str">
        <f>IFERROR(IF(TRANSHARI9_SPVOUMALAM[[#This Row],[NAMA REKENING]]="","",TRANSHARI9_SPVOUMALAM[[#This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IFERROR(VLOOKUP(TRANSHARI9_SPVOUPAGI[[#This Row],[PRODUK]],DATA_SPVOU[],11,FALSE),"")</f>
        <v/>
      </c>
      <c r="E164" s="374"/>
      <c r="F164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4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4" s="12"/>
      <c r="I164" s="384" t="str">
        <f>IFERROR(IF(TRANSHARI9_SPVOUPAGI[[#This Row],[NAMA REKENING]]="","",TRANSHARI9_SPVOUPAGI[[#This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IFERROR(VLOOKUP(TRANSHARI9_SPVOUMALAM[[#This Row],[PRODUK]],DATA_SPVOU[],11,FALSE),"")</f>
        <v/>
      </c>
      <c r="T164" s="374"/>
      <c r="U164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4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4" s="12"/>
      <c r="X164" s="384" t="str">
        <f>IFERROR(IF(TRANSHARI9_SPVOUMALAM[[#This Row],[NAMA REKENING]]="","",TRANSHARI9_SPVOUMALAM[[#This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IFERROR(VLOOKUP(TRANSHARI9_SPVOUPAGI[[#This Row],[PRODUK]],DATA_SPVOU[],11,FALSE),"")</f>
        <v/>
      </c>
      <c r="E165" s="374"/>
      <c r="F165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5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5" s="12"/>
      <c r="I165" s="386" t="str">
        <f>IFERROR(IF(TRANSHARI9_SPVOUPAGI[[#This Row],[NAMA REKENING]]="","",TRANSHARI9_SPVOUPAGI[[#This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IFERROR(VLOOKUP(TRANSHARI9_SPVOUMALAM[[#This Row],[PRODUK]],DATA_SPVOU[],11,FALSE),"")</f>
        <v/>
      </c>
      <c r="T165" s="374"/>
      <c r="U165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5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5" s="12"/>
      <c r="X165" s="386" t="str">
        <f>IFERROR(IF(TRANSHARI9_SPVOUMALAM[[#This Row],[NAMA REKENING]]="","",TRANSHARI9_SPVOUMALAM[[#This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IFERROR(VLOOKUP(TRANSHARI9_SPVOUPAGI[[#This Row],[PRODUK]],DATA_SPVOU[],11,FALSE),"")</f>
        <v/>
      </c>
      <c r="E166" s="374"/>
      <c r="F166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6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6" s="12"/>
      <c r="I166" s="384" t="str">
        <f>IFERROR(IF(TRANSHARI9_SPVOUPAGI[[#This Row],[NAMA REKENING]]="","",TRANSHARI9_SPVOUPAGI[[#This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IFERROR(VLOOKUP(TRANSHARI9_SPVOUMALAM[[#This Row],[PRODUK]],DATA_SPVOU[],11,FALSE),"")</f>
        <v/>
      </c>
      <c r="T166" s="374"/>
      <c r="U166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6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6" s="12"/>
      <c r="X166" s="384" t="str">
        <f>IFERROR(IF(TRANSHARI9_SPVOUMALAM[[#This Row],[NAMA REKENING]]="","",TRANSHARI9_SPVOUMALAM[[#This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IFERROR(VLOOKUP(TRANSHARI9_SPVOUPAGI[[#This Row],[PRODUK]],DATA_SPVOU[],11,FALSE),"")</f>
        <v/>
      </c>
      <c r="E167" s="376"/>
      <c r="F167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7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7" s="377"/>
      <c r="I167" s="386" t="str">
        <f>IFERROR(IF(TRANSHARI9_SPVOUPAGI[[#This Row],[NAMA REKENING]]="","",TRANSHARI9_SPVOUPAGI[[#This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IFERROR(VLOOKUP(TRANSHARI9_SPVOUMALAM[[#This Row],[PRODUK]],DATA_SPVOU[],11,FALSE),"")</f>
        <v/>
      </c>
      <c r="T167" s="376"/>
      <c r="U167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7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7" s="377"/>
      <c r="X167" s="386" t="str">
        <f>IFERROR(IF(TRANSHARI9_SPVOUMALAM[[#This Row],[NAMA REKENING]]="","",TRANSHARI9_SPVOUMALAM[[#This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IFERROR(VLOOKUP(TRANSHARI9_SPVOUPAGI[[#This Row],[PRODUK]],DATA_SPVOU[],11,FALSE),"")</f>
        <v/>
      </c>
      <c r="E168" s="374"/>
      <c r="F168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8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8" s="12"/>
      <c r="I168" s="384" t="str">
        <f>IFERROR(IF(TRANSHARI9_SPVOUPAGI[[#This Row],[NAMA REKENING]]="","",TRANSHARI9_SPVOUPAGI[[#This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IFERROR(VLOOKUP(TRANSHARI9_SPVOUMALAM[[#This Row],[PRODUK]],DATA_SPVOU[],11,FALSE),"")</f>
        <v/>
      </c>
      <c r="T168" s="374"/>
      <c r="U168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8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8" s="12"/>
      <c r="X168" s="384" t="str">
        <f>IFERROR(IF(TRANSHARI9_SPVOUMALAM[[#This Row],[NAMA REKENING]]="","",TRANSHARI9_SPVOUMALAM[[#This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IFERROR(VLOOKUP(TRANSHARI9_SPVOUPAGI[[#This Row],[PRODUK]],DATA_SPVOU[],11,FALSE),"")</f>
        <v/>
      </c>
      <c r="E169" s="374"/>
      <c r="F169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69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69" s="12"/>
      <c r="I169" s="386" t="str">
        <f>IFERROR(IF(TRANSHARI9_SPVOUPAGI[[#This Row],[NAMA REKENING]]="","",TRANSHARI9_SPVOUPAGI[[#This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IFERROR(VLOOKUP(TRANSHARI9_SPVOUMALAM[[#This Row],[PRODUK]],DATA_SPVOU[],11,FALSE),"")</f>
        <v/>
      </c>
      <c r="T169" s="374"/>
      <c r="U169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69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69" s="12"/>
      <c r="X169" s="386" t="str">
        <f>IFERROR(IF(TRANSHARI9_SPVOUMALAM[[#This Row],[NAMA REKENING]]="","",TRANSHARI9_SPVOUMALAM[[#This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IFERROR(VLOOKUP(TRANSHARI9_SPVOUPAGI[[#This Row],[PRODUK]],DATA_SPVOU[],11,FALSE),"")</f>
        <v/>
      </c>
      <c r="E170" s="374"/>
      <c r="F170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0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0" s="12"/>
      <c r="I170" s="384" t="str">
        <f>IFERROR(IF(TRANSHARI9_SPVOUPAGI[[#This Row],[NAMA REKENING]]="","",TRANSHARI9_SPVOUPAGI[[#This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IFERROR(VLOOKUP(TRANSHARI9_SPVOUMALAM[[#This Row],[PRODUK]],DATA_SPVOU[],11,FALSE),"")</f>
        <v/>
      </c>
      <c r="T170" s="374"/>
      <c r="U170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0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0" s="12"/>
      <c r="X170" s="384" t="str">
        <f>IFERROR(IF(TRANSHARI9_SPVOUMALAM[[#This Row],[NAMA REKENING]]="","",TRANSHARI9_SPVOUMALAM[[#This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IFERROR(VLOOKUP(TRANSHARI9_SPVOUPAGI[[#This Row],[PRODUK]],DATA_SPVOU[],11,FALSE),"")</f>
        <v/>
      </c>
      <c r="E171" s="374"/>
      <c r="F171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1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1" s="12"/>
      <c r="I171" s="386" t="str">
        <f>IFERROR(IF(TRANSHARI9_SPVOUPAGI[[#This Row],[NAMA REKENING]]="","",TRANSHARI9_SPVOUPAGI[[#This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IFERROR(VLOOKUP(TRANSHARI9_SPVOUMALAM[[#This Row],[PRODUK]],DATA_SPVOU[],11,FALSE),"")</f>
        <v/>
      </c>
      <c r="T171" s="374"/>
      <c r="U171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1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1" s="12"/>
      <c r="X171" s="386" t="str">
        <f>IFERROR(IF(TRANSHARI9_SPVOUMALAM[[#This Row],[NAMA REKENING]]="","",TRANSHARI9_SPVOUMALAM[[#This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IFERROR(VLOOKUP(TRANSHARI9_SPVOUPAGI[[#This Row],[PRODUK]],DATA_SPVOU[],11,FALSE),"")</f>
        <v/>
      </c>
      <c r="E172" s="374"/>
      <c r="F172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2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2" s="12"/>
      <c r="I172" s="384" t="str">
        <f>IFERROR(IF(TRANSHARI9_SPVOUPAGI[[#This Row],[NAMA REKENING]]="","",TRANSHARI9_SPVOUPAGI[[#This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IFERROR(VLOOKUP(TRANSHARI9_SPVOUMALAM[[#This Row],[PRODUK]],DATA_SPVOU[],11,FALSE),"")</f>
        <v/>
      </c>
      <c r="T172" s="374"/>
      <c r="U172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2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2" s="12"/>
      <c r="X172" s="384" t="str">
        <f>IFERROR(IF(TRANSHARI9_SPVOUMALAM[[#This Row],[NAMA REKENING]]="","",TRANSHARI9_SPVOUMALAM[[#This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IFERROR(VLOOKUP(TRANSHARI9_SPVOUPAGI[[#This Row],[PRODUK]],DATA_SPVOU[],11,FALSE),"")</f>
        <v/>
      </c>
      <c r="E173" s="374"/>
      <c r="F173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3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3" s="12"/>
      <c r="I173" s="386" t="str">
        <f>IFERROR(IF(TRANSHARI9_SPVOUPAGI[[#This Row],[NAMA REKENING]]="","",TRANSHARI9_SPVOUPAGI[[#This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IFERROR(VLOOKUP(TRANSHARI9_SPVOUMALAM[[#This Row],[PRODUK]],DATA_SPVOU[],11,FALSE),"")</f>
        <v/>
      </c>
      <c r="T173" s="374"/>
      <c r="U173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3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3" s="12"/>
      <c r="X173" s="386" t="str">
        <f>IFERROR(IF(TRANSHARI9_SPVOUMALAM[[#This Row],[NAMA REKENING]]="","",TRANSHARI9_SPVOUMALAM[[#This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IFERROR(VLOOKUP(TRANSHARI9_SPVOUPAGI[[#This Row],[PRODUK]],DATA_SPVOU[],11,FALSE),"")</f>
        <v/>
      </c>
      <c r="E174" s="374"/>
      <c r="F174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4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4" s="12"/>
      <c r="I174" s="384" t="str">
        <f>IFERROR(IF(TRANSHARI9_SPVOUPAGI[[#This Row],[NAMA REKENING]]="","",TRANSHARI9_SPVOUPAGI[[#This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IFERROR(VLOOKUP(TRANSHARI9_SPVOUMALAM[[#This Row],[PRODUK]],DATA_SPVOU[],11,FALSE),"")</f>
        <v/>
      </c>
      <c r="T174" s="374"/>
      <c r="U174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4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4" s="12"/>
      <c r="X174" s="384" t="str">
        <f>IFERROR(IF(TRANSHARI9_SPVOUMALAM[[#This Row],[NAMA REKENING]]="","",TRANSHARI9_SPVOUMALAM[[#This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IFERROR(VLOOKUP(TRANSHARI9_SPVOUPAGI[[#This Row],[PRODUK]],DATA_SPVOU[],11,FALSE),"")</f>
        <v/>
      </c>
      <c r="E175" s="374"/>
      <c r="F175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5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5" s="12"/>
      <c r="I175" s="386" t="str">
        <f>IFERROR(IF(TRANSHARI9_SPVOUPAGI[[#This Row],[NAMA REKENING]]="","",TRANSHARI9_SPVOUPAGI[[#This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IFERROR(VLOOKUP(TRANSHARI9_SPVOUMALAM[[#This Row],[PRODUK]],DATA_SPVOU[],11,FALSE),"")</f>
        <v/>
      </c>
      <c r="T175" s="374"/>
      <c r="U175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5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5" s="12"/>
      <c r="X175" s="386" t="str">
        <f>IFERROR(IF(TRANSHARI9_SPVOUMALAM[[#This Row],[NAMA REKENING]]="","",TRANSHARI9_SPVOUMALAM[[#This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IFERROR(VLOOKUP(TRANSHARI9_SPVOUPAGI[[#This Row],[PRODUK]],DATA_SPVOU[],11,FALSE),"")</f>
        <v/>
      </c>
      <c r="E176" s="374"/>
      <c r="F176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6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6" s="12"/>
      <c r="I176" s="384" t="str">
        <f>IFERROR(IF(TRANSHARI9_SPVOUPAGI[[#This Row],[NAMA REKENING]]="","",TRANSHARI9_SPVOUPAGI[[#This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IFERROR(VLOOKUP(TRANSHARI9_SPVOUMALAM[[#This Row],[PRODUK]],DATA_SPVOU[],11,FALSE),"")</f>
        <v/>
      </c>
      <c r="T176" s="374"/>
      <c r="U176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6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6" s="12"/>
      <c r="X176" s="384" t="str">
        <f>IFERROR(IF(TRANSHARI9_SPVOUMALAM[[#This Row],[NAMA REKENING]]="","",TRANSHARI9_SPVOUMALAM[[#This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IFERROR(VLOOKUP(TRANSHARI9_SPVOUPAGI[[#This Row],[PRODUK]],DATA_SPVOU[],11,FALSE),"")</f>
        <v/>
      </c>
      <c r="E177" s="374"/>
      <c r="F177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7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7" s="12"/>
      <c r="I177" s="386" t="str">
        <f>IFERROR(IF(TRANSHARI9_SPVOUPAGI[[#This Row],[NAMA REKENING]]="","",TRANSHARI9_SPVOUPAGI[[#This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IFERROR(VLOOKUP(TRANSHARI9_SPVOUMALAM[[#This Row],[PRODUK]],DATA_SPVOU[],11,FALSE),"")</f>
        <v/>
      </c>
      <c r="T177" s="374"/>
      <c r="U177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7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7" s="12"/>
      <c r="X177" s="386" t="str">
        <f>IFERROR(IF(TRANSHARI9_SPVOUMALAM[[#This Row],[NAMA REKENING]]="","",TRANSHARI9_SPVOUMALAM[[#This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IFERROR(VLOOKUP(TRANSHARI9_SPVOUPAGI[[#This Row],[PRODUK]],DATA_SPVOU[],11,FALSE),"")</f>
        <v/>
      </c>
      <c r="E178" s="374"/>
      <c r="F178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8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8" s="12"/>
      <c r="I178" s="384" t="str">
        <f>IFERROR(IF(TRANSHARI9_SPVOUPAGI[[#This Row],[NAMA REKENING]]="","",TRANSHARI9_SPVOUPAGI[[#This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IFERROR(VLOOKUP(TRANSHARI9_SPVOUMALAM[[#This Row],[PRODUK]],DATA_SPVOU[],11,FALSE),"")</f>
        <v/>
      </c>
      <c r="T178" s="374"/>
      <c r="U178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8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8" s="12"/>
      <c r="X178" s="384" t="str">
        <f>IFERROR(IF(TRANSHARI9_SPVOUMALAM[[#This Row],[NAMA REKENING]]="","",TRANSHARI9_SPVOUMALAM[[#This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IFERROR(VLOOKUP(TRANSHARI9_SPVOUPAGI[[#This Row],[PRODUK]],DATA_SPVOU[],11,FALSE),"")</f>
        <v/>
      </c>
      <c r="E179" s="374"/>
      <c r="F179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79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79" s="12"/>
      <c r="I179" s="386" t="str">
        <f>IFERROR(IF(TRANSHARI9_SPVOUPAGI[[#This Row],[NAMA REKENING]]="","",TRANSHARI9_SPVOUPAGI[[#This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IFERROR(VLOOKUP(TRANSHARI9_SPVOUMALAM[[#This Row],[PRODUK]],DATA_SPVOU[],11,FALSE),"")</f>
        <v/>
      </c>
      <c r="T179" s="374"/>
      <c r="U179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79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79" s="12"/>
      <c r="X179" s="386" t="str">
        <f>IFERROR(IF(TRANSHARI9_SPVOUMALAM[[#This Row],[NAMA REKENING]]="","",TRANSHARI9_SPVOUMALAM[[#This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IFERROR(VLOOKUP(TRANSHARI9_SPVOUPAGI[[#This Row],[PRODUK]],DATA_SPVOU[],11,FALSE),"")</f>
        <v/>
      </c>
      <c r="E180" s="374"/>
      <c r="F180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0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0" s="12"/>
      <c r="I180" s="384" t="str">
        <f>IFERROR(IF(TRANSHARI9_SPVOUPAGI[[#This Row],[NAMA REKENING]]="","",TRANSHARI9_SPVOUPAGI[[#This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IFERROR(VLOOKUP(TRANSHARI9_SPVOUMALAM[[#This Row],[PRODUK]],DATA_SPVOU[],11,FALSE),"")</f>
        <v/>
      </c>
      <c r="T180" s="374"/>
      <c r="U180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0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0" s="12"/>
      <c r="X180" s="384" t="str">
        <f>IFERROR(IF(TRANSHARI9_SPVOUMALAM[[#This Row],[NAMA REKENING]]="","",TRANSHARI9_SPVOUMALAM[[#This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IFERROR(VLOOKUP(TRANSHARI9_SPVOUPAGI[[#This Row],[PRODUK]],DATA_SPVOU[],11,FALSE),"")</f>
        <v/>
      </c>
      <c r="E181" s="374"/>
      <c r="F181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1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1" s="12"/>
      <c r="I181" s="386" t="str">
        <f>IFERROR(IF(TRANSHARI9_SPVOUPAGI[[#This Row],[NAMA REKENING]]="","",TRANSHARI9_SPVOUPAGI[[#This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IFERROR(VLOOKUP(TRANSHARI9_SPVOUMALAM[[#This Row],[PRODUK]],DATA_SPVOU[],11,FALSE),"")</f>
        <v/>
      </c>
      <c r="T181" s="374"/>
      <c r="U181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1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1" s="12"/>
      <c r="X181" s="386" t="str">
        <f>IFERROR(IF(TRANSHARI9_SPVOUMALAM[[#This Row],[NAMA REKENING]]="","",TRANSHARI9_SPVOUMALAM[[#This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IFERROR(VLOOKUP(TRANSHARI9_SPVOUPAGI[[#This Row],[PRODUK]],DATA_SPVOU[],11,FALSE),"")</f>
        <v/>
      </c>
      <c r="E182" s="374"/>
      <c r="F182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2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2" s="12"/>
      <c r="I182" s="384" t="str">
        <f>IFERROR(IF(TRANSHARI9_SPVOUPAGI[[#This Row],[NAMA REKENING]]="","",TRANSHARI9_SPVOUPAGI[[#This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IFERROR(VLOOKUP(TRANSHARI9_SPVOUMALAM[[#This Row],[PRODUK]],DATA_SPVOU[],11,FALSE),"")</f>
        <v/>
      </c>
      <c r="T182" s="374"/>
      <c r="U182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2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2" s="12"/>
      <c r="X182" s="384" t="str">
        <f>IFERROR(IF(TRANSHARI9_SPVOUMALAM[[#This Row],[NAMA REKENING]]="","",TRANSHARI9_SPVOUMALAM[[#This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IFERROR(VLOOKUP(TRANSHARI9_SPVOUPAGI[[#This Row],[PRODUK]],DATA_SPVOU[],11,FALSE),"")</f>
        <v/>
      </c>
      <c r="E183" s="374"/>
      <c r="F183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3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3" s="12"/>
      <c r="I183" s="386" t="str">
        <f>IFERROR(IF(TRANSHARI9_SPVOUPAGI[[#This Row],[NAMA REKENING]]="","",TRANSHARI9_SPVOUPAGI[[#This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IFERROR(VLOOKUP(TRANSHARI9_SPVOUMALAM[[#This Row],[PRODUK]],DATA_SPVOU[],11,FALSE),"")</f>
        <v/>
      </c>
      <c r="T183" s="374"/>
      <c r="U183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3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3" s="12"/>
      <c r="X183" s="386" t="str">
        <f>IFERROR(IF(TRANSHARI9_SPVOUMALAM[[#This Row],[NAMA REKENING]]="","",TRANSHARI9_SPVOUMALAM[[#This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IFERROR(VLOOKUP(TRANSHARI9_SPVOUPAGI[[#This Row],[PRODUK]],DATA_SPVOU[],11,FALSE),"")</f>
        <v/>
      </c>
      <c r="E184" s="374"/>
      <c r="F184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4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4" s="12"/>
      <c r="I184" s="384" t="str">
        <f>IFERROR(IF(TRANSHARI9_SPVOUPAGI[[#This Row],[NAMA REKENING]]="","",TRANSHARI9_SPVOUPAGI[[#This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IFERROR(VLOOKUP(TRANSHARI9_SPVOUMALAM[[#This Row],[PRODUK]],DATA_SPVOU[],11,FALSE),"")</f>
        <v/>
      </c>
      <c r="T184" s="374"/>
      <c r="U184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4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4" s="12"/>
      <c r="X184" s="384" t="str">
        <f>IFERROR(IF(TRANSHARI9_SPVOUMALAM[[#This Row],[NAMA REKENING]]="","",TRANSHARI9_SPVOUMALAM[[#This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IFERROR(VLOOKUP(TRANSHARI9_SPVOUPAGI[[#This Row],[PRODUK]],DATA_SPVOU[],11,FALSE),"")</f>
        <v/>
      </c>
      <c r="E185" s="374"/>
      <c r="F185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5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5" s="12"/>
      <c r="I185" s="386" t="str">
        <f>IFERROR(IF(TRANSHARI9_SPVOUPAGI[[#This Row],[NAMA REKENING]]="","",TRANSHARI9_SPVOUPAGI[[#This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IFERROR(VLOOKUP(TRANSHARI9_SPVOUMALAM[[#This Row],[PRODUK]],DATA_SPVOU[],11,FALSE),"")</f>
        <v/>
      </c>
      <c r="T185" s="374"/>
      <c r="U185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5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5" s="12"/>
      <c r="X185" s="386" t="str">
        <f>IFERROR(IF(TRANSHARI9_SPVOUMALAM[[#This Row],[NAMA REKENING]]="","",TRANSHARI9_SPVOUMALAM[[#This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IFERROR(VLOOKUP(TRANSHARI9_SPVOUPAGI[[#This Row],[PRODUK]],DATA_SPVOU[],11,FALSE),"")</f>
        <v/>
      </c>
      <c r="E186" s="374"/>
      <c r="F186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6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6" s="12"/>
      <c r="I186" s="384" t="str">
        <f>IFERROR(IF(TRANSHARI9_SPVOUPAGI[[#This Row],[NAMA REKENING]]="","",TRANSHARI9_SPVOUPAGI[[#This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IFERROR(VLOOKUP(TRANSHARI9_SPVOUMALAM[[#This Row],[PRODUK]],DATA_SPVOU[],11,FALSE),"")</f>
        <v/>
      </c>
      <c r="T186" s="374"/>
      <c r="U186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6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6" s="12"/>
      <c r="X186" s="384" t="str">
        <f>IFERROR(IF(TRANSHARI9_SPVOUMALAM[[#This Row],[NAMA REKENING]]="","",TRANSHARI9_SPVOUMALAM[[#This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IFERROR(VLOOKUP(TRANSHARI9_SPVOUPAGI[[#This Row],[PRODUK]],DATA_SPVOU[],11,FALSE),"")</f>
        <v/>
      </c>
      <c r="E187" s="374"/>
      <c r="F187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7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7" s="12"/>
      <c r="I187" s="386" t="str">
        <f>IFERROR(IF(TRANSHARI9_SPVOUPAGI[[#This Row],[NAMA REKENING]]="","",TRANSHARI9_SPVOUPAGI[[#This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IFERROR(VLOOKUP(TRANSHARI9_SPVOUMALAM[[#This Row],[PRODUK]],DATA_SPVOU[],11,FALSE),"")</f>
        <v/>
      </c>
      <c r="T187" s="374"/>
      <c r="U187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7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7" s="12"/>
      <c r="X187" s="386" t="str">
        <f>IFERROR(IF(TRANSHARI9_SPVOUMALAM[[#This Row],[NAMA REKENING]]="","",TRANSHARI9_SPVOUMALAM[[#This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IFERROR(VLOOKUP(TRANSHARI9_SPVOUPAGI[[#This Row],[PRODUK]],DATA_SPVOU[],11,FALSE),"")</f>
        <v/>
      </c>
      <c r="E188" s="374"/>
      <c r="F188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8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8" s="12"/>
      <c r="I188" s="384" t="str">
        <f>IFERROR(IF(TRANSHARI9_SPVOUPAGI[[#This Row],[NAMA REKENING]]="","",TRANSHARI9_SPVOUPAGI[[#This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IFERROR(VLOOKUP(TRANSHARI9_SPVOUMALAM[[#This Row],[PRODUK]],DATA_SPVOU[],11,FALSE),"")</f>
        <v/>
      </c>
      <c r="T188" s="374"/>
      <c r="U188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8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8" s="12"/>
      <c r="X188" s="384" t="str">
        <f>IFERROR(IF(TRANSHARI9_SPVOUMALAM[[#This Row],[NAMA REKENING]]="","",TRANSHARI9_SPVOUMALAM[[#This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IFERROR(VLOOKUP(TRANSHARI9_SPVOUPAGI[[#This Row],[PRODUK]],DATA_SPVOU[],11,FALSE),"")</f>
        <v/>
      </c>
      <c r="E189" s="374"/>
      <c r="F189" s="373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89" s="373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89" s="12"/>
      <c r="I189" s="386" t="str">
        <f>IFERROR(IF(TRANSHARI9_SPVOUPAGI[[#This Row],[NAMA REKENING]]="","",TRANSHARI9_SPVOUPAGI[[#This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IFERROR(VLOOKUP(TRANSHARI9_SPVOUMALAM[[#This Row],[PRODUK]],DATA_SPVOU[],11,FALSE),"")</f>
        <v/>
      </c>
      <c r="T189" s="374"/>
      <c r="U189" s="373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89" s="373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89" s="12"/>
      <c r="X189" s="386" t="str">
        <f>IFERROR(IF(TRANSHARI9_SPVOUMALAM[[#This Row],[NAMA REKENING]]="","",TRANSHARI9_SPVOUMALAM[[#This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IFERROR(VLOOKUP(TRANSHARI9_SPVOUPAGI[[#This Row],[PRODUK]],DATA_SPVOU[],11,FALSE),"")</f>
        <v/>
      </c>
      <c r="E190" s="374"/>
      <c r="F190" s="369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90" s="369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90" s="12"/>
      <c r="I190" s="384" t="str">
        <f>IFERROR(IF(TRANSHARI9_SPVOUPAGI[[#This Row],[NAMA REKENING]]="","",TRANSHARI9_SPVOUPAGI[[#This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IFERROR(VLOOKUP(TRANSHARI9_SPVOUMALAM[[#This Row],[PRODUK]],DATA_SPVOU[],11,FALSE),"")</f>
        <v/>
      </c>
      <c r="T190" s="374"/>
      <c r="U190" s="369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90" s="369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90" s="12"/>
      <c r="X190" s="384" t="str">
        <f>IFERROR(IF(TRANSHARI9_SPVOUMALAM[[#This Row],[NAMA REKENING]]="","",TRANSHARI9_SPVOUMALAM[[#This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IFERROR(VLOOKUP(TRANSHARI9_SPVOUPAGI[[#This Row],[PRODUK]],DATA_SPVOU[],11,FALSE),"")</f>
        <v/>
      </c>
      <c r="E191" s="376"/>
      <c r="F191" s="394" t="str">
        <f>IFERROR(IF(TRANSHARI9_SPVOUPAGI[[#This Row],[NAMA PENGHUTANG]]="",((TRANSHARI9_SPVOUPAGI[[#This Row],[HARGA]]*TRANSHARI9_SPVOUPAGI[[#This Row],[QUANTITY]])+TRANSHARI9_SPVOUPAGI[[#This Row],[PRICE TOLERANCE]]),""),"")</f>
        <v/>
      </c>
      <c r="G191" s="394" t="str">
        <f>IFERROR(IF(TRANSHARI9_SPVOUPAGI[[#This Row],[NAMA PENGHUTANG]]="","",((TRANSHARI9_SPVOUPAGI[[#This Row],[HARGA]]*TRANSHARI9_SPVOUPAGI[[#This Row],[QUANTITY]])+TRANSHARI9_SPVOUPAGI[[#This Row],[PRICE TOLERANCE]])),"")</f>
        <v/>
      </c>
      <c r="H191" s="377"/>
      <c r="I191" s="399" t="str">
        <f>IFERROR(IF(TRANSHARI9_SPVOUPAGI[[#This Row],[NAMA REKENING]]="","",TRANSHARI9_SPVOUPAGI[[#This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IFERROR(VLOOKUP(TRANSHARI9_SPVOUMALAM[[#This Row],[PRODUK]],DATA_SPVOU[],11,FALSE),"")</f>
        <v/>
      </c>
      <c r="T191" s="376"/>
      <c r="U191" s="394" t="str">
        <f>IFERROR(IF(TRANSHARI9_SPVOUMALAM[[#This Row],[NAMA PENGHUTANG]]="",((TRANSHARI9_SPVOUMALAM[[#This Row],[HARGA]]*TRANSHARI9_SPVOUMALAM[[#This Row],[QUANTITY]])+TRANSHARI9_SPVOUMALAM[[#This Row],[PRICE TOLERANCE]]),""),"")</f>
        <v/>
      </c>
      <c r="V191" s="394" t="str">
        <f>IFERROR(IF(TRANSHARI9_SPVOUMALAM[[#This Row],[NAMA PENGHUTANG]]="","",((TRANSHARI9_SPVOUMALAM[[#This Row],[HARGA]]*TRANSHARI9_SPVOUMALAM[[#This Row],[QUANTITY]])+TRANSHARI9_SPVOUMALAM[[#This Row],[PRICE TOLERANCE]])),"")</f>
        <v/>
      </c>
      <c r="W191" s="377"/>
      <c r="X191" s="399" t="str">
        <f>IFERROR(IF(TRANSHARI9_SPVOUMALAM[[#This Row],[NAMA REKENING]]="","",TRANSHARI9_SPVOUMALAM[[#This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SUM(TRANSHARI9_SPVOUPAGI[QUANTITY])</f>
        <v>0</v>
      </c>
      <c r="E192" s="398">
        <f>SUM(TRANSHARI9_SPVOUPAGI[PRICE TOLERANCE])</f>
        <v>0</v>
      </c>
      <c r="F192" s="396">
        <f>SUM(TRANSHARI9_SPVOUPAGI[DEBIT])</f>
        <v>0</v>
      </c>
      <c r="G192" s="396">
        <f>SUM(TRANSHARI9_SPVOUPAGI[KREDIT])</f>
        <v>0</v>
      </c>
      <c r="I192" s="396">
        <f>SUM(TRANSHARI9_SPVOUPAGI[NOMINAL TRANSFER])</f>
        <v>0</v>
      </c>
      <c r="O192" s="324"/>
      <c r="P192" s="303" t="s">
        <v>78</v>
      </c>
      <c r="Q192" s="316"/>
      <c r="R192" s="395">
        <f>SUM(TRANSHARI9_SPVOUMALAM[QUANTITY])</f>
        <v>0</v>
      </c>
      <c r="T192" s="398">
        <f>SUM(TRANSHARI9_SPVOUMALAM[PRICE TOLERANCE])</f>
        <v>0</v>
      </c>
      <c r="U192" s="396">
        <f>SUM(TRANSHARI9_SPVOUMALAM[DEBIT])</f>
        <v>0</v>
      </c>
      <c r="V192" s="396">
        <f>SUM(TRANSHARI9_SPVOUMALAM[KREDIT])</f>
        <v>0</v>
      </c>
      <c r="X192" s="396">
        <f>SUM(TRANSHARI9_SPVOUMALAM[NOMINAL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tr">
        <f>A25</f>
        <v>HARI 9 : PAGI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tr">
        <f>P25</f>
        <v>HARI 9 : MALAM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IFERROR(VLOOKUP(TRANSHARI9_SOFTDRINKPAGI[[#This Row],[PRODUK]],DATA_SOFTDRINK[],11,FALSE),"")</f>
        <v/>
      </c>
      <c r="E199" s="370"/>
      <c r="F199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199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199" s="371"/>
      <c r="I199" s="384" t="str">
        <f>IFERROR(IF(TRANSHARI9_SOFTDRINKPAGI[[#This Row],[NAMA REKENING]]="","",TRANSHARI9_SOFTDRINKPAGI[[#This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IFERROR(VLOOKUP(TRANSHARI9_SOFTDRINKMALAM[[#This Row],[PRODUK]],DATA_SOFTDRINK[],11,FALSE),"")</f>
        <v/>
      </c>
      <c r="T199" s="370"/>
      <c r="U199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199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199" s="371"/>
      <c r="X199" s="384" t="str">
        <f>IFERROR(IF(TRANSHARI9_SOFTDRINKMALAM[[#This Row],[NAMA REKENING]]="","",TRANSHARI9_SOFTDRINKMALAM[[#This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IFERROR(VLOOKUP(TRANSHARI9_SOFTDRINKPAGI[[#This Row],[PRODUK]],DATA_SOFTDRINK[],11,FALSE),"")</f>
        <v/>
      </c>
      <c r="E200" s="374"/>
      <c r="F200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0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0" s="12"/>
      <c r="I200" s="386" t="str">
        <f>IFERROR(IF(TRANSHARI9_SOFTDRINKPAGI[[#This Row],[NAMA REKENING]]="","",TRANSHARI9_SOFTDRINKPAGI[[#This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IFERROR(VLOOKUP(TRANSHARI9_SOFTDRINKMALAM[[#This Row],[PRODUK]],DATA_SOFTDRINK[],11,FALSE),"")</f>
        <v/>
      </c>
      <c r="T200" s="374"/>
      <c r="U200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0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0" s="12"/>
      <c r="X200" s="386" t="str">
        <f>IFERROR(IF(TRANSHARI9_SOFTDRINKMALAM[[#This Row],[NAMA REKENING]]="","",TRANSHARI9_SOFTDRINKMALAM[[#This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IFERROR(VLOOKUP(TRANSHARI9_SOFTDRINKPAGI[[#This Row],[PRODUK]],DATA_SOFTDRINK[],11,FALSE),"")</f>
        <v/>
      </c>
      <c r="E201" s="374"/>
      <c r="F201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1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1" s="12"/>
      <c r="I201" s="384" t="str">
        <f>IFERROR(IF(TRANSHARI9_SOFTDRINKPAGI[[#This Row],[NAMA REKENING]]="","",TRANSHARI9_SOFTDRINKPAGI[[#This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IFERROR(VLOOKUP(TRANSHARI9_SOFTDRINKMALAM[[#This Row],[PRODUK]],DATA_SOFTDRINK[],11,FALSE),"")</f>
        <v/>
      </c>
      <c r="T201" s="374"/>
      <c r="U201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1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1" s="12"/>
      <c r="X201" s="384" t="str">
        <f>IFERROR(IF(TRANSHARI9_SOFTDRINKMALAM[[#This Row],[NAMA REKENING]]="","",TRANSHARI9_SOFTDRINKMALAM[[#This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IFERROR(VLOOKUP(TRANSHARI9_SOFTDRINKPAGI[[#This Row],[PRODUK]],DATA_SOFTDRINK[],11,FALSE),"")</f>
        <v/>
      </c>
      <c r="E202" s="374"/>
      <c r="F202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2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2" s="12"/>
      <c r="I202" s="386" t="str">
        <f>IFERROR(IF(TRANSHARI9_SOFTDRINKPAGI[[#This Row],[NAMA REKENING]]="","",TRANSHARI9_SOFTDRINKPAGI[[#This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IFERROR(VLOOKUP(TRANSHARI9_SOFTDRINKMALAM[[#This Row],[PRODUK]],DATA_SOFTDRINK[],11,FALSE),"")</f>
        <v/>
      </c>
      <c r="T202" s="374"/>
      <c r="U202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2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2" s="12"/>
      <c r="X202" s="386" t="str">
        <f>IFERROR(IF(TRANSHARI9_SOFTDRINKMALAM[[#This Row],[NAMA REKENING]]="","",TRANSHARI9_SOFTDRINKMALAM[[#This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IFERROR(VLOOKUP(TRANSHARI9_SOFTDRINKPAGI[[#This Row],[PRODUK]],DATA_SOFTDRINK[],11,FALSE),"")</f>
        <v/>
      </c>
      <c r="E203" s="374"/>
      <c r="F203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3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3" s="12"/>
      <c r="I203" s="384" t="str">
        <f>IFERROR(IF(TRANSHARI9_SOFTDRINKPAGI[[#This Row],[NAMA REKENING]]="","",TRANSHARI9_SOFTDRINKPAGI[[#This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IFERROR(VLOOKUP(TRANSHARI9_SOFTDRINKMALAM[[#This Row],[PRODUK]],DATA_SOFTDRINK[],11,FALSE),"")</f>
        <v/>
      </c>
      <c r="T203" s="374"/>
      <c r="U203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3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3" s="12"/>
      <c r="X203" s="384" t="str">
        <f>IFERROR(IF(TRANSHARI9_SOFTDRINKMALAM[[#This Row],[NAMA REKENING]]="","",TRANSHARI9_SOFTDRINKMALAM[[#This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IFERROR(VLOOKUP(TRANSHARI9_SOFTDRINKPAGI[[#This Row],[PRODUK]],DATA_SOFTDRINK[],11,FALSE),"")</f>
        <v/>
      </c>
      <c r="E204" s="374"/>
      <c r="F204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4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4" s="12"/>
      <c r="I204" s="386" t="str">
        <f>IFERROR(IF(TRANSHARI9_SOFTDRINKPAGI[[#This Row],[NAMA REKENING]]="","",TRANSHARI9_SOFTDRINKPAGI[[#This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IFERROR(VLOOKUP(TRANSHARI9_SOFTDRINKMALAM[[#This Row],[PRODUK]],DATA_SOFTDRINK[],11,FALSE),"")</f>
        <v/>
      </c>
      <c r="T204" s="374"/>
      <c r="U204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4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4" s="12"/>
      <c r="X204" s="386" t="str">
        <f>IFERROR(IF(TRANSHARI9_SOFTDRINKMALAM[[#This Row],[NAMA REKENING]]="","",TRANSHARI9_SOFTDRINKMALAM[[#This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IFERROR(VLOOKUP(TRANSHARI9_SOFTDRINKPAGI[[#This Row],[PRODUK]],DATA_SOFTDRINK[],11,FALSE),"")</f>
        <v/>
      </c>
      <c r="E205" s="374"/>
      <c r="F205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5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5" s="12"/>
      <c r="I205" s="384" t="str">
        <f>IFERROR(IF(TRANSHARI9_SOFTDRINKPAGI[[#This Row],[NAMA REKENING]]="","",TRANSHARI9_SOFTDRINKPAGI[[#This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IFERROR(VLOOKUP(TRANSHARI9_SOFTDRINKMALAM[[#This Row],[PRODUK]],DATA_SOFTDRINK[],11,FALSE),"")</f>
        <v/>
      </c>
      <c r="T205" s="374"/>
      <c r="U205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5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5" s="12"/>
      <c r="X205" s="384" t="str">
        <f>IFERROR(IF(TRANSHARI9_SOFTDRINKMALAM[[#This Row],[NAMA REKENING]]="","",TRANSHARI9_SOFTDRINKMALAM[[#This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IFERROR(VLOOKUP(TRANSHARI9_SOFTDRINKPAGI[[#This Row],[PRODUK]],DATA_SOFTDRINK[],11,FALSE),"")</f>
        <v/>
      </c>
      <c r="E206" s="374"/>
      <c r="F206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6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6" s="12"/>
      <c r="I206" s="386" t="str">
        <f>IFERROR(IF(TRANSHARI9_SOFTDRINKPAGI[[#This Row],[NAMA REKENING]]="","",TRANSHARI9_SOFTDRINKPAGI[[#This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IFERROR(VLOOKUP(TRANSHARI9_SOFTDRINKMALAM[[#This Row],[PRODUK]],DATA_SOFTDRINK[],11,FALSE),"")</f>
        <v/>
      </c>
      <c r="T206" s="374"/>
      <c r="U206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6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6" s="12"/>
      <c r="X206" s="386" t="str">
        <f>IFERROR(IF(TRANSHARI9_SOFTDRINKMALAM[[#This Row],[NAMA REKENING]]="","",TRANSHARI9_SOFTDRINKMALAM[[#This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IFERROR(VLOOKUP(TRANSHARI9_SOFTDRINKPAGI[[#This Row],[PRODUK]],DATA_SOFTDRINK[],11,FALSE),"")</f>
        <v/>
      </c>
      <c r="E207" s="374"/>
      <c r="F207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7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7" s="12"/>
      <c r="I207" s="384" t="str">
        <f>IFERROR(IF(TRANSHARI9_SOFTDRINKPAGI[[#This Row],[NAMA REKENING]]="","",TRANSHARI9_SOFTDRINKPAGI[[#This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IFERROR(VLOOKUP(TRANSHARI9_SOFTDRINKMALAM[[#This Row],[PRODUK]],DATA_SOFTDRINK[],11,FALSE),"")</f>
        <v/>
      </c>
      <c r="T207" s="374"/>
      <c r="U207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7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7" s="12"/>
      <c r="X207" s="384" t="str">
        <f>IFERROR(IF(TRANSHARI9_SOFTDRINKMALAM[[#This Row],[NAMA REKENING]]="","",TRANSHARI9_SOFTDRINKMALAM[[#This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IFERROR(VLOOKUP(TRANSHARI9_SOFTDRINKPAGI[[#This Row],[PRODUK]],DATA_SOFTDRINK[],11,FALSE),"")</f>
        <v/>
      </c>
      <c r="E208" s="374"/>
      <c r="F208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8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8" s="12"/>
      <c r="I208" s="386" t="str">
        <f>IFERROR(IF(TRANSHARI9_SOFTDRINKPAGI[[#This Row],[NAMA REKENING]]="","",TRANSHARI9_SOFTDRINKPAGI[[#This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IFERROR(VLOOKUP(TRANSHARI9_SOFTDRINKMALAM[[#This Row],[PRODUK]],DATA_SOFTDRINK[],11,FALSE),"")</f>
        <v/>
      </c>
      <c r="T208" s="374"/>
      <c r="U208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8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8" s="12"/>
      <c r="X208" s="386" t="str">
        <f>IFERROR(IF(TRANSHARI9_SOFTDRINKMALAM[[#This Row],[NAMA REKENING]]="","",TRANSHARI9_SOFTDRINKMALAM[[#This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IFERROR(VLOOKUP(TRANSHARI9_SOFTDRINKPAGI[[#This Row],[PRODUK]],DATA_SOFTDRINK[],11,FALSE),"")</f>
        <v/>
      </c>
      <c r="E209" s="374"/>
      <c r="F209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09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09" s="12"/>
      <c r="I209" s="384" t="str">
        <f>IFERROR(IF(TRANSHARI9_SOFTDRINKPAGI[[#This Row],[NAMA REKENING]]="","",TRANSHARI9_SOFTDRINKPAGI[[#This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IFERROR(VLOOKUP(TRANSHARI9_SOFTDRINKMALAM[[#This Row],[PRODUK]],DATA_SOFTDRINK[],11,FALSE),"")</f>
        <v/>
      </c>
      <c r="T209" s="374"/>
      <c r="U209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09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09" s="12"/>
      <c r="X209" s="384" t="str">
        <f>IFERROR(IF(TRANSHARI9_SOFTDRINKMALAM[[#This Row],[NAMA REKENING]]="","",TRANSHARI9_SOFTDRINKMALAM[[#This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IFERROR(VLOOKUP(TRANSHARI9_SOFTDRINKPAGI[[#This Row],[PRODUK]],DATA_SOFTDRINK[],11,FALSE),"")</f>
        <v/>
      </c>
      <c r="E210" s="374"/>
      <c r="F210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0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0" s="12"/>
      <c r="I210" s="386" t="str">
        <f>IFERROR(IF(TRANSHARI9_SOFTDRINKPAGI[[#This Row],[NAMA REKENING]]="","",TRANSHARI9_SOFTDRINKPAGI[[#This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IFERROR(VLOOKUP(TRANSHARI9_SOFTDRINKMALAM[[#This Row],[PRODUK]],DATA_SOFTDRINK[],11,FALSE),"")</f>
        <v/>
      </c>
      <c r="T210" s="374"/>
      <c r="U210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0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0" s="12"/>
      <c r="X210" s="386" t="str">
        <f>IFERROR(IF(TRANSHARI9_SOFTDRINKMALAM[[#This Row],[NAMA REKENING]]="","",TRANSHARI9_SOFTDRINKMALAM[[#This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IFERROR(VLOOKUP(TRANSHARI9_SOFTDRINKPAGI[[#This Row],[PRODUK]],DATA_SOFTDRINK[],11,FALSE),"")</f>
        <v/>
      </c>
      <c r="E211" s="374"/>
      <c r="F211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1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1" s="12"/>
      <c r="I211" s="384" t="str">
        <f>IFERROR(IF(TRANSHARI9_SOFTDRINKPAGI[[#This Row],[NAMA REKENING]]="","",TRANSHARI9_SOFTDRINKPAGI[[#This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IFERROR(VLOOKUP(TRANSHARI9_SOFTDRINKMALAM[[#This Row],[PRODUK]],DATA_SOFTDRINK[],11,FALSE),"")</f>
        <v/>
      </c>
      <c r="T211" s="374"/>
      <c r="U211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1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1" s="12"/>
      <c r="X211" s="384" t="str">
        <f>IFERROR(IF(TRANSHARI9_SOFTDRINKMALAM[[#This Row],[NAMA REKENING]]="","",TRANSHARI9_SOFTDRINKMALAM[[#This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IFERROR(VLOOKUP(TRANSHARI9_SOFTDRINKPAGI[[#This Row],[PRODUK]],DATA_SOFTDRINK[],11,FALSE),"")</f>
        <v/>
      </c>
      <c r="E212" s="374"/>
      <c r="F212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2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2" s="12"/>
      <c r="I212" s="386" t="str">
        <f>IFERROR(IF(TRANSHARI9_SOFTDRINKPAGI[[#This Row],[NAMA REKENING]]="","",TRANSHARI9_SOFTDRINKPAGI[[#This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IFERROR(VLOOKUP(TRANSHARI9_SOFTDRINKMALAM[[#This Row],[PRODUK]],DATA_SOFTDRINK[],11,FALSE),"")</f>
        <v/>
      </c>
      <c r="T212" s="374"/>
      <c r="U212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2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2" s="12"/>
      <c r="X212" s="386" t="str">
        <f>IFERROR(IF(TRANSHARI9_SOFTDRINKMALAM[[#This Row],[NAMA REKENING]]="","",TRANSHARI9_SOFTDRINKMALAM[[#This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IFERROR(VLOOKUP(TRANSHARI9_SOFTDRINKPAGI[[#This Row],[PRODUK]],DATA_SOFTDRINK[],11,FALSE),"")</f>
        <v/>
      </c>
      <c r="E213" s="374"/>
      <c r="F213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3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3" s="12"/>
      <c r="I213" s="384" t="str">
        <f>IFERROR(IF(TRANSHARI9_SOFTDRINKPAGI[[#This Row],[NAMA REKENING]]="","",TRANSHARI9_SOFTDRINKPAGI[[#This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IFERROR(VLOOKUP(TRANSHARI9_SOFTDRINKMALAM[[#This Row],[PRODUK]],DATA_SOFTDRINK[],11,FALSE),"")</f>
        <v/>
      </c>
      <c r="T213" s="374"/>
      <c r="U213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3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3" s="12"/>
      <c r="X213" s="384" t="str">
        <f>IFERROR(IF(TRANSHARI9_SOFTDRINKMALAM[[#This Row],[NAMA REKENING]]="","",TRANSHARI9_SOFTDRINKMALAM[[#This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IFERROR(VLOOKUP(TRANSHARI9_SOFTDRINKPAGI[[#This Row],[PRODUK]],DATA_SOFTDRINK[],11,FALSE),"")</f>
        <v/>
      </c>
      <c r="E214" s="374"/>
      <c r="F214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4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4" s="12"/>
      <c r="I214" s="386" t="str">
        <f>IFERROR(IF(TRANSHARI9_SOFTDRINKPAGI[[#This Row],[NAMA REKENING]]="","",TRANSHARI9_SOFTDRINKPAGI[[#This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IFERROR(VLOOKUP(TRANSHARI9_SOFTDRINKMALAM[[#This Row],[PRODUK]],DATA_SOFTDRINK[],11,FALSE),"")</f>
        <v/>
      </c>
      <c r="T214" s="374"/>
      <c r="U214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4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4" s="12"/>
      <c r="X214" s="386" t="str">
        <f>IFERROR(IF(TRANSHARI9_SOFTDRINKMALAM[[#This Row],[NAMA REKENING]]="","",TRANSHARI9_SOFTDRINKMALAM[[#This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IFERROR(VLOOKUP(TRANSHARI9_SOFTDRINKPAGI[[#This Row],[PRODUK]],DATA_SOFTDRINK[],11,FALSE),"")</f>
        <v/>
      </c>
      <c r="E215" s="374"/>
      <c r="F215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5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5" s="12"/>
      <c r="I215" s="384" t="str">
        <f>IFERROR(IF(TRANSHARI9_SOFTDRINKPAGI[[#This Row],[NAMA REKENING]]="","",TRANSHARI9_SOFTDRINKPAGI[[#This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IFERROR(VLOOKUP(TRANSHARI9_SOFTDRINKMALAM[[#This Row],[PRODUK]],DATA_SOFTDRINK[],11,FALSE),"")</f>
        <v/>
      </c>
      <c r="T215" s="374"/>
      <c r="U215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5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5" s="12"/>
      <c r="X215" s="384" t="str">
        <f>IFERROR(IF(TRANSHARI9_SOFTDRINKMALAM[[#This Row],[NAMA REKENING]]="","",TRANSHARI9_SOFTDRINKMALAM[[#This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IFERROR(VLOOKUP(TRANSHARI9_SOFTDRINKPAGI[[#This Row],[PRODUK]],DATA_SOFTDRINK[],11,FALSE),"")</f>
        <v/>
      </c>
      <c r="E216" s="374"/>
      <c r="F216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6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6" s="12"/>
      <c r="I216" s="386" t="str">
        <f>IFERROR(IF(TRANSHARI9_SOFTDRINKPAGI[[#This Row],[NAMA REKENING]]="","",TRANSHARI9_SOFTDRINKPAGI[[#This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IFERROR(VLOOKUP(TRANSHARI9_SOFTDRINKMALAM[[#This Row],[PRODUK]],DATA_SOFTDRINK[],11,FALSE),"")</f>
        <v/>
      </c>
      <c r="T216" s="374"/>
      <c r="U216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6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6" s="12"/>
      <c r="X216" s="386" t="str">
        <f>IFERROR(IF(TRANSHARI9_SOFTDRINKMALAM[[#This Row],[NAMA REKENING]]="","",TRANSHARI9_SOFTDRINKMALAM[[#This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IFERROR(VLOOKUP(TRANSHARI9_SOFTDRINKPAGI[[#This Row],[PRODUK]],DATA_SOFTDRINK[],11,FALSE),"")</f>
        <v/>
      </c>
      <c r="E217" s="374"/>
      <c r="F217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7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7" s="12"/>
      <c r="I217" s="384" t="str">
        <f>IFERROR(IF(TRANSHARI9_SOFTDRINKPAGI[[#This Row],[NAMA REKENING]]="","",TRANSHARI9_SOFTDRINKPAGI[[#This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IFERROR(VLOOKUP(TRANSHARI9_SOFTDRINKMALAM[[#This Row],[PRODUK]],DATA_SOFTDRINK[],11,FALSE),"")</f>
        <v/>
      </c>
      <c r="T217" s="374"/>
      <c r="U217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7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7" s="12"/>
      <c r="X217" s="384" t="str">
        <f>IFERROR(IF(TRANSHARI9_SOFTDRINKMALAM[[#This Row],[NAMA REKENING]]="","",TRANSHARI9_SOFTDRINKMALAM[[#This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IFERROR(VLOOKUP(TRANSHARI9_SOFTDRINKPAGI[[#This Row],[PRODUK]],DATA_SOFTDRINK[],11,FALSE),"")</f>
        <v/>
      </c>
      <c r="E218" s="374"/>
      <c r="F218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8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8" s="12"/>
      <c r="I218" s="386" t="str">
        <f>IFERROR(IF(TRANSHARI9_SOFTDRINKPAGI[[#This Row],[NAMA REKENING]]="","",TRANSHARI9_SOFTDRINKPAGI[[#This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IFERROR(VLOOKUP(TRANSHARI9_SOFTDRINKMALAM[[#This Row],[PRODUK]],DATA_SOFTDRINK[],11,FALSE),"")</f>
        <v/>
      </c>
      <c r="T218" s="374"/>
      <c r="U218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8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8" s="12"/>
      <c r="X218" s="386" t="str">
        <f>IFERROR(IF(TRANSHARI9_SOFTDRINKMALAM[[#This Row],[NAMA REKENING]]="","",TRANSHARI9_SOFTDRINKMALAM[[#This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IFERROR(VLOOKUP(TRANSHARI9_SOFTDRINKPAGI[[#This Row],[PRODUK]],DATA_SOFTDRINK[],11,FALSE),"")</f>
        <v/>
      </c>
      <c r="E219" s="374"/>
      <c r="F219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19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19" s="12"/>
      <c r="I219" s="384" t="str">
        <f>IFERROR(IF(TRANSHARI9_SOFTDRINKPAGI[[#This Row],[NAMA REKENING]]="","",TRANSHARI9_SOFTDRINKPAGI[[#This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IFERROR(VLOOKUP(TRANSHARI9_SOFTDRINKMALAM[[#This Row],[PRODUK]],DATA_SOFTDRINK[],11,FALSE),"")</f>
        <v/>
      </c>
      <c r="T219" s="374"/>
      <c r="U219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19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19" s="12"/>
      <c r="X219" s="384" t="str">
        <f>IFERROR(IF(TRANSHARI9_SOFTDRINKMALAM[[#This Row],[NAMA REKENING]]="","",TRANSHARI9_SOFTDRINKMALAM[[#This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IFERROR(VLOOKUP(TRANSHARI9_SOFTDRINKPAGI[[#This Row],[PRODUK]],DATA_SOFTDRINK[],11,FALSE),"")</f>
        <v/>
      </c>
      <c r="E220" s="374"/>
      <c r="F220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0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0" s="12"/>
      <c r="I220" s="386" t="str">
        <f>IFERROR(IF(TRANSHARI9_SOFTDRINKPAGI[[#This Row],[NAMA REKENING]]="","",TRANSHARI9_SOFTDRINKPAGI[[#This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IFERROR(VLOOKUP(TRANSHARI9_SOFTDRINKMALAM[[#This Row],[PRODUK]],DATA_SOFTDRINK[],11,FALSE),"")</f>
        <v/>
      </c>
      <c r="T220" s="374"/>
      <c r="U220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0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0" s="12"/>
      <c r="X220" s="386" t="str">
        <f>IFERROR(IF(TRANSHARI9_SOFTDRINKMALAM[[#This Row],[NAMA REKENING]]="","",TRANSHARI9_SOFTDRINKMALAM[[#This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IFERROR(VLOOKUP(TRANSHARI9_SOFTDRINKPAGI[[#This Row],[PRODUK]],DATA_SOFTDRINK[],11,FALSE),"")</f>
        <v/>
      </c>
      <c r="E221" s="374"/>
      <c r="F221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1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1" s="12"/>
      <c r="I221" s="384" t="str">
        <f>IFERROR(IF(TRANSHARI9_SOFTDRINKPAGI[[#This Row],[NAMA REKENING]]="","",TRANSHARI9_SOFTDRINKPAGI[[#This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IFERROR(VLOOKUP(TRANSHARI9_SOFTDRINKMALAM[[#This Row],[PRODUK]],DATA_SOFTDRINK[],11,FALSE),"")</f>
        <v/>
      </c>
      <c r="T221" s="374"/>
      <c r="U221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1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1" s="12"/>
      <c r="X221" s="384" t="str">
        <f>IFERROR(IF(TRANSHARI9_SOFTDRINKMALAM[[#This Row],[NAMA REKENING]]="","",TRANSHARI9_SOFTDRINKMALAM[[#This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IFERROR(VLOOKUP(TRANSHARI9_SOFTDRINKPAGI[[#This Row],[PRODUK]],DATA_SOFTDRINK[],11,FALSE),"")</f>
        <v/>
      </c>
      <c r="E222" s="374"/>
      <c r="F222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2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2" s="12"/>
      <c r="I222" s="386" t="str">
        <f>IFERROR(IF(TRANSHARI9_SOFTDRINKPAGI[[#This Row],[NAMA REKENING]]="","",TRANSHARI9_SOFTDRINKPAGI[[#This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IFERROR(VLOOKUP(TRANSHARI9_SOFTDRINKMALAM[[#This Row],[PRODUK]],DATA_SOFTDRINK[],11,FALSE),"")</f>
        <v/>
      </c>
      <c r="T222" s="374"/>
      <c r="U222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2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2" s="12"/>
      <c r="X222" s="386" t="str">
        <f>IFERROR(IF(TRANSHARI9_SOFTDRINKMALAM[[#This Row],[NAMA REKENING]]="","",TRANSHARI9_SOFTDRINKMALAM[[#This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IFERROR(VLOOKUP(TRANSHARI9_SOFTDRINKPAGI[[#This Row],[PRODUK]],DATA_SOFTDRINK[],11,FALSE),"")</f>
        <v/>
      </c>
      <c r="E223" s="374"/>
      <c r="F223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3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3" s="12"/>
      <c r="I223" s="384" t="str">
        <f>IFERROR(IF(TRANSHARI9_SOFTDRINKPAGI[[#This Row],[NAMA REKENING]]="","",TRANSHARI9_SOFTDRINKPAGI[[#This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IFERROR(VLOOKUP(TRANSHARI9_SOFTDRINKMALAM[[#This Row],[PRODUK]],DATA_SOFTDRINK[],11,FALSE),"")</f>
        <v/>
      </c>
      <c r="T223" s="374"/>
      <c r="U223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3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3" s="12"/>
      <c r="X223" s="384" t="str">
        <f>IFERROR(IF(TRANSHARI9_SOFTDRINKMALAM[[#This Row],[NAMA REKENING]]="","",TRANSHARI9_SOFTDRINKMALAM[[#This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IFERROR(VLOOKUP(TRANSHARI9_SOFTDRINKPAGI[[#This Row],[PRODUK]],DATA_SOFTDRINK[],11,FALSE),"")</f>
        <v/>
      </c>
      <c r="E224" s="376"/>
      <c r="F224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4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4" s="377"/>
      <c r="I224" s="386" t="str">
        <f>IFERROR(IF(TRANSHARI9_SOFTDRINKPAGI[[#This Row],[NAMA REKENING]]="","",TRANSHARI9_SOFTDRINKPAGI[[#This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IFERROR(VLOOKUP(TRANSHARI9_SOFTDRINKMALAM[[#This Row],[PRODUK]],DATA_SOFTDRINK[],11,FALSE),"")</f>
        <v/>
      </c>
      <c r="T224" s="376"/>
      <c r="U224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4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4" s="377"/>
      <c r="X224" s="386" t="str">
        <f>IFERROR(IF(TRANSHARI9_SOFTDRINKMALAM[[#This Row],[NAMA REKENING]]="","",TRANSHARI9_SOFTDRINKMALAM[[#This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IFERROR(VLOOKUP(TRANSHARI9_SOFTDRINKPAGI[[#This Row],[PRODUK]],DATA_SOFTDRINK[],11,FALSE),"")</f>
        <v/>
      </c>
      <c r="E225" s="374"/>
      <c r="F225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5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5" s="12"/>
      <c r="I225" s="384" t="str">
        <f>IFERROR(IF(TRANSHARI9_SOFTDRINKPAGI[[#This Row],[NAMA REKENING]]="","",TRANSHARI9_SOFTDRINKPAGI[[#This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IFERROR(VLOOKUP(TRANSHARI9_SOFTDRINKMALAM[[#This Row],[PRODUK]],DATA_SOFTDRINK[],11,FALSE),"")</f>
        <v/>
      </c>
      <c r="T225" s="374"/>
      <c r="U225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5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5" s="12"/>
      <c r="X225" s="384" t="str">
        <f>IFERROR(IF(TRANSHARI9_SOFTDRINKMALAM[[#This Row],[NAMA REKENING]]="","",TRANSHARI9_SOFTDRINKMALAM[[#This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IFERROR(VLOOKUP(TRANSHARI9_SOFTDRINKPAGI[[#This Row],[PRODUK]],DATA_SOFTDRINK[],11,FALSE),"")</f>
        <v/>
      </c>
      <c r="E226" s="374"/>
      <c r="F226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6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6" s="12"/>
      <c r="I226" s="386" t="str">
        <f>IFERROR(IF(TRANSHARI9_SOFTDRINKPAGI[[#This Row],[NAMA REKENING]]="","",TRANSHARI9_SOFTDRINKPAGI[[#This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IFERROR(VLOOKUP(TRANSHARI9_SOFTDRINKMALAM[[#This Row],[PRODUK]],DATA_SOFTDRINK[],11,FALSE),"")</f>
        <v/>
      </c>
      <c r="T226" s="374"/>
      <c r="U226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6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6" s="12"/>
      <c r="X226" s="386" t="str">
        <f>IFERROR(IF(TRANSHARI9_SOFTDRINKMALAM[[#This Row],[NAMA REKENING]]="","",TRANSHARI9_SOFTDRINKMALAM[[#This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IFERROR(VLOOKUP(TRANSHARI9_SOFTDRINKPAGI[[#This Row],[PRODUK]],DATA_SOFTDRINK[],11,FALSE),"")</f>
        <v/>
      </c>
      <c r="E227" s="374"/>
      <c r="F227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7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7" s="12"/>
      <c r="I227" s="384" t="str">
        <f>IFERROR(IF(TRANSHARI9_SOFTDRINKPAGI[[#This Row],[NAMA REKENING]]="","",TRANSHARI9_SOFTDRINKPAGI[[#This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IFERROR(VLOOKUP(TRANSHARI9_SOFTDRINKMALAM[[#This Row],[PRODUK]],DATA_SOFTDRINK[],11,FALSE),"")</f>
        <v/>
      </c>
      <c r="T227" s="374"/>
      <c r="U227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7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7" s="12"/>
      <c r="X227" s="384" t="str">
        <f>IFERROR(IF(TRANSHARI9_SOFTDRINKMALAM[[#This Row],[NAMA REKENING]]="","",TRANSHARI9_SOFTDRINKMALAM[[#This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IFERROR(VLOOKUP(TRANSHARI9_SOFTDRINKPAGI[[#This Row],[PRODUK]],DATA_SOFTDRINK[],11,FALSE),"")</f>
        <v/>
      </c>
      <c r="E228" s="374"/>
      <c r="F228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8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8" s="12"/>
      <c r="I228" s="386" t="str">
        <f>IFERROR(IF(TRANSHARI9_SOFTDRINKPAGI[[#This Row],[NAMA REKENING]]="","",TRANSHARI9_SOFTDRINKPAGI[[#This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IFERROR(VLOOKUP(TRANSHARI9_SOFTDRINKMALAM[[#This Row],[PRODUK]],DATA_SOFTDRINK[],11,FALSE),"")</f>
        <v/>
      </c>
      <c r="T228" s="374"/>
      <c r="U228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8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8" s="12"/>
      <c r="X228" s="386" t="str">
        <f>IFERROR(IF(TRANSHARI9_SOFTDRINKMALAM[[#This Row],[NAMA REKENING]]="","",TRANSHARI9_SOFTDRINKMALAM[[#This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IFERROR(VLOOKUP(TRANSHARI9_SOFTDRINKPAGI[[#This Row],[PRODUK]],DATA_SOFTDRINK[],11,FALSE),"")</f>
        <v/>
      </c>
      <c r="E229" s="374"/>
      <c r="F229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29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29" s="12"/>
      <c r="I229" s="384" t="str">
        <f>IFERROR(IF(TRANSHARI9_SOFTDRINKPAGI[[#This Row],[NAMA REKENING]]="","",TRANSHARI9_SOFTDRINKPAGI[[#This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IFERROR(VLOOKUP(TRANSHARI9_SOFTDRINKMALAM[[#This Row],[PRODUK]],DATA_SOFTDRINK[],11,FALSE),"")</f>
        <v/>
      </c>
      <c r="T229" s="374"/>
      <c r="U229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29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29" s="12"/>
      <c r="X229" s="384" t="str">
        <f>IFERROR(IF(TRANSHARI9_SOFTDRINKMALAM[[#This Row],[NAMA REKENING]]="","",TRANSHARI9_SOFTDRINKMALAM[[#This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IFERROR(VLOOKUP(TRANSHARI9_SOFTDRINKPAGI[[#This Row],[PRODUK]],DATA_SOFTDRINK[],11,FALSE),"")</f>
        <v/>
      </c>
      <c r="E230" s="374"/>
      <c r="F230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0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0" s="12"/>
      <c r="I230" s="386" t="str">
        <f>IFERROR(IF(TRANSHARI9_SOFTDRINKPAGI[[#This Row],[NAMA REKENING]]="","",TRANSHARI9_SOFTDRINKPAGI[[#This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IFERROR(VLOOKUP(TRANSHARI9_SOFTDRINKMALAM[[#This Row],[PRODUK]],DATA_SOFTDRINK[],11,FALSE),"")</f>
        <v/>
      </c>
      <c r="T230" s="374"/>
      <c r="U230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0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0" s="12"/>
      <c r="X230" s="386" t="str">
        <f>IFERROR(IF(TRANSHARI9_SOFTDRINKMALAM[[#This Row],[NAMA REKENING]]="","",TRANSHARI9_SOFTDRINKMALAM[[#This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IFERROR(VLOOKUP(TRANSHARI9_SOFTDRINKPAGI[[#This Row],[PRODUK]],DATA_SOFTDRINK[],11,FALSE),"")</f>
        <v/>
      </c>
      <c r="E231" s="374"/>
      <c r="F231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1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1" s="12"/>
      <c r="I231" s="384" t="str">
        <f>IFERROR(IF(TRANSHARI9_SOFTDRINKPAGI[[#This Row],[NAMA REKENING]]="","",TRANSHARI9_SOFTDRINKPAGI[[#This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IFERROR(VLOOKUP(TRANSHARI9_SOFTDRINKMALAM[[#This Row],[PRODUK]],DATA_SOFTDRINK[],11,FALSE),"")</f>
        <v/>
      </c>
      <c r="T231" s="374"/>
      <c r="U231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1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1" s="12"/>
      <c r="X231" s="384" t="str">
        <f>IFERROR(IF(TRANSHARI9_SOFTDRINKMALAM[[#This Row],[NAMA REKENING]]="","",TRANSHARI9_SOFTDRINKMALAM[[#This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IFERROR(VLOOKUP(TRANSHARI9_SOFTDRINKPAGI[[#This Row],[PRODUK]],DATA_SOFTDRINK[],11,FALSE),"")</f>
        <v/>
      </c>
      <c r="E232" s="374"/>
      <c r="F232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2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2" s="12"/>
      <c r="I232" s="386" t="str">
        <f>IFERROR(IF(TRANSHARI9_SOFTDRINKPAGI[[#This Row],[NAMA REKENING]]="","",TRANSHARI9_SOFTDRINKPAGI[[#This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IFERROR(VLOOKUP(TRANSHARI9_SOFTDRINKMALAM[[#This Row],[PRODUK]],DATA_SOFTDRINK[],11,FALSE),"")</f>
        <v/>
      </c>
      <c r="T232" s="374"/>
      <c r="U232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2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2" s="12"/>
      <c r="X232" s="386" t="str">
        <f>IFERROR(IF(TRANSHARI9_SOFTDRINKMALAM[[#This Row],[NAMA REKENING]]="","",TRANSHARI9_SOFTDRINKMALAM[[#This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IFERROR(VLOOKUP(TRANSHARI9_SOFTDRINKPAGI[[#This Row],[PRODUK]],DATA_SOFTDRINK[],11,FALSE),"")</f>
        <v/>
      </c>
      <c r="E233" s="374"/>
      <c r="F233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3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3" s="12"/>
      <c r="I233" s="384" t="str">
        <f>IFERROR(IF(TRANSHARI9_SOFTDRINKPAGI[[#This Row],[NAMA REKENING]]="","",TRANSHARI9_SOFTDRINKPAGI[[#This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IFERROR(VLOOKUP(TRANSHARI9_SOFTDRINKMALAM[[#This Row],[PRODUK]],DATA_SOFTDRINK[],11,FALSE),"")</f>
        <v/>
      </c>
      <c r="T233" s="374"/>
      <c r="U233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3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3" s="12"/>
      <c r="X233" s="384" t="str">
        <f>IFERROR(IF(TRANSHARI9_SOFTDRINKMALAM[[#This Row],[NAMA REKENING]]="","",TRANSHARI9_SOFTDRINKMALAM[[#This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IFERROR(VLOOKUP(TRANSHARI9_SOFTDRINKPAGI[[#This Row],[PRODUK]],DATA_SOFTDRINK[],11,FALSE),"")</f>
        <v/>
      </c>
      <c r="E234" s="374"/>
      <c r="F234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4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4" s="12"/>
      <c r="I234" s="386" t="str">
        <f>IFERROR(IF(TRANSHARI9_SOFTDRINKPAGI[[#This Row],[NAMA REKENING]]="","",TRANSHARI9_SOFTDRINKPAGI[[#This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IFERROR(VLOOKUP(TRANSHARI9_SOFTDRINKMALAM[[#This Row],[PRODUK]],DATA_SOFTDRINK[],11,FALSE),"")</f>
        <v/>
      </c>
      <c r="T234" s="374"/>
      <c r="U234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4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4" s="12"/>
      <c r="X234" s="386" t="str">
        <f>IFERROR(IF(TRANSHARI9_SOFTDRINKMALAM[[#This Row],[NAMA REKENING]]="","",TRANSHARI9_SOFTDRINKMALAM[[#This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IFERROR(VLOOKUP(TRANSHARI9_SOFTDRINKPAGI[[#This Row],[PRODUK]],DATA_SOFTDRINK[],11,FALSE),"")</f>
        <v/>
      </c>
      <c r="E235" s="374"/>
      <c r="F235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5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5" s="12"/>
      <c r="I235" s="384" t="str">
        <f>IFERROR(IF(TRANSHARI9_SOFTDRINKPAGI[[#This Row],[NAMA REKENING]]="","",TRANSHARI9_SOFTDRINKPAGI[[#This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IFERROR(VLOOKUP(TRANSHARI9_SOFTDRINKMALAM[[#This Row],[PRODUK]],DATA_SOFTDRINK[],11,FALSE),"")</f>
        <v/>
      </c>
      <c r="T235" s="374"/>
      <c r="U235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5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5" s="12"/>
      <c r="X235" s="384" t="str">
        <f>IFERROR(IF(TRANSHARI9_SOFTDRINKMALAM[[#This Row],[NAMA REKENING]]="","",TRANSHARI9_SOFTDRINKMALAM[[#This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IFERROR(VLOOKUP(TRANSHARI9_SOFTDRINKPAGI[[#This Row],[PRODUK]],DATA_SOFTDRINK[],11,FALSE),"")</f>
        <v/>
      </c>
      <c r="E236" s="374"/>
      <c r="F236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6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6" s="12"/>
      <c r="I236" s="386" t="str">
        <f>IFERROR(IF(TRANSHARI9_SOFTDRINKPAGI[[#This Row],[NAMA REKENING]]="","",TRANSHARI9_SOFTDRINKPAGI[[#This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IFERROR(VLOOKUP(TRANSHARI9_SOFTDRINKMALAM[[#This Row],[PRODUK]],DATA_SOFTDRINK[],11,FALSE),"")</f>
        <v/>
      </c>
      <c r="T236" s="374"/>
      <c r="U236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6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6" s="12"/>
      <c r="X236" s="386" t="str">
        <f>IFERROR(IF(TRANSHARI9_SOFTDRINKMALAM[[#This Row],[NAMA REKENING]]="","",TRANSHARI9_SOFTDRINKMALAM[[#This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IFERROR(VLOOKUP(TRANSHARI9_SOFTDRINKPAGI[[#This Row],[PRODUK]],DATA_SOFTDRINK[],11,FALSE),"")</f>
        <v/>
      </c>
      <c r="E237" s="374"/>
      <c r="F237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7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7" s="12"/>
      <c r="I237" s="384" t="str">
        <f>IFERROR(IF(TRANSHARI9_SOFTDRINKPAGI[[#This Row],[NAMA REKENING]]="","",TRANSHARI9_SOFTDRINKPAGI[[#This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IFERROR(VLOOKUP(TRANSHARI9_SOFTDRINKMALAM[[#This Row],[PRODUK]],DATA_SOFTDRINK[],11,FALSE),"")</f>
        <v/>
      </c>
      <c r="T237" s="374"/>
      <c r="U237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7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7" s="12"/>
      <c r="X237" s="384" t="str">
        <f>IFERROR(IF(TRANSHARI9_SOFTDRINKMALAM[[#This Row],[NAMA REKENING]]="","",TRANSHARI9_SOFTDRINKMALAM[[#This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IFERROR(VLOOKUP(TRANSHARI9_SOFTDRINKPAGI[[#This Row],[PRODUK]],DATA_SOFTDRINK[],11,FALSE),"")</f>
        <v/>
      </c>
      <c r="E238" s="374"/>
      <c r="F238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8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8" s="12"/>
      <c r="I238" s="386" t="str">
        <f>IFERROR(IF(TRANSHARI9_SOFTDRINKPAGI[[#This Row],[NAMA REKENING]]="","",TRANSHARI9_SOFTDRINKPAGI[[#This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IFERROR(VLOOKUP(TRANSHARI9_SOFTDRINKMALAM[[#This Row],[PRODUK]],DATA_SOFTDRINK[],11,FALSE),"")</f>
        <v/>
      </c>
      <c r="T238" s="374"/>
      <c r="U238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8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8" s="12"/>
      <c r="X238" s="386" t="str">
        <f>IFERROR(IF(TRANSHARI9_SOFTDRINKMALAM[[#This Row],[NAMA REKENING]]="","",TRANSHARI9_SOFTDRINKMALAM[[#This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IFERROR(VLOOKUP(TRANSHARI9_SOFTDRINKPAGI[[#This Row],[PRODUK]],DATA_SOFTDRINK[],11,FALSE),"")</f>
        <v/>
      </c>
      <c r="E239" s="374"/>
      <c r="F239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39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39" s="12"/>
      <c r="I239" s="384" t="str">
        <f>IFERROR(IF(TRANSHARI9_SOFTDRINKPAGI[[#This Row],[NAMA REKENING]]="","",TRANSHARI9_SOFTDRINKPAGI[[#This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IFERROR(VLOOKUP(TRANSHARI9_SOFTDRINKMALAM[[#This Row],[PRODUK]],DATA_SOFTDRINK[],11,FALSE),"")</f>
        <v/>
      </c>
      <c r="T239" s="374"/>
      <c r="U239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39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39" s="12"/>
      <c r="X239" s="384" t="str">
        <f>IFERROR(IF(TRANSHARI9_SOFTDRINKMALAM[[#This Row],[NAMA REKENING]]="","",TRANSHARI9_SOFTDRINKMALAM[[#This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IFERROR(VLOOKUP(TRANSHARI9_SOFTDRINKPAGI[[#This Row],[PRODUK]],DATA_SOFTDRINK[],11,FALSE),"")</f>
        <v/>
      </c>
      <c r="E240" s="374"/>
      <c r="F240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0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0" s="12"/>
      <c r="I240" s="386" t="str">
        <f>IFERROR(IF(TRANSHARI9_SOFTDRINKPAGI[[#This Row],[NAMA REKENING]]="","",TRANSHARI9_SOFTDRINKPAGI[[#This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IFERROR(VLOOKUP(TRANSHARI9_SOFTDRINKMALAM[[#This Row],[PRODUK]],DATA_SOFTDRINK[],11,FALSE),"")</f>
        <v/>
      </c>
      <c r="T240" s="374"/>
      <c r="U240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0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0" s="12"/>
      <c r="X240" s="386" t="str">
        <f>IFERROR(IF(TRANSHARI9_SOFTDRINKMALAM[[#This Row],[NAMA REKENING]]="","",TRANSHARI9_SOFTDRINKMALAM[[#This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IFERROR(VLOOKUP(TRANSHARI9_SOFTDRINKPAGI[[#This Row],[PRODUK]],DATA_SOFTDRINK[],11,FALSE),"")</f>
        <v/>
      </c>
      <c r="E241" s="374"/>
      <c r="F241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1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1" s="12"/>
      <c r="I241" s="384" t="str">
        <f>IFERROR(IF(TRANSHARI9_SOFTDRINKPAGI[[#This Row],[NAMA REKENING]]="","",TRANSHARI9_SOFTDRINKPAGI[[#This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IFERROR(VLOOKUP(TRANSHARI9_SOFTDRINKMALAM[[#This Row],[PRODUK]],DATA_SOFTDRINK[],11,FALSE),"")</f>
        <v/>
      </c>
      <c r="T241" s="374"/>
      <c r="U241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1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1" s="12"/>
      <c r="X241" s="384" t="str">
        <f>IFERROR(IF(TRANSHARI9_SOFTDRINKMALAM[[#This Row],[NAMA REKENING]]="","",TRANSHARI9_SOFTDRINKMALAM[[#This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IFERROR(VLOOKUP(TRANSHARI9_SOFTDRINKPAGI[[#This Row],[PRODUK]],DATA_SOFTDRINK[],11,FALSE),"")</f>
        <v/>
      </c>
      <c r="E242" s="374"/>
      <c r="F242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2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2" s="12"/>
      <c r="I242" s="386" t="str">
        <f>IFERROR(IF(TRANSHARI9_SOFTDRINKPAGI[[#This Row],[NAMA REKENING]]="","",TRANSHARI9_SOFTDRINKPAGI[[#This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IFERROR(VLOOKUP(TRANSHARI9_SOFTDRINKMALAM[[#This Row],[PRODUK]],DATA_SOFTDRINK[],11,FALSE),"")</f>
        <v/>
      </c>
      <c r="T242" s="374"/>
      <c r="U242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2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2" s="12"/>
      <c r="X242" s="386" t="str">
        <f>IFERROR(IF(TRANSHARI9_SOFTDRINKMALAM[[#This Row],[NAMA REKENING]]="","",TRANSHARI9_SOFTDRINKMALAM[[#This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IFERROR(VLOOKUP(TRANSHARI9_SOFTDRINKPAGI[[#This Row],[PRODUK]],DATA_SOFTDRINK[],11,FALSE),"")</f>
        <v/>
      </c>
      <c r="E243" s="374"/>
      <c r="F243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3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3" s="12"/>
      <c r="I243" s="384" t="str">
        <f>IFERROR(IF(TRANSHARI9_SOFTDRINKPAGI[[#This Row],[NAMA REKENING]]="","",TRANSHARI9_SOFTDRINKPAGI[[#This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IFERROR(VLOOKUP(TRANSHARI9_SOFTDRINKMALAM[[#This Row],[PRODUK]],DATA_SOFTDRINK[],11,FALSE),"")</f>
        <v/>
      </c>
      <c r="T243" s="374"/>
      <c r="U243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3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3" s="12"/>
      <c r="X243" s="384" t="str">
        <f>IFERROR(IF(TRANSHARI9_SOFTDRINKMALAM[[#This Row],[NAMA REKENING]]="","",TRANSHARI9_SOFTDRINKMALAM[[#This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IFERROR(VLOOKUP(TRANSHARI9_SOFTDRINKPAGI[[#This Row],[PRODUK]],DATA_SOFTDRINK[],11,FALSE),"")</f>
        <v/>
      </c>
      <c r="E244" s="374"/>
      <c r="F244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4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4" s="12"/>
      <c r="I244" s="386" t="str">
        <f>IFERROR(IF(TRANSHARI9_SOFTDRINKPAGI[[#This Row],[NAMA REKENING]]="","",TRANSHARI9_SOFTDRINKPAGI[[#This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IFERROR(VLOOKUP(TRANSHARI9_SOFTDRINKMALAM[[#This Row],[PRODUK]],DATA_SOFTDRINK[],11,FALSE),"")</f>
        <v/>
      </c>
      <c r="T244" s="374"/>
      <c r="U244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4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4" s="12"/>
      <c r="X244" s="386" t="str">
        <f>IFERROR(IF(TRANSHARI9_SOFTDRINKMALAM[[#This Row],[NAMA REKENING]]="","",TRANSHARI9_SOFTDRINKMALAM[[#This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IFERROR(VLOOKUP(TRANSHARI9_SOFTDRINKPAGI[[#This Row],[PRODUK]],DATA_SOFTDRINK[],11,FALSE),"")</f>
        <v/>
      </c>
      <c r="E245" s="374"/>
      <c r="F245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5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5" s="12"/>
      <c r="I245" s="384" t="str">
        <f>IFERROR(IF(TRANSHARI9_SOFTDRINKPAGI[[#This Row],[NAMA REKENING]]="","",TRANSHARI9_SOFTDRINKPAGI[[#This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IFERROR(VLOOKUP(TRANSHARI9_SOFTDRINKMALAM[[#This Row],[PRODUK]],DATA_SOFTDRINK[],11,FALSE),"")</f>
        <v/>
      </c>
      <c r="T245" s="374"/>
      <c r="U245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5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5" s="12"/>
      <c r="X245" s="384" t="str">
        <f>IFERROR(IF(TRANSHARI9_SOFTDRINKMALAM[[#This Row],[NAMA REKENING]]="","",TRANSHARI9_SOFTDRINKMALAM[[#This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IFERROR(VLOOKUP(TRANSHARI9_SOFTDRINKPAGI[[#This Row],[PRODUK]],DATA_SOFTDRINK[],11,FALSE),"")</f>
        <v/>
      </c>
      <c r="E246" s="374"/>
      <c r="F246" s="373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6" s="373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6" s="12"/>
      <c r="I246" s="386" t="str">
        <f>IFERROR(IF(TRANSHARI9_SOFTDRINKPAGI[[#This Row],[NAMA REKENING]]="","",TRANSHARI9_SOFTDRINKPAGI[[#This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IFERROR(VLOOKUP(TRANSHARI9_SOFTDRINKMALAM[[#This Row],[PRODUK]],DATA_SOFTDRINK[],11,FALSE),"")</f>
        <v/>
      </c>
      <c r="T246" s="374"/>
      <c r="U246" s="373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6" s="373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6" s="12"/>
      <c r="X246" s="386" t="str">
        <f>IFERROR(IF(TRANSHARI9_SOFTDRINKMALAM[[#This Row],[NAMA REKENING]]="","",TRANSHARI9_SOFTDRINKMALAM[[#This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IFERROR(VLOOKUP(TRANSHARI9_SOFTDRINKPAGI[[#This Row],[PRODUK]],DATA_SOFTDRINK[],11,FALSE),"")</f>
        <v/>
      </c>
      <c r="E247" s="374"/>
      <c r="F247" s="369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7" s="369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7" s="12"/>
      <c r="I247" s="384" t="str">
        <f>IFERROR(IF(TRANSHARI9_SOFTDRINKPAGI[[#This Row],[NAMA REKENING]]="","",TRANSHARI9_SOFTDRINKPAGI[[#This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IFERROR(VLOOKUP(TRANSHARI9_SOFTDRINKMALAM[[#This Row],[PRODUK]],DATA_SOFTDRINK[],11,FALSE),"")</f>
        <v/>
      </c>
      <c r="T247" s="374"/>
      <c r="U247" s="369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7" s="369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7" s="12"/>
      <c r="X247" s="384" t="str">
        <f>IFERROR(IF(TRANSHARI9_SOFTDRINKMALAM[[#This Row],[NAMA REKENING]]="","",TRANSHARI9_SOFTDRINKMALAM[[#This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IFERROR(VLOOKUP(TRANSHARI9_SOFTDRINKPAGI[[#This Row],[PRODUK]],DATA_SOFTDRINK[],11,FALSE),"")</f>
        <v/>
      </c>
      <c r="E248" s="376"/>
      <c r="F248" s="394" t="str">
        <f>IFERROR(IF(TRANSHARI9_SOFTDRINKPAGI[[#This Row],[NAMA PENGHUTANG]]="",((TRANSHARI9_SOFTDRINKPAGI[[#This Row],[HARGA]]*TRANSHARI9_SOFTDRINKPAGI[[#This Row],[QUANTITY]])+TRANSHARI9_SOFTDRINKPAGI[[#This Row],[PRICE TOLERANCE]]),""),"")</f>
        <v/>
      </c>
      <c r="G248" s="394" t="str">
        <f>IFERROR(IF(TRANSHARI9_SOFTDRINKPAGI[[#This Row],[NAMA PENGHUTANG]]="","",((TRANSHARI9_SOFTDRINKPAGI[[#This Row],[HARGA]]*TRANSHARI9_SOFTDRINKPAGI[[#This Row],[QUANTITY]])+TRANSHARI9_SOFTDRINKPAGI[[#This Row],[PRICE TOLERANCE]])),"")</f>
        <v/>
      </c>
      <c r="H248" s="377"/>
      <c r="I248" s="399" t="str">
        <f>IFERROR(IF(TRANSHARI9_SOFTDRINKPAGI[[#This Row],[NAMA REKENING]]="","",TRANSHARI9_SOFTDRINKPAGI[[#This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IFERROR(VLOOKUP(TRANSHARI9_SOFTDRINKMALAM[[#This Row],[PRODUK]],DATA_SOFTDRINK[],11,FALSE),"")</f>
        <v/>
      </c>
      <c r="T248" s="376"/>
      <c r="U248" s="394" t="str">
        <f>IFERROR(IF(TRANSHARI9_SOFTDRINKMALAM[[#This Row],[NAMA PENGHUTANG]]="",((TRANSHARI9_SOFTDRINKMALAM[[#This Row],[HARGA]]*TRANSHARI9_SOFTDRINKMALAM[[#This Row],[QUANTITY]])+TRANSHARI9_SOFTDRINKMALAM[[#This Row],[PRICE TOLERANCE]]),""),"")</f>
        <v/>
      </c>
      <c r="V248" s="394" t="str">
        <f>IFERROR(IF(TRANSHARI9_SOFTDRINKMALAM[[#This Row],[NAMA PENGHUTANG]]="","",((TRANSHARI9_SOFTDRINKMALAM[[#This Row],[HARGA]]*TRANSHARI9_SOFTDRINKMALAM[[#This Row],[QUANTITY]])+TRANSHARI9_SOFTDRINKMALAM[[#This Row],[PRICE TOLERANCE]])),"")</f>
        <v/>
      </c>
      <c r="W248" s="377"/>
      <c r="X248" s="399" t="str">
        <f>IFERROR(IF(TRANSHARI9_SOFTDRINKMALAM[[#This Row],[NAMA REKENING]]="","",TRANSHARI9_SOFTDRINKMALAM[[#This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SUM(TRANSHARI9_SOFTDRINKPAGI[QUANTITY])</f>
        <v>0</v>
      </c>
      <c r="E249" s="398">
        <f>SUM(TRANSHARI9_SOFTDRINKPAGI[PRICE TOLERANCE])</f>
        <v>0</v>
      </c>
      <c r="F249" s="396">
        <f>SUM(TRANSHARI9_SOFTDRINKPAGI[DEBIT])</f>
        <v>0</v>
      </c>
      <c r="G249" s="396">
        <f>SUM(TRANSHARI9_SOFTDRINKPAGI[KREDIT])</f>
        <v>0</v>
      </c>
      <c r="I249" s="396">
        <f>SUM(TRANSHARI9_SOFTDRINKPAGI[NOMINAL TRANSFER])</f>
        <v>0</v>
      </c>
      <c r="O249" s="324"/>
      <c r="P249" s="303" t="s">
        <v>78</v>
      </c>
      <c r="Q249" s="316"/>
      <c r="R249" s="395">
        <f>SUM(TRANSHARI9_SOFTDRINKMALAM[QUANTITY])</f>
        <v>0</v>
      </c>
      <c r="T249" s="398">
        <f>SUM(TRANSHARI9_SOFTDRINKMALAM[PRICE TOLERANCE])</f>
        <v>0</v>
      </c>
      <c r="U249" s="396">
        <f>SUM(TRANSHARI9_SOFTDRINKMALAM[DEBIT])</f>
        <v>0</v>
      </c>
      <c r="V249" s="396">
        <f>SUM(TRANSHARI9_SOFTDRINKMALAM[KREDIT])</f>
        <v>0</v>
      </c>
      <c r="X249" s="396">
        <f>SUM(TRANSHARI9_SOFTDRINKMALAM[NOMINAL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tr">
        <f>A25</f>
        <v>HARI 9 : PAGI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tr">
        <f>P25</f>
        <v>HARI 9 : MALAM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IFERROR(VLOOKUP(TRANSHARI9_ICECREAMPAGI[[#This Row],[PRODUK]],DATA_ICECREAM[],11,FALSE),"")</f>
        <v/>
      </c>
      <c r="E256" s="370"/>
      <c r="F256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56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56" s="371"/>
      <c r="I256" s="384" t="str">
        <f>IFERROR(IF(TRANSHARI9_ICECREAMPAGI[[#This Row],[NAMA REKENING]]="","",TRANSHARI9_ICECREAMPAGI[[#This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IFERROR(VLOOKUP(TRANSHARI9_ICECREAMMALAM[[#This Row],[PRODUK]],DATA_ICECREAM[],11,FALSE),"")</f>
        <v/>
      </c>
      <c r="T256" s="370"/>
      <c r="U256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56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56" s="371"/>
      <c r="X256" s="384" t="str">
        <f>IFERROR(IF(TRANSHARI9_ICECREAMMALAM[[#This Row],[NAMA REKENING]]="","",TRANSHARI9_ICECREAMMALAM[[#This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IFERROR(VLOOKUP(TRANSHARI9_ICECREAMPAGI[[#This Row],[PRODUK]],DATA_ICECREAM[],11,FALSE),"")</f>
        <v/>
      </c>
      <c r="E257" s="374"/>
      <c r="F257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57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57" s="12"/>
      <c r="I257" s="386" t="str">
        <f>IFERROR(IF(TRANSHARI9_ICECREAMPAGI[[#This Row],[NAMA REKENING]]="","",TRANSHARI9_ICECREAMPAGI[[#This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IFERROR(VLOOKUP(TRANSHARI9_ICECREAMMALAM[[#This Row],[PRODUK]],DATA_ICECREAM[],11,FALSE),"")</f>
        <v/>
      </c>
      <c r="T257" s="374"/>
      <c r="U257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57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57" s="12"/>
      <c r="X257" s="386" t="str">
        <f>IFERROR(IF(TRANSHARI9_ICECREAMMALAM[[#This Row],[NAMA REKENING]]="","",TRANSHARI9_ICECREAMMALAM[[#This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IFERROR(VLOOKUP(TRANSHARI9_ICECREAMPAGI[[#This Row],[PRODUK]],DATA_ICECREAM[],11,FALSE),"")</f>
        <v/>
      </c>
      <c r="E258" s="374"/>
      <c r="F258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58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58" s="12"/>
      <c r="I258" s="384" t="str">
        <f>IFERROR(IF(TRANSHARI9_ICECREAMPAGI[[#This Row],[NAMA REKENING]]="","",TRANSHARI9_ICECREAMPAGI[[#This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IFERROR(VLOOKUP(TRANSHARI9_ICECREAMMALAM[[#This Row],[PRODUK]],DATA_ICECREAM[],11,FALSE),"")</f>
        <v/>
      </c>
      <c r="T258" s="374"/>
      <c r="U258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58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58" s="12"/>
      <c r="X258" s="384" t="str">
        <f>IFERROR(IF(TRANSHARI9_ICECREAMMALAM[[#This Row],[NAMA REKENING]]="","",TRANSHARI9_ICECREAMMALAM[[#This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IFERROR(VLOOKUP(TRANSHARI9_ICECREAMPAGI[[#This Row],[PRODUK]],DATA_ICECREAM[],11,FALSE),"")</f>
        <v/>
      </c>
      <c r="E259" s="374"/>
      <c r="F259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59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59" s="12"/>
      <c r="I259" s="386" t="str">
        <f>IFERROR(IF(TRANSHARI9_ICECREAMPAGI[[#This Row],[NAMA REKENING]]="","",TRANSHARI9_ICECREAMPAGI[[#This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IFERROR(VLOOKUP(TRANSHARI9_ICECREAMMALAM[[#This Row],[PRODUK]],DATA_ICECREAM[],11,FALSE),"")</f>
        <v/>
      </c>
      <c r="T259" s="374"/>
      <c r="U259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59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59" s="12"/>
      <c r="X259" s="386" t="str">
        <f>IFERROR(IF(TRANSHARI9_ICECREAMMALAM[[#This Row],[NAMA REKENING]]="","",TRANSHARI9_ICECREAMMALAM[[#This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IFERROR(VLOOKUP(TRANSHARI9_ICECREAMPAGI[[#This Row],[PRODUK]],DATA_ICECREAM[],11,FALSE),"")</f>
        <v/>
      </c>
      <c r="E260" s="374"/>
      <c r="F260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0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0" s="12"/>
      <c r="I260" s="384" t="str">
        <f>IFERROR(IF(TRANSHARI9_ICECREAMPAGI[[#This Row],[NAMA REKENING]]="","",TRANSHARI9_ICECREAMPAGI[[#This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IFERROR(VLOOKUP(TRANSHARI9_ICECREAMMALAM[[#This Row],[PRODUK]],DATA_ICECREAM[],11,FALSE),"")</f>
        <v/>
      </c>
      <c r="T260" s="374"/>
      <c r="U260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0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0" s="12"/>
      <c r="X260" s="384" t="str">
        <f>IFERROR(IF(TRANSHARI9_ICECREAMMALAM[[#This Row],[NAMA REKENING]]="","",TRANSHARI9_ICECREAMMALAM[[#This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IFERROR(VLOOKUP(TRANSHARI9_ICECREAMPAGI[[#This Row],[PRODUK]],DATA_ICECREAM[],11,FALSE),"")</f>
        <v/>
      </c>
      <c r="E261" s="374"/>
      <c r="F261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1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1" s="12"/>
      <c r="I261" s="386" t="str">
        <f>IFERROR(IF(TRANSHARI9_ICECREAMPAGI[[#This Row],[NAMA REKENING]]="","",TRANSHARI9_ICECREAMPAGI[[#This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IFERROR(VLOOKUP(TRANSHARI9_ICECREAMMALAM[[#This Row],[PRODUK]],DATA_ICECREAM[],11,FALSE),"")</f>
        <v/>
      </c>
      <c r="T261" s="374"/>
      <c r="U261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1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1" s="12"/>
      <c r="X261" s="386" t="str">
        <f>IFERROR(IF(TRANSHARI9_ICECREAMMALAM[[#This Row],[NAMA REKENING]]="","",TRANSHARI9_ICECREAMMALAM[[#This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IFERROR(VLOOKUP(TRANSHARI9_ICECREAMPAGI[[#This Row],[PRODUK]],DATA_ICECREAM[],11,FALSE),"")</f>
        <v/>
      </c>
      <c r="E262" s="374"/>
      <c r="F262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2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2" s="12"/>
      <c r="I262" s="384" t="str">
        <f>IFERROR(IF(TRANSHARI9_ICECREAMPAGI[[#This Row],[NAMA REKENING]]="","",TRANSHARI9_ICECREAMPAGI[[#This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IFERROR(VLOOKUP(TRANSHARI9_ICECREAMMALAM[[#This Row],[PRODUK]],DATA_ICECREAM[],11,FALSE),"")</f>
        <v/>
      </c>
      <c r="T262" s="374"/>
      <c r="U262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2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2" s="12"/>
      <c r="X262" s="384" t="str">
        <f>IFERROR(IF(TRANSHARI9_ICECREAMMALAM[[#This Row],[NAMA REKENING]]="","",TRANSHARI9_ICECREAMMALAM[[#This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IFERROR(VLOOKUP(TRANSHARI9_ICECREAMPAGI[[#This Row],[PRODUK]],DATA_ICECREAM[],11,FALSE),"")</f>
        <v/>
      </c>
      <c r="E263" s="374"/>
      <c r="F263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3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3" s="12"/>
      <c r="I263" s="386" t="str">
        <f>IFERROR(IF(TRANSHARI9_ICECREAMPAGI[[#This Row],[NAMA REKENING]]="","",TRANSHARI9_ICECREAMPAGI[[#This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IFERROR(VLOOKUP(TRANSHARI9_ICECREAMMALAM[[#This Row],[PRODUK]],DATA_ICECREAM[],11,FALSE),"")</f>
        <v/>
      </c>
      <c r="T263" s="374"/>
      <c r="U263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3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3" s="12"/>
      <c r="X263" s="386" t="str">
        <f>IFERROR(IF(TRANSHARI9_ICECREAMMALAM[[#This Row],[NAMA REKENING]]="","",TRANSHARI9_ICECREAMMALAM[[#This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IFERROR(VLOOKUP(TRANSHARI9_ICECREAMPAGI[[#This Row],[PRODUK]],DATA_ICECREAM[],11,FALSE),"")</f>
        <v/>
      </c>
      <c r="E264" s="374"/>
      <c r="F264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4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4" s="12"/>
      <c r="I264" s="384" t="str">
        <f>IFERROR(IF(TRANSHARI9_ICECREAMPAGI[[#This Row],[NAMA REKENING]]="","",TRANSHARI9_ICECREAMPAGI[[#This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IFERROR(VLOOKUP(TRANSHARI9_ICECREAMMALAM[[#This Row],[PRODUK]],DATA_ICECREAM[],11,FALSE),"")</f>
        <v/>
      </c>
      <c r="T264" s="374"/>
      <c r="U264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4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4" s="12"/>
      <c r="X264" s="384" t="str">
        <f>IFERROR(IF(TRANSHARI9_ICECREAMMALAM[[#This Row],[NAMA REKENING]]="","",TRANSHARI9_ICECREAMMALAM[[#This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IFERROR(VLOOKUP(TRANSHARI9_ICECREAMPAGI[[#This Row],[PRODUK]],DATA_ICECREAM[],11,FALSE),"")</f>
        <v/>
      </c>
      <c r="E265" s="374"/>
      <c r="F265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5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5" s="12"/>
      <c r="I265" s="386" t="str">
        <f>IFERROR(IF(TRANSHARI9_ICECREAMPAGI[[#This Row],[NAMA REKENING]]="","",TRANSHARI9_ICECREAMPAGI[[#This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IFERROR(VLOOKUP(TRANSHARI9_ICECREAMMALAM[[#This Row],[PRODUK]],DATA_ICECREAM[],11,FALSE),"")</f>
        <v/>
      </c>
      <c r="T265" s="374"/>
      <c r="U265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5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5" s="12"/>
      <c r="X265" s="386" t="str">
        <f>IFERROR(IF(TRANSHARI9_ICECREAMMALAM[[#This Row],[NAMA REKENING]]="","",TRANSHARI9_ICECREAMMALAM[[#This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IFERROR(VLOOKUP(TRANSHARI9_ICECREAMPAGI[[#This Row],[PRODUK]],DATA_ICECREAM[],11,FALSE),"")</f>
        <v/>
      </c>
      <c r="E266" s="374"/>
      <c r="F266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6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6" s="12"/>
      <c r="I266" s="384" t="str">
        <f>IFERROR(IF(TRANSHARI9_ICECREAMPAGI[[#This Row],[NAMA REKENING]]="","",TRANSHARI9_ICECREAMPAGI[[#This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IFERROR(VLOOKUP(TRANSHARI9_ICECREAMMALAM[[#This Row],[PRODUK]],DATA_ICECREAM[],11,FALSE),"")</f>
        <v/>
      </c>
      <c r="T266" s="374"/>
      <c r="U266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6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6" s="12"/>
      <c r="X266" s="384" t="str">
        <f>IFERROR(IF(TRANSHARI9_ICECREAMMALAM[[#This Row],[NAMA REKENING]]="","",TRANSHARI9_ICECREAMMALAM[[#This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IFERROR(VLOOKUP(TRANSHARI9_ICECREAMPAGI[[#This Row],[PRODUK]],DATA_ICECREAM[],11,FALSE),"")</f>
        <v/>
      </c>
      <c r="E267" s="374"/>
      <c r="F267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7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7" s="12"/>
      <c r="I267" s="386" t="str">
        <f>IFERROR(IF(TRANSHARI9_ICECREAMPAGI[[#This Row],[NAMA REKENING]]="","",TRANSHARI9_ICECREAMPAGI[[#This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IFERROR(VLOOKUP(TRANSHARI9_ICECREAMMALAM[[#This Row],[PRODUK]],DATA_ICECREAM[],11,FALSE),"")</f>
        <v/>
      </c>
      <c r="T267" s="374"/>
      <c r="U267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7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7" s="12"/>
      <c r="X267" s="386" t="str">
        <f>IFERROR(IF(TRANSHARI9_ICECREAMMALAM[[#This Row],[NAMA REKENING]]="","",TRANSHARI9_ICECREAMMALAM[[#This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IFERROR(VLOOKUP(TRANSHARI9_ICECREAMPAGI[[#This Row],[PRODUK]],DATA_ICECREAM[],11,FALSE),"")</f>
        <v/>
      </c>
      <c r="E268" s="374"/>
      <c r="F268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8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8" s="12"/>
      <c r="I268" s="384" t="str">
        <f>IFERROR(IF(TRANSHARI9_ICECREAMPAGI[[#This Row],[NAMA REKENING]]="","",TRANSHARI9_ICECREAMPAGI[[#This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IFERROR(VLOOKUP(TRANSHARI9_ICECREAMMALAM[[#This Row],[PRODUK]],DATA_ICECREAM[],11,FALSE),"")</f>
        <v/>
      </c>
      <c r="T268" s="374"/>
      <c r="U268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8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8" s="12"/>
      <c r="X268" s="384" t="str">
        <f>IFERROR(IF(TRANSHARI9_ICECREAMMALAM[[#This Row],[NAMA REKENING]]="","",TRANSHARI9_ICECREAMMALAM[[#This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IFERROR(VLOOKUP(TRANSHARI9_ICECREAMPAGI[[#This Row],[PRODUK]],DATA_ICECREAM[],11,FALSE),"")</f>
        <v/>
      </c>
      <c r="E269" s="374"/>
      <c r="F269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69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69" s="12"/>
      <c r="I269" s="386" t="str">
        <f>IFERROR(IF(TRANSHARI9_ICECREAMPAGI[[#This Row],[NAMA REKENING]]="","",TRANSHARI9_ICECREAMPAGI[[#This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IFERROR(VLOOKUP(TRANSHARI9_ICECREAMMALAM[[#This Row],[PRODUK]],DATA_ICECREAM[],11,FALSE),"")</f>
        <v/>
      </c>
      <c r="T269" s="374"/>
      <c r="U269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69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69" s="12"/>
      <c r="X269" s="386" t="str">
        <f>IFERROR(IF(TRANSHARI9_ICECREAMMALAM[[#This Row],[NAMA REKENING]]="","",TRANSHARI9_ICECREAMMALAM[[#This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IFERROR(VLOOKUP(TRANSHARI9_ICECREAMPAGI[[#This Row],[PRODUK]],DATA_ICECREAM[],11,FALSE),"")</f>
        <v/>
      </c>
      <c r="E270" s="374"/>
      <c r="F270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0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0" s="12"/>
      <c r="I270" s="384" t="str">
        <f>IFERROR(IF(TRANSHARI9_ICECREAMPAGI[[#This Row],[NAMA REKENING]]="","",TRANSHARI9_ICECREAMPAGI[[#This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IFERROR(VLOOKUP(TRANSHARI9_ICECREAMMALAM[[#This Row],[PRODUK]],DATA_ICECREAM[],11,FALSE),"")</f>
        <v/>
      </c>
      <c r="T270" s="374"/>
      <c r="U270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0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0" s="12"/>
      <c r="X270" s="384" t="str">
        <f>IFERROR(IF(TRANSHARI9_ICECREAMMALAM[[#This Row],[NAMA REKENING]]="","",TRANSHARI9_ICECREAMMALAM[[#This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IFERROR(VLOOKUP(TRANSHARI9_ICECREAMPAGI[[#This Row],[PRODUK]],DATA_ICECREAM[],11,FALSE),"")</f>
        <v/>
      </c>
      <c r="E271" s="374"/>
      <c r="F271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1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1" s="12"/>
      <c r="I271" s="386" t="str">
        <f>IFERROR(IF(TRANSHARI9_ICECREAMPAGI[[#This Row],[NAMA REKENING]]="","",TRANSHARI9_ICECREAMPAGI[[#This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IFERROR(VLOOKUP(TRANSHARI9_ICECREAMMALAM[[#This Row],[PRODUK]],DATA_ICECREAM[],11,FALSE),"")</f>
        <v/>
      </c>
      <c r="T271" s="374"/>
      <c r="U271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1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1" s="12"/>
      <c r="X271" s="386" t="str">
        <f>IFERROR(IF(TRANSHARI9_ICECREAMMALAM[[#This Row],[NAMA REKENING]]="","",TRANSHARI9_ICECREAMMALAM[[#This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IFERROR(VLOOKUP(TRANSHARI9_ICECREAMPAGI[[#This Row],[PRODUK]],DATA_ICECREAM[],11,FALSE),"")</f>
        <v/>
      </c>
      <c r="E272" s="374"/>
      <c r="F272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2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2" s="12"/>
      <c r="I272" s="384" t="str">
        <f>IFERROR(IF(TRANSHARI9_ICECREAMPAGI[[#This Row],[NAMA REKENING]]="","",TRANSHARI9_ICECREAMPAGI[[#This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IFERROR(VLOOKUP(TRANSHARI9_ICECREAMMALAM[[#This Row],[PRODUK]],DATA_ICECREAM[],11,FALSE),"")</f>
        <v/>
      </c>
      <c r="T272" s="374"/>
      <c r="U272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2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2" s="12"/>
      <c r="X272" s="384" t="str">
        <f>IFERROR(IF(TRANSHARI9_ICECREAMMALAM[[#This Row],[NAMA REKENING]]="","",TRANSHARI9_ICECREAMMALAM[[#This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IFERROR(VLOOKUP(TRANSHARI9_ICECREAMPAGI[[#This Row],[PRODUK]],DATA_ICECREAM[],11,FALSE),"")</f>
        <v/>
      </c>
      <c r="E273" s="374"/>
      <c r="F273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3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3" s="12"/>
      <c r="I273" s="386" t="str">
        <f>IFERROR(IF(TRANSHARI9_ICECREAMPAGI[[#This Row],[NAMA REKENING]]="","",TRANSHARI9_ICECREAMPAGI[[#This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IFERROR(VLOOKUP(TRANSHARI9_ICECREAMMALAM[[#This Row],[PRODUK]],DATA_ICECREAM[],11,FALSE),"")</f>
        <v/>
      </c>
      <c r="T273" s="374"/>
      <c r="U273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3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3" s="12"/>
      <c r="X273" s="386" t="str">
        <f>IFERROR(IF(TRANSHARI9_ICECREAMMALAM[[#This Row],[NAMA REKENING]]="","",TRANSHARI9_ICECREAMMALAM[[#This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IFERROR(VLOOKUP(TRANSHARI9_ICECREAMPAGI[[#This Row],[PRODUK]],DATA_ICECREAM[],11,FALSE),"")</f>
        <v/>
      </c>
      <c r="E274" s="374"/>
      <c r="F274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4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4" s="12"/>
      <c r="I274" s="384" t="str">
        <f>IFERROR(IF(TRANSHARI9_ICECREAMPAGI[[#This Row],[NAMA REKENING]]="","",TRANSHARI9_ICECREAMPAGI[[#This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IFERROR(VLOOKUP(TRANSHARI9_ICECREAMMALAM[[#This Row],[PRODUK]],DATA_ICECREAM[],11,FALSE),"")</f>
        <v/>
      </c>
      <c r="T274" s="374"/>
      <c r="U274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4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4" s="12"/>
      <c r="X274" s="384" t="str">
        <f>IFERROR(IF(TRANSHARI9_ICECREAMMALAM[[#This Row],[NAMA REKENING]]="","",TRANSHARI9_ICECREAMMALAM[[#This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IFERROR(VLOOKUP(TRANSHARI9_ICECREAMPAGI[[#This Row],[PRODUK]],DATA_ICECREAM[],11,FALSE),"")</f>
        <v/>
      </c>
      <c r="E275" s="374"/>
      <c r="F275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5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5" s="12"/>
      <c r="I275" s="386" t="str">
        <f>IFERROR(IF(TRANSHARI9_ICECREAMPAGI[[#This Row],[NAMA REKENING]]="","",TRANSHARI9_ICECREAMPAGI[[#This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IFERROR(VLOOKUP(TRANSHARI9_ICECREAMMALAM[[#This Row],[PRODUK]],DATA_ICECREAM[],11,FALSE),"")</f>
        <v/>
      </c>
      <c r="T275" s="374"/>
      <c r="U275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5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5" s="12"/>
      <c r="X275" s="386" t="str">
        <f>IFERROR(IF(TRANSHARI9_ICECREAMMALAM[[#This Row],[NAMA REKENING]]="","",TRANSHARI9_ICECREAMMALAM[[#This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IFERROR(VLOOKUP(TRANSHARI9_ICECREAMPAGI[[#This Row],[PRODUK]],DATA_ICECREAM[],11,FALSE),"")</f>
        <v/>
      </c>
      <c r="E276" s="374"/>
      <c r="F276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6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6" s="12"/>
      <c r="I276" s="384" t="str">
        <f>IFERROR(IF(TRANSHARI9_ICECREAMPAGI[[#This Row],[NAMA REKENING]]="","",TRANSHARI9_ICECREAMPAGI[[#This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IFERROR(VLOOKUP(TRANSHARI9_ICECREAMMALAM[[#This Row],[PRODUK]],DATA_ICECREAM[],11,FALSE),"")</f>
        <v/>
      </c>
      <c r="T276" s="374"/>
      <c r="U276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6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6" s="12"/>
      <c r="X276" s="384" t="str">
        <f>IFERROR(IF(TRANSHARI9_ICECREAMMALAM[[#This Row],[NAMA REKENING]]="","",TRANSHARI9_ICECREAMMALAM[[#This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IFERROR(VLOOKUP(TRANSHARI9_ICECREAMPAGI[[#This Row],[PRODUK]],DATA_ICECREAM[],11,FALSE),"")</f>
        <v/>
      </c>
      <c r="E277" s="374"/>
      <c r="F277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7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7" s="12"/>
      <c r="I277" s="386" t="str">
        <f>IFERROR(IF(TRANSHARI9_ICECREAMPAGI[[#This Row],[NAMA REKENING]]="","",TRANSHARI9_ICECREAMPAGI[[#This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IFERROR(VLOOKUP(TRANSHARI9_ICECREAMMALAM[[#This Row],[PRODUK]],DATA_ICECREAM[],11,FALSE),"")</f>
        <v/>
      </c>
      <c r="T277" s="374"/>
      <c r="U277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7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7" s="12"/>
      <c r="X277" s="386" t="str">
        <f>IFERROR(IF(TRANSHARI9_ICECREAMMALAM[[#This Row],[NAMA REKENING]]="","",TRANSHARI9_ICECREAMMALAM[[#This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IFERROR(VLOOKUP(TRANSHARI9_ICECREAMPAGI[[#This Row],[PRODUK]],DATA_ICECREAM[],11,FALSE),"")</f>
        <v/>
      </c>
      <c r="E278" s="374"/>
      <c r="F278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8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8" s="12"/>
      <c r="I278" s="384" t="str">
        <f>IFERROR(IF(TRANSHARI9_ICECREAMPAGI[[#This Row],[NAMA REKENING]]="","",TRANSHARI9_ICECREAMPAGI[[#This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IFERROR(VLOOKUP(TRANSHARI9_ICECREAMMALAM[[#This Row],[PRODUK]],DATA_ICECREAM[],11,FALSE),"")</f>
        <v/>
      </c>
      <c r="T278" s="374"/>
      <c r="U278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8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8" s="12"/>
      <c r="X278" s="384" t="str">
        <f>IFERROR(IF(TRANSHARI9_ICECREAMMALAM[[#This Row],[NAMA REKENING]]="","",TRANSHARI9_ICECREAMMALAM[[#This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IFERROR(VLOOKUP(TRANSHARI9_ICECREAMPAGI[[#This Row],[PRODUK]],DATA_ICECREAM[],11,FALSE),"")</f>
        <v/>
      </c>
      <c r="E279" s="374"/>
      <c r="F279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79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79" s="12"/>
      <c r="I279" s="386" t="str">
        <f>IFERROR(IF(TRANSHARI9_ICECREAMPAGI[[#This Row],[NAMA REKENING]]="","",TRANSHARI9_ICECREAMPAGI[[#This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IFERROR(VLOOKUP(TRANSHARI9_ICECREAMMALAM[[#This Row],[PRODUK]],DATA_ICECREAM[],11,FALSE),"")</f>
        <v/>
      </c>
      <c r="T279" s="374"/>
      <c r="U279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79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79" s="12"/>
      <c r="X279" s="386" t="str">
        <f>IFERROR(IF(TRANSHARI9_ICECREAMMALAM[[#This Row],[NAMA REKENING]]="","",TRANSHARI9_ICECREAMMALAM[[#This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IFERROR(VLOOKUP(TRANSHARI9_ICECREAMPAGI[[#This Row],[PRODUK]],DATA_ICECREAM[],11,FALSE),"")</f>
        <v/>
      </c>
      <c r="E280" s="374"/>
      <c r="F280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0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0" s="12"/>
      <c r="I280" s="384" t="str">
        <f>IFERROR(IF(TRANSHARI9_ICECREAMPAGI[[#This Row],[NAMA REKENING]]="","",TRANSHARI9_ICECREAMPAGI[[#This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IFERROR(VLOOKUP(TRANSHARI9_ICECREAMMALAM[[#This Row],[PRODUK]],DATA_ICECREAM[],11,FALSE),"")</f>
        <v/>
      </c>
      <c r="T280" s="374"/>
      <c r="U280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0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0" s="12"/>
      <c r="X280" s="384" t="str">
        <f>IFERROR(IF(TRANSHARI9_ICECREAMMALAM[[#This Row],[NAMA REKENING]]="","",TRANSHARI9_ICECREAMMALAM[[#This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IFERROR(VLOOKUP(TRANSHARI9_ICECREAMPAGI[[#This Row],[PRODUK]],DATA_ICECREAM[],11,FALSE),"")</f>
        <v/>
      </c>
      <c r="E281" s="376"/>
      <c r="F281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1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1" s="377"/>
      <c r="I281" s="386" t="str">
        <f>IFERROR(IF(TRANSHARI9_ICECREAMPAGI[[#This Row],[NAMA REKENING]]="","",TRANSHARI9_ICECREAMPAGI[[#This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IFERROR(VLOOKUP(TRANSHARI9_ICECREAMMALAM[[#This Row],[PRODUK]],DATA_ICECREAM[],11,FALSE),"")</f>
        <v/>
      </c>
      <c r="T281" s="376"/>
      <c r="U281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1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1" s="377"/>
      <c r="X281" s="386" t="str">
        <f>IFERROR(IF(TRANSHARI9_ICECREAMMALAM[[#This Row],[NAMA REKENING]]="","",TRANSHARI9_ICECREAMMALAM[[#This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IFERROR(VLOOKUP(TRANSHARI9_ICECREAMPAGI[[#This Row],[PRODUK]],DATA_ICECREAM[],11,FALSE),"")</f>
        <v/>
      </c>
      <c r="E282" s="374"/>
      <c r="F282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2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2" s="12"/>
      <c r="I282" s="384" t="str">
        <f>IFERROR(IF(TRANSHARI9_ICECREAMPAGI[[#This Row],[NAMA REKENING]]="","",TRANSHARI9_ICECREAMPAGI[[#This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IFERROR(VLOOKUP(TRANSHARI9_ICECREAMMALAM[[#This Row],[PRODUK]],DATA_ICECREAM[],11,FALSE),"")</f>
        <v/>
      </c>
      <c r="T282" s="374"/>
      <c r="U282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2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2" s="12"/>
      <c r="X282" s="384" t="str">
        <f>IFERROR(IF(TRANSHARI9_ICECREAMMALAM[[#This Row],[NAMA REKENING]]="","",TRANSHARI9_ICECREAMMALAM[[#This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IFERROR(VLOOKUP(TRANSHARI9_ICECREAMPAGI[[#This Row],[PRODUK]],DATA_ICECREAM[],11,FALSE),"")</f>
        <v/>
      </c>
      <c r="E283" s="374"/>
      <c r="F283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3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3" s="12"/>
      <c r="I283" s="386" t="str">
        <f>IFERROR(IF(TRANSHARI9_ICECREAMPAGI[[#This Row],[NAMA REKENING]]="","",TRANSHARI9_ICECREAMPAGI[[#This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IFERROR(VLOOKUP(TRANSHARI9_ICECREAMMALAM[[#This Row],[PRODUK]],DATA_ICECREAM[],11,FALSE),"")</f>
        <v/>
      </c>
      <c r="T283" s="374"/>
      <c r="U283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3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3" s="12"/>
      <c r="X283" s="386" t="str">
        <f>IFERROR(IF(TRANSHARI9_ICECREAMMALAM[[#This Row],[NAMA REKENING]]="","",TRANSHARI9_ICECREAMMALAM[[#This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IFERROR(VLOOKUP(TRANSHARI9_ICECREAMPAGI[[#This Row],[PRODUK]],DATA_ICECREAM[],11,FALSE),"")</f>
        <v/>
      </c>
      <c r="E284" s="374"/>
      <c r="F284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4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4" s="12"/>
      <c r="I284" s="384" t="str">
        <f>IFERROR(IF(TRANSHARI9_ICECREAMPAGI[[#This Row],[NAMA REKENING]]="","",TRANSHARI9_ICECREAMPAGI[[#This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IFERROR(VLOOKUP(TRANSHARI9_ICECREAMMALAM[[#This Row],[PRODUK]],DATA_ICECREAM[],11,FALSE),"")</f>
        <v/>
      </c>
      <c r="T284" s="374"/>
      <c r="U284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4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4" s="12"/>
      <c r="X284" s="384" t="str">
        <f>IFERROR(IF(TRANSHARI9_ICECREAMMALAM[[#This Row],[NAMA REKENING]]="","",TRANSHARI9_ICECREAMMALAM[[#This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IFERROR(VLOOKUP(TRANSHARI9_ICECREAMPAGI[[#This Row],[PRODUK]],DATA_ICECREAM[],11,FALSE),"")</f>
        <v/>
      </c>
      <c r="E285" s="374"/>
      <c r="F285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5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5" s="12"/>
      <c r="I285" s="386" t="str">
        <f>IFERROR(IF(TRANSHARI9_ICECREAMPAGI[[#This Row],[NAMA REKENING]]="","",TRANSHARI9_ICECREAMPAGI[[#This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IFERROR(VLOOKUP(TRANSHARI9_ICECREAMMALAM[[#This Row],[PRODUK]],DATA_ICECREAM[],11,FALSE),"")</f>
        <v/>
      </c>
      <c r="T285" s="374"/>
      <c r="U285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5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5" s="12"/>
      <c r="X285" s="386" t="str">
        <f>IFERROR(IF(TRANSHARI9_ICECREAMMALAM[[#This Row],[NAMA REKENING]]="","",TRANSHARI9_ICECREAMMALAM[[#This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IFERROR(VLOOKUP(TRANSHARI9_ICECREAMPAGI[[#This Row],[PRODUK]],DATA_ICECREAM[],11,FALSE),"")</f>
        <v/>
      </c>
      <c r="E286" s="374"/>
      <c r="F286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6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6" s="12"/>
      <c r="I286" s="384" t="str">
        <f>IFERROR(IF(TRANSHARI9_ICECREAMPAGI[[#This Row],[NAMA REKENING]]="","",TRANSHARI9_ICECREAMPAGI[[#This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IFERROR(VLOOKUP(TRANSHARI9_ICECREAMMALAM[[#This Row],[PRODUK]],DATA_ICECREAM[],11,FALSE),"")</f>
        <v/>
      </c>
      <c r="T286" s="374"/>
      <c r="U286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6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6" s="12"/>
      <c r="X286" s="384" t="str">
        <f>IFERROR(IF(TRANSHARI9_ICECREAMMALAM[[#This Row],[NAMA REKENING]]="","",TRANSHARI9_ICECREAMMALAM[[#This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IFERROR(VLOOKUP(TRANSHARI9_ICECREAMPAGI[[#This Row],[PRODUK]],DATA_ICECREAM[],11,FALSE),"")</f>
        <v/>
      </c>
      <c r="E287" s="374"/>
      <c r="F287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7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7" s="12"/>
      <c r="I287" s="386" t="str">
        <f>IFERROR(IF(TRANSHARI9_ICECREAMPAGI[[#This Row],[NAMA REKENING]]="","",TRANSHARI9_ICECREAMPAGI[[#This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IFERROR(VLOOKUP(TRANSHARI9_ICECREAMMALAM[[#This Row],[PRODUK]],DATA_ICECREAM[],11,FALSE),"")</f>
        <v/>
      </c>
      <c r="T287" s="374"/>
      <c r="U287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7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7" s="12"/>
      <c r="X287" s="386" t="str">
        <f>IFERROR(IF(TRANSHARI9_ICECREAMMALAM[[#This Row],[NAMA REKENING]]="","",TRANSHARI9_ICECREAMMALAM[[#This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IFERROR(VLOOKUP(TRANSHARI9_ICECREAMPAGI[[#This Row],[PRODUK]],DATA_ICECREAM[],11,FALSE),"")</f>
        <v/>
      </c>
      <c r="E288" s="374"/>
      <c r="F288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8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8" s="12"/>
      <c r="I288" s="384" t="str">
        <f>IFERROR(IF(TRANSHARI9_ICECREAMPAGI[[#This Row],[NAMA REKENING]]="","",TRANSHARI9_ICECREAMPAGI[[#This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IFERROR(VLOOKUP(TRANSHARI9_ICECREAMMALAM[[#This Row],[PRODUK]],DATA_ICECREAM[],11,FALSE),"")</f>
        <v/>
      </c>
      <c r="T288" s="374"/>
      <c r="U288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8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8" s="12"/>
      <c r="X288" s="384" t="str">
        <f>IFERROR(IF(TRANSHARI9_ICECREAMMALAM[[#This Row],[NAMA REKENING]]="","",TRANSHARI9_ICECREAMMALAM[[#This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IFERROR(VLOOKUP(TRANSHARI9_ICECREAMPAGI[[#This Row],[PRODUK]],DATA_ICECREAM[],11,FALSE),"")</f>
        <v/>
      </c>
      <c r="E289" s="374"/>
      <c r="F289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89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89" s="12"/>
      <c r="I289" s="386" t="str">
        <f>IFERROR(IF(TRANSHARI9_ICECREAMPAGI[[#This Row],[NAMA REKENING]]="","",TRANSHARI9_ICECREAMPAGI[[#This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IFERROR(VLOOKUP(TRANSHARI9_ICECREAMMALAM[[#This Row],[PRODUK]],DATA_ICECREAM[],11,FALSE),"")</f>
        <v/>
      </c>
      <c r="T289" s="374"/>
      <c r="U289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89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89" s="12"/>
      <c r="X289" s="386" t="str">
        <f>IFERROR(IF(TRANSHARI9_ICECREAMMALAM[[#This Row],[NAMA REKENING]]="","",TRANSHARI9_ICECREAMMALAM[[#This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IFERROR(VLOOKUP(TRANSHARI9_ICECREAMPAGI[[#This Row],[PRODUK]],DATA_ICECREAM[],11,FALSE),"")</f>
        <v/>
      </c>
      <c r="E290" s="374"/>
      <c r="F290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0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0" s="12"/>
      <c r="I290" s="384" t="str">
        <f>IFERROR(IF(TRANSHARI9_ICECREAMPAGI[[#This Row],[NAMA REKENING]]="","",TRANSHARI9_ICECREAMPAGI[[#This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IFERROR(VLOOKUP(TRANSHARI9_ICECREAMMALAM[[#This Row],[PRODUK]],DATA_ICECREAM[],11,FALSE),"")</f>
        <v/>
      </c>
      <c r="T290" s="374"/>
      <c r="U290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0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0" s="12"/>
      <c r="X290" s="384" t="str">
        <f>IFERROR(IF(TRANSHARI9_ICECREAMMALAM[[#This Row],[NAMA REKENING]]="","",TRANSHARI9_ICECREAMMALAM[[#This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IFERROR(VLOOKUP(TRANSHARI9_ICECREAMPAGI[[#This Row],[PRODUK]],DATA_ICECREAM[],11,FALSE),"")</f>
        <v/>
      </c>
      <c r="E291" s="374"/>
      <c r="F291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1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1" s="12"/>
      <c r="I291" s="386" t="str">
        <f>IFERROR(IF(TRANSHARI9_ICECREAMPAGI[[#This Row],[NAMA REKENING]]="","",TRANSHARI9_ICECREAMPAGI[[#This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IFERROR(VLOOKUP(TRANSHARI9_ICECREAMMALAM[[#This Row],[PRODUK]],DATA_ICECREAM[],11,FALSE),"")</f>
        <v/>
      </c>
      <c r="T291" s="374"/>
      <c r="U291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1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1" s="12"/>
      <c r="X291" s="386" t="str">
        <f>IFERROR(IF(TRANSHARI9_ICECREAMMALAM[[#This Row],[NAMA REKENING]]="","",TRANSHARI9_ICECREAMMALAM[[#This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IFERROR(VLOOKUP(TRANSHARI9_ICECREAMPAGI[[#This Row],[PRODUK]],DATA_ICECREAM[],11,FALSE),"")</f>
        <v/>
      </c>
      <c r="E292" s="374"/>
      <c r="F292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2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2" s="12"/>
      <c r="I292" s="384" t="str">
        <f>IFERROR(IF(TRANSHARI9_ICECREAMPAGI[[#This Row],[NAMA REKENING]]="","",TRANSHARI9_ICECREAMPAGI[[#This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IFERROR(VLOOKUP(TRANSHARI9_ICECREAMMALAM[[#This Row],[PRODUK]],DATA_ICECREAM[],11,FALSE),"")</f>
        <v/>
      </c>
      <c r="T292" s="374"/>
      <c r="U292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2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2" s="12"/>
      <c r="X292" s="384" t="str">
        <f>IFERROR(IF(TRANSHARI9_ICECREAMMALAM[[#This Row],[NAMA REKENING]]="","",TRANSHARI9_ICECREAMMALAM[[#This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IFERROR(VLOOKUP(TRANSHARI9_ICECREAMPAGI[[#This Row],[PRODUK]],DATA_ICECREAM[],11,FALSE),"")</f>
        <v/>
      </c>
      <c r="E293" s="374"/>
      <c r="F293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3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3" s="12"/>
      <c r="I293" s="386" t="str">
        <f>IFERROR(IF(TRANSHARI9_ICECREAMPAGI[[#This Row],[NAMA REKENING]]="","",TRANSHARI9_ICECREAMPAGI[[#This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IFERROR(VLOOKUP(TRANSHARI9_ICECREAMMALAM[[#This Row],[PRODUK]],DATA_ICECREAM[],11,FALSE),"")</f>
        <v/>
      </c>
      <c r="T293" s="374"/>
      <c r="U293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3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3" s="12"/>
      <c r="X293" s="386" t="str">
        <f>IFERROR(IF(TRANSHARI9_ICECREAMMALAM[[#This Row],[NAMA REKENING]]="","",TRANSHARI9_ICECREAMMALAM[[#This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IFERROR(VLOOKUP(TRANSHARI9_ICECREAMPAGI[[#This Row],[PRODUK]],DATA_ICECREAM[],11,FALSE),"")</f>
        <v/>
      </c>
      <c r="E294" s="374"/>
      <c r="F294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4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4" s="12"/>
      <c r="I294" s="384" t="str">
        <f>IFERROR(IF(TRANSHARI9_ICECREAMPAGI[[#This Row],[NAMA REKENING]]="","",TRANSHARI9_ICECREAMPAGI[[#This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IFERROR(VLOOKUP(TRANSHARI9_ICECREAMMALAM[[#This Row],[PRODUK]],DATA_ICECREAM[],11,FALSE),"")</f>
        <v/>
      </c>
      <c r="T294" s="374"/>
      <c r="U294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4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4" s="12"/>
      <c r="X294" s="384" t="str">
        <f>IFERROR(IF(TRANSHARI9_ICECREAMMALAM[[#This Row],[NAMA REKENING]]="","",TRANSHARI9_ICECREAMMALAM[[#This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IFERROR(VLOOKUP(TRANSHARI9_ICECREAMPAGI[[#This Row],[PRODUK]],DATA_ICECREAM[],11,FALSE),"")</f>
        <v/>
      </c>
      <c r="E295" s="374"/>
      <c r="F295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5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5" s="12"/>
      <c r="I295" s="386" t="str">
        <f>IFERROR(IF(TRANSHARI9_ICECREAMPAGI[[#This Row],[NAMA REKENING]]="","",TRANSHARI9_ICECREAMPAGI[[#This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IFERROR(VLOOKUP(TRANSHARI9_ICECREAMMALAM[[#This Row],[PRODUK]],DATA_ICECREAM[],11,FALSE),"")</f>
        <v/>
      </c>
      <c r="T295" s="374"/>
      <c r="U295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5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5" s="12"/>
      <c r="X295" s="386" t="str">
        <f>IFERROR(IF(TRANSHARI9_ICECREAMMALAM[[#This Row],[NAMA REKENING]]="","",TRANSHARI9_ICECREAMMALAM[[#This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IFERROR(VLOOKUP(TRANSHARI9_ICECREAMPAGI[[#This Row],[PRODUK]],DATA_ICECREAM[],11,FALSE),"")</f>
        <v/>
      </c>
      <c r="E296" s="374"/>
      <c r="F296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6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6" s="12"/>
      <c r="I296" s="384" t="str">
        <f>IFERROR(IF(TRANSHARI9_ICECREAMPAGI[[#This Row],[NAMA REKENING]]="","",TRANSHARI9_ICECREAMPAGI[[#This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IFERROR(VLOOKUP(TRANSHARI9_ICECREAMMALAM[[#This Row],[PRODUK]],DATA_ICECREAM[],11,FALSE),"")</f>
        <v/>
      </c>
      <c r="T296" s="374"/>
      <c r="U296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6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6" s="12"/>
      <c r="X296" s="384" t="str">
        <f>IFERROR(IF(TRANSHARI9_ICECREAMMALAM[[#This Row],[NAMA REKENING]]="","",TRANSHARI9_ICECREAMMALAM[[#This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IFERROR(VLOOKUP(TRANSHARI9_ICECREAMPAGI[[#This Row],[PRODUK]],DATA_ICECREAM[],11,FALSE),"")</f>
        <v/>
      </c>
      <c r="E297" s="374"/>
      <c r="F297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7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7" s="12"/>
      <c r="I297" s="386" t="str">
        <f>IFERROR(IF(TRANSHARI9_ICECREAMPAGI[[#This Row],[NAMA REKENING]]="","",TRANSHARI9_ICECREAMPAGI[[#This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IFERROR(VLOOKUP(TRANSHARI9_ICECREAMMALAM[[#This Row],[PRODUK]],DATA_ICECREAM[],11,FALSE),"")</f>
        <v/>
      </c>
      <c r="T297" s="374"/>
      <c r="U297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7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7" s="12"/>
      <c r="X297" s="386" t="str">
        <f>IFERROR(IF(TRANSHARI9_ICECREAMMALAM[[#This Row],[NAMA REKENING]]="","",TRANSHARI9_ICECREAMMALAM[[#This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IFERROR(VLOOKUP(TRANSHARI9_ICECREAMPAGI[[#This Row],[PRODUK]],DATA_ICECREAM[],11,FALSE),"")</f>
        <v/>
      </c>
      <c r="E298" s="374"/>
      <c r="F298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8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8" s="12"/>
      <c r="I298" s="384" t="str">
        <f>IFERROR(IF(TRANSHARI9_ICECREAMPAGI[[#This Row],[NAMA REKENING]]="","",TRANSHARI9_ICECREAMPAGI[[#This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IFERROR(VLOOKUP(TRANSHARI9_ICECREAMMALAM[[#This Row],[PRODUK]],DATA_ICECREAM[],11,FALSE),"")</f>
        <v/>
      </c>
      <c r="T298" s="374"/>
      <c r="U298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8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8" s="12"/>
      <c r="X298" s="384" t="str">
        <f>IFERROR(IF(TRANSHARI9_ICECREAMMALAM[[#This Row],[NAMA REKENING]]="","",TRANSHARI9_ICECREAMMALAM[[#This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IFERROR(VLOOKUP(TRANSHARI9_ICECREAMPAGI[[#This Row],[PRODUK]],DATA_ICECREAM[],11,FALSE),"")</f>
        <v/>
      </c>
      <c r="E299" s="374"/>
      <c r="F299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299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299" s="12"/>
      <c r="I299" s="386" t="str">
        <f>IFERROR(IF(TRANSHARI9_ICECREAMPAGI[[#This Row],[NAMA REKENING]]="","",TRANSHARI9_ICECREAMPAGI[[#This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IFERROR(VLOOKUP(TRANSHARI9_ICECREAMMALAM[[#This Row],[PRODUK]],DATA_ICECREAM[],11,FALSE),"")</f>
        <v/>
      </c>
      <c r="T299" s="374"/>
      <c r="U299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299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299" s="12"/>
      <c r="X299" s="386" t="str">
        <f>IFERROR(IF(TRANSHARI9_ICECREAMMALAM[[#This Row],[NAMA REKENING]]="","",TRANSHARI9_ICECREAMMALAM[[#This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IFERROR(VLOOKUP(TRANSHARI9_ICECREAMPAGI[[#This Row],[PRODUK]],DATA_ICECREAM[],11,FALSE),"")</f>
        <v/>
      </c>
      <c r="E300" s="374"/>
      <c r="F300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300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300" s="12"/>
      <c r="I300" s="384" t="str">
        <f>IFERROR(IF(TRANSHARI9_ICECREAMPAGI[[#This Row],[NAMA REKENING]]="","",TRANSHARI9_ICECREAMPAGI[[#This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IFERROR(VLOOKUP(TRANSHARI9_ICECREAMMALAM[[#This Row],[PRODUK]],DATA_ICECREAM[],11,FALSE),"")</f>
        <v/>
      </c>
      <c r="T300" s="374"/>
      <c r="U300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300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300" s="12"/>
      <c r="X300" s="384" t="str">
        <f>IFERROR(IF(TRANSHARI9_ICECREAMMALAM[[#This Row],[NAMA REKENING]]="","",TRANSHARI9_ICECREAMMALAM[[#This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IFERROR(VLOOKUP(TRANSHARI9_ICECREAMPAGI[[#This Row],[PRODUK]],DATA_ICECREAM[],11,FALSE),"")</f>
        <v/>
      </c>
      <c r="E301" s="374"/>
      <c r="F301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301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301" s="12"/>
      <c r="I301" s="386" t="str">
        <f>IFERROR(IF(TRANSHARI9_ICECREAMPAGI[[#This Row],[NAMA REKENING]]="","",TRANSHARI9_ICECREAMPAGI[[#This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IFERROR(VLOOKUP(TRANSHARI9_ICECREAMMALAM[[#This Row],[PRODUK]],DATA_ICECREAM[],11,FALSE),"")</f>
        <v/>
      </c>
      <c r="T301" s="374"/>
      <c r="U301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301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301" s="12"/>
      <c r="X301" s="386" t="str">
        <f>IFERROR(IF(TRANSHARI9_ICECREAMMALAM[[#This Row],[NAMA REKENING]]="","",TRANSHARI9_ICECREAMMALAM[[#This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IFERROR(VLOOKUP(TRANSHARI9_ICECREAMPAGI[[#This Row],[PRODUK]],DATA_ICECREAM[],11,FALSE),"")</f>
        <v/>
      </c>
      <c r="E302" s="374"/>
      <c r="F302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302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302" s="12"/>
      <c r="I302" s="384" t="str">
        <f>IFERROR(IF(TRANSHARI9_ICECREAMPAGI[[#This Row],[NAMA REKENING]]="","",TRANSHARI9_ICECREAMPAGI[[#This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IFERROR(VLOOKUP(TRANSHARI9_ICECREAMMALAM[[#This Row],[PRODUK]],DATA_ICECREAM[],11,FALSE),"")</f>
        <v/>
      </c>
      <c r="T302" s="374"/>
      <c r="U302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302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302" s="12"/>
      <c r="X302" s="384" t="str">
        <f>IFERROR(IF(TRANSHARI9_ICECREAMMALAM[[#This Row],[NAMA REKENING]]="","",TRANSHARI9_ICECREAMMALAM[[#This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IFERROR(VLOOKUP(TRANSHARI9_ICECREAMPAGI[[#This Row],[PRODUK]],DATA_ICECREAM[],11,FALSE),"")</f>
        <v/>
      </c>
      <c r="E303" s="374"/>
      <c r="F303" s="373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303" s="373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303" s="12"/>
      <c r="I303" s="386" t="str">
        <f>IFERROR(IF(TRANSHARI9_ICECREAMPAGI[[#This Row],[NAMA REKENING]]="","",TRANSHARI9_ICECREAMPAGI[[#This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IFERROR(VLOOKUP(TRANSHARI9_ICECREAMMALAM[[#This Row],[PRODUK]],DATA_ICECREAM[],11,FALSE),"")</f>
        <v/>
      </c>
      <c r="T303" s="374"/>
      <c r="U303" s="373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303" s="373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303" s="12"/>
      <c r="X303" s="386" t="str">
        <f>IFERROR(IF(TRANSHARI9_ICECREAMMALAM[[#This Row],[NAMA REKENING]]="","",TRANSHARI9_ICECREAMMALAM[[#This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IFERROR(VLOOKUP(TRANSHARI9_ICECREAMPAGI[[#This Row],[PRODUK]],DATA_ICECREAM[],11,FALSE),"")</f>
        <v/>
      </c>
      <c r="E304" s="374"/>
      <c r="F304" s="369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304" s="369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304" s="12"/>
      <c r="I304" s="384" t="str">
        <f>IFERROR(IF(TRANSHARI9_ICECREAMPAGI[[#This Row],[NAMA REKENING]]="","",TRANSHARI9_ICECREAMPAGI[[#This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IFERROR(VLOOKUP(TRANSHARI9_ICECREAMMALAM[[#This Row],[PRODUK]],DATA_ICECREAM[],11,FALSE),"")</f>
        <v/>
      </c>
      <c r="T304" s="374"/>
      <c r="U304" s="369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304" s="369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304" s="12"/>
      <c r="X304" s="384" t="str">
        <f>IFERROR(IF(TRANSHARI9_ICECREAMMALAM[[#This Row],[NAMA REKENING]]="","",TRANSHARI9_ICECREAMMALAM[[#This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IFERROR(VLOOKUP(TRANSHARI9_ICECREAMPAGI[[#This Row],[PRODUK]],DATA_ICECREAM[],11,FALSE),"")</f>
        <v/>
      </c>
      <c r="E305" s="376"/>
      <c r="F305" s="394" t="str">
        <f>IFERROR(IF(TRANSHARI9_ICECREAMPAGI[[#This Row],[NAMA PENGHUTANG]]="",((TRANSHARI9_ICECREAMPAGI[[#This Row],[HARGA]]*TRANSHARI9_ICECREAMPAGI[[#This Row],[QUANTITY]])+TRANSHARI9_ICECREAMPAGI[[#This Row],[PRICE TOLERANCE]]),""),"")</f>
        <v/>
      </c>
      <c r="G305" s="394" t="str">
        <f>IFERROR(IF(TRANSHARI9_ICECREAMPAGI[[#This Row],[NAMA PENGHUTANG]]="","",((TRANSHARI9_ICECREAMPAGI[[#This Row],[HARGA]]*TRANSHARI9_ICECREAMPAGI[[#This Row],[QUANTITY]])+TRANSHARI9_ICECREAMPAGI[[#This Row],[PRICE TOLERANCE]])),"")</f>
        <v/>
      </c>
      <c r="H305" s="377"/>
      <c r="I305" s="399" t="str">
        <f>IFERROR(IF(TRANSHARI9_ICECREAMPAGI[[#This Row],[NAMA REKENING]]="","",TRANSHARI9_ICECREAMPAGI[[#This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IFERROR(VLOOKUP(TRANSHARI9_ICECREAMMALAM[[#This Row],[PRODUK]],DATA_ICECREAM[],11,FALSE),"")</f>
        <v/>
      </c>
      <c r="T305" s="376"/>
      <c r="U305" s="394" t="str">
        <f>IFERROR(IF(TRANSHARI9_ICECREAMMALAM[[#This Row],[NAMA PENGHUTANG]]="",((TRANSHARI9_ICECREAMMALAM[[#This Row],[HARGA]]*TRANSHARI9_ICECREAMMALAM[[#This Row],[QUANTITY]])+TRANSHARI9_ICECREAMMALAM[[#This Row],[PRICE TOLERANCE]]),""),"")</f>
        <v/>
      </c>
      <c r="V305" s="394" t="str">
        <f>IFERROR(IF(TRANSHARI9_ICECREAMMALAM[[#This Row],[NAMA PENGHUTANG]]="","",((TRANSHARI9_ICECREAMMALAM[[#This Row],[HARGA]]*TRANSHARI9_ICECREAMMALAM[[#This Row],[QUANTITY]])+TRANSHARI9_ICECREAMMALAM[[#This Row],[PRICE TOLERANCE]])),"")</f>
        <v/>
      </c>
      <c r="W305" s="377"/>
      <c r="X305" s="399" t="str">
        <f>IFERROR(IF(TRANSHARI9_ICECREAMMALAM[[#This Row],[NAMA REKENING]]="","",TRANSHARI9_ICECREAMMALAM[[#This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SUM(TRANSHARI9_ICECREAMPAGI[QUANTITY])</f>
        <v>0</v>
      </c>
      <c r="E306" s="398">
        <f>SUM(TRANSHARI9_ICECREAMPAGI[PRICE TOLERANCE])</f>
        <v>0</v>
      </c>
      <c r="F306" s="396">
        <f>SUM(TRANSHARI9_ICECREAMPAGI[DEBIT])</f>
        <v>0</v>
      </c>
      <c r="G306" s="396">
        <f>SUM(TRANSHARI9_ICECREAMPAGI[KREDIT])</f>
        <v>0</v>
      </c>
      <c r="I306" s="396">
        <f>SUM(TRANSHARI9_ICECREAMPAGI[NOMINAL TRANSFER])</f>
        <v>0</v>
      </c>
      <c r="O306" s="324"/>
      <c r="P306" s="303" t="s">
        <v>78</v>
      </c>
      <c r="Q306" s="316"/>
      <c r="R306" s="395">
        <f>SUM(TRANSHARI9_ICECREAMMALAM[QUANTITY])</f>
        <v>0</v>
      </c>
      <c r="T306" s="398">
        <f>SUM(TRANSHARI9_ICECREAMMALAM[PRICE TOLERANCE])</f>
        <v>0</v>
      </c>
      <c r="U306" s="396">
        <f>SUM(TRANSHARI9_ICECREAMMALAM[DEBIT])</f>
        <v>0</v>
      </c>
      <c r="V306" s="396">
        <f>SUM(TRANSHARI9_ICECREAMMALAM[KREDIT])</f>
        <v>0</v>
      </c>
      <c r="X306" s="396">
        <f>SUM(TRANSHARI9_ICECREAMMALAM[NOMINAL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tr">
        <f>A25</f>
        <v>HARI 9 : PAGI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tr">
        <f>P25</f>
        <v>HARI 9 : MALAM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IFERROR(VLOOKUP(TRANSHARI9_ACCPAGI[[#This Row],[PRODUK]],DATA_ACC[],11,FALSE),"")</f>
        <v/>
      </c>
      <c r="E313" s="370"/>
      <c r="F313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13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13" s="371"/>
      <c r="I313" s="384" t="str">
        <f>IFERROR(IF(TRANSHARI9_ACCPAGI[[#This Row],[NAMA REKENING]]="","",TRANSHARI9_ACCPAGI[[#This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IFERROR(VLOOKUP(TRANSHARI9_ACCMALAM[[#This Row],[PRODUK]],DATA_ACC[],11,FALSE),"")</f>
        <v/>
      </c>
      <c r="T313" s="370"/>
      <c r="U313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13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13" s="371"/>
      <c r="X313" s="384" t="str">
        <f>IFERROR(IF(TRANSHARI9_ACCMALAM[[#This Row],[NAMA REKENING]]="","",TRANSHARI9_ACCMALAM[[#This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IFERROR(VLOOKUP(TRANSHARI9_ACCPAGI[[#This Row],[PRODUK]],DATA_ACC[],11,FALSE),"")</f>
        <v/>
      </c>
      <c r="E314" s="374"/>
      <c r="F314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14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14" s="12"/>
      <c r="I314" s="386" t="str">
        <f>IFERROR(IF(TRANSHARI9_ACCPAGI[[#This Row],[NAMA REKENING]]="","",TRANSHARI9_ACCPAGI[[#This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IFERROR(VLOOKUP(TRANSHARI9_ACCMALAM[[#This Row],[PRODUK]],DATA_ACC[],11,FALSE),"")</f>
        <v/>
      </c>
      <c r="T314" s="374"/>
      <c r="U314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14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14" s="12"/>
      <c r="X314" s="386" t="str">
        <f>IFERROR(IF(TRANSHARI9_ACCMALAM[[#This Row],[NAMA REKENING]]="","",TRANSHARI9_ACCMALAM[[#This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IFERROR(VLOOKUP(TRANSHARI9_ACCPAGI[[#This Row],[PRODUK]],DATA_ACC[],11,FALSE),"")</f>
        <v/>
      </c>
      <c r="E315" s="374"/>
      <c r="F315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15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15" s="12"/>
      <c r="I315" s="384" t="str">
        <f>IFERROR(IF(TRANSHARI9_ACCPAGI[[#This Row],[NAMA REKENING]]="","",TRANSHARI9_ACCPAGI[[#This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IFERROR(VLOOKUP(TRANSHARI9_ACCMALAM[[#This Row],[PRODUK]],DATA_ACC[],11,FALSE),"")</f>
        <v/>
      </c>
      <c r="T315" s="374"/>
      <c r="U315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15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15" s="12"/>
      <c r="X315" s="384" t="str">
        <f>IFERROR(IF(TRANSHARI9_ACCMALAM[[#This Row],[NAMA REKENING]]="","",TRANSHARI9_ACCMALAM[[#This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IFERROR(VLOOKUP(TRANSHARI9_ACCPAGI[[#This Row],[PRODUK]],DATA_ACC[],11,FALSE),"")</f>
        <v/>
      </c>
      <c r="E316" s="374"/>
      <c r="F316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16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16" s="12"/>
      <c r="I316" s="386" t="str">
        <f>IFERROR(IF(TRANSHARI9_ACCPAGI[[#This Row],[NAMA REKENING]]="","",TRANSHARI9_ACCPAGI[[#This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IFERROR(VLOOKUP(TRANSHARI9_ACCMALAM[[#This Row],[PRODUK]],DATA_ACC[],11,FALSE),"")</f>
        <v/>
      </c>
      <c r="T316" s="374"/>
      <c r="U316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16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16" s="12"/>
      <c r="X316" s="386" t="str">
        <f>IFERROR(IF(TRANSHARI9_ACCMALAM[[#This Row],[NAMA REKENING]]="","",TRANSHARI9_ACCMALAM[[#This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IFERROR(VLOOKUP(TRANSHARI9_ACCPAGI[[#This Row],[PRODUK]],DATA_ACC[],11,FALSE),"")</f>
        <v/>
      </c>
      <c r="E317" s="374"/>
      <c r="F317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17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17" s="12"/>
      <c r="I317" s="384" t="str">
        <f>IFERROR(IF(TRANSHARI9_ACCPAGI[[#This Row],[NAMA REKENING]]="","",TRANSHARI9_ACCPAGI[[#This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IFERROR(VLOOKUP(TRANSHARI9_ACCMALAM[[#This Row],[PRODUK]],DATA_ACC[],11,FALSE),"")</f>
        <v/>
      </c>
      <c r="T317" s="374"/>
      <c r="U317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17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17" s="12"/>
      <c r="X317" s="384" t="str">
        <f>IFERROR(IF(TRANSHARI9_ACCMALAM[[#This Row],[NAMA REKENING]]="","",TRANSHARI9_ACCMALAM[[#This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IFERROR(VLOOKUP(TRANSHARI9_ACCPAGI[[#This Row],[PRODUK]],DATA_ACC[],11,FALSE),"")</f>
        <v/>
      </c>
      <c r="E318" s="374"/>
      <c r="F318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18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18" s="12"/>
      <c r="I318" s="386" t="str">
        <f>IFERROR(IF(TRANSHARI9_ACCPAGI[[#This Row],[NAMA REKENING]]="","",TRANSHARI9_ACCPAGI[[#This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IFERROR(VLOOKUP(TRANSHARI9_ACCMALAM[[#This Row],[PRODUK]],DATA_ACC[],11,FALSE),"")</f>
        <v/>
      </c>
      <c r="T318" s="374"/>
      <c r="U318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18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18" s="12"/>
      <c r="X318" s="386" t="str">
        <f>IFERROR(IF(TRANSHARI9_ACCMALAM[[#This Row],[NAMA REKENING]]="","",TRANSHARI9_ACCMALAM[[#This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IFERROR(VLOOKUP(TRANSHARI9_ACCPAGI[[#This Row],[PRODUK]],DATA_ACC[],11,FALSE),"")</f>
        <v/>
      </c>
      <c r="E319" s="374"/>
      <c r="F319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19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19" s="12"/>
      <c r="I319" s="384" t="str">
        <f>IFERROR(IF(TRANSHARI9_ACCPAGI[[#This Row],[NAMA REKENING]]="","",TRANSHARI9_ACCPAGI[[#This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IFERROR(VLOOKUP(TRANSHARI9_ACCMALAM[[#This Row],[PRODUK]],DATA_ACC[],11,FALSE),"")</f>
        <v/>
      </c>
      <c r="T319" s="374"/>
      <c r="U319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19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19" s="12"/>
      <c r="X319" s="384" t="str">
        <f>IFERROR(IF(TRANSHARI9_ACCMALAM[[#This Row],[NAMA REKENING]]="","",TRANSHARI9_ACCMALAM[[#This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IFERROR(VLOOKUP(TRANSHARI9_ACCPAGI[[#This Row],[PRODUK]],DATA_ACC[],11,FALSE),"")</f>
        <v/>
      </c>
      <c r="E320" s="374"/>
      <c r="F320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20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20" s="12"/>
      <c r="I320" s="386" t="str">
        <f>IFERROR(IF(TRANSHARI9_ACCPAGI[[#This Row],[NAMA REKENING]]="","",TRANSHARI9_ACCPAGI[[#This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IFERROR(VLOOKUP(TRANSHARI9_ACCMALAM[[#This Row],[PRODUK]],DATA_ACC[],11,FALSE),"")</f>
        <v/>
      </c>
      <c r="T320" s="374"/>
      <c r="U320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20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20" s="12"/>
      <c r="X320" s="386" t="str">
        <f>IFERROR(IF(TRANSHARI9_ACCMALAM[[#This Row],[NAMA REKENING]]="","",TRANSHARI9_ACCMALAM[[#This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IFERROR(VLOOKUP(TRANSHARI9_ACCPAGI[[#This Row],[PRODUK]],DATA_ACC[],11,FALSE),"")</f>
        <v/>
      </c>
      <c r="E321" s="374"/>
      <c r="F321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21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21" s="12"/>
      <c r="I321" s="384" t="str">
        <f>IFERROR(IF(TRANSHARI9_ACCPAGI[[#This Row],[NAMA REKENING]]="","",TRANSHARI9_ACCPAGI[[#This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IFERROR(VLOOKUP(TRANSHARI9_ACCMALAM[[#This Row],[PRODUK]],DATA_ACC[],11,FALSE),"")</f>
        <v/>
      </c>
      <c r="T321" s="374"/>
      <c r="U321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21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21" s="12"/>
      <c r="X321" s="384" t="str">
        <f>IFERROR(IF(TRANSHARI9_ACCMALAM[[#This Row],[NAMA REKENING]]="","",TRANSHARI9_ACCMALAM[[#This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IFERROR(VLOOKUP(TRANSHARI9_ACCPAGI[[#This Row],[PRODUK]],DATA_ACC[],11,FALSE),"")</f>
        <v/>
      </c>
      <c r="E322" s="374"/>
      <c r="F322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22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22" s="12"/>
      <c r="I322" s="386" t="str">
        <f>IFERROR(IF(TRANSHARI9_ACCPAGI[[#This Row],[NAMA REKENING]]="","",TRANSHARI9_ACCPAGI[[#This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IFERROR(VLOOKUP(TRANSHARI9_ACCMALAM[[#This Row],[PRODUK]],DATA_ACC[],11,FALSE),"")</f>
        <v/>
      </c>
      <c r="T322" s="374"/>
      <c r="U322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22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22" s="12"/>
      <c r="X322" s="386" t="str">
        <f>IFERROR(IF(TRANSHARI9_ACCMALAM[[#This Row],[NAMA REKENING]]="","",TRANSHARI9_ACCMALAM[[#This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IFERROR(VLOOKUP(TRANSHARI9_ACCPAGI[[#This Row],[PRODUK]],DATA_ACC[],11,FALSE),"")</f>
        <v/>
      </c>
      <c r="E323" s="374"/>
      <c r="F323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23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23" s="12"/>
      <c r="I323" s="384" t="str">
        <f>IFERROR(IF(TRANSHARI9_ACCPAGI[[#This Row],[NAMA REKENING]]="","",TRANSHARI9_ACCPAGI[[#This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IFERROR(VLOOKUP(TRANSHARI9_ACCMALAM[[#This Row],[PRODUK]],DATA_ACC[],11,FALSE),"")</f>
        <v/>
      </c>
      <c r="T323" s="374"/>
      <c r="U323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23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23" s="12"/>
      <c r="X323" s="384" t="str">
        <f>IFERROR(IF(TRANSHARI9_ACCMALAM[[#This Row],[NAMA REKENING]]="","",TRANSHARI9_ACCMALAM[[#This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IFERROR(VLOOKUP(TRANSHARI9_ACCPAGI[[#This Row],[PRODUK]],DATA_ACC[],11,FALSE),"")</f>
        <v/>
      </c>
      <c r="E324" s="374"/>
      <c r="F324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24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24" s="12"/>
      <c r="I324" s="386" t="str">
        <f>IFERROR(IF(TRANSHARI9_ACCPAGI[[#This Row],[NAMA REKENING]]="","",TRANSHARI9_ACCPAGI[[#This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IFERROR(VLOOKUP(TRANSHARI9_ACCMALAM[[#This Row],[PRODUK]],DATA_ACC[],11,FALSE),"")</f>
        <v/>
      </c>
      <c r="T324" s="374"/>
      <c r="U324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24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24" s="12"/>
      <c r="X324" s="386" t="str">
        <f>IFERROR(IF(TRANSHARI9_ACCMALAM[[#This Row],[NAMA REKENING]]="","",TRANSHARI9_ACCMALAM[[#This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IFERROR(VLOOKUP(TRANSHARI9_ACCPAGI[[#This Row],[PRODUK]],DATA_ACC[],11,FALSE),"")</f>
        <v/>
      </c>
      <c r="E325" s="374"/>
      <c r="F325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25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25" s="12"/>
      <c r="I325" s="384" t="str">
        <f>IFERROR(IF(TRANSHARI9_ACCPAGI[[#This Row],[NAMA REKENING]]="","",TRANSHARI9_ACCPAGI[[#This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IFERROR(VLOOKUP(TRANSHARI9_ACCMALAM[[#This Row],[PRODUK]],DATA_ACC[],11,FALSE),"")</f>
        <v/>
      </c>
      <c r="T325" s="374"/>
      <c r="U325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25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25" s="12"/>
      <c r="X325" s="384" t="str">
        <f>IFERROR(IF(TRANSHARI9_ACCMALAM[[#This Row],[NAMA REKENING]]="","",TRANSHARI9_ACCMALAM[[#This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IFERROR(VLOOKUP(TRANSHARI9_ACCPAGI[[#This Row],[PRODUK]],DATA_ACC[],11,FALSE),"")</f>
        <v/>
      </c>
      <c r="E326" s="374"/>
      <c r="F326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26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26" s="12"/>
      <c r="I326" s="386" t="str">
        <f>IFERROR(IF(TRANSHARI9_ACCPAGI[[#This Row],[NAMA REKENING]]="","",TRANSHARI9_ACCPAGI[[#This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IFERROR(VLOOKUP(TRANSHARI9_ACCMALAM[[#This Row],[PRODUK]],DATA_ACC[],11,FALSE),"")</f>
        <v/>
      </c>
      <c r="T326" s="374"/>
      <c r="U326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26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26" s="12"/>
      <c r="X326" s="386" t="str">
        <f>IFERROR(IF(TRANSHARI9_ACCMALAM[[#This Row],[NAMA REKENING]]="","",TRANSHARI9_ACCMALAM[[#This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IFERROR(VLOOKUP(TRANSHARI9_ACCPAGI[[#This Row],[PRODUK]],DATA_ACC[],11,FALSE),"")</f>
        <v/>
      </c>
      <c r="E327" s="374"/>
      <c r="F327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27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27" s="12"/>
      <c r="I327" s="384" t="str">
        <f>IFERROR(IF(TRANSHARI9_ACCPAGI[[#This Row],[NAMA REKENING]]="","",TRANSHARI9_ACCPAGI[[#This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IFERROR(VLOOKUP(TRANSHARI9_ACCMALAM[[#This Row],[PRODUK]],DATA_ACC[],11,FALSE),"")</f>
        <v/>
      </c>
      <c r="T327" s="374"/>
      <c r="U327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27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27" s="12"/>
      <c r="X327" s="384" t="str">
        <f>IFERROR(IF(TRANSHARI9_ACCMALAM[[#This Row],[NAMA REKENING]]="","",TRANSHARI9_ACCMALAM[[#This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IFERROR(VLOOKUP(TRANSHARI9_ACCPAGI[[#This Row],[PRODUK]],DATA_ACC[],11,FALSE),"")</f>
        <v/>
      </c>
      <c r="E328" s="374"/>
      <c r="F328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28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28" s="12"/>
      <c r="I328" s="386" t="str">
        <f>IFERROR(IF(TRANSHARI9_ACCPAGI[[#This Row],[NAMA REKENING]]="","",TRANSHARI9_ACCPAGI[[#This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IFERROR(VLOOKUP(TRANSHARI9_ACCMALAM[[#This Row],[PRODUK]],DATA_ACC[],11,FALSE),"")</f>
        <v/>
      </c>
      <c r="T328" s="374"/>
      <c r="U328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28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28" s="12"/>
      <c r="X328" s="386" t="str">
        <f>IFERROR(IF(TRANSHARI9_ACCMALAM[[#This Row],[NAMA REKENING]]="","",TRANSHARI9_ACCMALAM[[#This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IFERROR(VLOOKUP(TRANSHARI9_ACCPAGI[[#This Row],[PRODUK]],DATA_ACC[],11,FALSE),"")</f>
        <v/>
      </c>
      <c r="E329" s="374"/>
      <c r="F329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29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29" s="12"/>
      <c r="I329" s="384" t="str">
        <f>IFERROR(IF(TRANSHARI9_ACCPAGI[[#This Row],[NAMA REKENING]]="","",TRANSHARI9_ACCPAGI[[#This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IFERROR(VLOOKUP(TRANSHARI9_ACCMALAM[[#This Row],[PRODUK]],DATA_ACC[],11,FALSE),"")</f>
        <v/>
      </c>
      <c r="T329" s="374"/>
      <c r="U329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29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29" s="12"/>
      <c r="X329" s="384" t="str">
        <f>IFERROR(IF(TRANSHARI9_ACCMALAM[[#This Row],[NAMA REKENING]]="","",TRANSHARI9_ACCMALAM[[#This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IFERROR(VLOOKUP(TRANSHARI9_ACCPAGI[[#This Row],[PRODUK]],DATA_ACC[],11,FALSE),"")</f>
        <v/>
      </c>
      <c r="E330" s="374"/>
      <c r="F330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30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30" s="12"/>
      <c r="I330" s="386" t="str">
        <f>IFERROR(IF(TRANSHARI9_ACCPAGI[[#This Row],[NAMA REKENING]]="","",TRANSHARI9_ACCPAGI[[#This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IFERROR(VLOOKUP(TRANSHARI9_ACCMALAM[[#This Row],[PRODUK]],DATA_ACC[],11,FALSE),"")</f>
        <v/>
      </c>
      <c r="T330" s="374"/>
      <c r="U330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30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30" s="12"/>
      <c r="X330" s="386" t="str">
        <f>IFERROR(IF(TRANSHARI9_ACCMALAM[[#This Row],[NAMA REKENING]]="","",TRANSHARI9_ACCMALAM[[#This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IFERROR(VLOOKUP(TRANSHARI9_ACCPAGI[[#This Row],[PRODUK]],DATA_ACC[],11,FALSE),"")</f>
        <v/>
      </c>
      <c r="E331" s="374"/>
      <c r="F331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31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31" s="12"/>
      <c r="I331" s="384" t="str">
        <f>IFERROR(IF(TRANSHARI9_ACCPAGI[[#This Row],[NAMA REKENING]]="","",TRANSHARI9_ACCPAGI[[#This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IFERROR(VLOOKUP(TRANSHARI9_ACCMALAM[[#This Row],[PRODUK]],DATA_ACC[],11,FALSE),"")</f>
        <v/>
      </c>
      <c r="T331" s="374"/>
      <c r="U331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31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31" s="12"/>
      <c r="X331" s="384" t="str">
        <f>IFERROR(IF(TRANSHARI9_ACCMALAM[[#This Row],[NAMA REKENING]]="","",TRANSHARI9_ACCMALAM[[#This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IFERROR(VLOOKUP(TRANSHARI9_ACCPAGI[[#This Row],[PRODUK]],DATA_ACC[],11,FALSE),"")</f>
        <v/>
      </c>
      <c r="E332" s="374"/>
      <c r="F332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32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32" s="12"/>
      <c r="I332" s="386" t="str">
        <f>IFERROR(IF(TRANSHARI9_ACCPAGI[[#This Row],[NAMA REKENING]]="","",TRANSHARI9_ACCPAGI[[#This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IFERROR(VLOOKUP(TRANSHARI9_ACCMALAM[[#This Row],[PRODUK]],DATA_ACC[],11,FALSE),"")</f>
        <v/>
      </c>
      <c r="T332" s="374"/>
      <c r="U332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32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32" s="12"/>
      <c r="X332" s="386" t="str">
        <f>IFERROR(IF(TRANSHARI9_ACCMALAM[[#This Row],[NAMA REKENING]]="","",TRANSHARI9_ACCMALAM[[#This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IFERROR(VLOOKUP(TRANSHARI9_ACCPAGI[[#This Row],[PRODUK]],DATA_ACC[],11,FALSE),"")</f>
        <v/>
      </c>
      <c r="E333" s="374"/>
      <c r="F333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33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33" s="12"/>
      <c r="I333" s="384" t="str">
        <f>IFERROR(IF(TRANSHARI9_ACCPAGI[[#This Row],[NAMA REKENING]]="","",TRANSHARI9_ACCPAGI[[#This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IFERROR(VLOOKUP(TRANSHARI9_ACCMALAM[[#This Row],[PRODUK]],DATA_ACC[],11,FALSE),"")</f>
        <v/>
      </c>
      <c r="T333" s="374"/>
      <c r="U333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33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33" s="12"/>
      <c r="X333" s="384" t="str">
        <f>IFERROR(IF(TRANSHARI9_ACCMALAM[[#This Row],[NAMA REKENING]]="","",TRANSHARI9_ACCMALAM[[#This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IFERROR(VLOOKUP(TRANSHARI9_ACCPAGI[[#This Row],[PRODUK]],DATA_ACC[],11,FALSE),"")</f>
        <v/>
      </c>
      <c r="E334" s="374"/>
      <c r="F334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34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34" s="12"/>
      <c r="I334" s="386" t="str">
        <f>IFERROR(IF(TRANSHARI9_ACCPAGI[[#This Row],[NAMA REKENING]]="","",TRANSHARI9_ACCPAGI[[#This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IFERROR(VLOOKUP(TRANSHARI9_ACCMALAM[[#This Row],[PRODUK]],DATA_ACC[],11,FALSE),"")</f>
        <v/>
      </c>
      <c r="T334" s="374"/>
      <c r="U334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34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34" s="12"/>
      <c r="X334" s="386" t="str">
        <f>IFERROR(IF(TRANSHARI9_ACCMALAM[[#This Row],[NAMA REKENING]]="","",TRANSHARI9_ACCMALAM[[#This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IFERROR(VLOOKUP(TRANSHARI9_ACCPAGI[[#This Row],[PRODUK]],DATA_ACC[],11,FALSE),"")</f>
        <v/>
      </c>
      <c r="E335" s="374"/>
      <c r="F335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35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35" s="12"/>
      <c r="I335" s="384" t="str">
        <f>IFERROR(IF(TRANSHARI9_ACCPAGI[[#This Row],[NAMA REKENING]]="","",TRANSHARI9_ACCPAGI[[#This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IFERROR(VLOOKUP(TRANSHARI9_ACCMALAM[[#This Row],[PRODUK]],DATA_ACC[],11,FALSE),"")</f>
        <v/>
      </c>
      <c r="T335" s="374"/>
      <c r="U335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35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35" s="12"/>
      <c r="X335" s="384" t="str">
        <f>IFERROR(IF(TRANSHARI9_ACCMALAM[[#This Row],[NAMA REKENING]]="","",TRANSHARI9_ACCMALAM[[#This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IFERROR(VLOOKUP(TRANSHARI9_ACCPAGI[[#This Row],[PRODUK]],DATA_ACC[],11,FALSE),"")</f>
        <v/>
      </c>
      <c r="E336" s="374"/>
      <c r="F336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36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36" s="12"/>
      <c r="I336" s="386" t="str">
        <f>IFERROR(IF(TRANSHARI9_ACCPAGI[[#This Row],[NAMA REKENING]]="","",TRANSHARI9_ACCPAGI[[#This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IFERROR(VLOOKUP(TRANSHARI9_ACCMALAM[[#This Row],[PRODUK]],DATA_ACC[],11,FALSE),"")</f>
        <v/>
      </c>
      <c r="T336" s="374"/>
      <c r="U336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36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36" s="12"/>
      <c r="X336" s="386" t="str">
        <f>IFERROR(IF(TRANSHARI9_ACCMALAM[[#This Row],[NAMA REKENING]]="","",TRANSHARI9_ACCMALAM[[#This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IFERROR(VLOOKUP(TRANSHARI9_ACCPAGI[[#This Row],[PRODUK]],DATA_ACC[],11,FALSE),"")</f>
        <v/>
      </c>
      <c r="E337" s="374"/>
      <c r="F337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37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37" s="12"/>
      <c r="I337" s="384" t="str">
        <f>IFERROR(IF(TRANSHARI9_ACCPAGI[[#This Row],[NAMA REKENING]]="","",TRANSHARI9_ACCPAGI[[#This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IFERROR(VLOOKUP(TRANSHARI9_ACCMALAM[[#This Row],[PRODUK]],DATA_ACC[],11,FALSE),"")</f>
        <v/>
      </c>
      <c r="T337" s="374"/>
      <c r="U337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37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37" s="12"/>
      <c r="X337" s="384" t="str">
        <f>IFERROR(IF(TRANSHARI9_ACCMALAM[[#This Row],[NAMA REKENING]]="","",TRANSHARI9_ACCMALAM[[#This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IFERROR(VLOOKUP(TRANSHARI9_ACCPAGI[[#This Row],[PRODUK]],DATA_ACC[],11,FALSE),"")</f>
        <v/>
      </c>
      <c r="E338" s="376"/>
      <c r="F338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38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38" s="377"/>
      <c r="I338" s="386" t="str">
        <f>IFERROR(IF(TRANSHARI9_ACCPAGI[[#This Row],[NAMA REKENING]]="","",TRANSHARI9_ACCPAGI[[#This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IFERROR(VLOOKUP(TRANSHARI9_ACCMALAM[[#This Row],[PRODUK]],DATA_ACC[],11,FALSE),"")</f>
        <v/>
      </c>
      <c r="T338" s="376"/>
      <c r="U338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38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38" s="377"/>
      <c r="X338" s="386" t="str">
        <f>IFERROR(IF(TRANSHARI9_ACCMALAM[[#This Row],[NAMA REKENING]]="","",TRANSHARI9_ACCMALAM[[#This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IFERROR(VLOOKUP(TRANSHARI9_ACCPAGI[[#This Row],[PRODUK]],DATA_ACC[],11,FALSE),"")</f>
        <v/>
      </c>
      <c r="E339" s="374"/>
      <c r="F339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39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39" s="12"/>
      <c r="I339" s="384" t="str">
        <f>IFERROR(IF(TRANSHARI9_ACCPAGI[[#This Row],[NAMA REKENING]]="","",TRANSHARI9_ACCPAGI[[#This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IFERROR(VLOOKUP(TRANSHARI9_ACCMALAM[[#This Row],[PRODUK]],DATA_ACC[],11,FALSE),"")</f>
        <v/>
      </c>
      <c r="T339" s="374"/>
      <c r="U339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39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39" s="12"/>
      <c r="X339" s="384" t="str">
        <f>IFERROR(IF(TRANSHARI9_ACCMALAM[[#This Row],[NAMA REKENING]]="","",TRANSHARI9_ACCMALAM[[#This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IFERROR(VLOOKUP(TRANSHARI9_ACCPAGI[[#This Row],[PRODUK]],DATA_ACC[],11,FALSE),"")</f>
        <v/>
      </c>
      <c r="E340" s="374"/>
      <c r="F340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40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40" s="12"/>
      <c r="I340" s="386" t="str">
        <f>IFERROR(IF(TRANSHARI9_ACCPAGI[[#This Row],[NAMA REKENING]]="","",TRANSHARI9_ACCPAGI[[#This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IFERROR(VLOOKUP(TRANSHARI9_ACCMALAM[[#This Row],[PRODUK]],DATA_ACC[],11,FALSE),"")</f>
        <v/>
      </c>
      <c r="T340" s="374"/>
      <c r="U340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40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40" s="12"/>
      <c r="X340" s="386" t="str">
        <f>IFERROR(IF(TRANSHARI9_ACCMALAM[[#This Row],[NAMA REKENING]]="","",TRANSHARI9_ACCMALAM[[#This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IFERROR(VLOOKUP(TRANSHARI9_ACCPAGI[[#This Row],[PRODUK]],DATA_ACC[],11,FALSE),"")</f>
        <v/>
      </c>
      <c r="E341" s="374"/>
      <c r="F341" s="369" t="str">
        <f>IFERROR(IF(TRANSHARI9_ACCPAGI[[#This Row],[NAMA PENGHUTANG]]="",((TRANSHARI9_ACCPAGI[[#This Row],[HARGA]]*TRANSHARI9_ACCPAGI[[#This Row],[QUANTITY]])+TRANSHARI9_ACCPAGI[[#This Row],[PRICE TOLERANCE]]),""),"")</f>
        <v/>
      </c>
      <c r="G341" s="369" t="str">
        <f>IFERROR(IF(TRANSHARI9_ACCPAGI[[#This Row],[NAMA PENGHUTANG]]="","",((TRANSHARI9_ACCPAGI[[#This Row],[HARGA]]*TRANSHARI9_ACCPAGI[[#This Row],[QUANTITY]])+TRANSHARI9_ACCPAGI[[#This Row],[PRICE TOLERANCE]])),"")</f>
        <v/>
      </c>
      <c r="H341" s="12"/>
      <c r="I341" s="384" t="str">
        <f>IFERROR(IF(TRANSHARI9_ACCPAGI[[#This Row],[NAMA REKENING]]="","",TRANSHARI9_ACCPAGI[[#This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IFERROR(VLOOKUP(TRANSHARI9_ACCMALAM[[#This Row],[PRODUK]],DATA_ACC[],11,FALSE),"")</f>
        <v/>
      </c>
      <c r="T341" s="374"/>
      <c r="U341" s="369" t="str">
        <f>IFERROR(IF(TRANSHARI9_ACCMALAM[[#This Row],[NAMA PENGHUTANG]]="",((TRANSHARI9_ACCMALAM[[#This Row],[HARGA]]*TRANSHARI9_ACCMALAM[[#This Row],[QUANTITY]])+TRANSHARI9_ACCMALAM[[#This Row],[PRICE TOLERANCE]]),""),"")</f>
        <v/>
      </c>
      <c r="V341" s="369" t="str">
        <f>IFERROR(IF(TRANSHARI9_ACCMALAM[[#This Row],[NAMA PENGHUTANG]]="","",((TRANSHARI9_ACCMALAM[[#This Row],[HARGA]]*TRANSHARI9_ACCMALAM[[#This Row],[QUANTITY]])+TRANSHARI9_ACCMALAM[[#This Row],[PRICE TOLERANCE]])),"")</f>
        <v/>
      </c>
      <c r="W341" s="12"/>
      <c r="X341" s="384" t="str">
        <f>IFERROR(IF(TRANSHARI9_ACCMALAM[[#This Row],[NAMA REKENING]]="","",TRANSHARI9_ACCMALAM[[#This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IFERROR(VLOOKUP(TRANSHARI9_ACCPAGI[[#This Row],[PRODUK]],DATA_ACC[],11,FALSE),"")</f>
        <v/>
      </c>
      <c r="E342" s="374"/>
      <c r="F342" s="373" t="str">
        <f>IFERROR(IF(TRANSHARI9_ACCPAGI[[#This Row],[NAMA PENGHUTANG]]="",((TRANSHARI9_ACCPAGI[[#This Row],[HARGA]]*TRANSHARI9_ACCPAGI[[#This Row],[QUANTITY]])+TRANSHARI9_ACCPAGI[[#This Row],[PRICE TOLERANCE]]),""),"")</f>
        <v/>
      </c>
      <c r="G342" s="373" t="str">
        <f>IFERROR(IF(TRANSHARI9_ACCPAGI[[#This Row],[NAMA PENGHUTANG]]="","",((TRANSHARI9_ACCPAGI[[#This Row],[HARGA]]*TRANSHARI9_ACCPAGI[[#This Row],[QUANTITY]])+TRANSHARI9_ACCPAGI[[#This Row],[PRICE TOLERANCE]])),"")</f>
        <v/>
      </c>
      <c r="H342" s="12"/>
      <c r="I342" s="386" t="str">
        <f>IFERROR(IF(TRANSHARI9_ACCPAGI[[#This Row],[NAMA REKENING]]="","",TRANSHARI9_ACCPAGI[[#This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IFERROR(VLOOKUP(TRANSHARI9_ACCMALAM[[#This Row],[PRODUK]],DATA_ACC[],11,FALSE),"")</f>
        <v/>
      </c>
      <c r="T342" s="374"/>
      <c r="U342" s="373" t="str">
        <f>IFERROR(IF(TRANSHARI9_ACCMALAM[[#This Row],[NAMA PENGHUTANG]]="",((TRANSHARI9_ACCMALAM[[#This Row],[HARGA]]*TRANSHARI9_ACCMALAM[[#This Row],[QUANTITY]])+TRANSHARI9_ACCMALAM[[#This Row],[PRICE TOLERANCE]]),""),"")</f>
        <v/>
      </c>
      <c r="V342" s="373" t="str">
        <f>IFERROR(IF(TRANSHARI9_ACCMALAM[[#This Row],[NAMA PENGHUTANG]]="","",((TRANSHARI9_ACCMALAM[[#This Row],[HARGA]]*TRANSHARI9_ACCMALAM[[#This Row],[QUANTITY]])+TRANSHARI9_ACCMALAM[[#This Row],[PRICE TOLERANCE]])),"")</f>
        <v/>
      </c>
      <c r="W342" s="12"/>
      <c r="X342" s="386" t="str">
        <f>IFERROR(IF(TRANSHARI9_ACCMALAM[[#This Row],[NAMA REKENING]]="","",TRANSHARI9_ACCMALAM[[#This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SUM(TRANSHARI9_ACCPAGI[QUANTITY])</f>
        <v>0</v>
      </c>
      <c r="E343" s="398">
        <f>SUM(TRANSHARI9_ACCPAGI[PRICE TOLERANCE])</f>
        <v>0</v>
      </c>
      <c r="F343" s="396">
        <f>SUM(TRANSHARI9_ACCPAGI[DEBIT])</f>
        <v>0</v>
      </c>
      <c r="G343" s="396">
        <f>SUM(TRANSHARI9_ACCPAGI[KREDIT])</f>
        <v>0</v>
      </c>
      <c r="I343" s="396">
        <f>SUM(TRANSHARI9_ACCPAGI[NOMINAL TRANSFER])</f>
        <v>0</v>
      </c>
      <c r="O343" s="324"/>
      <c r="P343" s="303" t="s">
        <v>78</v>
      </c>
      <c r="Q343" s="316"/>
      <c r="R343" s="395">
        <f>SUM(TRANSHARI9_ACCMALAM[QUANTITY])</f>
        <v>0</v>
      </c>
      <c r="T343" s="398">
        <f>SUM(TRANSHARI9_ACCMALAM[PRICE TOLERANCE])</f>
        <v>0</v>
      </c>
      <c r="U343" s="396">
        <f>SUM(TRANSHARI9_ACCMALAM[DEBIT])</f>
        <v>0</v>
      </c>
      <c r="V343" s="396">
        <f>SUM(TRANSHARI9_ACCMALAM[KREDIT])</f>
        <v>0</v>
      </c>
      <c r="X343" s="396">
        <f>SUM(TRANSHARI9_ACCMALAM[NOMINAL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tr">
        <f>A25</f>
        <v>HARI 9 : PAGI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tr">
        <f>P25</f>
        <v>HARI 9 : MALAM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IFERROR(VLOOKUP(TRANSHARI9_HYDROPAGI[[#This Row],[PRODUK]],DATA_HYDRO[],11,FALSE),"")</f>
        <v/>
      </c>
      <c r="E350" s="370"/>
      <c r="F350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0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0" s="371"/>
      <c r="I350" s="384" t="str">
        <f>IFERROR(IF(TRANSHARI9_HYDROPAGI[[#This Row],[NAMA REKENING]]="","",TRANSHARI9_HYDROPAGI[[#This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IFERROR(VLOOKUP(TRANSHARI9_HYDROMALAM[[#This Row],[PRODUK]],DATA_HYDRO[],11,FALSE),"")</f>
        <v/>
      </c>
      <c r="T350" s="370"/>
      <c r="U350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0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0" s="371"/>
      <c r="X350" s="384" t="str">
        <f>IFERROR(IF(TRANSHARI9_HYDROMALAM[[#This Row],[NAMA REKENING]]="","",TRANSHARI9_HYDROMALAM[[#This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IFERROR(VLOOKUP(TRANSHARI9_HYDROPAGI[[#This Row],[PRODUK]],DATA_HYDRO[],11,FALSE),"")</f>
        <v/>
      </c>
      <c r="E351" s="374"/>
      <c r="F351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1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1" s="12"/>
      <c r="I351" s="386" t="str">
        <f>IFERROR(IF(TRANSHARI9_HYDROPAGI[[#This Row],[NAMA REKENING]]="","",TRANSHARI9_HYDROPAGI[[#This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IFERROR(VLOOKUP(TRANSHARI9_HYDROMALAM[[#This Row],[PRODUK]],DATA_HYDRO[],11,FALSE),"")</f>
        <v/>
      </c>
      <c r="T351" s="374"/>
      <c r="U351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1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1" s="12"/>
      <c r="X351" s="386" t="str">
        <f>IFERROR(IF(TRANSHARI9_HYDROMALAM[[#This Row],[NAMA REKENING]]="","",TRANSHARI9_HYDROMALAM[[#This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IFERROR(VLOOKUP(TRANSHARI9_HYDROPAGI[[#This Row],[PRODUK]],DATA_HYDRO[],11,FALSE),"")</f>
        <v/>
      </c>
      <c r="E352" s="374"/>
      <c r="F352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2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2" s="12"/>
      <c r="I352" s="384" t="str">
        <f>IFERROR(IF(TRANSHARI9_HYDROPAGI[[#This Row],[NAMA REKENING]]="","",TRANSHARI9_HYDROPAGI[[#This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IFERROR(VLOOKUP(TRANSHARI9_HYDROMALAM[[#This Row],[PRODUK]],DATA_HYDRO[],11,FALSE),"")</f>
        <v/>
      </c>
      <c r="T352" s="374"/>
      <c r="U352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2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2" s="12"/>
      <c r="X352" s="384" t="str">
        <f>IFERROR(IF(TRANSHARI9_HYDROMALAM[[#This Row],[NAMA REKENING]]="","",TRANSHARI9_HYDROMALAM[[#This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IFERROR(VLOOKUP(TRANSHARI9_HYDROPAGI[[#This Row],[PRODUK]],DATA_HYDRO[],11,FALSE),"")</f>
        <v/>
      </c>
      <c r="E353" s="374"/>
      <c r="F353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3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3" s="12"/>
      <c r="I353" s="386" t="str">
        <f>IFERROR(IF(TRANSHARI9_HYDROPAGI[[#This Row],[NAMA REKENING]]="","",TRANSHARI9_HYDROPAGI[[#This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IFERROR(VLOOKUP(TRANSHARI9_HYDROMALAM[[#This Row],[PRODUK]],DATA_HYDRO[],11,FALSE),"")</f>
        <v/>
      </c>
      <c r="T353" s="374"/>
      <c r="U353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3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3" s="12"/>
      <c r="X353" s="386" t="str">
        <f>IFERROR(IF(TRANSHARI9_HYDROMALAM[[#This Row],[NAMA REKENING]]="","",TRANSHARI9_HYDROMALAM[[#This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IFERROR(VLOOKUP(TRANSHARI9_HYDROPAGI[[#This Row],[PRODUK]],DATA_HYDRO[],11,FALSE),"")</f>
        <v/>
      </c>
      <c r="E354" s="374"/>
      <c r="F354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4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4" s="12"/>
      <c r="I354" s="384" t="str">
        <f>IFERROR(IF(TRANSHARI9_HYDROPAGI[[#This Row],[NAMA REKENING]]="","",TRANSHARI9_HYDROPAGI[[#This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IFERROR(VLOOKUP(TRANSHARI9_HYDROMALAM[[#This Row],[PRODUK]],DATA_HYDRO[],11,FALSE),"")</f>
        <v/>
      </c>
      <c r="T354" s="374"/>
      <c r="U354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4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4" s="12"/>
      <c r="X354" s="384" t="str">
        <f>IFERROR(IF(TRANSHARI9_HYDROMALAM[[#This Row],[NAMA REKENING]]="","",TRANSHARI9_HYDROMALAM[[#This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IFERROR(VLOOKUP(TRANSHARI9_HYDROPAGI[[#This Row],[PRODUK]],DATA_HYDRO[],11,FALSE),"")</f>
        <v/>
      </c>
      <c r="E355" s="374"/>
      <c r="F355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5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5" s="12"/>
      <c r="I355" s="386" t="str">
        <f>IFERROR(IF(TRANSHARI9_HYDROPAGI[[#This Row],[NAMA REKENING]]="","",TRANSHARI9_HYDROPAGI[[#This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IFERROR(VLOOKUP(TRANSHARI9_HYDROMALAM[[#This Row],[PRODUK]],DATA_HYDRO[],11,FALSE),"")</f>
        <v/>
      </c>
      <c r="T355" s="374"/>
      <c r="U355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5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5" s="12"/>
      <c r="X355" s="386" t="str">
        <f>IFERROR(IF(TRANSHARI9_HYDROMALAM[[#This Row],[NAMA REKENING]]="","",TRANSHARI9_HYDROMALAM[[#This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IFERROR(VLOOKUP(TRANSHARI9_HYDROPAGI[[#This Row],[PRODUK]],DATA_HYDRO[],11,FALSE),"")</f>
        <v/>
      </c>
      <c r="E356" s="374"/>
      <c r="F356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6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6" s="12"/>
      <c r="I356" s="384" t="str">
        <f>IFERROR(IF(TRANSHARI9_HYDROPAGI[[#This Row],[NAMA REKENING]]="","",TRANSHARI9_HYDROPAGI[[#This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IFERROR(VLOOKUP(TRANSHARI9_HYDROMALAM[[#This Row],[PRODUK]],DATA_HYDRO[],11,FALSE),"")</f>
        <v/>
      </c>
      <c r="T356" s="374"/>
      <c r="U356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6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6" s="12"/>
      <c r="X356" s="384" t="str">
        <f>IFERROR(IF(TRANSHARI9_HYDROMALAM[[#This Row],[NAMA REKENING]]="","",TRANSHARI9_HYDROMALAM[[#This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IFERROR(VLOOKUP(TRANSHARI9_HYDROPAGI[[#This Row],[PRODUK]],DATA_HYDRO[],11,FALSE),"")</f>
        <v/>
      </c>
      <c r="E357" s="374"/>
      <c r="F357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7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7" s="12"/>
      <c r="I357" s="386" t="str">
        <f>IFERROR(IF(TRANSHARI9_HYDROPAGI[[#This Row],[NAMA REKENING]]="","",TRANSHARI9_HYDROPAGI[[#This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IFERROR(VLOOKUP(TRANSHARI9_HYDROMALAM[[#This Row],[PRODUK]],DATA_HYDRO[],11,FALSE),"")</f>
        <v/>
      </c>
      <c r="T357" s="374"/>
      <c r="U357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7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7" s="12"/>
      <c r="X357" s="386" t="str">
        <f>IFERROR(IF(TRANSHARI9_HYDROMALAM[[#This Row],[NAMA REKENING]]="","",TRANSHARI9_HYDROMALAM[[#This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IFERROR(VLOOKUP(TRANSHARI9_HYDROPAGI[[#This Row],[PRODUK]],DATA_HYDRO[],11,FALSE),"")</f>
        <v/>
      </c>
      <c r="E358" s="374"/>
      <c r="F358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8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8" s="12"/>
      <c r="I358" s="384" t="str">
        <f>IFERROR(IF(TRANSHARI9_HYDROPAGI[[#This Row],[NAMA REKENING]]="","",TRANSHARI9_HYDROPAGI[[#This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IFERROR(VLOOKUP(TRANSHARI9_HYDROMALAM[[#This Row],[PRODUK]],DATA_HYDRO[],11,FALSE),"")</f>
        <v/>
      </c>
      <c r="T358" s="374"/>
      <c r="U358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8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8" s="12"/>
      <c r="X358" s="384" t="str">
        <f>IFERROR(IF(TRANSHARI9_HYDROMALAM[[#This Row],[NAMA REKENING]]="","",TRANSHARI9_HYDROMALAM[[#This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IFERROR(VLOOKUP(TRANSHARI9_HYDROPAGI[[#This Row],[PRODUK]],DATA_HYDRO[],11,FALSE),"")</f>
        <v/>
      </c>
      <c r="E359" s="374"/>
      <c r="F359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59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59" s="12"/>
      <c r="I359" s="386" t="str">
        <f>IFERROR(IF(TRANSHARI9_HYDROPAGI[[#This Row],[NAMA REKENING]]="","",TRANSHARI9_HYDROPAGI[[#This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IFERROR(VLOOKUP(TRANSHARI9_HYDROMALAM[[#This Row],[PRODUK]],DATA_HYDRO[],11,FALSE),"")</f>
        <v/>
      </c>
      <c r="T359" s="374"/>
      <c r="U359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59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59" s="12"/>
      <c r="X359" s="386" t="str">
        <f>IFERROR(IF(TRANSHARI9_HYDROMALAM[[#This Row],[NAMA REKENING]]="","",TRANSHARI9_HYDROMALAM[[#This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IFERROR(VLOOKUP(TRANSHARI9_HYDROPAGI[[#This Row],[PRODUK]],DATA_HYDRO[],11,FALSE),"")</f>
        <v/>
      </c>
      <c r="E360" s="374"/>
      <c r="F360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0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0" s="12"/>
      <c r="I360" s="384" t="str">
        <f>IFERROR(IF(TRANSHARI9_HYDROPAGI[[#This Row],[NAMA REKENING]]="","",TRANSHARI9_HYDROPAGI[[#This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IFERROR(VLOOKUP(TRANSHARI9_HYDROMALAM[[#This Row],[PRODUK]],DATA_HYDRO[],11,FALSE),"")</f>
        <v/>
      </c>
      <c r="T360" s="374"/>
      <c r="U360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0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0" s="12"/>
      <c r="X360" s="384" t="str">
        <f>IFERROR(IF(TRANSHARI9_HYDROMALAM[[#This Row],[NAMA REKENING]]="","",TRANSHARI9_HYDROMALAM[[#This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IFERROR(VLOOKUP(TRANSHARI9_HYDROPAGI[[#This Row],[PRODUK]],DATA_HYDRO[],11,FALSE),"")</f>
        <v/>
      </c>
      <c r="E361" s="374"/>
      <c r="F361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1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1" s="12"/>
      <c r="I361" s="386" t="str">
        <f>IFERROR(IF(TRANSHARI9_HYDROPAGI[[#This Row],[NAMA REKENING]]="","",TRANSHARI9_HYDROPAGI[[#This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IFERROR(VLOOKUP(TRANSHARI9_HYDROMALAM[[#This Row],[PRODUK]],DATA_HYDRO[],11,FALSE),"")</f>
        <v/>
      </c>
      <c r="T361" s="374"/>
      <c r="U361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1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1" s="12"/>
      <c r="X361" s="386" t="str">
        <f>IFERROR(IF(TRANSHARI9_HYDROMALAM[[#This Row],[NAMA REKENING]]="","",TRANSHARI9_HYDROMALAM[[#This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IFERROR(VLOOKUP(TRANSHARI9_HYDROPAGI[[#This Row],[PRODUK]],DATA_HYDRO[],11,FALSE),"")</f>
        <v/>
      </c>
      <c r="E362" s="374"/>
      <c r="F362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2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2" s="12"/>
      <c r="I362" s="384" t="str">
        <f>IFERROR(IF(TRANSHARI9_HYDROPAGI[[#This Row],[NAMA REKENING]]="","",TRANSHARI9_HYDROPAGI[[#This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IFERROR(VLOOKUP(TRANSHARI9_HYDROMALAM[[#This Row],[PRODUK]],DATA_HYDRO[],11,FALSE),"")</f>
        <v/>
      </c>
      <c r="T362" s="374"/>
      <c r="U362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2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2" s="12"/>
      <c r="X362" s="384" t="str">
        <f>IFERROR(IF(TRANSHARI9_HYDROMALAM[[#This Row],[NAMA REKENING]]="","",TRANSHARI9_HYDROMALAM[[#This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IFERROR(VLOOKUP(TRANSHARI9_HYDROPAGI[[#This Row],[PRODUK]],DATA_HYDRO[],11,FALSE),"")</f>
        <v/>
      </c>
      <c r="E363" s="374"/>
      <c r="F363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3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3" s="12"/>
      <c r="I363" s="386" t="str">
        <f>IFERROR(IF(TRANSHARI9_HYDROPAGI[[#This Row],[NAMA REKENING]]="","",TRANSHARI9_HYDROPAGI[[#This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IFERROR(VLOOKUP(TRANSHARI9_HYDROMALAM[[#This Row],[PRODUK]],DATA_HYDRO[],11,FALSE),"")</f>
        <v/>
      </c>
      <c r="T363" s="374"/>
      <c r="U363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3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3" s="12"/>
      <c r="X363" s="386" t="str">
        <f>IFERROR(IF(TRANSHARI9_HYDROMALAM[[#This Row],[NAMA REKENING]]="","",TRANSHARI9_HYDROMALAM[[#This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IFERROR(VLOOKUP(TRANSHARI9_HYDROPAGI[[#This Row],[PRODUK]],DATA_HYDRO[],11,FALSE),"")</f>
        <v/>
      </c>
      <c r="E364" s="374"/>
      <c r="F364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4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4" s="12"/>
      <c r="I364" s="384" t="str">
        <f>IFERROR(IF(TRANSHARI9_HYDROPAGI[[#This Row],[NAMA REKENING]]="","",TRANSHARI9_HYDROPAGI[[#This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IFERROR(VLOOKUP(TRANSHARI9_HYDROMALAM[[#This Row],[PRODUK]],DATA_HYDRO[],11,FALSE),"")</f>
        <v/>
      </c>
      <c r="T364" s="374"/>
      <c r="U364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4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4" s="12"/>
      <c r="X364" s="384" t="str">
        <f>IFERROR(IF(TRANSHARI9_HYDROMALAM[[#This Row],[NAMA REKENING]]="","",TRANSHARI9_HYDROMALAM[[#This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IFERROR(VLOOKUP(TRANSHARI9_HYDROPAGI[[#This Row],[PRODUK]],DATA_HYDRO[],11,FALSE),"")</f>
        <v/>
      </c>
      <c r="E365" s="374"/>
      <c r="F365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5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5" s="12"/>
      <c r="I365" s="386" t="str">
        <f>IFERROR(IF(TRANSHARI9_HYDROPAGI[[#This Row],[NAMA REKENING]]="","",TRANSHARI9_HYDROPAGI[[#This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IFERROR(VLOOKUP(TRANSHARI9_HYDROMALAM[[#This Row],[PRODUK]],DATA_HYDRO[],11,FALSE),"")</f>
        <v/>
      </c>
      <c r="T365" s="374"/>
      <c r="U365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5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5" s="12"/>
      <c r="X365" s="386" t="str">
        <f>IFERROR(IF(TRANSHARI9_HYDROMALAM[[#This Row],[NAMA REKENING]]="","",TRANSHARI9_HYDROMALAM[[#This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IFERROR(VLOOKUP(TRANSHARI9_HYDROPAGI[[#This Row],[PRODUK]],DATA_HYDRO[],11,FALSE),"")</f>
        <v/>
      </c>
      <c r="E366" s="374"/>
      <c r="F366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6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6" s="12"/>
      <c r="I366" s="384" t="str">
        <f>IFERROR(IF(TRANSHARI9_HYDROPAGI[[#This Row],[NAMA REKENING]]="","",TRANSHARI9_HYDROPAGI[[#This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IFERROR(VLOOKUP(TRANSHARI9_HYDROMALAM[[#This Row],[PRODUK]],DATA_HYDRO[],11,FALSE),"")</f>
        <v/>
      </c>
      <c r="T366" s="374"/>
      <c r="U366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6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6" s="12"/>
      <c r="X366" s="384" t="str">
        <f>IFERROR(IF(TRANSHARI9_HYDROMALAM[[#This Row],[NAMA REKENING]]="","",TRANSHARI9_HYDROMALAM[[#This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IFERROR(VLOOKUP(TRANSHARI9_HYDROPAGI[[#This Row],[PRODUK]],DATA_HYDRO[],11,FALSE),"")</f>
        <v/>
      </c>
      <c r="E367" s="374"/>
      <c r="F367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7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7" s="12"/>
      <c r="I367" s="386" t="str">
        <f>IFERROR(IF(TRANSHARI9_HYDROPAGI[[#This Row],[NAMA REKENING]]="","",TRANSHARI9_HYDROPAGI[[#This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IFERROR(VLOOKUP(TRANSHARI9_HYDROMALAM[[#This Row],[PRODUK]],DATA_HYDRO[],11,FALSE),"")</f>
        <v/>
      </c>
      <c r="T367" s="374"/>
      <c r="U367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7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7" s="12"/>
      <c r="X367" s="386" t="str">
        <f>IFERROR(IF(TRANSHARI9_HYDROMALAM[[#This Row],[NAMA REKENING]]="","",TRANSHARI9_HYDROMALAM[[#This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IFERROR(VLOOKUP(TRANSHARI9_HYDROPAGI[[#This Row],[PRODUK]],DATA_HYDRO[],11,FALSE),"")</f>
        <v/>
      </c>
      <c r="E368" s="374"/>
      <c r="F368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8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8" s="12"/>
      <c r="I368" s="384" t="str">
        <f>IFERROR(IF(TRANSHARI9_HYDROPAGI[[#This Row],[NAMA REKENING]]="","",TRANSHARI9_HYDROPAGI[[#This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IFERROR(VLOOKUP(TRANSHARI9_HYDROMALAM[[#This Row],[PRODUK]],DATA_HYDRO[],11,FALSE),"")</f>
        <v/>
      </c>
      <c r="T368" s="374"/>
      <c r="U368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8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8" s="12"/>
      <c r="X368" s="384" t="str">
        <f>IFERROR(IF(TRANSHARI9_HYDROMALAM[[#This Row],[NAMA REKENING]]="","",TRANSHARI9_HYDROMALAM[[#This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IFERROR(VLOOKUP(TRANSHARI9_HYDROPAGI[[#This Row],[PRODUK]],DATA_HYDRO[],11,FALSE),"")</f>
        <v/>
      </c>
      <c r="E369" s="374"/>
      <c r="F369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69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69" s="12"/>
      <c r="I369" s="386" t="str">
        <f>IFERROR(IF(TRANSHARI9_HYDROPAGI[[#This Row],[NAMA REKENING]]="","",TRANSHARI9_HYDROPAGI[[#This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IFERROR(VLOOKUP(TRANSHARI9_HYDROMALAM[[#This Row],[PRODUK]],DATA_HYDRO[],11,FALSE),"")</f>
        <v/>
      </c>
      <c r="T369" s="374"/>
      <c r="U369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69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69" s="12"/>
      <c r="X369" s="386" t="str">
        <f>IFERROR(IF(TRANSHARI9_HYDROMALAM[[#This Row],[NAMA REKENING]]="","",TRANSHARI9_HYDROMALAM[[#This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IFERROR(VLOOKUP(TRANSHARI9_HYDROPAGI[[#This Row],[PRODUK]],DATA_HYDRO[],11,FALSE),"")</f>
        <v/>
      </c>
      <c r="E370" s="374"/>
      <c r="F370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0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0" s="12"/>
      <c r="I370" s="384" t="str">
        <f>IFERROR(IF(TRANSHARI9_HYDROPAGI[[#This Row],[NAMA REKENING]]="","",TRANSHARI9_HYDROPAGI[[#This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IFERROR(VLOOKUP(TRANSHARI9_HYDROMALAM[[#This Row],[PRODUK]],DATA_HYDRO[],11,FALSE),"")</f>
        <v/>
      </c>
      <c r="T370" s="374"/>
      <c r="U370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0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0" s="12"/>
      <c r="X370" s="384" t="str">
        <f>IFERROR(IF(TRANSHARI9_HYDROMALAM[[#This Row],[NAMA REKENING]]="","",TRANSHARI9_HYDROMALAM[[#This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IFERROR(VLOOKUP(TRANSHARI9_HYDROPAGI[[#This Row],[PRODUK]],DATA_HYDRO[],11,FALSE),"")</f>
        <v/>
      </c>
      <c r="E371" s="374"/>
      <c r="F371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1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1" s="12"/>
      <c r="I371" s="386" t="str">
        <f>IFERROR(IF(TRANSHARI9_HYDROPAGI[[#This Row],[NAMA REKENING]]="","",TRANSHARI9_HYDROPAGI[[#This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IFERROR(VLOOKUP(TRANSHARI9_HYDROMALAM[[#This Row],[PRODUK]],DATA_HYDRO[],11,FALSE),"")</f>
        <v/>
      </c>
      <c r="T371" s="374"/>
      <c r="U371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1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1" s="12"/>
      <c r="X371" s="386" t="str">
        <f>IFERROR(IF(TRANSHARI9_HYDROMALAM[[#This Row],[NAMA REKENING]]="","",TRANSHARI9_HYDROMALAM[[#This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IFERROR(VLOOKUP(TRANSHARI9_HYDROPAGI[[#This Row],[PRODUK]],DATA_HYDRO[],11,FALSE),"")</f>
        <v/>
      </c>
      <c r="E372" s="374"/>
      <c r="F372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2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2" s="12"/>
      <c r="I372" s="384" t="str">
        <f>IFERROR(IF(TRANSHARI9_HYDROPAGI[[#This Row],[NAMA REKENING]]="","",TRANSHARI9_HYDROPAGI[[#This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IFERROR(VLOOKUP(TRANSHARI9_HYDROMALAM[[#This Row],[PRODUK]],DATA_HYDRO[],11,FALSE),"")</f>
        <v/>
      </c>
      <c r="T372" s="374"/>
      <c r="U372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2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2" s="12"/>
      <c r="X372" s="384" t="str">
        <f>IFERROR(IF(TRANSHARI9_HYDROMALAM[[#This Row],[NAMA REKENING]]="","",TRANSHARI9_HYDROMALAM[[#This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IFERROR(VLOOKUP(TRANSHARI9_HYDROPAGI[[#This Row],[PRODUK]],DATA_HYDRO[],11,FALSE),"")</f>
        <v/>
      </c>
      <c r="E373" s="374"/>
      <c r="F373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3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3" s="12"/>
      <c r="I373" s="386" t="str">
        <f>IFERROR(IF(TRANSHARI9_HYDROPAGI[[#This Row],[NAMA REKENING]]="","",TRANSHARI9_HYDROPAGI[[#This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IFERROR(VLOOKUP(TRANSHARI9_HYDROMALAM[[#This Row],[PRODUK]],DATA_HYDRO[],11,FALSE),"")</f>
        <v/>
      </c>
      <c r="T373" s="374"/>
      <c r="U373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3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3" s="12"/>
      <c r="X373" s="386" t="str">
        <f>IFERROR(IF(TRANSHARI9_HYDROMALAM[[#This Row],[NAMA REKENING]]="","",TRANSHARI9_HYDROMALAM[[#This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IFERROR(VLOOKUP(TRANSHARI9_HYDROPAGI[[#This Row],[PRODUK]],DATA_HYDRO[],11,FALSE),"")</f>
        <v/>
      </c>
      <c r="E374" s="374"/>
      <c r="F374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4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4" s="12"/>
      <c r="I374" s="384" t="str">
        <f>IFERROR(IF(TRANSHARI9_HYDROPAGI[[#This Row],[NAMA REKENING]]="","",TRANSHARI9_HYDROPAGI[[#This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IFERROR(VLOOKUP(TRANSHARI9_HYDROMALAM[[#This Row],[PRODUK]],DATA_HYDRO[],11,FALSE),"")</f>
        <v/>
      </c>
      <c r="T374" s="374"/>
      <c r="U374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4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4" s="12"/>
      <c r="X374" s="384" t="str">
        <f>IFERROR(IF(TRANSHARI9_HYDROMALAM[[#This Row],[NAMA REKENING]]="","",TRANSHARI9_HYDROMALAM[[#This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IFERROR(VLOOKUP(TRANSHARI9_HYDROPAGI[[#This Row],[PRODUK]],DATA_HYDRO[],11,FALSE),"")</f>
        <v/>
      </c>
      <c r="E375" s="376"/>
      <c r="F375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5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5" s="377"/>
      <c r="I375" s="386" t="str">
        <f>IFERROR(IF(TRANSHARI9_HYDROPAGI[[#This Row],[NAMA REKENING]]="","",TRANSHARI9_HYDROPAGI[[#This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IFERROR(VLOOKUP(TRANSHARI9_HYDROMALAM[[#This Row],[PRODUK]],DATA_HYDRO[],11,FALSE),"")</f>
        <v/>
      </c>
      <c r="T375" s="376"/>
      <c r="U375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5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5" s="377"/>
      <c r="X375" s="386" t="str">
        <f>IFERROR(IF(TRANSHARI9_HYDROMALAM[[#This Row],[NAMA REKENING]]="","",TRANSHARI9_HYDROMALAM[[#This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IFERROR(VLOOKUP(TRANSHARI9_HYDROPAGI[[#This Row],[PRODUK]],DATA_HYDRO[],11,FALSE),"")</f>
        <v/>
      </c>
      <c r="E376" s="374"/>
      <c r="F376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6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6" s="12"/>
      <c r="I376" s="384" t="str">
        <f>IFERROR(IF(TRANSHARI9_HYDROPAGI[[#This Row],[NAMA REKENING]]="","",TRANSHARI9_HYDROPAGI[[#This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IFERROR(VLOOKUP(TRANSHARI9_HYDROMALAM[[#This Row],[PRODUK]],DATA_HYDRO[],11,FALSE),"")</f>
        <v/>
      </c>
      <c r="T376" s="374"/>
      <c r="U376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6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6" s="12"/>
      <c r="X376" s="384" t="str">
        <f>IFERROR(IF(TRANSHARI9_HYDROMALAM[[#This Row],[NAMA REKENING]]="","",TRANSHARI9_HYDROMALAM[[#This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IFERROR(VLOOKUP(TRANSHARI9_HYDROPAGI[[#This Row],[PRODUK]],DATA_HYDRO[],11,FALSE),"")</f>
        <v/>
      </c>
      <c r="E377" s="374"/>
      <c r="F377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7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7" s="12"/>
      <c r="I377" s="386" t="str">
        <f>IFERROR(IF(TRANSHARI9_HYDROPAGI[[#This Row],[NAMA REKENING]]="","",TRANSHARI9_HYDROPAGI[[#This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IFERROR(VLOOKUP(TRANSHARI9_HYDROMALAM[[#This Row],[PRODUK]],DATA_HYDRO[],11,FALSE),"")</f>
        <v/>
      </c>
      <c r="T377" s="374"/>
      <c r="U377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7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7" s="12"/>
      <c r="X377" s="386" t="str">
        <f>IFERROR(IF(TRANSHARI9_HYDROMALAM[[#This Row],[NAMA REKENING]]="","",TRANSHARI9_HYDROMALAM[[#This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IFERROR(VLOOKUP(TRANSHARI9_HYDROPAGI[[#This Row],[PRODUK]],DATA_HYDRO[],11,FALSE),"")</f>
        <v/>
      </c>
      <c r="E378" s="374"/>
      <c r="F378" s="369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8" s="369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8" s="12"/>
      <c r="I378" s="384" t="str">
        <f>IFERROR(IF(TRANSHARI9_HYDROPAGI[[#This Row],[NAMA REKENING]]="","",TRANSHARI9_HYDROPAGI[[#This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IFERROR(VLOOKUP(TRANSHARI9_HYDROMALAM[[#This Row],[PRODUK]],DATA_HYDRO[],11,FALSE),"")</f>
        <v/>
      </c>
      <c r="T378" s="374"/>
      <c r="U378" s="369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8" s="369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8" s="12"/>
      <c r="X378" s="384" t="str">
        <f>IFERROR(IF(TRANSHARI9_HYDROMALAM[[#This Row],[NAMA REKENING]]="","",TRANSHARI9_HYDROMALAM[[#This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IFERROR(VLOOKUP(TRANSHARI9_HYDROPAGI[[#This Row],[PRODUK]],DATA_HYDRO[],11,FALSE),"")</f>
        <v/>
      </c>
      <c r="E379" s="374"/>
      <c r="F379" s="373" t="str">
        <f>IFERROR(IF(TRANSHARI9_HYDROPAGI[[#This Row],[NAMA PENGHUTANG]]="",((TRANSHARI9_HYDROPAGI[[#This Row],[HARGA]]*TRANSHARI9_HYDROPAGI[[#This Row],[QUANTITY]])+TRANSHARI9_HYDROPAGI[[#This Row],[PRICE TOLERANCE]]),""),"")</f>
        <v/>
      </c>
      <c r="G379" s="373" t="str">
        <f>IFERROR(IF(TRANSHARI9_HYDROPAGI[[#This Row],[NAMA PENGHUTANG]]="","",((TRANSHARI9_HYDROPAGI[[#This Row],[HARGA]]*TRANSHARI9_HYDROPAGI[[#This Row],[QUANTITY]])+TRANSHARI9_HYDROPAGI[[#This Row],[PRICE TOLERANCE]])),"")</f>
        <v/>
      </c>
      <c r="H379" s="12"/>
      <c r="I379" s="386" t="str">
        <f>IFERROR(IF(TRANSHARI9_HYDROPAGI[[#This Row],[NAMA REKENING]]="","",TRANSHARI9_HYDROPAGI[[#This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IFERROR(VLOOKUP(TRANSHARI9_HYDROMALAM[[#This Row],[PRODUK]],DATA_HYDRO[],11,FALSE),"")</f>
        <v/>
      </c>
      <c r="T379" s="374"/>
      <c r="U379" s="373" t="str">
        <f>IFERROR(IF(TRANSHARI9_HYDROMALAM[[#This Row],[NAMA PENGHUTANG]]="",((TRANSHARI9_HYDROMALAM[[#This Row],[HARGA]]*TRANSHARI9_HYDROMALAM[[#This Row],[QUANTITY]])+TRANSHARI9_HYDROMALAM[[#This Row],[PRICE TOLERANCE]]),""),"")</f>
        <v/>
      </c>
      <c r="V379" s="373" t="str">
        <f>IFERROR(IF(TRANSHARI9_HYDROMALAM[[#This Row],[NAMA PENGHUTANG]]="","",((TRANSHARI9_HYDROMALAM[[#This Row],[HARGA]]*TRANSHARI9_HYDROMALAM[[#This Row],[QUANTITY]])+TRANSHARI9_HYDROMALAM[[#This Row],[PRICE TOLERANCE]])),"")</f>
        <v/>
      </c>
      <c r="W379" s="12"/>
      <c r="X379" s="386" t="str">
        <f>IFERROR(IF(TRANSHARI9_HYDROMALAM[[#This Row],[NAMA REKENING]]="","",TRANSHARI9_HYDROMALAM[[#This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SUM(TRANSHARI9_HYDROPAGI[QUANTITY])</f>
        <v>0</v>
      </c>
      <c r="E380" s="398">
        <f>SUM(TRANSHARI9_HYDROPAGI[PRICE TOLERANCE])</f>
        <v>0</v>
      </c>
      <c r="F380" s="396">
        <f>SUM(TRANSHARI9_HYDROPAGI[DEBIT])</f>
        <v>0</v>
      </c>
      <c r="G380" s="396">
        <f>SUM(TRANSHARI9_HYDROPAGI[KREDIT])</f>
        <v>0</v>
      </c>
      <c r="I380" s="396">
        <f>SUM(TRANSHARI9_HYDROPAGI[NOMINAL TRANSFER])</f>
        <v>0</v>
      </c>
      <c r="O380" s="324"/>
      <c r="P380" s="303" t="s">
        <v>78</v>
      </c>
      <c r="Q380" s="316"/>
      <c r="R380" s="395">
        <f>SUM(TRANSHARI9_HYDROMALAM[QUANTITY])</f>
        <v>0</v>
      </c>
      <c r="T380" s="398">
        <f>SUM(TRANSHARI9_HYDROMALAM[PRICE TOLERANCE])</f>
        <v>0</v>
      </c>
      <c r="U380" s="396">
        <f>SUM(TRANSHARI9_HYDROMALAM[DEBIT])</f>
        <v>0</v>
      </c>
      <c r="V380" s="396">
        <f>SUM(TRANSHARI9_HYDROMALAM[KREDIT])</f>
        <v>0</v>
      </c>
      <c r="X380" s="396">
        <f>SUM(TRANSHARI9_HYDROMALAM[NOMINAL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228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229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SUM(TRANSHARI9_PULSAPAGI[DEBIT])</f>
        <v>0</v>
      </c>
      <c r="D390" s="431">
        <f>SUM(TRANSHARI9_PULSAPAGI[KREDIT])</f>
        <v>0</v>
      </c>
      <c r="E390" s="432">
        <f>SUM(TRANSHARI9_PULSAPAGI[NOMINAL TRANSFER])</f>
        <v>0</v>
      </c>
      <c r="F390" s="433">
        <f>0</f>
        <v>0</v>
      </c>
      <c r="G390" s="434">
        <f>COUNTA(TRANSHARI9_PULSAPAGI[[DEBIT]:[KREDIT]])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SUM(TRANSHARI9_PULSAMALAM[DEBIT])</f>
        <v>0</v>
      </c>
      <c r="S390" s="431">
        <f>SUM(TRANSHARI9_PULSAMALAM[KREDIT])</f>
        <v>0</v>
      </c>
      <c r="T390" s="432">
        <f>SUM(TRANSHARI9_PULSAMALAM[NOMINAL TRANSFER])</f>
        <v>0</v>
      </c>
      <c r="U390" s="433">
        <f>0</f>
        <v>0</v>
      </c>
      <c r="V390" s="434">
        <f>COUNTA(TRANSHARI9_PULSAMALAM[[DEBIT]:[KREDIT]])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SUM(TRANSHARI9_ROKOKPAGI[DEBIT])</f>
        <v>0</v>
      </c>
      <c r="D391" s="431">
        <f>SUM(TRANSHARI9_ROKOKPAGI[KREDIT])</f>
        <v>0</v>
      </c>
      <c r="E391" s="432">
        <f>SUM(TRANSHARI9_ROKOKPAGI[NOMINAL TRANSFER])</f>
        <v>0</v>
      </c>
      <c r="F391" s="433">
        <f>SUM(TRANSHARI9_ROKOKPAGI[PRICE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SUM(TRANSHARI9_ROKOKMALAM[DEBIT])</f>
        <v>0</v>
      </c>
      <c r="S391" s="431">
        <f>SUM(TRANSHARI9_ROKOKMALAM[KREDIT])</f>
        <v>0</v>
      </c>
      <c r="T391" s="432">
        <f>SUM(TRANSHARI9_ROKOKMALAM[NOMINAL TRANSFER])</f>
        <v>0</v>
      </c>
      <c r="U391" s="433">
        <f>SUM(TRANSHARI9_ROKOKMALAM[PRICE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SUM(TRANSHARI9_SPVOUPAGI[DEBIT])</f>
        <v>0</v>
      </c>
      <c r="D392" s="431">
        <f>SUM(TRANSHARI9_SPVOUPAGI[KREDIT])</f>
        <v>0</v>
      </c>
      <c r="E392" s="432">
        <f>SUM(TRANSHARI9_SPVOUPAGI[NOMINAL TRANSFER])</f>
        <v>0</v>
      </c>
      <c r="F392" s="433">
        <f>SUM(TRANSHARI9_SPVOUPAGI[PRICE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SUM(TRANSHARI9_SPVOUMALAM[DEBIT])</f>
        <v>0</v>
      </c>
      <c r="S392" s="431">
        <f>SUM(TRANSHARI9_SPVOUMALAM[KREDIT])</f>
        <v>0</v>
      </c>
      <c r="T392" s="432">
        <f>SUM(TRANSHARI9_SPVOUMALAM[NOMINAL TRANSFER])</f>
        <v>0</v>
      </c>
      <c r="U392" s="433">
        <f>SUM(TRANSHARI9_SPVOUMALAM[PRICE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SUM(TRANSHARI9_SOFTDRINKPAGI[DEBIT])</f>
        <v>0</v>
      </c>
      <c r="D393" s="431">
        <f>SUM(TRANSHARI9_SOFTDRINKPAGI[KREDIT])</f>
        <v>0</v>
      </c>
      <c r="E393" s="432">
        <f>SUM(TRANSHARI9_SOFTDRINKPAGI[NOMINAL TRANSFER])</f>
        <v>0</v>
      </c>
      <c r="F393" s="433">
        <f>SUM(TRANSHARI9_SOFTDRINKPAGI[PRICE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SUM(TRANSHARI9_SOFTDRINKMALAM[DEBIT])</f>
        <v>0</v>
      </c>
      <c r="S393" s="431">
        <f>SUM(TRANSHARI9_SOFTDRINKMALAM[KREDIT])</f>
        <v>0</v>
      </c>
      <c r="T393" s="432">
        <f>SUM(TRANSHARI9_SOFTDRINKMALAM[NOMINAL TRANSFER])</f>
        <v>0</v>
      </c>
      <c r="U393" s="433">
        <f>SUM(TRANSHARI9_SOFTDRINKMALAM[PRICE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SUM(TRANSHARI9_ICECREAMPAGI[DEBIT])</f>
        <v>0</v>
      </c>
      <c r="D394" s="431">
        <f>SUM(TRANSHARI9_ICECREAMPAGI[KREDIT])</f>
        <v>0</v>
      </c>
      <c r="E394" s="432">
        <f>SUM(TRANSHARI9_ICECREAMPAGI[NOMINAL TRANSFER])</f>
        <v>0</v>
      </c>
      <c r="F394" s="433">
        <f>SUM(TRANSHARI9_ICECREAMPAGI[PRICE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SUM(TRANSHARI9_ICECREAMMALAM[DEBIT])</f>
        <v>0</v>
      </c>
      <c r="S394" s="431">
        <f>SUM(TRANSHARI9_ICECREAMMALAM[KREDIT])</f>
        <v>0</v>
      </c>
      <c r="T394" s="432">
        <f>SUM(TRANSHARI9_ICECREAMMALAM[NOMINAL TRANSFER])</f>
        <v>0</v>
      </c>
      <c r="U394" s="433">
        <f>SUM(TRANSHARI9_ICECREAMMALAM[PRICE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SUM(TRANSHARI9_ACCPAGI[DEBIT])</f>
        <v>0</v>
      </c>
      <c r="D395" s="431">
        <f>SUM(TRANSHARI9_ACCPAGI[KREDIT])</f>
        <v>0</v>
      </c>
      <c r="E395" s="432">
        <f>SUM(TRANSHARI9_ACCPAGI[NOMINAL TRANSFER])</f>
        <v>0</v>
      </c>
      <c r="F395" s="433">
        <f>SUM(TRANSHARI9_ACCPAGI[PRICE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SUM(TRANSHARI9_ACCMALAM[DEBIT])</f>
        <v>0</v>
      </c>
      <c r="S395" s="431">
        <f>SUM(TRANSHARI9_ACCMALAM[KREDIT])</f>
        <v>0</v>
      </c>
      <c r="T395" s="432">
        <f>SUM(TRANSHARI9_ACCMALAM[NOMINAL TRANSFER])</f>
        <v>0</v>
      </c>
      <c r="U395" s="433">
        <f>SUM(TRANSHARI9_ACCMALAM[PRICE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SUM(TRANSHARI9_HYDROPAGI[DEBIT])</f>
        <v>0</v>
      </c>
      <c r="D396" s="437">
        <f>SUM(TRANSHARI9_HYDROPAGI[KREDIT])</f>
        <v>0</v>
      </c>
      <c r="E396" s="438">
        <f>SUM(TRANSHARI9_HYDROPAGI[NOMINAL TRANSFER])</f>
        <v>0</v>
      </c>
      <c r="F396" s="439">
        <f>SUM(TRANSHARI9_HYDROPAGI[PRICE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SUM(TRANSHARI9_HYDROMALAM[DEBIT])</f>
        <v>0</v>
      </c>
      <c r="S396" s="437">
        <f>SUM(TRANSHARI9_HYDROMALAM[KREDIT])</f>
        <v>0</v>
      </c>
      <c r="T396" s="438">
        <f>SUM(TRANSHARI9_HYDROMALAM[NOMINAL TRANSFER])</f>
        <v>0</v>
      </c>
      <c r="U396" s="439">
        <f>SUM(TRANSHARI9_HYDROMALAM[PRICE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8'!T430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/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1zska0ei2odygOCRChQb3NVKKFo5+NGw321UL+agO8bkx+Yr7hJwegccnoGH3DazE0P7gC4O660GGw5spRxcUQ==" saltValue="WbmEE2Y/rC5Ckl+3Mxd2+g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24:AC447"/>
  <sheetViews>
    <sheetView showGridLines="0" tabSelected="1" zoomScale="70" zoomScaleNormal="70" topLeftCell="B414" workbookViewId="0">
      <selection activeCell="F418" sqref="F418:G420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230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231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IFERROR(IF(TRANSHARI10_PULSAPAGI[[#This Row],[NAMA REKENING]]="","",TRANSHARI10_PULSAPAGI[[#This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IFERROR(IF(TRANSHARI10_PULSAMALAM[[#This Row],[NAMA REKENING]]="","",TRANSHARI10_PULSAMALAM[[#This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IFERROR(IF(TRANSHARI10_PULSAPAGI[[#This Row],[NAMA REKENING]]="","",TRANSHARI10_PULSAPAGI[[#This Row],[DEBIT]]),"")</f>
        <v/>
      </c>
      <c r="I29" s="311"/>
      <c r="J29" s="326"/>
      <c r="K29" s="330" t="s">
        <v>27</v>
      </c>
      <c r="L29" s="331">
        <f>'HARI 9'!AA33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IFERROR(IF(TRANSHARI10_PULSAMALAM[[#This Row],[NAMA REKENING]]="","",TRANSHARI10_PULSAMALAM[[#This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IFERROR(IF(TRANSHARI10_PULSAPAGI[[#This Row],[NAMA REKENING]]="","",TRANSHARI10_PULSAPAGI[[#This Row],[DEBIT]]),"")</f>
        <v/>
      </c>
      <c r="I30" s="311"/>
      <c r="J30" s="326"/>
      <c r="K30" s="332" t="s">
        <v>30</v>
      </c>
      <c r="L30" s="333">
        <f>SUMIF(TRANSHARI10_PULSAPAGI[APLIKASI],K28,TRANSHARI10_PULSAPAGI[SALDO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IFERROR(IF(TRANSHARI10_PULSAMALAM[[#This Row],[NAMA REKENING]]="","",TRANSHARI10_PULSAMALAM[[#This Row],[DEBIT]]),"")</f>
        <v/>
      </c>
      <c r="X30" s="311"/>
      <c r="Y30" s="326"/>
      <c r="Z30" s="332" t="s">
        <v>30</v>
      </c>
      <c r="AA30" s="333">
        <f>SUMIF(TRANSHARI10_PULSAMALAM[APLIKASI],Z28,TRANSHARI10_PULSAMALAM[SALDO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IFERROR(IF(TRANSHARI10_PULSAPAGI[[#This Row],[NAMA REKENING]]="","",TRANSHARI10_PULSAPAGI[[#This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IFERROR(IF(TRANSHARI10_PULSAMALAM[[#This Row],[NAMA REKENING]]="","",TRANSHARI10_PULSAMALAM[[#This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IFERROR(IF(TRANSHARI10_PULSAPAGI[[#This Row],[NAMA REKENING]]="","",TRANSHARI10_PULSAPAGI[[#This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IFERROR(IF(TRANSHARI10_PULSAMALAM[[#This Row],[NAMA REKENING]]="","",TRANSHARI10_PULSAMALAM[[#This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IFERROR(IF(TRANSHARI10_PULSAPAGI[[#This Row],[NAMA REKENING]]="","",TRANSHARI10_PULSAPAGI[[#This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IFERROR(IF(TRANSHARI10_PULSAMALAM[[#This Row],[NAMA REKENING]]="","",TRANSHARI10_PULSAMALAM[[#This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IFERROR(IF(TRANSHARI10_PULSAPAGI[[#This Row],[NAMA REKENING]]="","",TRANSHARI10_PULSAPAGI[[#This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IFERROR(IF(TRANSHARI10_PULSAMALAM[[#This Row],[NAMA REKENING]]="","",TRANSHARI10_PULSAMALAM[[#This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IFERROR(IF(TRANSHARI10_PULSAPAGI[[#This Row],[NAMA REKENING]]="","",TRANSHARI10_PULSAPAGI[[#This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IFERROR(IF(TRANSHARI10_PULSAMALAM[[#This Row],[NAMA REKENING]]="","",TRANSHARI10_PULSAMALAM[[#This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IFERROR(IF(TRANSHARI10_PULSAPAGI[[#This Row],[NAMA REKENING]]="","",TRANSHARI10_PULSAPAGI[[#This Row],[DEBIT]]),"")</f>
        <v/>
      </c>
      <c r="I36" s="311"/>
      <c r="J36" s="326"/>
      <c r="K36" s="330" t="s">
        <v>27</v>
      </c>
      <c r="L36" s="331">
        <f>'HARI 9'!AA40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IFERROR(IF(TRANSHARI10_PULSAMALAM[[#This Row],[NAMA REKENING]]="","",TRANSHARI10_PULSAMALAM[[#This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IFERROR(IF(TRANSHARI10_PULSAPAGI[[#This Row],[NAMA REKENING]]="","",TRANSHARI10_PULSAPAGI[[#This Row],[DEBIT]]),"")</f>
        <v/>
      </c>
      <c r="I37" s="311"/>
      <c r="J37" s="326"/>
      <c r="K37" s="332" t="s">
        <v>30</v>
      </c>
      <c r="L37" s="333">
        <f>SUMIF(TRANSHARI10_PULSAPAGI[APLIKASI],K35,TRANSHARI10_PULSAPAGI[SALDO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IFERROR(IF(TRANSHARI10_PULSAMALAM[[#This Row],[NAMA REKENING]]="","",TRANSHARI10_PULSAMALAM[[#This Row],[DEBIT]]),"")</f>
        <v/>
      </c>
      <c r="X37" s="311"/>
      <c r="Y37" s="326"/>
      <c r="Z37" s="332" t="s">
        <v>30</v>
      </c>
      <c r="AA37" s="333">
        <f>SUMIF(TRANSHARI10_PULSAMALAM[APLIKASI],Z35,TRANSHARI10_PULSAMALAM[SALDO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IFERROR(IF(TRANSHARI10_PULSAPAGI[[#This Row],[NAMA REKENING]]="","",TRANSHARI10_PULSAPAGI[[#This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IFERROR(IF(TRANSHARI10_PULSAMALAM[[#This Row],[NAMA REKENING]]="","",TRANSHARI10_PULSAMALAM[[#This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IFERROR(IF(TRANSHARI10_PULSAPAGI[[#This Row],[NAMA REKENING]]="","",TRANSHARI10_PULSAPAGI[[#This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IFERROR(IF(TRANSHARI10_PULSAMALAM[[#This Row],[NAMA REKENING]]="","",TRANSHARI10_PULSAMALAM[[#This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IFERROR(IF(TRANSHARI10_PULSAPAGI[[#This Row],[NAMA REKENING]]="","",TRANSHARI10_PULSAPAGI[[#This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IFERROR(IF(TRANSHARI10_PULSAMALAM[[#This Row],[NAMA REKENING]]="","",TRANSHARI10_PULSAMALAM[[#This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IFERROR(IF(TRANSHARI10_PULSAPAGI[[#This Row],[NAMA REKENING]]="","",TRANSHARI10_PULSAPAGI[[#This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IFERROR(IF(TRANSHARI10_PULSAMALAM[[#This Row],[NAMA REKENING]]="","",TRANSHARI10_PULSAMALAM[[#This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IFERROR(IF(TRANSHARI10_PULSAPAGI[[#This Row],[NAMA REKENING]]="","",TRANSHARI10_PULSAPAGI[[#This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IFERROR(IF(TRANSHARI10_PULSAMALAM[[#This Row],[NAMA REKENING]]="","",TRANSHARI10_PULSAMALAM[[#This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IFERROR(IF(TRANSHARI10_PULSAPAGI[[#This Row],[NAMA REKENING]]="","",TRANSHARI10_PULSAPAGI[[#This Row],[DEBIT]]),"")</f>
        <v/>
      </c>
      <c r="I43" s="311"/>
      <c r="J43" s="326"/>
      <c r="K43" s="330" t="s">
        <v>27</v>
      </c>
      <c r="L43" s="331">
        <f>'HARI 9'!AA47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IFERROR(IF(TRANSHARI10_PULSAMALAM[[#This Row],[NAMA REKENING]]="","",TRANSHARI10_PULSAMALAM[[#This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IFERROR(IF(TRANSHARI10_PULSAPAGI[[#This Row],[NAMA REKENING]]="","",TRANSHARI10_PULSAPAGI[[#This Row],[DEBIT]]),"")</f>
        <v/>
      </c>
      <c r="I44" s="311"/>
      <c r="J44" s="326"/>
      <c r="K44" s="332" t="s">
        <v>30</v>
      </c>
      <c r="L44" s="333">
        <f>SUMIF(TRANSHARI10_PULSAPAGI[APLIKASI],K42,TRANSHARI10_PULSAPAGI[SALDO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IFERROR(IF(TRANSHARI10_PULSAMALAM[[#This Row],[NAMA REKENING]]="","",TRANSHARI10_PULSAMALAM[[#This Row],[DEBIT]]),"")</f>
        <v/>
      </c>
      <c r="X44" s="311"/>
      <c r="Y44" s="326"/>
      <c r="Z44" s="332" t="s">
        <v>30</v>
      </c>
      <c r="AA44" s="333">
        <f>SUMIF(TRANSHARI10_PULSAMALAM[APLIKASI],Z42,TRANSHARI10_PULSAMALAM[SALDO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IFERROR(IF(TRANSHARI10_PULSAPAGI[[#This Row],[NAMA REKENING]]="","",TRANSHARI10_PULSAPAGI[[#This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IFERROR(IF(TRANSHARI10_PULSAMALAM[[#This Row],[NAMA REKENING]]="","",TRANSHARI10_PULSAMALAM[[#This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IFERROR(IF(TRANSHARI10_PULSAPAGI[[#This Row],[NAMA REKENING]]="","",TRANSHARI10_PULSAPAGI[[#This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IFERROR(IF(TRANSHARI10_PULSAMALAM[[#This Row],[NAMA REKENING]]="","",TRANSHARI10_PULSAMALAM[[#This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IFERROR(IF(TRANSHARI10_PULSAPAGI[[#This Row],[NAMA REKENING]]="","",TRANSHARI10_PULSAPAGI[[#This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IFERROR(IF(TRANSHARI10_PULSAMALAM[[#This Row],[NAMA REKENING]]="","",TRANSHARI10_PULSAMALAM[[#This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IFERROR(IF(TRANSHARI10_PULSAPAGI[[#This Row],[NAMA REKENING]]="","",TRANSHARI10_PULSAPAGI[[#This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IFERROR(IF(TRANSHARI10_PULSAMALAM[[#This Row],[NAMA REKENING]]="","",TRANSHARI10_PULSAMALAM[[#This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IFERROR(IF(TRANSHARI10_PULSAPAGI[[#This Row],[NAMA REKENING]]="","",TRANSHARI10_PULSAPAGI[[#This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IFERROR(IF(TRANSHARI10_PULSAMALAM[[#This Row],[NAMA REKENING]]="","",TRANSHARI10_PULSAMALAM[[#This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IFERROR(IF(TRANSHARI10_PULSAPAGI[[#This Row],[NAMA REKENING]]="","",TRANSHARI10_PULSAPAGI[[#This Row],[DEBIT]]),"")</f>
        <v/>
      </c>
      <c r="I50" s="311"/>
      <c r="J50" s="326"/>
      <c r="K50" s="330" t="s">
        <v>27</v>
      </c>
      <c r="L50" s="331">
        <f>'HARI 9'!AA54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IFERROR(IF(TRANSHARI10_PULSAMALAM[[#This Row],[NAMA REKENING]]="","",TRANSHARI10_PULSAMALAM[[#This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IFERROR(IF(TRANSHARI10_PULSAPAGI[[#This Row],[NAMA REKENING]]="","",TRANSHARI10_PULSAPAGI[[#This Row],[DEBIT]]),"")</f>
        <v/>
      </c>
      <c r="I51" s="311"/>
      <c r="J51" s="326"/>
      <c r="K51" s="332" t="s">
        <v>30</v>
      </c>
      <c r="L51" s="333">
        <f>SUMIF(TRANSHARI10_PULSAPAGI[APLIKASI],K49,TRANSHARI10_PULSAPAGI[SALDO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IFERROR(IF(TRANSHARI10_PULSAMALAM[[#This Row],[NAMA REKENING]]="","",TRANSHARI10_PULSAMALAM[[#This Row],[DEBIT]]),"")</f>
        <v/>
      </c>
      <c r="X51" s="311"/>
      <c r="Y51" s="326"/>
      <c r="Z51" s="332" t="s">
        <v>30</v>
      </c>
      <c r="AA51" s="333">
        <f>SUMIF(TRANSHARI10_PULSAMALAM[APLIKASI],Z49,TRANSHARI10_PULSAMALAM[SALDO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IFERROR(IF(TRANSHARI10_PULSAPAGI[[#This Row],[NAMA REKENING]]="","",TRANSHARI10_PULSAPAGI[[#This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IFERROR(IF(TRANSHARI10_PULSAMALAM[[#This Row],[NAMA REKENING]]="","",TRANSHARI10_PULSAMALAM[[#This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IFERROR(IF(TRANSHARI10_PULSAPAGI[[#This Row],[NAMA REKENING]]="","",TRANSHARI10_PULSAPAGI[[#This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IFERROR(IF(TRANSHARI10_PULSAMALAM[[#This Row],[NAMA REKENING]]="","",TRANSHARI10_PULSAMALAM[[#This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IFERROR(IF(TRANSHARI10_PULSAPAGI[[#This Row],[NAMA REKENING]]="","",TRANSHARI10_PULSAPAGI[[#This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IFERROR(IF(TRANSHARI10_PULSAMALAM[[#This Row],[NAMA REKENING]]="","",TRANSHARI10_PULSAMALAM[[#This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IFERROR(IF(TRANSHARI10_PULSAPAGI[[#This Row],[NAMA REKENING]]="","",TRANSHARI10_PULSAPAGI[[#This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IFERROR(IF(TRANSHARI10_PULSAMALAM[[#This Row],[NAMA REKENING]]="","",TRANSHARI10_PULSAMALAM[[#This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IFERROR(IF(TRANSHARI10_PULSAPAGI[[#This Row],[NAMA REKENING]]="","",TRANSHARI10_PULSAPAGI[[#This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IFERROR(IF(TRANSHARI10_PULSAMALAM[[#This Row],[NAMA REKENING]]="","",TRANSHARI10_PULSAMALAM[[#This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IFERROR(IF(TRANSHARI10_PULSAPAGI[[#This Row],[NAMA REKENING]]="","",TRANSHARI10_PULSAPAGI[[#This Row],[DEBIT]]),"")</f>
        <v/>
      </c>
      <c r="I57" s="311"/>
      <c r="J57" s="326"/>
      <c r="K57" s="330" t="s">
        <v>27</v>
      </c>
      <c r="L57" s="331">
        <f>'HARI 9'!AA61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IFERROR(IF(TRANSHARI10_PULSAMALAM[[#This Row],[NAMA REKENING]]="","",TRANSHARI10_PULSAMALAM[[#This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IFERROR(IF(TRANSHARI10_PULSAPAGI[[#This Row],[NAMA REKENING]]="","",TRANSHARI10_PULSAPAGI[[#This Row],[DEBIT]]),"")</f>
        <v/>
      </c>
      <c r="I58" s="311"/>
      <c r="J58" s="326"/>
      <c r="K58" s="332" t="s">
        <v>30</v>
      </c>
      <c r="L58" s="333">
        <f>SUMIF(TRANSHARI10_PULSAPAGI[APLIKASI],K56,TRANSHARI10_PULSAPAGI[SALDO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IFERROR(IF(TRANSHARI10_PULSAMALAM[[#This Row],[NAMA REKENING]]="","",TRANSHARI10_PULSAMALAM[[#This Row],[DEBIT]]),"")</f>
        <v/>
      </c>
      <c r="X58" s="311"/>
      <c r="Y58" s="326"/>
      <c r="Z58" s="332" t="s">
        <v>30</v>
      </c>
      <c r="AA58" s="333">
        <f>SUMIF(TRANSHARI10_PULSAMALAM[APLIKASI],Z56,TRANSHARI10_PULSAMALAM[SALDO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IFERROR(IF(TRANSHARI10_PULSAPAGI[[#This Row],[NAMA REKENING]]="","",TRANSHARI10_PULSAPAGI[[#This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IFERROR(IF(TRANSHARI10_PULSAMALAM[[#This Row],[NAMA REKENING]]="","",TRANSHARI10_PULSAMALAM[[#This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IFERROR(IF(TRANSHARI10_PULSAPAGI[[#This Row],[NAMA REKENING]]="","",TRANSHARI10_PULSAPAGI[[#This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IFERROR(IF(TRANSHARI10_PULSAMALAM[[#This Row],[NAMA REKENING]]="","",TRANSHARI10_PULSAMALAM[[#This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IFERROR(IF(TRANSHARI10_PULSAPAGI[[#This Row],[NAMA REKENING]]="","",TRANSHARI10_PULSAPAGI[[#This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IFERROR(IF(TRANSHARI10_PULSAMALAM[[#This Row],[NAMA REKENING]]="","",TRANSHARI10_PULSAMALAM[[#This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IFERROR(IF(TRANSHARI10_PULSAPAGI[[#This Row],[NAMA REKENING]]="","",TRANSHARI10_PULSAPAGI[[#This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IFERROR(IF(TRANSHARI10_PULSAMALAM[[#This Row],[NAMA REKENING]]="","",TRANSHARI10_PULSAMALAM[[#This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IFERROR(IF(TRANSHARI10_PULSAPAGI[[#This Row],[NAMA REKENING]]="","",TRANSHARI10_PULSAPAGI[[#This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IFERROR(IF(TRANSHARI10_PULSAMALAM[[#This Row],[NAMA REKENING]]="","",TRANSHARI10_PULSAMALAM[[#This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IFERROR(IF(TRANSHARI10_PULSAPAGI[[#This Row],[NAMA REKENING]]="","",TRANSHARI10_PULSAPAGI[[#This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IFERROR(IF(TRANSHARI10_PULSAMALAM[[#This Row],[NAMA REKENING]]="","",TRANSHARI10_PULSAMALAM[[#This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IFERROR(IF(TRANSHARI10_PULSAPAGI[[#This Row],[NAMA REKENING]]="","",TRANSHARI10_PULSAPAGI[[#This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IFERROR(IF(TRANSHARI10_PULSAMALAM[[#This Row],[NAMA REKENING]]="","",TRANSHARI10_PULSAMALAM[[#This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IFERROR(IF(TRANSHARI10_PULSAPAGI[[#This Row],[NAMA REKENING]]="","",TRANSHARI10_PULSAPAGI[[#This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IFERROR(IF(TRANSHARI10_PULSAMALAM[[#This Row],[NAMA REKENING]]="","",TRANSHARI10_PULSAMALAM[[#This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IFERROR(IF(TRANSHARI10_PULSAPAGI[[#This Row],[NAMA REKENING]]="","",TRANSHARI10_PULSAPAGI[[#This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IFERROR(IF(TRANSHARI10_PULSAMALAM[[#This Row],[NAMA REKENING]]="","",TRANSHARI10_PULSAMALAM[[#This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IFERROR(IF(TRANSHARI10_PULSAPAGI[[#This Row],[NAMA REKENING]]="","",TRANSHARI10_PULSAPAGI[[#This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IFERROR(IF(TRANSHARI10_PULSAMALAM[[#This Row],[NAMA REKENING]]="","",TRANSHARI10_PULSAMALAM[[#This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IFERROR(IF(TRANSHARI10_PULSAPAGI[[#This Row],[NAMA REKENING]]="","",TRANSHARI10_PULSAPAGI[[#This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IFERROR(IF(TRANSHARI10_PULSAMALAM[[#This Row],[NAMA REKENING]]="","",TRANSHARI10_PULSAMALAM[[#This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IFERROR(IF(TRANSHARI10_PULSAPAGI[[#This Row],[NAMA REKENING]]="","",TRANSHARI10_PULSAPAGI[[#This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IFERROR(IF(TRANSHARI10_PULSAMALAM[[#This Row],[NAMA REKENING]]="","",TRANSHARI10_PULSAMALAM[[#This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IFERROR(IF(TRANSHARI10_PULSAPAGI[[#This Row],[NAMA REKENING]]="","",TRANSHARI10_PULSAPAGI[[#This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IFERROR(IF(TRANSHARI10_PULSAMALAM[[#This Row],[NAMA REKENING]]="","",TRANSHARI10_PULSAMALAM[[#This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IFERROR(IF(TRANSHARI10_PULSAPAGI[[#This Row],[NAMA REKENING]]="","",TRANSHARI10_PULSAPAGI[[#This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IFERROR(IF(TRANSHARI10_PULSAMALAM[[#This Row],[NAMA REKENING]]="","",TRANSHARI10_PULSAMALAM[[#This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IFERROR(IF(TRANSHARI10_PULSAPAGI[[#This Row],[NAMA REKENING]]="","",TRANSHARI10_PULSAPAGI[[#This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IFERROR(IF(TRANSHARI10_PULSAMALAM[[#This Row],[NAMA REKENING]]="","",TRANSHARI10_PULSAMALAM[[#This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IFERROR(IF(TRANSHARI10_PULSAPAGI[[#This Row],[NAMA REKENING]]="","",TRANSHARI10_PULSAPAGI[[#This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IFERROR(IF(TRANSHARI10_PULSAMALAM[[#This Row],[NAMA REKENING]]="","",TRANSHARI10_PULSAMALAM[[#This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IFERROR(IF(TRANSHARI10_PULSAPAGI[[#This Row],[NAMA REKENING]]="","",TRANSHARI10_PULSAPAGI[[#This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IFERROR(IF(TRANSHARI10_PULSAMALAM[[#This Row],[NAMA REKENING]]="","",TRANSHARI10_PULSAMALAM[[#This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IFERROR(IF(TRANSHARI10_PULSAPAGI[[#This Row],[NAMA REKENING]]="","",TRANSHARI10_PULSAPAGI[[#This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IFERROR(IF(TRANSHARI10_PULSAMALAM[[#This Row],[NAMA REKENING]]="","",TRANSHARI10_PULSAMALAM[[#This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IFERROR(IF(TRANSHARI10_PULSAPAGI[[#This Row],[NAMA REKENING]]="","",TRANSHARI10_PULSAPAGI[[#This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IFERROR(IF(TRANSHARI10_PULSAMALAM[[#This Row],[NAMA REKENING]]="","",TRANSHARI10_PULSAMALAM[[#This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SUM(TRANSHARI10_PULSAPAGI[DEBIT])</f>
        <v>0</v>
      </c>
      <c r="D78" s="353">
        <f>SUM(TRANSHARI10_PULSAPAGI[KREDIT])</f>
        <v>0</v>
      </c>
      <c r="E78" s="167"/>
      <c r="F78" s="354">
        <f>SUM(TRANSHARI10_PULSAPAGI[SALDO MINUS])</f>
        <v>0</v>
      </c>
      <c r="G78" s="167"/>
      <c r="H78" s="355">
        <f>SUM(TRANSHARI10_PULSAPAGI[NOMINAL TRANSFER])</f>
        <v>0</v>
      </c>
      <c r="I78" s="167"/>
      <c r="O78" s="324"/>
      <c r="P78" s="379" t="s">
        <v>64</v>
      </c>
      <c r="Q78" s="352"/>
      <c r="R78" s="353">
        <f>SUM(TRANSHARI10_PULSAMALAM[DEBIT])</f>
        <v>0</v>
      </c>
      <c r="S78" s="353">
        <f>SUM(TRANSHARI10_PULSAMALAM[KREDIT])</f>
        <v>0</v>
      </c>
      <c r="T78" s="167"/>
      <c r="U78" s="354">
        <f>SUM(TRANSHARI10_PULSAMALAM[SALDO MINUS])</f>
        <v>0</v>
      </c>
      <c r="V78" s="167"/>
      <c r="W78" s="355">
        <f>SUM(TRANSHARI10_PULSAMALAM[NOMINAL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tr">
        <f>A25</f>
        <v>HARI 10 : PAGI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tr">
        <f>P25</f>
        <v>HARI 10 : MALAM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IFERROR(VLOOKUP(TRANSHARI10_ROKOKPAGI[[#This Row],[PRODUK]],DATA_ROKOK[],12,FALSE),"")</f>
        <v/>
      </c>
      <c r="E85" s="370"/>
      <c r="F85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85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85" s="371"/>
      <c r="I85" s="384" t="str">
        <f>IFERROR(IF(TRANSHARI10_ROKOKPAGI[[#This Row],[NAMA REKENING]]="","",TRANSHARI10_ROKOKPAGI[[#This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IFERROR(VLOOKUP(TRANSHARI10_ROKOKMALAM[[#This Row],[PRODUK]],DATA_ROKOK[],12,FALSE),"")</f>
        <v/>
      </c>
      <c r="T85" s="370"/>
      <c r="U85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85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85" s="371"/>
      <c r="X85" s="384" t="str">
        <f>IFERROR(IF(TRANSHARI10_ROKOKMALAM[[#This Row],[NAMA REKENING]]="","",TRANSHARI10_ROKOKMALAM[[#This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IFERROR(VLOOKUP(TRANSHARI10_ROKOKPAGI[[#This Row],[PRODUK]],DATA_ROKOK[],12,FALSE),"")</f>
        <v/>
      </c>
      <c r="E86" s="374"/>
      <c r="F86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86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86" s="12"/>
      <c r="I86" s="386" t="str">
        <f>IFERROR(IF(TRANSHARI10_ROKOKPAGI[[#This Row],[NAMA REKENING]]="","",TRANSHARI10_ROKOKPAGI[[#This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IFERROR(VLOOKUP(TRANSHARI10_ROKOKMALAM[[#This Row],[PRODUK]],DATA_ROKOK[],12,FALSE),"")</f>
        <v/>
      </c>
      <c r="T86" s="374"/>
      <c r="U86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86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86" s="12"/>
      <c r="X86" s="386" t="str">
        <f>IFERROR(IF(TRANSHARI10_ROKOKMALAM[[#This Row],[NAMA REKENING]]="","",TRANSHARI10_ROKOKMALAM[[#This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IFERROR(VLOOKUP(TRANSHARI10_ROKOKPAGI[[#This Row],[PRODUK]],DATA_ROKOK[],12,FALSE),"")</f>
        <v/>
      </c>
      <c r="E87" s="374"/>
      <c r="F87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87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87" s="12"/>
      <c r="I87" s="384" t="str">
        <f>IFERROR(IF(TRANSHARI10_ROKOKPAGI[[#This Row],[NAMA REKENING]]="","",TRANSHARI10_ROKOKPAGI[[#This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IFERROR(VLOOKUP(TRANSHARI10_ROKOKMALAM[[#This Row],[PRODUK]],DATA_ROKOK[],12,FALSE),"")</f>
        <v/>
      </c>
      <c r="T87" s="374"/>
      <c r="U87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87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87" s="12"/>
      <c r="X87" s="384" t="str">
        <f>IFERROR(IF(TRANSHARI10_ROKOKMALAM[[#This Row],[NAMA REKENING]]="","",TRANSHARI10_ROKOKMALAM[[#This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IFERROR(VLOOKUP(TRANSHARI10_ROKOKPAGI[[#This Row],[PRODUK]],DATA_ROKOK[],12,FALSE),"")</f>
        <v/>
      </c>
      <c r="E88" s="374"/>
      <c r="F88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88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88" s="12"/>
      <c r="I88" s="386" t="str">
        <f>IFERROR(IF(TRANSHARI10_ROKOKPAGI[[#This Row],[NAMA REKENING]]="","",TRANSHARI10_ROKOKPAGI[[#This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IFERROR(VLOOKUP(TRANSHARI10_ROKOKMALAM[[#This Row],[PRODUK]],DATA_ROKOK[],12,FALSE),"")</f>
        <v/>
      </c>
      <c r="T88" s="374"/>
      <c r="U88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88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88" s="12"/>
      <c r="X88" s="386" t="str">
        <f>IFERROR(IF(TRANSHARI10_ROKOKMALAM[[#This Row],[NAMA REKENING]]="","",TRANSHARI10_ROKOKMALAM[[#This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IFERROR(VLOOKUP(TRANSHARI10_ROKOKPAGI[[#This Row],[PRODUK]],DATA_ROKOK[],12,FALSE),"")</f>
        <v/>
      </c>
      <c r="E89" s="374"/>
      <c r="F89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89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89" s="12"/>
      <c r="I89" s="384" t="str">
        <f>IFERROR(IF(TRANSHARI10_ROKOKPAGI[[#This Row],[NAMA REKENING]]="","",TRANSHARI10_ROKOKPAGI[[#This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IFERROR(VLOOKUP(TRANSHARI10_ROKOKMALAM[[#This Row],[PRODUK]],DATA_ROKOK[],12,FALSE),"")</f>
        <v/>
      </c>
      <c r="T89" s="374"/>
      <c r="U89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89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89" s="12"/>
      <c r="X89" s="384" t="str">
        <f>IFERROR(IF(TRANSHARI10_ROKOKMALAM[[#This Row],[NAMA REKENING]]="","",TRANSHARI10_ROKOKMALAM[[#This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IFERROR(VLOOKUP(TRANSHARI10_ROKOKPAGI[[#This Row],[PRODUK]],DATA_ROKOK[],12,FALSE),"")</f>
        <v/>
      </c>
      <c r="E90" s="374"/>
      <c r="F90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0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0" s="12"/>
      <c r="I90" s="386" t="str">
        <f>IFERROR(IF(TRANSHARI10_ROKOKPAGI[[#This Row],[NAMA REKENING]]="","",TRANSHARI10_ROKOKPAGI[[#This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IFERROR(VLOOKUP(TRANSHARI10_ROKOKMALAM[[#This Row],[PRODUK]],DATA_ROKOK[],12,FALSE),"")</f>
        <v/>
      </c>
      <c r="T90" s="374"/>
      <c r="U90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0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0" s="12"/>
      <c r="X90" s="386" t="str">
        <f>IFERROR(IF(TRANSHARI10_ROKOKMALAM[[#This Row],[NAMA REKENING]]="","",TRANSHARI10_ROKOKMALAM[[#This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IFERROR(VLOOKUP(TRANSHARI10_ROKOKPAGI[[#This Row],[PRODUK]],DATA_ROKOK[],12,FALSE),"")</f>
        <v/>
      </c>
      <c r="E91" s="374"/>
      <c r="F91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1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1" s="12"/>
      <c r="I91" s="384" t="str">
        <f>IFERROR(IF(TRANSHARI10_ROKOKPAGI[[#This Row],[NAMA REKENING]]="","",TRANSHARI10_ROKOKPAGI[[#This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IFERROR(VLOOKUP(TRANSHARI10_ROKOKMALAM[[#This Row],[PRODUK]],DATA_ROKOK[],12,FALSE),"")</f>
        <v/>
      </c>
      <c r="T91" s="374"/>
      <c r="U91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1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1" s="12"/>
      <c r="X91" s="384" t="str">
        <f>IFERROR(IF(TRANSHARI10_ROKOKMALAM[[#This Row],[NAMA REKENING]]="","",TRANSHARI10_ROKOKMALAM[[#This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IFERROR(VLOOKUP(TRANSHARI10_ROKOKPAGI[[#This Row],[PRODUK]],DATA_ROKOK[],12,FALSE),"")</f>
        <v/>
      </c>
      <c r="E92" s="374"/>
      <c r="F92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2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2" s="12"/>
      <c r="I92" s="386" t="str">
        <f>IFERROR(IF(TRANSHARI10_ROKOKPAGI[[#This Row],[NAMA REKENING]]="","",TRANSHARI10_ROKOKPAGI[[#This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IFERROR(VLOOKUP(TRANSHARI10_ROKOKMALAM[[#This Row],[PRODUK]],DATA_ROKOK[],12,FALSE),"")</f>
        <v/>
      </c>
      <c r="T92" s="374"/>
      <c r="U92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2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2" s="12"/>
      <c r="X92" s="386" t="str">
        <f>IFERROR(IF(TRANSHARI10_ROKOKMALAM[[#This Row],[NAMA REKENING]]="","",TRANSHARI10_ROKOKMALAM[[#This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IFERROR(VLOOKUP(TRANSHARI10_ROKOKPAGI[[#This Row],[PRODUK]],DATA_ROKOK[],12,FALSE),"")</f>
        <v/>
      </c>
      <c r="E93" s="374"/>
      <c r="F93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3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3" s="12"/>
      <c r="I93" s="384" t="str">
        <f>IFERROR(IF(TRANSHARI10_ROKOKPAGI[[#This Row],[NAMA REKENING]]="","",TRANSHARI10_ROKOKPAGI[[#This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IFERROR(VLOOKUP(TRANSHARI10_ROKOKMALAM[[#This Row],[PRODUK]],DATA_ROKOK[],12,FALSE),"")</f>
        <v/>
      </c>
      <c r="T93" s="374"/>
      <c r="U93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3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3" s="12"/>
      <c r="X93" s="384" t="str">
        <f>IFERROR(IF(TRANSHARI10_ROKOKMALAM[[#This Row],[NAMA REKENING]]="","",TRANSHARI10_ROKOKMALAM[[#This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IFERROR(VLOOKUP(TRANSHARI10_ROKOKPAGI[[#This Row],[PRODUK]],DATA_ROKOK[],12,FALSE),"")</f>
        <v/>
      </c>
      <c r="E94" s="374"/>
      <c r="F94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4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4" s="12"/>
      <c r="I94" s="386" t="str">
        <f>IFERROR(IF(TRANSHARI10_ROKOKPAGI[[#This Row],[NAMA REKENING]]="","",TRANSHARI10_ROKOKPAGI[[#This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IFERROR(VLOOKUP(TRANSHARI10_ROKOKMALAM[[#This Row],[PRODUK]],DATA_ROKOK[],12,FALSE),"")</f>
        <v/>
      </c>
      <c r="T94" s="374"/>
      <c r="U94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4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4" s="12"/>
      <c r="X94" s="386" t="str">
        <f>IFERROR(IF(TRANSHARI10_ROKOKMALAM[[#This Row],[NAMA REKENING]]="","",TRANSHARI10_ROKOKMALAM[[#This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IFERROR(VLOOKUP(TRANSHARI10_ROKOKPAGI[[#This Row],[PRODUK]],DATA_ROKOK[],12,FALSE),"")</f>
        <v/>
      </c>
      <c r="E95" s="374"/>
      <c r="F95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5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5" s="12"/>
      <c r="I95" s="384" t="str">
        <f>IFERROR(IF(TRANSHARI10_ROKOKPAGI[[#This Row],[NAMA REKENING]]="","",TRANSHARI10_ROKOKPAGI[[#This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IFERROR(VLOOKUP(TRANSHARI10_ROKOKMALAM[[#This Row],[PRODUK]],DATA_ROKOK[],12,FALSE),"")</f>
        <v/>
      </c>
      <c r="T95" s="374"/>
      <c r="U95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5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5" s="12"/>
      <c r="X95" s="384" t="str">
        <f>IFERROR(IF(TRANSHARI10_ROKOKMALAM[[#This Row],[NAMA REKENING]]="","",TRANSHARI10_ROKOKMALAM[[#This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IFERROR(VLOOKUP(TRANSHARI10_ROKOKPAGI[[#This Row],[PRODUK]],DATA_ROKOK[],12,FALSE),"")</f>
        <v/>
      </c>
      <c r="E96" s="374"/>
      <c r="F96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6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6" s="12"/>
      <c r="I96" s="386" t="str">
        <f>IFERROR(IF(TRANSHARI10_ROKOKPAGI[[#This Row],[NAMA REKENING]]="","",TRANSHARI10_ROKOKPAGI[[#This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IFERROR(VLOOKUP(TRANSHARI10_ROKOKMALAM[[#This Row],[PRODUK]],DATA_ROKOK[],12,FALSE),"")</f>
        <v/>
      </c>
      <c r="T96" s="374"/>
      <c r="U96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6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6" s="12"/>
      <c r="X96" s="386" t="str">
        <f>IFERROR(IF(TRANSHARI10_ROKOKMALAM[[#This Row],[NAMA REKENING]]="","",TRANSHARI10_ROKOKMALAM[[#This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IFERROR(VLOOKUP(TRANSHARI10_ROKOKPAGI[[#This Row],[PRODUK]],DATA_ROKOK[],12,FALSE),"")</f>
        <v/>
      </c>
      <c r="E97" s="374"/>
      <c r="F97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7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7" s="12"/>
      <c r="I97" s="384" t="str">
        <f>IFERROR(IF(TRANSHARI10_ROKOKPAGI[[#This Row],[NAMA REKENING]]="","",TRANSHARI10_ROKOKPAGI[[#This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IFERROR(VLOOKUP(TRANSHARI10_ROKOKMALAM[[#This Row],[PRODUK]],DATA_ROKOK[],12,FALSE),"")</f>
        <v/>
      </c>
      <c r="T97" s="374"/>
      <c r="U97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7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7" s="12"/>
      <c r="X97" s="384" t="str">
        <f>IFERROR(IF(TRANSHARI10_ROKOKMALAM[[#This Row],[NAMA REKENING]]="","",TRANSHARI10_ROKOKMALAM[[#This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IFERROR(VLOOKUP(TRANSHARI10_ROKOKPAGI[[#This Row],[PRODUK]],DATA_ROKOK[],12,FALSE),"")</f>
        <v/>
      </c>
      <c r="E98" s="374"/>
      <c r="F98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8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8" s="12"/>
      <c r="I98" s="386" t="str">
        <f>IFERROR(IF(TRANSHARI10_ROKOKPAGI[[#This Row],[NAMA REKENING]]="","",TRANSHARI10_ROKOKPAGI[[#This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IFERROR(VLOOKUP(TRANSHARI10_ROKOKMALAM[[#This Row],[PRODUK]],DATA_ROKOK[],12,FALSE),"")</f>
        <v/>
      </c>
      <c r="T98" s="374"/>
      <c r="U98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8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8" s="12"/>
      <c r="X98" s="386" t="str">
        <f>IFERROR(IF(TRANSHARI10_ROKOKMALAM[[#This Row],[NAMA REKENING]]="","",TRANSHARI10_ROKOKMALAM[[#This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IFERROR(VLOOKUP(TRANSHARI10_ROKOKPAGI[[#This Row],[PRODUK]],DATA_ROKOK[],12,FALSE),"")</f>
        <v/>
      </c>
      <c r="E99" s="374"/>
      <c r="F99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99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99" s="12"/>
      <c r="I99" s="384" t="str">
        <f>IFERROR(IF(TRANSHARI10_ROKOKPAGI[[#This Row],[NAMA REKENING]]="","",TRANSHARI10_ROKOKPAGI[[#This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IFERROR(VLOOKUP(TRANSHARI10_ROKOKMALAM[[#This Row],[PRODUK]],DATA_ROKOK[],12,FALSE),"")</f>
        <v/>
      </c>
      <c r="T99" s="374"/>
      <c r="U99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99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99" s="12"/>
      <c r="X99" s="384" t="str">
        <f>IFERROR(IF(TRANSHARI10_ROKOKMALAM[[#This Row],[NAMA REKENING]]="","",TRANSHARI10_ROKOKMALAM[[#This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IFERROR(VLOOKUP(TRANSHARI10_ROKOKPAGI[[#This Row],[PRODUK]],DATA_ROKOK[],12,FALSE),"")</f>
        <v/>
      </c>
      <c r="E100" s="374"/>
      <c r="F100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0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0" s="12"/>
      <c r="I100" s="386" t="str">
        <f>IFERROR(IF(TRANSHARI10_ROKOKPAGI[[#This Row],[NAMA REKENING]]="","",TRANSHARI10_ROKOKPAGI[[#This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IFERROR(VLOOKUP(TRANSHARI10_ROKOKMALAM[[#This Row],[PRODUK]],DATA_ROKOK[],12,FALSE),"")</f>
        <v/>
      </c>
      <c r="T100" s="374"/>
      <c r="U100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0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0" s="12"/>
      <c r="X100" s="386" t="str">
        <f>IFERROR(IF(TRANSHARI10_ROKOKMALAM[[#This Row],[NAMA REKENING]]="","",TRANSHARI10_ROKOKMALAM[[#This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IFERROR(VLOOKUP(TRANSHARI10_ROKOKPAGI[[#This Row],[PRODUK]],DATA_ROKOK[],12,FALSE),"")</f>
        <v/>
      </c>
      <c r="E101" s="374"/>
      <c r="F101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1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1" s="12"/>
      <c r="I101" s="384" t="str">
        <f>IFERROR(IF(TRANSHARI10_ROKOKPAGI[[#This Row],[NAMA REKENING]]="","",TRANSHARI10_ROKOKPAGI[[#This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IFERROR(VLOOKUP(TRANSHARI10_ROKOKMALAM[[#This Row],[PRODUK]],DATA_ROKOK[],12,FALSE),"")</f>
        <v/>
      </c>
      <c r="T101" s="374"/>
      <c r="U101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1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1" s="12"/>
      <c r="X101" s="384" t="str">
        <f>IFERROR(IF(TRANSHARI10_ROKOKMALAM[[#This Row],[NAMA REKENING]]="","",TRANSHARI10_ROKOKMALAM[[#This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IFERROR(VLOOKUP(TRANSHARI10_ROKOKPAGI[[#This Row],[PRODUK]],DATA_ROKOK[],12,FALSE),"")</f>
        <v/>
      </c>
      <c r="E102" s="374"/>
      <c r="F102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2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2" s="12"/>
      <c r="I102" s="386" t="str">
        <f>IFERROR(IF(TRANSHARI10_ROKOKPAGI[[#This Row],[NAMA REKENING]]="","",TRANSHARI10_ROKOKPAGI[[#This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IFERROR(VLOOKUP(TRANSHARI10_ROKOKMALAM[[#This Row],[PRODUK]],DATA_ROKOK[],12,FALSE),"")</f>
        <v/>
      </c>
      <c r="T102" s="374"/>
      <c r="U102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2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2" s="12"/>
      <c r="X102" s="386" t="str">
        <f>IFERROR(IF(TRANSHARI10_ROKOKMALAM[[#This Row],[NAMA REKENING]]="","",TRANSHARI10_ROKOKMALAM[[#This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IFERROR(VLOOKUP(TRANSHARI10_ROKOKPAGI[[#This Row],[PRODUK]],DATA_ROKOK[],12,FALSE),"")</f>
        <v/>
      </c>
      <c r="E103" s="374"/>
      <c r="F103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3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3" s="12"/>
      <c r="I103" s="384" t="str">
        <f>IFERROR(IF(TRANSHARI10_ROKOKPAGI[[#This Row],[NAMA REKENING]]="","",TRANSHARI10_ROKOKPAGI[[#This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IFERROR(VLOOKUP(TRANSHARI10_ROKOKMALAM[[#This Row],[PRODUK]],DATA_ROKOK[],12,FALSE),"")</f>
        <v/>
      </c>
      <c r="T103" s="374"/>
      <c r="U103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3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3" s="12"/>
      <c r="X103" s="384" t="str">
        <f>IFERROR(IF(TRANSHARI10_ROKOKMALAM[[#This Row],[NAMA REKENING]]="","",TRANSHARI10_ROKOKMALAM[[#This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IFERROR(VLOOKUP(TRANSHARI10_ROKOKPAGI[[#This Row],[PRODUK]],DATA_ROKOK[],12,FALSE),"")</f>
        <v/>
      </c>
      <c r="E104" s="374"/>
      <c r="F104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4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4" s="12"/>
      <c r="I104" s="386" t="str">
        <f>IFERROR(IF(TRANSHARI10_ROKOKPAGI[[#This Row],[NAMA REKENING]]="","",TRANSHARI10_ROKOKPAGI[[#This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IFERROR(VLOOKUP(TRANSHARI10_ROKOKMALAM[[#This Row],[PRODUK]],DATA_ROKOK[],12,FALSE),"")</f>
        <v/>
      </c>
      <c r="T104" s="374"/>
      <c r="U104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4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4" s="12"/>
      <c r="X104" s="386" t="str">
        <f>IFERROR(IF(TRANSHARI10_ROKOKMALAM[[#This Row],[NAMA REKENING]]="","",TRANSHARI10_ROKOKMALAM[[#This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IFERROR(VLOOKUP(TRANSHARI10_ROKOKPAGI[[#This Row],[PRODUK]],DATA_ROKOK[],12,FALSE),"")</f>
        <v/>
      </c>
      <c r="E105" s="374"/>
      <c r="F105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5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5" s="12"/>
      <c r="I105" s="384" t="str">
        <f>IFERROR(IF(TRANSHARI10_ROKOKPAGI[[#This Row],[NAMA REKENING]]="","",TRANSHARI10_ROKOKPAGI[[#This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IFERROR(VLOOKUP(TRANSHARI10_ROKOKMALAM[[#This Row],[PRODUK]],DATA_ROKOK[],12,FALSE),"")</f>
        <v/>
      </c>
      <c r="T105" s="374"/>
      <c r="U105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5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5" s="12"/>
      <c r="X105" s="384" t="str">
        <f>IFERROR(IF(TRANSHARI10_ROKOKMALAM[[#This Row],[NAMA REKENING]]="","",TRANSHARI10_ROKOKMALAM[[#This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IFERROR(VLOOKUP(TRANSHARI10_ROKOKPAGI[[#This Row],[PRODUK]],DATA_ROKOK[],12,FALSE),"")</f>
        <v/>
      </c>
      <c r="E106" s="374"/>
      <c r="F106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6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6" s="12"/>
      <c r="I106" s="386" t="str">
        <f>IFERROR(IF(TRANSHARI10_ROKOKPAGI[[#This Row],[NAMA REKENING]]="","",TRANSHARI10_ROKOKPAGI[[#This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IFERROR(VLOOKUP(TRANSHARI10_ROKOKMALAM[[#This Row],[PRODUK]],DATA_ROKOK[],12,FALSE),"")</f>
        <v/>
      </c>
      <c r="T106" s="374"/>
      <c r="U106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6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6" s="12"/>
      <c r="X106" s="386" t="str">
        <f>IFERROR(IF(TRANSHARI10_ROKOKMALAM[[#This Row],[NAMA REKENING]]="","",TRANSHARI10_ROKOKMALAM[[#This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IFERROR(VLOOKUP(TRANSHARI10_ROKOKPAGI[[#This Row],[PRODUK]],DATA_ROKOK[],12,FALSE),"")</f>
        <v/>
      </c>
      <c r="E107" s="374"/>
      <c r="F107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7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7" s="12"/>
      <c r="I107" s="384" t="str">
        <f>IFERROR(IF(TRANSHARI10_ROKOKPAGI[[#This Row],[NAMA REKENING]]="","",TRANSHARI10_ROKOKPAGI[[#This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IFERROR(VLOOKUP(TRANSHARI10_ROKOKMALAM[[#This Row],[PRODUK]],DATA_ROKOK[],12,FALSE),"")</f>
        <v/>
      </c>
      <c r="T107" s="374"/>
      <c r="U107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7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7" s="12"/>
      <c r="X107" s="384" t="str">
        <f>IFERROR(IF(TRANSHARI10_ROKOKMALAM[[#This Row],[NAMA REKENING]]="","",TRANSHARI10_ROKOKMALAM[[#This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IFERROR(VLOOKUP(TRANSHARI10_ROKOKPAGI[[#This Row],[PRODUK]],DATA_ROKOK[],12,FALSE),"")</f>
        <v/>
      </c>
      <c r="E108" s="374"/>
      <c r="F108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8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8" s="12"/>
      <c r="I108" s="386" t="str">
        <f>IFERROR(IF(TRANSHARI10_ROKOKPAGI[[#This Row],[NAMA REKENING]]="","",TRANSHARI10_ROKOKPAGI[[#This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IFERROR(VLOOKUP(TRANSHARI10_ROKOKMALAM[[#This Row],[PRODUK]],DATA_ROKOK[],12,FALSE),"")</f>
        <v/>
      </c>
      <c r="T108" s="374"/>
      <c r="U108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8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8" s="12"/>
      <c r="X108" s="386" t="str">
        <f>IFERROR(IF(TRANSHARI10_ROKOKMALAM[[#This Row],[NAMA REKENING]]="","",TRANSHARI10_ROKOKMALAM[[#This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IFERROR(VLOOKUP(TRANSHARI10_ROKOKPAGI[[#This Row],[PRODUK]],DATA_ROKOK[],12,FALSE),"")</f>
        <v/>
      </c>
      <c r="E109" s="374"/>
      <c r="F109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09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09" s="12"/>
      <c r="I109" s="384" t="str">
        <f>IFERROR(IF(TRANSHARI10_ROKOKPAGI[[#This Row],[NAMA REKENING]]="","",TRANSHARI10_ROKOKPAGI[[#This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IFERROR(VLOOKUP(TRANSHARI10_ROKOKMALAM[[#This Row],[PRODUK]],DATA_ROKOK[],12,FALSE),"")</f>
        <v/>
      </c>
      <c r="T109" s="374"/>
      <c r="U109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09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09" s="12"/>
      <c r="X109" s="384" t="str">
        <f>IFERROR(IF(TRANSHARI10_ROKOKMALAM[[#This Row],[NAMA REKENING]]="","",TRANSHARI10_ROKOKMALAM[[#This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IFERROR(VLOOKUP(TRANSHARI10_ROKOKPAGI[[#This Row],[PRODUK]],DATA_ROKOK[],12,FALSE),"")</f>
        <v/>
      </c>
      <c r="E110" s="376"/>
      <c r="F110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0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0" s="377"/>
      <c r="I110" s="386" t="str">
        <f>IFERROR(IF(TRANSHARI10_ROKOKPAGI[[#This Row],[NAMA REKENING]]="","",TRANSHARI10_ROKOKPAGI[[#This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IFERROR(VLOOKUP(TRANSHARI10_ROKOKMALAM[[#This Row],[PRODUK]],DATA_ROKOK[],12,FALSE),"")</f>
        <v/>
      </c>
      <c r="T110" s="376"/>
      <c r="U110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0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0" s="377"/>
      <c r="X110" s="386" t="str">
        <f>IFERROR(IF(TRANSHARI10_ROKOKMALAM[[#This Row],[NAMA REKENING]]="","",TRANSHARI10_ROKOKMALAM[[#This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IFERROR(VLOOKUP(TRANSHARI10_ROKOKPAGI[[#This Row],[PRODUK]],DATA_ROKOK[],12,FALSE),"")</f>
        <v/>
      </c>
      <c r="E111" s="374"/>
      <c r="F111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1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1" s="12"/>
      <c r="I111" s="384" t="str">
        <f>IFERROR(IF(TRANSHARI10_ROKOKPAGI[[#This Row],[NAMA REKENING]]="","",TRANSHARI10_ROKOKPAGI[[#This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IFERROR(VLOOKUP(TRANSHARI10_ROKOKMALAM[[#This Row],[PRODUK]],DATA_ROKOK[],12,FALSE),"")</f>
        <v/>
      </c>
      <c r="T111" s="374"/>
      <c r="U111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1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1" s="12"/>
      <c r="X111" s="384" t="str">
        <f>IFERROR(IF(TRANSHARI10_ROKOKMALAM[[#This Row],[NAMA REKENING]]="","",TRANSHARI10_ROKOKMALAM[[#This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IFERROR(VLOOKUP(TRANSHARI10_ROKOKPAGI[[#This Row],[PRODUK]],DATA_ROKOK[],12,FALSE),"")</f>
        <v/>
      </c>
      <c r="E112" s="374"/>
      <c r="F112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2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2" s="12"/>
      <c r="I112" s="386" t="str">
        <f>IFERROR(IF(TRANSHARI10_ROKOKPAGI[[#This Row],[NAMA REKENING]]="","",TRANSHARI10_ROKOKPAGI[[#This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IFERROR(VLOOKUP(TRANSHARI10_ROKOKMALAM[[#This Row],[PRODUK]],DATA_ROKOK[],12,FALSE),"")</f>
        <v/>
      </c>
      <c r="T112" s="374"/>
      <c r="U112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2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2" s="12"/>
      <c r="X112" s="386" t="str">
        <f>IFERROR(IF(TRANSHARI10_ROKOKMALAM[[#This Row],[NAMA REKENING]]="","",TRANSHARI10_ROKOKMALAM[[#This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IFERROR(VLOOKUP(TRANSHARI10_ROKOKPAGI[[#This Row],[PRODUK]],DATA_ROKOK[],12,FALSE),"")</f>
        <v/>
      </c>
      <c r="E113" s="374"/>
      <c r="F113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3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3" s="12"/>
      <c r="I113" s="384" t="str">
        <f>IFERROR(IF(TRANSHARI10_ROKOKPAGI[[#This Row],[NAMA REKENING]]="","",TRANSHARI10_ROKOKPAGI[[#This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IFERROR(VLOOKUP(TRANSHARI10_ROKOKMALAM[[#This Row],[PRODUK]],DATA_ROKOK[],12,FALSE),"")</f>
        <v/>
      </c>
      <c r="T113" s="374"/>
      <c r="U113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3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3" s="12"/>
      <c r="X113" s="384" t="str">
        <f>IFERROR(IF(TRANSHARI10_ROKOKMALAM[[#This Row],[NAMA REKENING]]="","",TRANSHARI10_ROKOKMALAM[[#This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IFERROR(VLOOKUP(TRANSHARI10_ROKOKPAGI[[#This Row],[PRODUK]],DATA_ROKOK[],12,FALSE),"")</f>
        <v/>
      </c>
      <c r="E114" s="374"/>
      <c r="F114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4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4" s="12"/>
      <c r="I114" s="386" t="str">
        <f>IFERROR(IF(TRANSHARI10_ROKOKPAGI[[#This Row],[NAMA REKENING]]="","",TRANSHARI10_ROKOKPAGI[[#This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IFERROR(VLOOKUP(TRANSHARI10_ROKOKMALAM[[#This Row],[PRODUK]],DATA_ROKOK[],12,FALSE),"")</f>
        <v/>
      </c>
      <c r="T114" s="374"/>
      <c r="U114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4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4" s="12"/>
      <c r="X114" s="386" t="str">
        <f>IFERROR(IF(TRANSHARI10_ROKOKMALAM[[#This Row],[NAMA REKENING]]="","",TRANSHARI10_ROKOKMALAM[[#This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IFERROR(VLOOKUP(TRANSHARI10_ROKOKPAGI[[#This Row],[PRODUK]],DATA_ROKOK[],12,FALSE),"")</f>
        <v/>
      </c>
      <c r="E115" s="374"/>
      <c r="F115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5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5" s="12"/>
      <c r="I115" s="384" t="str">
        <f>IFERROR(IF(TRANSHARI10_ROKOKPAGI[[#This Row],[NAMA REKENING]]="","",TRANSHARI10_ROKOKPAGI[[#This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IFERROR(VLOOKUP(TRANSHARI10_ROKOKMALAM[[#This Row],[PRODUK]],DATA_ROKOK[],12,FALSE),"")</f>
        <v/>
      </c>
      <c r="T115" s="374"/>
      <c r="U115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5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5" s="12"/>
      <c r="X115" s="384" t="str">
        <f>IFERROR(IF(TRANSHARI10_ROKOKMALAM[[#This Row],[NAMA REKENING]]="","",TRANSHARI10_ROKOKMALAM[[#This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IFERROR(VLOOKUP(TRANSHARI10_ROKOKPAGI[[#This Row],[PRODUK]],DATA_ROKOK[],12,FALSE),"")</f>
        <v/>
      </c>
      <c r="E116" s="374"/>
      <c r="F116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6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6" s="12"/>
      <c r="I116" s="386" t="str">
        <f>IFERROR(IF(TRANSHARI10_ROKOKPAGI[[#This Row],[NAMA REKENING]]="","",TRANSHARI10_ROKOKPAGI[[#This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IFERROR(VLOOKUP(TRANSHARI10_ROKOKMALAM[[#This Row],[PRODUK]],DATA_ROKOK[],12,FALSE),"")</f>
        <v/>
      </c>
      <c r="T116" s="374"/>
      <c r="U116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6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6" s="12"/>
      <c r="X116" s="386" t="str">
        <f>IFERROR(IF(TRANSHARI10_ROKOKMALAM[[#This Row],[NAMA REKENING]]="","",TRANSHARI10_ROKOKMALAM[[#This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IFERROR(VLOOKUP(TRANSHARI10_ROKOKPAGI[[#This Row],[PRODUK]],DATA_ROKOK[],12,FALSE),"")</f>
        <v/>
      </c>
      <c r="E117" s="374"/>
      <c r="F117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7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7" s="12"/>
      <c r="I117" s="384" t="str">
        <f>IFERROR(IF(TRANSHARI10_ROKOKPAGI[[#This Row],[NAMA REKENING]]="","",TRANSHARI10_ROKOKPAGI[[#This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IFERROR(VLOOKUP(TRANSHARI10_ROKOKMALAM[[#This Row],[PRODUK]],DATA_ROKOK[],12,FALSE),"")</f>
        <v/>
      </c>
      <c r="T117" s="374"/>
      <c r="U117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7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7" s="12"/>
      <c r="X117" s="384" t="str">
        <f>IFERROR(IF(TRANSHARI10_ROKOKMALAM[[#This Row],[NAMA REKENING]]="","",TRANSHARI10_ROKOKMALAM[[#This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IFERROR(VLOOKUP(TRANSHARI10_ROKOKPAGI[[#This Row],[PRODUK]],DATA_ROKOK[],12,FALSE),"")</f>
        <v/>
      </c>
      <c r="E118" s="374"/>
      <c r="F118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8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8" s="12"/>
      <c r="I118" s="386" t="str">
        <f>IFERROR(IF(TRANSHARI10_ROKOKPAGI[[#This Row],[NAMA REKENING]]="","",TRANSHARI10_ROKOKPAGI[[#This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IFERROR(VLOOKUP(TRANSHARI10_ROKOKMALAM[[#This Row],[PRODUK]],DATA_ROKOK[],12,FALSE),"")</f>
        <v/>
      </c>
      <c r="T118" s="374"/>
      <c r="U118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8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8" s="12"/>
      <c r="X118" s="386" t="str">
        <f>IFERROR(IF(TRANSHARI10_ROKOKMALAM[[#This Row],[NAMA REKENING]]="","",TRANSHARI10_ROKOKMALAM[[#This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IFERROR(VLOOKUP(TRANSHARI10_ROKOKPAGI[[#This Row],[PRODUK]],DATA_ROKOK[],12,FALSE),"")</f>
        <v/>
      </c>
      <c r="E119" s="374"/>
      <c r="F119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19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19" s="12"/>
      <c r="I119" s="384" t="str">
        <f>IFERROR(IF(TRANSHARI10_ROKOKPAGI[[#This Row],[NAMA REKENING]]="","",TRANSHARI10_ROKOKPAGI[[#This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IFERROR(VLOOKUP(TRANSHARI10_ROKOKMALAM[[#This Row],[PRODUK]],DATA_ROKOK[],12,FALSE),"")</f>
        <v/>
      </c>
      <c r="T119" s="374"/>
      <c r="U119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19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19" s="12"/>
      <c r="X119" s="384" t="str">
        <f>IFERROR(IF(TRANSHARI10_ROKOKMALAM[[#This Row],[NAMA REKENING]]="","",TRANSHARI10_ROKOKMALAM[[#This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IFERROR(VLOOKUP(TRANSHARI10_ROKOKPAGI[[#This Row],[PRODUK]],DATA_ROKOK[],12,FALSE),"")</f>
        <v/>
      </c>
      <c r="E120" s="374"/>
      <c r="F120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0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0" s="12"/>
      <c r="I120" s="386" t="str">
        <f>IFERROR(IF(TRANSHARI10_ROKOKPAGI[[#This Row],[NAMA REKENING]]="","",TRANSHARI10_ROKOKPAGI[[#This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IFERROR(VLOOKUP(TRANSHARI10_ROKOKMALAM[[#This Row],[PRODUK]],DATA_ROKOK[],12,FALSE),"")</f>
        <v/>
      </c>
      <c r="T120" s="374"/>
      <c r="U120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0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0" s="12"/>
      <c r="X120" s="386" t="str">
        <f>IFERROR(IF(TRANSHARI10_ROKOKMALAM[[#This Row],[NAMA REKENING]]="","",TRANSHARI10_ROKOKMALAM[[#This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IFERROR(VLOOKUP(TRANSHARI10_ROKOKPAGI[[#This Row],[PRODUK]],DATA_ROKOK[],12,FALSE),"")</f>
        <v/>
      </c>
      <c r="E121" s="374"/>
      <c r="F121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1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1" s="12"/>
      <c r="I121" s="384" t="str">
        <f>IFERROR(IF(TRANSHARI10_ROKOKPAGI[[#This Row],[NAMA REKENING]]="","",TRANSHARI10_ROKOKPAGI[[#This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IFERROR(VLOOKUP(TRANSHARI10_ROKOKMALAM[[#This Row],[PRODUK]],DATA_ROKOK[],12,FALSE),"")</f>
        <v/>
      </c>
      <c r="T121" s="374"/>
      <c r="U121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1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1" s="12"/>
      <c r="X121" s="384" t="str">
        <f>IFERROR(IF(TRANSHARI10_ROKOKMALAM[[#This Row],[NAMA REKENING]]="","",TRANSHARI10_ROKOKMALAM[[#This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IFERROR(VLOOKUP(TRANSHARI10_ROKOKPAGI[[#This Row],[PRODUK]],DATA_ROKOK[],12,FALSE),"")</f>
        <v/>
      </c>
      <c r="E122" s="374"/>
      <c r="F122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2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2" s="12"/>
      <c r="I122" s="386" t="str">
        <f>IFERROR(IF(TRANSHARI10_ROKOKPAGI[[#This Row],[NAMA REKENING]]="","",TRANSHARI10_ROKOKPAGI[[#This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IFERROR(VLOOKUP(TRANSHARI10_ROKOKMALAM[[#This Row],[PRODUK]],DATA_ROKOK[],12,FALSE),"")</f>
        <v/>
      </c>
      <c r="T122" s="374"/>
      <c r="U122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2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2" s="12"/>
      <c r="X122" s="386" t="str">
        <f>IFERROR(IF(TRANSHARI10_ROKOKMALAM[[#This Row],[NAMA REKENING]]="","",TRANSHARI10_ROKOKMALAM[[#This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IFERROR(VLOOKUP(TRANSHARI10_ROKOKPAGI[[#This Row],[PRODUK]],DATA_ROKOK[],12,FALSE),"")</f>
        <v/>
      </c>
      <c r="E123" s="374"/>
      <c r="F123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3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3" s="12"/>
      <c r="I123" s="384" t="str">
        <f>IFERROR(IF(TRANSHARI10_ROKOKPAGI[[#This Row],[NAMA REKENING]]="","",TRANSHARI10_ROKOKPAGI[[#This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IFERROR(VLOOKUP(TRANSHARI10_ROKOKMALAM[[#This Row],[PRODUK]],DATA_ROKOK[],12,FALSE),"")</f>
        <v/>
      </c>
      <c r="T123" s="374"/>
      <c r="U123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3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3" s="12"/>
      <c r="X123" s="384" t="str">
        <f>IFERROR(IF(TRANSHARI10_ROKOKMALAM[[#This Row],[NAMA REKENING]]="","",TRANSHARI10_ROKOKMALAM[[#This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IFERROR(VLOOKUP(TRANSHARI10_ROKOKPAGI[[#This Row],[PRODUK]],DATA_ROKOK[],12,FALSE),"")</f>
        <v/>
      </c>
      <c r="E124" s="374"/>
      <c r="F124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4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4" s="12"/>
      <c r="I124" s="386" t="str">
        <f>IFERROR(IF(TRANSHARI10_ROKOKPAGI[[#This Row],[NAMA REKENING]]="","",TRANSHARI10_ROKOKPAGI[[#This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IFERROR(VLOOKUP(TRANSHARI10_ROKOKMALAM[[#This Row],[PRODUK]],DATA_ROKOK[],12,FALSE),"")</f>
        <v/>
      </c>
      <c r="T124" s="374"/>
      <c r="U124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4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4" s="12"/>
      <c r="X124" s="386" t="str">
        <f>IFERROR(IF(TRANSHARI10_ROKOKMALAM[[#This Row],[NAMA REKENING]]="","",TRANSHARI10_ROKOKMALAM[[#This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IFERROR(VLOOKUP(TRANSHARI10_ROKOKPAGI[[#This Row],[PRODUK]],DATA_ROKOK[],12,FALSE),"")</f>
        <v/>
      </c>
      <c r="E125" s="374"/>
      <c r="F125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5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5" s="12"/>
      <c r="I125" s="384" t="str">
        <f>IFERROR(IF(TRANSHARI10_ROKOKPAGI[[#This Row],[NAMA REKENING]]="","",TRANSHARI10_ROKOKPAGI[[#This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IFERROR(VLOOKUP(TRANSHARI10_ROKOKMALAM[[#This Row],[PRODUK]],DATA_ROKOK[],12,FALSE),"")</f>
        <v/>
      </c>
      <c r="T125" s="374"/>
      <c r="U125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5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5" s="12"/>
      <c r="X125" s="384" t="str">
        <f>IFERROR(IF(TRANSHARI10_ROKOKMALAM[[#This Row],[NAMA REKENING]]="","",TRANSHARI10_ROKOKMALAM[[#This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IFERROR(VLOOKUP(TRANSHARI10_ROKOKPAGI[[#This Row],[PRODUK]],DATA_ROKOK[],12,FALSE),"")</f>
        <v/>
      </c>
      <c r="E126" s="374"/>
      <c r="F126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6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6" s="12"/>
      <c r="I126" s="386" t="str">
        <f>IFERROR(IF(TRANSHARI10_ROKOKPAGI[[#This Row],[NAMA REKENING]]="","",TRANSHARI10_ROKOKPAGI[[#This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IFERROR(VLOOKUP(TRANSHARI10_ROKOKMALAM[[#This Row],[PRODUK]],DATA_ROKOK[],12,FALSE),"")</f>
        <v/>
      </c>
      <c r="T126" s="374"/>
      <c r="U126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6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6" s="12"/>
      <c r="X126" s="386" t="str">
        <f>IFERROR(IF(TRANSHARI10_ROKOKMALAM[[#This Row],[NAMA REKENING]]="","",TRANSHARI10_ROKOKMALAM[[#This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IFERROR(VLOOKUP(TRANSHARI10_ROKOKPAGI[[#This Row],[PRODUK]],DATA_ROKOK[],12,FALSE),"")</f>
        <v/>
      </c>
      <c r="E127" s="374"/>
      <c r="F127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7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7" s="12"/>
      <c r="I127" s="384" t="str">
        <f>IFERROR(IF(TRANSHARI10_ROKOKPAGI[[#This Row],[NAMA REKENING]]="","",TRANSHARI10_ROKOKPAGI[[#This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IFERROR(VLOOKUP(TRANSHARI10_ROKOKMALAM[[#This Row],[PRODUK]],DATA_ROKOK[],12,FALSE),"")</f>
        <v/>
      </c>
      <c r="T127" s="374"/>
      <c r="U127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7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7" s="12"/>
      <c r="X127" s="384" t="str">
        <f>IFERROR(IF(TRANSHARI10_ROKOKMALAM[[#This Row],[NAMA REKENING]]="","",TRANSHARI10_ROKOKMALAM[[#This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IFERROR(VLOOKUP(TRANSHARI10_ROKOKPAGI[[#This Row],[PRODUK]],DATA_ROKOK[],12,FALSE),"")</f>
        <v/>
      </c>
      <c r="E128" s="374"/>
      <c r="F128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8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8" s="12"/>
      <c r="I128" s="386" t="str">
        <f>IFERROR(IF(TRANSHARI10_ROKOKPAGI[[#This Row],[NAMA REKENING]]="","",TRANSHARI10_ROKOKPAGI[[#This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IFERROR(VLOOKUP(TRANSHARI10_ROKOKMALAM[[#This Row],[PRODUK]],DATA_ROKOK[],12,FALSE),"")</f>
        <v/>
      </c>
      <c r="T128" s="374"/>
      <c r="U128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8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8" s="12"/>
      <c r="X128" s="386" t="str">
        <f>IFERROR(IF(TRANSHARI10_ROKOKMALAM[[#This Row],[NAMA REKENING]]="","",TRANSHARI10_ROKOKMALAM[[#This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IFERROR(VLOOKUP(TRANSHARI10_ROKOKPAGI[[#This Row],[PRODUK]],DATA_ROKOK[],12,FALSE),"")</f>
        <v/>
      </c>
      <c r="E129" s="374"/>
      <c r="F129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29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29" s="12"/>
      <c r="I129" s="384" t="str">
        <f>IFERROR(IF(TRANSHARI10_ROKOKPAGI[[#This Row],[NAMA REKENING]]="","",TRANSHARI10_ROKOKPAGI[[#This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IFERROR(VLOOKUP(TRANSHARI10_ROKOKMALAM[[#This Row],[PRODUK]],DATA_ROKOK[],12,FALSE),"")</f>
        <v/>
      </c>
      <c r="T129" s="374"/>
      <c r="U129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29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29" s="12"/>
      <c r="X129" s="384" t="str">
        <f>IFERROR(IF(TRANSHARI10_ROKOKMALAM[[#This Row],[NAMA REKENING]]="","",TRANSHARI10_ROKOKMALAM[[#This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IFERROR(VLOOKUP(TRANSHARI10_ROKOKPAGI[[#This Row],[PRODUK]],DATA_ROKOK[],12,FALSE),"")</f>
        <v/>
      </c>
      <c r="E130" s="374"/>
      <c r="F130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30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30" s="12"/>
      <c r="I130" s="386" t="str">
        <f>IFERROR(IF(TRANSHARI10_ROKOKPAGI[[#This Row],[NAMA REKENING]]="","",TRANSHARI10_ROKOKPAGI[[#This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IFERROR(VLOOKUP(TRANSHARI10_ROKOKMALAM[[#This Row],[PRODUK]],DATA_ROKOK[],12,FALSE),"")</f>
        <v/>
      </c>
      <c r="T130" s="374"/>
      <c r="U130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30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30" s="12"/>
      <c r="X130" s="386" t="str">
        <f>IFERROR(IF(TRANSHARI10_ROKOKMALAM[[#This Row],[NAMA REKENING]]="","",TRANSHARI10_ROKOKMALAM[[#This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IFERROR(VLOOKUP(TRANSHARI10_ROKOKPAGI[[#This Row],[PRODUK]],DATA_ROKOK[],12,FALSE),"")</f>
        <v/>
      </c>
      <c r="E131" s="374"/>
      <c r="F131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31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31" s="12"/>
      <c r="I131" s="384" t="str">
        <f>IFERROR(IF(TRANSHARI10_ROKOKPAGI[[#This Row],[NAMA REKENING]]="","",TRANSHARI10_ROKOKPAGI[[#This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IFERROR(VLOOKUP(TRANSHARI10_ROKOKMALAM[[#This Row],[PRODUK]],DATA_ROKOK[],12,FALSE),"")</f>
        <v/>
      </c>
      <c r="T131" s="374"/>
      <c r="U131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31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31" s="12"/>
      <c r="X131" s="384" t="str">
        <f>IFERROR(IF(TRANSHARI10_ROKOKMALAM[[#This Row],[NAMA REKENING]]="","",TRANSHARI10_ROKOKMALAM[[#This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IFERROR(VLOOKUP(TRANSHARI10_ROKOKPAGI[[#This Row],[PRODUK]],DATA_ROKOK[],12,FALSE),"")</f>
        <v/>
      </c>
      <c r="E132" s="374"/>
      <c r="F132" s="373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32" s="373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32" s="12"/>
      <c r="I132" s="386" t="str">
        <f>IFERROR(IF(TRANSHARI10_ROKOKPAGI[[#This Row],[NAMA REKENING]]="","",TRANSHARI10_ROKOKPAGI[[#This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IFERROR(VLOOKUP(TRANSHARI10_ROKOKMALAM[[#This Row],[PRODUK]],DATA_ROKOK[],12,FALSE),"")</f>
        <v/>
      </c>
      <c r="T132" s="374"/>
      <c r="U132" s="373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32" s="373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32" s="12"/>
      <c r="X132" s="386" t="str">
        <f>IFERROR(IF(TRANSHARI10_ROKOKMALAM[[#This Row],[NAMA REKENING]]="","",TRANSHARI10_ROKOKMALAM[[#This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IFERROR(VLOOKUP(TRANSHARI10_ROKOKPAGI[[#This Row],[PRODUK]],DATA_ROKOK[],12,FALSE),"")</f>
        <v/>
      </c>
      <c r="E133" s="374"/>
      <c r="F133" s="369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33" s="369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33" s="12"/>
      <c r="I133" s="384" t="str">
        <f>IFERROR(IF(TRANSHARI10_ROKOKPAGI[[#This Row],[NAMA REKENING]]="","",TRANSHARI10_ROKOKPAGI[[#This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IFERROR(VLOOKUP(TRANSHARI10_ROKOKMALAM[[#This Row],[PRODUK]],DATA_ROKOK[],12,FALSE),"")</f>
        <v/>
      </c>
      <c r="T133" s="374"/>
      <c r="U133" s="369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33" s="369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33" s="12"/>
      <c r="X133" s="384" t="str">
        <f>IFERROR(IF(TRANSHARI10_ROKOKMALAM[[#This Row],[NAMA REKENING]]="","",TRANSHARI10_ROKOKMALAM[[#This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IFERROR(VLOOKUP(TRANSHARI10_ROKOKPAGI[[#This Row],[PRODUK]],DATA_ROKOK[],12,FALSE),"")</f>
        <v/>
      </c>
      <c r="E134" s="376"/>
      <c r="F134" s="394" t="str">
        <f>IFERROR(IF(TRANSHARI10_ROKOKPAGI[[#This Row],[NAMA PENGHUTANG]]="",((TRANSHARI10_ROKOKPAGI[[#This Row],[HARGA]]*TRANSHARI10_ROKOKPAGI[[#This Row],[QUANTITY]])+TRANSHARI10_ROKOKPAGI[[#This Row],[PRICE TOLERANCE]]),""),"")</f>
        <v/>
      </c>
      <c r="G134" s="394" t="str">
        <f>IFERROR(IF(TRANSHARI10_ROKOKPAGI[[#This Row],[NAMA PENGHUTANG]]="","",((TRANSHARI10_ROKOKPAGI[[#This Row],[HARGA]]*TRANSHARI10_ROKOKPAGI[[#This Row],[QUANTITY]])+TRANSHARI10_ROKOKPAGI[[#This Row],[PRICE TOLERANCE]])),"")</f>
        <v/>
      </c>
      <c r="H134" s="377"/>
      <c r="I134" s="399" t="str">
        <f>IFERROR(IF(TRANSHARI10_ROKOKPAGI[[#This Row],[NAMA REKENING]]="","",TRANSHARI10_ROKOKPAGI[[#This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IFERROR(VLOOKUP(TRANSHARI10_ROKOKMALAM[[#This Row],[PRODUK]],DATA_ROKOK[],12,FALSE),"")</f>
        <v/>
      </c>
      <c r="T134" s="376"/>
      <c r="U134" s="394" t="str">
        <f>IFERROR(IF(TRANSHARI10_ROKOKMALAM[[#This Row],[NAMA PENGHUTANG]]="",((TRANSHARI10_ROKOKMALAM[[#This Row],[HARGA]]*TRANSHARI10_ROKOKMALAM[[#This Row],[QUANTITY]])+TRANSHARI10_ROKOKMALAM[[#This Row],[PRICE TOLERANCE]]),""),"")</f>
        <v/>
      </c>
      <c r="V134" s="394" t="str">
        <f>IFERROR(IF(TRANSHARI10_ROKOKMALAM[[#This Row],[NAMA PENGHUTANG]]="","",((TRANSHARI10_ROKOKMALAM[[#This Row],[HARGA]]*TRANSHARI10_ROKOKMALAM[[#This Row],[QUANTITY]])+TRANSHARI10_ROKOKMALAM[[#This Row],[PRICE TOLERANCE]])),"")</f>
        <v/>
      </c>
      <c r="W134" s="377"/>
      <c r="X134" s="399" t="str">
        <f>IFERROR(IF(TRANSHARI10_ROKOKMALAM[[#This Row],[NAMA REKENING]]="","",TRANSHARI10_ROKOKMALAM[[#This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SUM(TRANSHARI10_ROKOKPAGI[QUANTITY])</f>
        <v>0</v>
      </c>
      <c r="E135" s="396">
        <f>SUM(TRANSHARI10_ROKOKPAGI[PRICE TOLERANCE])</f>
        <v>0</v>
      </c>
      <c r="F135" s="396">
        <f>SUM(TRANSHARI10_ROKOKPAGI[DEBIT])</f>
        <v>0</v>
      </c>
      <c r="G135" s="396">
        <f>SUM(TRANSHARI10_ROKOKPAGI[KREDIT])</f>
        <v>0</v>
      </c>
      <c r="I135" s="396">
        <f>SUM(TRANSHARI10_ROKOKPAGI[NOMINAL TRANSFER])</f>
        <v>0</v>
      </c>
      <c r="O135" s="324"/>
      <c r="P135" s="303" t="s">
        <v>78</v>
      </c>
      <c r="Q135" s="316"/>
      <c r="R135" s="395">
        <f>SUM(TRANSHARI10_ROKOKMALAM[QUANTITY])</f>
        <v>0</v>
      </c>
      <c r="T135" s="396">
        <f>SUM(TRANSHARI10_ROKOKMALAM[PRICE TOLERANCE])</f>
        <v>0</v>
      </c>
      <c r="U135" s="396">
        <f>SUM(TRANSHARI10_ROKOKMALAM[DEBIT])</f>
        <v>0</v>
      </c>
      <c r="V135" s="396">
        <f>SUM(TRANSHARI10_ROKOKMALAM[KREDIT])</f>
        <v>0</v>
      </c>
      <c r="X135" s="396">
        <f>SUM(TRANSHARI10_ROKOKMALAM[NOMINAL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tr">
        <f>A25</f>
        <v>HARI 10 : PAGI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tr">
        <f>P25</f>
        <v>HARI 10 : MALAM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IFERROR(VLOOKUP(TRANSHARI10_SPVOUPAGI[[#This Row],[PRODUK]],DATA_SPVOU[],12,FALSE),"")</f>
        <v/>
      </c>
      <c r="E142" s="370"/>
      <c r="F142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2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2" s="371"/>
      <c r="I142" s="384" t="str">
        <f>IFERROR(IF(TRANSHARI10_SPVOUPAGI[[#This Row],[NAMA REKENING]]="","",TRANSHARI10_SPVOUPAGI[[#This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IFERROR(VLOOKUP(TRANSHARI10_SPVOUMALAM[[#This Row],[PRODUK]],DATA_SPVOU[],12,FALSE),"")</f>
        <v/>
      </c>
      <c r="T142" s="370"/>
      <c r="U142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2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2" s="371"/>
      <c r="X142" s="384" t="str">
        <f>IFERROR(IF(TRANSHARI10_SPVOUMALAM[[#This Row],[NAMA REKENING]]="","",TRANSHARI10_SPVOUMALAM[[#This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IFERROR(VLOOKUP(TRANSHARI10_SPVOUPAGI[[#This Row],[PRODUK]],DATA_SPVOU[],12,FALSE),"")</f>
        <v/>
      </c>
      <c r="E143" s="374"/>
      <c r="F143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3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3" s="12"/>
      <c r="I143" s="386" t="str">
        <f>IFERROR(IF(TRANSHARI10_SPVOUPAGI[[#This Row],[NAMA REKENING]]="","",TRANSHARI10_SPVOUPAGI[[#This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IFERROR(VLOOKUP(TRANSHARI10_SPVOUMALAM[[#This Row],[PRODUK]],DATA_SPVOU[],12,FALSE),"")</f>
        <v/>
      </c>
      <c r="T143" s="374"/>
      <c r="U143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3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3" s="12"/>
      <c r="X143" s="386" t="str">
        <f>IFERROR(IF(TRANSHARI10_SPVOUMALAM[[#This Row],[NAMA REKENING]]="","",TRANSHARI10_SPVOUMALAM[[#This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IFERROR(VLOOKUP(TRANSHARI10_SPVOUPAGI[[#This Row],[PRODUK]],DATA_SPVOU[],12,FALSE),"")</f>
        <v/>
      </c>
      <c r="E144" s="374"/>
      <c r="F144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4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4" s="12"/>
      <c r="I144" s="384" t="str">
        <f>IFERROR(IF(TRANSHARI10_SPVOUPAGI[[#This Row],[NAMA REKENING]]="","",TRANSHARI10_SPVOUPAGI[[#This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IFERROR(VLOOKUP(TRANSHARI10_SPVOUMALAM[[#This Row],[PRODUK]],DATA_SPVOU[],12,FALSE),"")</f>
        <v/>
      </c>
      <c r="T144" s="374"/>
      <c r="U144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4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4" s="12"/>
      <c r="X144" s="384" t="str">
        <f>IFERROR(IF(TRANSHARI10_SPVOUMALAM[[#This Row],[NAMA REKENING]]="","",TRANSHARI10_SPVOUMALAM[[#This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IFERROR(VLOOKUP(TRANSHARI10_SPVOUPAGI[[#This Row],[PRODUK]],DATA_SPVOU[],12,FALSE),"")</f>
        <v/>
      </c>
      <c r="E145" s="374"/>
      <c r="F145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5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5" s="12"/>
      <c r="I145" s="386" t="str">
        <f>IFERROR(IF(TRANSHARI10_SPVOUPAGI[[#This Row],[NAMA REKENING]]="","",TRANSHARI10_SPVOUPAGI[[#This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IFERROR(VLOOKUP(TRANSHARI10_SPVOUMALAM[[#This Row],[PRODUK]],DATA_SPVOU[],12,FALSE),"")</f>
        <v/>
      </c>
      <c r="T145" s="374"/>
      <c r="U145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5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5" s="12"/>
      <c r="X145" s="386" t="str">
        <f>IFERROR(IF(TRANSHARI10_SPVOUMALAM[[#This Row],[NAMA REKENING]]="","",TRANSHARI10_SPVOUMALAM[[#This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IFERROR(VLOOKUP(TRANSHARI10_SPVOUPAGI[[#This Row],[PRODUK]],DATA_SPVOU[],12,FALSE),"")</f>
        <v/>
      </c>
      <c r="E146" s="374"/>
      <c r="F146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6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6" s="12"/>
      <c r="I146" s="384" t="str">
        <f>IFERROR(IF(TRANSHARI10_SPVOUPAGI[[#This Row],[NAMA REKENING]]="","",TRANSHARI10_SPVOUPAGI[[#This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IFERROR(VLOOKUP(TRANSHARI10_SPVOUMALAM[[#This Row],[PRODUK]],DATA_SPVOU[],12,FALSE),"")</f>
        <v/>
      </c>
      <c r="T146" s="374"/>
      <c r="U146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6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6" s="12"/>
      <c r="X146" s="384" t="str">
        <f>IFERROR(IF(TRANSHARI10_SPVOUMALAM[[#This Row],[NAMA REKENING]]="","",TRANSHARI10_SPVOUMALAM[[#This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IFERROR(VLOOKUP(TRANSHARI10_SPVOUPAGI[[#This Row],[PRODUK]],DATA_SPVOU[],12,FALSE),"")</f>
        <v/>
      </c>
      <c r="E147" s="374"/>
      <c r="F147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7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7" s="12"/>
      <c r="I147" s="386" t="str">
        <f>IFERROR(IF(TRANSHARI10_SPVOUPAGI[[#This Row],[NAMA REKENING]]="","",TRANSHARI10_SPVOUPAGI[[#This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IFERROR(VLOOKUP(TRANSHARI10_SPVOUMALAM[[#This Row],[PRODUK]],DATA_SPVOU[],12,FALSE),"")</f>
        <v/>
      </c>
      <c r="T147" s="374"/>
      <c r="U147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7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7" s="12"/>
      <c r="X147" s="386" t="str">
        <f>IFERROR(IF(TRANSHARI10_SPVOUMALAM[[#This Row],[NAMA REKENING]]="","",TRANSHARI10_SPVOUMALAM[[#This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IFERROR(VLOOKUP(TRANSHARI10_SPVOUPAGI[[#This Row],[PRODUK]],DATA_SPVOU[],12,FALSE),"")</f>
        <v/>
      </c>
      <c r="E148" s="374"/>
      <c r="F148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8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8" s="12"/>
      <c r="I148" s="384" t="str">
        <f>IFERROR(IF(TRANSHARI10_SPVOUPAGI[[#This Row],[NAMA REKENING]]="","",TRANSHARI10_SPVOUPAGI[[#This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IFERROR(VLOOKUP(TRANSHARI10_SPVOUMALAM[[#This Row],[PRODUK]],DATA_SPVOU[],12,FALSE),"")</f>
        <v/>
      </c>
      <c r="T148" s="374"/>
      <c r="U148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8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8" s="12"/>
      <c r="X148" s="384" t="str">
        <f>IFERROR(IF(TRANSHARI10_SPVOUMALAM[[#This Row],[NAMA REKENING]]="","",TRANSHARI10_SPVOUMALAM[[#This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IFERROR(VLOOKUP(TRANSHARI10_SPVOUPAGI[[#This Row],[PRODUK]],DATA_SPVOU[],12,FALSE),"")</f>
        <v/>
      </c>
      <c r="E149" s="374"/>
      <c r="F149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49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49" s="12"/>
      <c r="I149" s="386" t="str">
        <f>IFERROR(IF(TRANSHARI10_SPVOUPAGI[[#This Row],[NAMA REKENING]]="","",TRANSHARI10_SPVOUPAGI[[#This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IFERROR(VLOOKUP(TRANSHARI10_SPVOUMALAM[[#This Row],[PRODUK]],DATA_SPVOU[],12,FALSE),"")</f>
        <v/>
      </c>
      <c r="T149" s="374"/>
      <c r="U149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49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49" s="12"/>
      <c r="X149" s="386" t="str">
        <f>IFERROR(IF(TRANSHARI10_SPVOUMALAM[[#This Row],[NAMA REKENING]]="","",TRANSHARI10_SPVOUMALAM[[#This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IFERROR(VLOOKUP(TRANSHARI10_SPVOUPAGI[[#This Row],[PRODUK]],DATA_SPVOU[],12,FALSE),"")</f>
        <v/>
      </c>
      <c r="E150" s="374"/>
      <c r="F150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0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0" s="12"/>
      <c r="I150" s="384" t="str">
        <f>IFERROR(IF(TRANSHARI10_SPVOUPAGI[[#This Row],[NAMA REKENING]]="","",TRANSHARI10_SPVOUPAGI[[#This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IFERROR(VLOOKUP(TRANSHARI10_SPVOUMALAM[[#This Row],[PRODUK]],DATA_SPVOU[],12,FALSE),"")</f>
        <v/>
      </c>
      <c r="T150" s="374"/>
      <c r="U150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0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0" s="12"/>
      <c r="X150" s="384" t="str">
        <f>IFERROR(IF(TRANSHARI10_SPVOUMALAM[[#This Row],[NAMA REKENING]]="","",TRANSHARI10_SPVOUMALAM[[#This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IFERROR(VLOOKUP(TRANSHARI10_SPVOUPAGI[[#This Row],[PRODUK]],DATA_SPVOU[],12,FALSE),"")</f>
        <v/>
      </c>
      <c r="E151" s="374"/>
      <c r="F151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1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1" s="12"/>
      <c r="I151" s="386" t="str">
        <f>IFERROR(IF(TRANSHARI10_SPVOUPAGI[[#This Row],[NAMA REKENING]]="","",TRANSHARI10_SPVOUPAGI[[#This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IFERROR(VLOOKUP(TRANSHARI10_SPVOUMALAM[[#This Row],[PRODUK]],DATA_SPVOU[],12,FALSE),"")</f>
        <v/>
      </c>
      <c r="T151" s="374"/>
      <c r="U151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1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1" s="12"/>
      <c r="X151" s="386" t="str">
        <f>IFERROR(IF(TRANSHARI10_SPVOUMALAM[[#This Row],[NAMA REKENING]]="","",TRANSHARI10_SPVOUMALAM[[#This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IFERROR(VLOOKUP(TRANSHARI10_SPVOUPAGI[[#This Row],[PRODUK]],DATA_SPVOU[],12,FALSE),"")</f>
        <v/>
      </c>
      <c r="E152" s="374"/>
      <c r="F152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2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2" s="12"/>
      <c r="I152" s="384" t="str">
        <f>IFERROR(IF(TRANSHARI10_SPVOUPAGI[[#This Row],[NAMA REKENING]]="","",TRANSHARI10_SPVOUPAGI[[#This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IFERROR(VLOOKUP(TRANSHARI10_SPVOUMALAM[[#This Row],[PRODUK]],DATA_SPVOU[],12,FALSE),"")</f>
        <v/>
      </c>
      <c r="T152" s="374"/>
      <c r="U152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2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2" s="12"/>
      <c r="X152" s="384" t="str">
        <f>IFERROR(IF(TRANSHARI10_SPVOUMALAM[[#This Row],[NAMA REKENING]]="","",TRANSHARI10_SPVOUMALAM[[#This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IFERROR(VLOOKUP(TRANSHARI10_SPVOUPAGI[[#This Row],[PRODUK]],DATA_SPVOU[],12,FALSE),"")</f>
        <v/>
      </c>
      <c r="E153" s="374"/>
      <c r="F153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3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3" s="12"/>
      <c r="I153" s="386" t="str">
        <f>IFERROR(IF(TRANSHARI10_SPVOUPAGI[[#This Row],[NAMA REKENING]]="","",TRANSHARI10_SPVOUPAGI[[#This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IFERROR(VLOOKUP(TRANSHARI10_SPVOUMALAM[[#This Row],[PRODUK]],DATA_SPVOU[],12,FALSE),"")</f>
        <v/>
      </c>
      <c r="T153" s="374"/>
      <c r="U153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3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3" s="12"/>
      <c r="X153" s="386" t="str">
        <f>IFERROR(IF(TRANSHARI10_SPVOUMALAM[[#This Row],[NAMA REKENING]]="","",TRANSHARI10_SPVOUMALAM[[#This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IFERROR(VLOOKUP(TRANSHARI10_SPVOUPAGI[[#This Row],[PRODUK]],DATA_SPVOU[],12,FALSE),"")</f>
        <v/>
      </c>
      <c r="E154" s="374"/>
      <c r="F154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4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4" s="12"/>
      <c r="I154" s="384" t="str">
        <f>IFERROR(IF(TRANSHARI10_SPVOUPAGI[[#This Row],[NAMA REKENING]]="","",TRANSHARI10_SPVOUPAGI[[#This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IFERROR(VLOOKUP(TRANSHARI10_SPVOUMALAM[[#This Row],[PRODUK]],DATA_SPVOU[],12,FALSE),"")</f>
        <v/>
      </c>
      <c r="T154" s="374"/>
      <c r="U154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4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4" s="12"/>
      <c r="X154" s="384" t="str">
        <f>IFERROR(IF(TRANSHARI10_SPVOUMALAM[[#This Row],[NAMA REKENING]]="","",TRANSHARI10_SPVOUMALAM[[#This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IFERROR(VLOOKUP(TRANSHARI10_SPVOUPAGI[[#This Row],[PRODUK]],DATA_SPVOU[],12,FALSE),"")</f>
        <v/>
      </c>
      <c r="E155" s="374"/>
      <c r="F155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5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5" s="12"/>
      <c r="I155" s="386" t="str">
        <f>IFERROR(IF(TRANSHARI10_SPVOUPAGI[[#This Row],[NAMA REKENING]]="","",TRANSHARI10_SPVOUPAGI[[#This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IFERROR(VLOOKUP(TRANSHARI10_SPVOUMALAM[[#This Row],[PRODUK]],DATA_SPVOU[],12,FALSE),"")</f>
        <v/>
      </c>
      <c r="T155" s="374"/>
      <c r="U155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5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5" s="12"/>
      <c r="X155" s="386" t="str">
        <f>IFERROR(IF(TRANSHARI10_SPVOUMALAM[[#This Row],[NAMA REKENING]]="","",TRANSHARI10_SPVOUMALAM[[#This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IFERROR(VLOOKUP(TRANSHARI10_SPVOUPAGI[[#This Row],[PRODUK]],DATA_SPVOU[],12,FALSE),"")</f>
        <v/>
      </c>
      <c r="E156" s="374"/>
      <c r="F156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6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6" s="12"/>
      <c r="I156" s="384" t="str">
        <f>IFERROR(IF(TRANSHARI10_SPVOUPAGI[[#This Row],[NAMA REKENING]]="","",TRANSHARI10_SPVOUPAGI[[#This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IFERROR(VLOOKUP(TRANSHARI10_SPVOUMALAM[[#This Row],[PRODUK]],DATA_SPVOU[],12,FALSE),"")</f>
        <v/>
      </c>
      <c r="T156" s="374"/>
      <c r="U156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6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6" s="12"/>
      <c r="X156" s="384" t="str">
        <f>IFERROR(IF(TRANSHARI10_SPVOUMALAM[[#This Row],[NAMA REKENING]]="","",TRANSHARI10_SPVOUMALAM[[#This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IFERROR(VLOOKUP(TRANSHARI10_SPVOUPAGI[[#This Row],[PRODUK]],DATA_SPVOU[],12,FALSE),"")</f>
        <v/>
      </c>
      <c r="E157" s="374"/>
      <c r="F157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7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7" s="12"/>
      <c r="I157" s="386" t="str">
        <f>IFERROR(IF(TRANSHARI10_SPVOUPAGI[[#This Row],[NAMA REKENING]]="","",TRANSHARI10_SPVOUPAGI[[#This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IFERROR(VLOOKUP(TRANSHARI10_SPVOUMALAM[[#This Row],[PRODUK]],DATA_SPVOU[],12,FALSE),"")</f>
        <v/>
      </c>
      <c r="T157" s="374"/>
      <c r="U157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7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7" s="12"/>
      <c r="X157" s="386" t="str">
        <f>IFERROR(IF(TRANSHARI10_SPVOUMALAM[[#This Row],[NAMA REKENING]]="","",TRANSHARI10_SPVOUMALAM[[#This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IFERROR(VLOOKUP(TRANSHARI10_SPVOUPAGI[[#This Row],[PRODUK]],DATA_SPVOU[],12,FALSE),"")</f>
        <v/>
      </c>
      <c r="E158" s="374"/>
      <c r="F158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8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8" s="12"/>
      <c r="I158" s="384" t="str">
        <f>IFERROR(IF(TRANSHARI10_SPVOUPAGI[[#This Row],[NAMA REKENING]]="","",TRANSHARI10_SPVOUPAGI[[#This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IFERROR(VLOOKUP(TRANSHARI10_SPVOUMALAM[[#This Row],[PRODUK]],DATA_SPVOU[],12,FALSE),"")</f>
        <v/>
      </c>
      <c r="T158" s="374"/>
      <c r="U158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8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8" s="12"/>
      <c r="X158" s="384" t="str">
        <f>IFERROR(IF(TRANSHARI10_SPVOUMALAM[[#This Row],[NAMA REKENING]]="","",TRANSHARI10_SPVOUMALAM[[#This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IFERROR(VLOOKUP(TRANSHARI10_SPVOUPAGI[[#This Row],[PRODUK]],DATA_SPVOU[],12,FALSE),"")</f>
        <v/>
      </c>
      <c r="E159" s="374"/>
      <c r="F159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59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59" s="12"/>
      <c r="I159" s="386" t="str">
        <f>IFERROR(IF(TRANSHARI10_SPVOUPAGI[[#This Row],[NAMA REKENING]]="","",TRANSHARI10_SPVOUPAGI[[#This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IFERROR(VLOOKUP(TRANSHARI10_SPVOUMALAM[[#This Row],[PRODUK]],DATA_SPVOU[],12,FALSE),"")</f>
        <v/>
      </c>
      <c r="T159" s="374"/>
      <c r="U159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59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59" s="12"/>
      <c r="X159" s="386" t="str">
        <f>IFERROR(IF(TRANSHARI10_SPVOUMALAM[[#This Row],[NAMA REKENING]]="","",TRANSHARI10_SPVOUMALAM[[#This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IFERROR(VLOOKUP(TRANSHARI10_SPVOUPAGI[[#This Row],[PRODUK]],DATA_SPVOU[],12,FALSE),"")</f>
        <v/>
      </c>
      <c r="E160" s="374"/>
      <c r="F160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0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0" s="12"/>
      <c r="I160" s="384" t="str">
        <f>IFERROR(IF(TRANSHARI10_SPVOUPAGI[[#This Row],[NAMA REKENING]]="","",TRANSHARI10_SPVOUPAGI[[#This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IFERROR(VLOOKUP(TRANSHARI10_SPVOUMALAM[[#This Row],[PRODUK]],DATA_SPVOU[],12,FALSE),"")</f>
        <v/>
      </c>
      <c r="T160" s="374"/>
      <c r="U160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0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0" s="12"/>
      <c r="X160" s="384" t="str">
        <f>IFERROR(IF(TRANSHARI10_SPVOUMALAM[[#This Row],[NAMA REKENING]]="","",TRANSHARI10_SPVOUMALAM[[#This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IFERROR(VLOOKUP(TRANSHARI10_SPVOUPAGI[[#This Row],[PRODUK]],DATA_SPVOU[],12,FALSE),"")</f>
        <v/>
      </c>
      <c r="E161" s="374"/>
      <c r="F161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1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1" s="12"/>
      <c r="I161" s="386" t="str">
        <f>IFERROR(IF(TRANSHARI10_SPVOUPAGI[[#This Row],[NAMA REKENING]]="","",TRANSHARI10_SPVOUPAGI[[#This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IFERROR(VLOOKUP(TRANSHARI10_SPVOUMALAM[[#This Row],[PRODUK]],DATA_SPVOU[],12,FALSE),"")</f>
        <v/>
      </c>
      <c r="T161" s="374"/>
      <c r="U161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1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1" s="12"/>
      <c r="X161" s="386" t="str">
        <f>IFERROR(IF(TRANSHARI10_SPVOUMALAM[[#This Row],[NAMA REKENING]]="","",TRANSHARI10_SPVOUMALAM[[#This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IFERROR(VLOOKUP(TRANSHARI10_SPVOUPAGI[[#This Row],[PRODUK]],DATA_SPVOU[],12,FALSE),"")</f>
        <v/>
      </c>
      <c r="E162" s="374"/>
      <c r="F162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2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2" s="12"/>
      <c r="I162" s="384" t="str">
        <f>IFERROR(IF(TRANSHARI10_SPVOUPAGI[[#This Row],[NAMA REKENING]]="","",TRANSHARI10_SPVOUPAGI[[#This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IFERROR(VLOOKUP(TRANSHARI10_SPVOUMALAM[[#This Row],[PRODUK]],DATA_SPVOU[],12,FALSE),"")</f>
        <v/>
      </c>
      <c r="T162" s="374"/>
      <c r="U162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2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2" s="12"/>
      <c r="X162" s="384" t="str">
        <f>IFERROR(IF(TRANSHARI10_SPVOUMALAM[[#This Row],[NAMA REKENING]]="","",TRANSHARI10_SPVOUMALAM[[#This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IFERROR(VLOOKUP(TRANSHARI10_SPVOUPAGI[[#This Row],[PRODUK]],DATA_SPVOU[],12,FALSE),"")</f>
        <v/>
      </c>
      <c r="E163" s="374"/>
      <c r="F163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3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3" s="12"/>
      <c r="I163" s="386" t="str">
        <f>IFERROR(IF(TRANSHARI10_SPVOUPAGI[[#This Row],[NAMA REKENING]]="","",TRANSHARI10_SPVOUPAGI[[#This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IFERROR(VLOOKUP(TRANSHARI10_SPVOUMALAM[[#This Row],[PRODUK]],DATA_SPVOU[],12,FALSE),"")</f>
        <v/>
      </c>
      <c r="T163" s="374"/>
      <c r="U163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3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3" s="12"/>
      <c r="X163" s="386" t="str">
        <f>IFERROR(IF(TRANSHARI10_SPVOUMALAM[[#This Row],[NAMA REKENING]]="","",TRANSHARI10_SPVOUMALAM[[#This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IFERROR(VLOOKUP(TRANSHARI10_SPVOUPAGI[[#This Row],[PRODUK]],DATA_SPVOU[],12,FALSE),"")</f>
        <v/>
      </c>
      <c r="E164" s="374"/>
      <c r="F164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4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4" s="12"/>
      <c r="I164" s="384" t="str">
        <f>IFERROR(IF(TRANSHARI10_SPVOUPAGI[[#This Row],[NAMA REKENING]]="","",TRANSHARI10_SPVOUPAGI[[#This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IFERROR(VLOOKUP(TRANSHARI10_SPVOUMALAM[[#This Row],[PRODUK]],DATA_SPVOU[],12,FALSE),"")</f>
        <v/>
      </c>
      <c r="T164" s="374"/>
      <c r="U164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4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4" s="12"/>
      <c r="X164" s="384" t="str">
        <f>IFERROR(IF(TRANSHARI10_SPVOUMALAM[[#This Row],[NAMA REKENING]]="","",TRANSHARI10_SPVOUMALAM[[#This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IFERROR(VLOOKUP(TRANSHARI10_SPVOUPAGI[[#This Row],[PRODUK]],DATA_SPVOU[],12,FALSE),"")</f>
        <v/>
      </c>
      <c r="E165" s="374"/>
      <c r="F165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5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5" s="12"/>
      <c r="I165" s="386" t="str">
        <f>IFERROR(IF(TRANSHARI10_SPVOUPAGI[[#This Row],[NAMA REKENING]]="","",TRANSHARI10_SPVOUPAGI[[#This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IFERROR(VLOOKUP(TRANSHARI10_SPVOUMALAM[[#This Row],[PRODUK]],DATA_SPVOU[],12,FALSE),"")</f>
        <v/>
      </c>
      <c r="T165" s="374"/>
      <c r="U165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5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5" s="12"/>
      <c r="X165" s="386" t="str">
        <f>IFERROR(IF(TRANSHARI10_SPVOUMALAM[[#This Row],[NAMA REKENING]]="","",TRANSHARI10_SPVOUMALAM[[#This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IFERROR(VLOOKUP(TRANSHARI10_SPVOUPAGI[[#This Row],[PRODUK]],DATA_SPVOU[],12,FALSE),"")</f>
        <v/>
      </c>
      <c r="E166" s="374"/>
      <c r="F166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6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6" s="12"/>
      <c r="I166" s="384" t="str">
        <f>IFERROR(IF(TRANSHARI10_SPVOUPAGI[[#This Row],[NAMA REKENING]]="","",TRANSHARI10_SPVOUPAGI[[#This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IFERROR(VLOOKUP(TRANSHARI10_SPVOUMALAM[[#This Row],[PRODUK]],DATA_SPVOU[],12,FALSE),"")</f>
        <v/>
      </c>
      <c r="T166" s="374"/>
      <c r="U166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6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6" s="12"/>
      <c r="X166" s="384" t="str">
        <f>IFERROR(IF(TRANSHARI10_SPVOUMALAM[[#This Row],[NAMA REKENING]]="","",TRANSHARI10_SPVOUMALAM[[#This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IFERROR(VLOOKUP(TRANSHARI10_SPVOUPAGI[[#This Row],[PRODUK]],DATA_SPVOU[],12,FALSE),"")</f>
        <v/>
      </c>
      <c r="E167" s="376"/>
      <c r="F167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7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7" s="377"/>
      <c r="I167" s="386" t="str">
        <f>IFERROR(IF(TRANSHARI10_SPVOUPAGI[[#This Row],[NAMA REKENING]]="","",TRANSHARI10_SPVOUPAGI[[#This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IFERROR(VLOOKUP(TRANSHARI10_SPVOUMALAM[[#This Row],[PRODUK]],DATA_SPVOU[],12,FALSE),"")</f>
        <v/>
      </c>
      <c r="T167" s="376"/>
      <c r="U167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7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7" s="377"/>
      <c r="X167" s="386" t="str">
        <f>IFERROR(IF(TRANSHARI10_SPVOUMALAM[[#This Row],[NAMA REKENING]]="","",TRANSHARI10_SPVOUMALAM[[#This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IFERROR(VLOOKUP(TRANSHARI10_SPVOUPAGI[[#This Row],[PRODUK]],DATA_SPVOU[],12,FALSE),"")</f>
        <v/>
      </c>
      <c r="E168" s="374"/>
      <c r="F168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8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8" s="12"/>
      <c r="I168" s="384" t="str">
        <f>IFERROR(IF(TRANSHARI10_SPVOUPAGI[[#This Row],[NAMA REKENING]]="","",TRANSHARI10_SPVOUPAGI[[#This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IFERROR(VLOOKUP(TRANSHARI10_SPVOUMALAM[[#This Row],[PRODUK]],DATA_SPVOU[],12,FALSE),"")</f>
        <v/>
      </c>
      <c r="T168" s="374"/>
      <c r="U168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8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8" s="12"/>
      <c r="X168" s="384" t="str">
        <f>IFERROR(IF(TRANSHARI10_SPVOUMALAM[[#This Row],[NAMA REKENING]]="","",TRANSHARI10_SPVOUMALAM[[#This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IFERROR(VLOOKUP(TRANSHARI10_SPVOUPAGI[[#This Row],[PRODUK]],DATA_SPVOU[],12,FALSE),"")</f>
        <v/>
      </c>
      <c r="E169" s="374"/>
      <c r="F169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69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69" s="12"/>
      <c r="I169" s="386" t="str">
        <f>IFERROR(IF(TRANSHARI10_SPVOUPAGI[[#This Row],[NAMA REKENING]]="","",TRANSHARI10_SPVOUPAGI[[#This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IFERROR(VLOOKUP(TRANSHARI10_SPVOUMALAM[[#This Row],[PRODUK]],DATA_SPVOU[],12,FALSE),"")</f>
        <v/>
      </c>
      <c r="T169" s="374"/>
      <c r="U169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69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69" s="12"/>
      <c r="X169" s="386" t="str">
        <f>IFERROR(IF(TRANSHARI10_SPVOUMALAM[[#This Row],[NAMA REKENING]]="","",TRANSHARI10_SPVOUMALAM[[#This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IFERROR(VLOOKUP(TRANSHARI10_SPVOUPAGI[[#This Row],[PRODUK]],DATA_SPVOU[],12,FALSE),"")</f>
        <v/>
      </c>
      <c r="E170" s="374"/>
      <c r="F170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0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0" s="12"/>
      <c r="I170" s="384" t="str">
        <f>IFERROR(IF(TRANSHARI10_SPVOUPAGI[[#This Row],[NAMA REKENING]]="","",TRANSHARI10_SPVOUPAGI[[#This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IFERROR(VLOOKUP(TRANSHARI10_SPVOUMALAM[[#This Row],[PRODUK]],DATA_SPVOU[],12,FALSE),"")</f>
        <v/>
      </c>
      <c r="T170" s="374"/>
      <c r="U170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0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0" s="12"/>
      <c r="X170" s="384" t="str">
        <f>IFERROR(IF(TRANSHARI10_SPVOUMALAM[[#This Row],[NAMA REKENING]]="","",TRANSHARI10_SPVOUMALAM[[#This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IFERROR(VLOOKUP(TRANSHARI10_SPVOUPAGI[[#This Row],[PRODUK]],DATA_SPVOU[],12,FALSE),"")</f>
        <v/>
      </c>
      <c r="E171" s="374"/>
      <c r="F171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1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1" s="12"/>
      <c r="I171" s="386" t="str">
        <f>IFERROR(IF(TRANSHARI10_SPVOUPAGI[[#This Row],[NAMA REKENING]]="","",TRANSHARI10_SPVOUPAGI[[#This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IFERROR(VLOOKUP(TRANSHARI10_SPVOUMALAM[[#This Row],[PRODUK]],DATA_SPVOU[],12,FALSE),"")</f>
        <v/>
      </c>
      <c r="T171" s="374"/>
      <c r="U171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1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1" s="12"/>
      <c r="X171" s="386" t="str">
        <f>IFERROR(IF(TRANSHARI10_SPVOUMALAM[[#This Row],[NAMA REKENING]]="","",TRANSHARI10_SPVOUMALAM[[#This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IFERROR(VLOOKUP(TRANSHARI10_SPVOUPAGI[[#This Row],[PRODUK]],DATA_SPVOU[],12,FALSE),"")</f>
        <v/>
      </c>
      <c r="E172" s="374"/>
      <c r="F172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2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2" s="12"/>
      <c r="I172" s="384" t="str">
        <f>IFERROR(IF(TRANSHARI10_SPVOUPAGI[[#This Row],[NAMA REKENING]]="","",TRANSHARI10_SPVOUPAGI[[#This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IFERROR(VLOOKUP(TRANSHARI10_SPVOUMALAM[[#This Row],[PRODUK]],DATA_SPVOU[],12,FALSE),"")</f>
        <v/>
      </c>
      <c r="T172" s="374"/>
      <c r="U172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2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2" s="12"/>
      <c r="X172" s="384" t="str">
        <f>IFERROR(IF(TRANSHARI10_SPVOUMALAM[[#This Row],[NAMA REKENING]]="","",TRANSHARI10_SPVOUMALAM[[#This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IFERROR(VLOOKUP(TRANSHARI10_SPVOUPAGI[[#This Row],[PRODUK]],DATA_SPVOU[],12,FALSE),"")</f>
        <v/>
      </c>
      <c r="E173" s="374"/>
      <c r="F173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3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3" s="12"/>
      <c r="I173" s="386" t="str">
        <f>IFERROR(IF(TRANSHARI10_SPVOUPAGI[[#This Row],[NAMA REKENING]]="","",TRANSHARI10_SPVOUPAGI[[#This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IFERROR(VLOOKUP(TRANSHARI10_SPVOUMALAM[[#This Row],[PRODUK]],DATA_SPVOU[],12,FALSE),"")</f>
        <v/>
      </c>
      <c r="T173" s="374"/>
      <c r="U173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3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3" s="12"/>
      <c r="X173" s="386" t="str">
        <f>IFERROR(IF(TRANSHARI10_SPVOUMALAM[[#This Row],[NAMA REKENING]]="","",TRANSHARI10_SPVOUMALAM[[#This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IFERROR(VLOOKUP(TRANSHARI10_SPVOUPAGI[[#This Row],[PRODUK]],DATA_SPVOU[],12,FALSE),"")</f>
        <v/>
      </c>
      <c r="E174" s="374"/>
      <c r="F174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4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4" s="12"/>
      <c r="I174" s="384" t="str">
        <f>IFERROR(IF(TRANSHARI10_SPVOUPAGI[[#This Row],[NAMA REKENING]]="","",TRANSHARI10_SPVOUPAGI[[#This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IFERROR(VLOOKUP(TRANSHARI10_SPVOUMALAM[[#This Row],[PRODUK]],DATA_SPVOU[],12,FALSE),"")</f>
        <v/>
      </c>
      <c r="T174" s="374"/>
      <c r="U174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4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4" s="12"/>
      <c r="X174" s="384" t="str">
        <f>IFERROR(IF(TRANSHARI10_SPVOUMALAM[[#This Row],[NAMA REKENING]]="","",TRANSHARI10_SPVOUMALAM[[#This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IFERROR(VLOOKUP(TRANSHARI10_SPVOUPAGI[[#This Row],[PRODUK]],DATA_SPVOU[],12,FALSE),"")</f>
        <v/>
      </c>
      <c r="E175" s="374"/>
      <c r="F175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5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5" s="12"/>
      <c r="I175" s="386" t="str">
        <f>IFERROR(IF(TRANSHARI10_SPVOUPAGI[[#This Row],[NAMA REKENING]]="","",TRANSHARI10_SPVOUPAGI[[#This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IFERROR(VLOOKUP(TRANSHARI10_SPVOUMALAM[[#This Row],[PRODUK]],DATA_SPVOU[],12,FALSE),"")</f>
        <v/>
      </c>
      <c r="T175" s="374"/>
      <c r="U175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5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5" s="12"/>
      <c r="X175" s="386" t="str">
        <f>IFERROR(IF(TRANSHARI10_SPVOUMALAM[[#This Row],[NAMA REKENING]]="","",TRANSHARI10_SPVOUMALAM[[#This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IFERROR(VLOOKUP(TRANSHARI10_SPVOUPAGI[[#This Row],[PRODUK]],DATA_SPVOU[],12,FALSE),"")</f>
        <v/>
      </c>
      <c r="E176" s="374"/>
      <c r="F176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6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6" s="12"/>
      <c r="I176" s="384" t="str">
        <f>IFERROR(IF(TRANSHARI10_SPVOUPAGI[[#This Row],[NAMA REKENING]]="","",TRANSHARI10_SPVOUPAGI[[#This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IFERROR(VLOOKUP(TRANSHARI10_SPVOUMALAM[[#This Row],[PRODUK]],DATA_SPVOU[],12,FALSE),"")</f>
        <v/>
      </c>
      <c r="T176" s="374"/>
      <c r="U176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6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6" s="12"/>
      <c r="X176" s="384" t="str">
        <f>IFERROR(IF(TRANSHARI10_SPVOUMALAM[[#This Row],[NAMA REKENING]]="","",TRANSHARI10_SPVOUMALAM[[#This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IFERROR(VLOOKUP(TRANSHARI10_SPVOUPAGI[[#This Row],[PRODUK]],DATA_SPVOU[],12,FALSE),"")</f>
        <v/>
      </c>
      <c r="E177" s="374"/>
      <c r="F177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7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7" s="12"/>
      <c r="I177" s="386" t="str">
        <f>IFERROR(IF(TRANSHARI10_SPVOUPAGI[[#This Row],[NAMA REKENING]]="","",TRANSHARI10_SPVOUPAGI[[#This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IFERROR(VLOOKUP(TRANSHARI10_SPVOUMALAM[[#This Row],[PRODUK]],DATA_SPVOU[],12,FALSE),"")</f>
        <v/>
      </c>
      <c r="T177" s="374"/>
      <c r="U177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7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7" s="12"/>
      <c r="X177" s="386" t="str">
        <f>IFERROR(IF(TRANSHARI10_SPVOUMALAM[[#This Row],[NAMA REKENING]]="","",TRANSHARI10_SPVOUMALAM[[#This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IFERROR(VLOOKUP(TRANSHARI10_SPVOUPAGI[[#This Row],[PRODUK]],DATA_SPVOU[],12,FALSE),"")</f>
        <v/>
      </c>
      <c r="E178" s="374"/>
      <c r="F178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8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8" s="12"/>
      <c r="I178" s="384" t="str">
        <f>IFERROR(IF(TRANSHARI10_SPVOUPAGI[[#This Row],[NAMA REKENING]]="","",TRANSHARI10_SPVOUPAGI[[#This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IFERROR(VLOOKUP(TRANSHARI10_SPVOUMALAM[[#This Row],[PRODUK]],DATA_SPVOU[],12,FALSE),"")</f>
        <v/>
      </c>
      <c r="T178" s="374"/>
      <c r="U178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8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8" s="12"/>
      <c r="X178" s="384" t="str">
        <f>IFERROR(IF(TRANSHARI10_SPVOUMALAM[[#This Row],[NAMA REKENING]]="","",TRANSHARI10_SPVOUMALAM[[#This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IFERROR(VLOOKUP(TRANSHARI10_SPVOUPAGI[[#This Row],[PRODUK]],DATA_SPVOU[],12,FALSE),"")</f>
        <v/>
      </c>
      <c r="E179" s="374"/>
      <c r="F179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79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79" s="12"/>
      <c r="I179" s="386" t="str">
        <f>IFERROR(IF(TRANSHARI10_SPVOUPAGI[[#This Row],[NAMA REKENING]]="","",TRANSHARI10_SPVOUPAGI[[#This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IFERROR(VLOOKUP(TRANSHARI10_SPVOUMALAM[[#This Row],[PRODUK]],DATA_SPVOU[],12,FALSE),"")</f>
        <v/>
      </c>
      <c r="T179" s="374"/>
      <c r="U179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79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79" s="12"/>
      <c r="X179" s="386" t="str">
        <f>IFERROR(IF(TRANSHARI10_SPVOUMALAM[[#This Row],[NAMA REKENING]]="","",TRANSHARI10_SPVOUMALAM[[#This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IFERROR(VLOOKUP(TRANSHARI10_SPVOUPAGI[[#This Row],[PRODUK]],DATA_SPVOU[],12,FALSE),"")</f>
        <v/>
      </c>
      <c r="E180" s="374"/>
      <c r="F180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0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0" s="12"/>
      <c r="I180" s="384" t="str">
        <f>IFERROR(IF(TRANSHARI10_SPVOUPAGI[[#This Row],[NAMA REKENING]]="","",TRANSHARI10_SPVOUPAGI[[#This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IFERROR(VLOOKUP(TRANSHARI10_SPVOUMALAM[[#This Row],[PRODUK]],DATA_SPVOU[],12,FALSE),"")</f>
        <v/>
      </c>
      <c r="T180" s="374"/>
      <c r="U180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0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0" s="12"/>
      <c r="X180" s="384" t="str">
        <f>IFERROR(IF(TRANSHARI10_SPVOUMALAM[[#This Row],[NAMA REKENING]]="","",TRANSHARI10_SPVOUMALAM[[#This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IFERROR(VLOOKUP(TRANSHARI10_SPVOUPAGI[[#This Row],[PRODUK]],DATA_SPVOU[],12,FALSE),"")</f>
        <v/>
      </c>
      <c r="E181" s="374"/>
      <c r="F181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1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1" s="12"/>
      <c r="I181" s="386" t="str">
        <f>IFERROR(IF(TRANSHARI10_SPVOUPAGI[[#This Row],[NAMA REKENING]]="","",TRANSHARI10_SPVOUPAGI[[#This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IFERROR(VLOOKUP(TRANSHARI10_SPVOUMALAM[[#This Row],[PRODUK]],DATA_SPVOU[],12,FALSE),"")</f>
        <v/>
      </c>
      <c r="T181" s="374"/>
      <c r="U181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1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1" s="12"/>
      <c r="X181" s="386" t="str">
        <f>IFERROR(IF(TRANSHARI10_SPVOUMALAM[[#This Row],[NAMA REKENING]]="","",TRANSHARI10_SPVOUMALAM[[#This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IFERROR(VLOOKUP(TRANSHARI10_SPVOUPAGI[[#This Row],[PRODUK]],DATA_SPVOU[],12,FALSE),"")</f>
        <v/>
      </c>
      <c r="E182" s="374"/>
      <c r="F182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2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2" s="12"/>
      <c r="I182" s="384" t="str">
        <f>IFERROR(IF(TRANSHARI10_SPVOUPAGI[[#This Row],[NAMA REKENING]]="","",TRANSHARI10_SPVOUPAGI[[#This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IFERROR(VLOOKUP(TRANSHARI10_SPVOUMALAM[[#This Row],[PRODUK]],DATA_SPVOU[],12,FALSE),"")</f>
        <v/>
      </c>
      <c r="T182" s="374"/>
      <c r="U182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2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2" s="12"/>
      <c r="X182" s="384" t="str">
        <f>IFERROR(IF(TRANSHARI10_SPVOUMALAM[[#This Row],[NAMA REKENING]]="","",TRANSHARI10_SPVOUMALAM[[#This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IFERROR(VLOOKUP(TRANSHARI10_SPVOUPAGI[[#This Row],[PRODUK]],DATA_SPVOU[],12,FALSE),"")</f>
        <v/>
      </c>
      <c r="E183" s="374"/>
      <c r="F183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3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3" s="12"/>
      <c r="I183" s="386" t="str">
        <f>IFERROR(IF(TRANSHARI10_SPVOUPAGI[[#This Row],[NAMA REKENING]]="","",TRANSHARI10_SPVOUPAGI[[#This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IFERROR(VLOOKUP(TRANSHARI10_SPVOUMALAM[[#This Row],[PRODUK]],DATA_SPVOU[],12,FALSE),"")</f>
        <v/>
      </c>
      <c r="T183" s="374"/>
      <c r="U183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3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3" s="12"/>
      <c r="X183" s="386" t="str">
        <f>IFERROR(IF(TRANSHARI10_SPVOUMALAM[[#This Row],[NAMA REKENING]]="","",TRANSHARI10_SPVOUMALAM[[#This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IFERROR(VLOOKUP(TRANSHARI10_SPVOUPAGI[[#This Row],[PRODUK]],DATA_SPVOU[],12,FALSE),"")</f>
        <v/>
      </c>
      <c r="E184" s="374"/>
      <c r="F184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4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4" s="12"/>
      <c r="I184" s="384" t="str">
        <f>IFERROR(IF(TRANSHARI10_SPVOUPAGI[[#This Row],[NAMA REKENING]]="","",TRANSHARI10_SPVOUPAGI[[#This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IFERROR(VLOOKUP(TRANSHARI10_SPVOUMALAM[[#This Row],[PRODUK]],DATA_SPVOU[],12,FALSE),"")</f>
        <v/>
      </c>
      <c r="T184" s="374"/>
      <c r="U184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4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4" s="12"/>
      <c r="X184" s="384" t="str">
        <f>IFERROR(IF(TRANSHARI10_SPVOUMALAM[[#This Row],[NAMA REKENING]]="","",TRANSHARI10_SPVOUMALAM[[#This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IFERROR(VLOOKUP(TRANSHARI10_SPVOUPAGI[[#This Row],[PRODUK]],DATA_SPVOU[],12,FALSE),"")</f>
        <v/>
      </c>
      <c r="E185" s="374"/>
      <c r="F185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5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5" s="12"/>
      <c r="I185" s="386" t="str">
        <f>IFERROR(IF(TRANSHARI10_SPVOUPAGI[[#This Row],[NAMA REKENING]]="","",TRANSHARI10_SPVOUPAGI[[#This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IFERROR(VLOOKUP(TRANSHARI10_SPVOUMALAM[[#This Row],[PRODUK]],DATA_SPVOU[],12,FALSE),"")</f>
        <v/>
      </c>
      <c r="T185" s="374"/>
      <c r="U185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5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5" s="12"/>
      <c r="X185" s="386" t="str">
        <f>IFERROR(IF(TRANSHARI10_SPVOUMALAM[[#This Row],[NAMA REKENING]]="","",TRANSHARI10_SPVOUMALAM[[#This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IFERROR(VLOOKUP(TRANSHARI10_SPVOUPAGI[[#This Row],[PRODUK]],DATA_SPVOU[],12,FALSE),"")</f>
        <v/>
      </c>
      <c r="E186" s="374"/>
      <c r="F186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6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6" s="12"/>
      <c r="I186" s="384" t="str">
        <f>IFERROR(IF(TRANSHARI10_SPVOUPAGI[[#This Row],[NAMA REKENING]]="","",TRANSHARI10_SPVOUPAGI[[#This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IFERROR(VLOOKUP(TRANSHARI10_SPVOUMALAM[[#This Row],[PRODUK]],DATA_SPVOU[],12,FALSE),"")</f>
        <v/>
      </c>
      <c r="T186" s="374"/>
      <c r="U186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6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6" s="12"/>
      <c r="X186" s="384" t="str">
        <f>IFERROR(IF(TRANSHARI10_SPVOUMALAM[[#This Row],[NAMA REKENING]]="","",TRANSHARI10_SPVOUMALAM[[#This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IFERROR(VLOOKUP(TRANSHARI10_SPVOUPAGI[[#This Row],[PRODUK]],DATA_SPVOU[],12,FALSE),"")</f>
        <v/>
      </c>
      <c r="E187" s="374"/>
      <c r="F187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7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7" s="12"/>
      <c r="I187" s="386" t="str">
        <f>IFERROR(IF(TRANSHARI10_SPVOUPAGI[[#This Row],[NAMA REKENING]]="","",TRANSHARI10_SPVOUPAGI[[#This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IFERROR(VLOOKUP(TRANSHARI10_SPVOUMALAM[[#This Row],[PRODUK]],DATA_SPVOU[],12,FALSE),"")</f>
        <v/>
      </c>
      <c r="T187" s="374"/>
      <c r="U187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7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7" s="12"/>
      <c r="X187" s="386" t="str">
        <f>IFERROR(IF(TRANSHARI10_SPVOUMALAM[[#This Row],[NAMA REKENING]]="","",TRANSHARI10_SPVOUMALAM[[#This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IFERROR(VLOOKUP(TRANSHARI10_SPVOUPAGI[[#This Row],[PRODUK]],DATA_SPVOU[],12,FALSE),"")</f>
        <v/>
      </c>
      <c r="E188" s="374"/>
      <c r="F188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8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8" s="12"/>
      <c r="I188" s="384" t="str">
        <f>IFERROR(IF(TRANSHARI10_SPVOUPAGI[[#This Row],[NAMA REKENING]]="","",TRANSHARI10_SPVOUPAGI[[#This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IFERROR(VLOOKUP(TRANSHARI10_SPVOUMALAM[[#This Row],[PRODUK]],DATA_SPVOU[],12,FALSE),"")</f>
        <v/>
      </c>
      <c r="T188" s="374"/>
      <c r="U188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8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8" s="12"/>
      <c r="X188" s="384" t="str">
        <f>IFERROR(IF(TRANSHARI10_SPVOUMALAM[[#This Row],[NAMA REKENING]]="","",TRANSHARI10_SPVOUMALAM[[#This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IFERROR(VLOOKUP(TRANSHARI10_SPVOUPAGI[[#This Row],[PRODUK]],DATA_SPVOU[],12,FALSE),"")</f>
        <v/>
      </c>
      <c r="E189" s="374"/>
      <c r="F189" s="373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89" s="373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89" s="12"/>
      <c r="I189" s="386" t="str">
        <f>IFERROR(IF(TRANSHARI10_SPVOUPAGI[[#This Row],[NAMA REKENING]]="","",TRANSHARI10_SPVOUPAGI[[#This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IFERROR(VLOOKUP(TRANSHARI10_SPVOUMALAM[[#This Row],[PRODUK]],DATA_SPVOU[],12,FALSE),"")</f>
        <v/>
      </c>
      <c r="T189" s="374"/>
      <c r="U189" s="373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89" s="373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89" s="12"/>
      <c r="X189" s="386" t="str">
        <f>IFERROR(IF(TRANSHARI10_SPVOUMALAM[[#This Row],[NAMA REKENING]]="","",TRANSHARI10_SPVOUMALAM[[#This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IFERROR(VLOOKUP(TRANSHARI10_SPVOUPAGI[[#This Row],[PRODUK]],DATA_SPVOU[],12,FALSE),"")</f>
        <v/>
      </c>
      <c r="E190" s="374"/>
      <c r="F190" s="369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90" s="369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90" s="12"/>
      <c r="I190" s="384" t="str">
        <f>IFERROR(IF(TRANSHARI10_SPVOUPAGI[[#This Row],[NAMA REKENING]]="","",TRANSHARI10_SPVOUPAGI[[#This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IFERROR(VLOOKUP(TRANSHARI10_SPVOUMALAM[[#This Row],[PRODUK]],DATA_SPVOU[],12,FALSE),"")</f>
        <v/>
      </c>
      <c r="T190" s="374"/>
      <c r="U190" s="369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90" s="369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90" s="12"/>
      <c r="X190" s="384" t="str">
        <f>IFERROR(IF(TRANSHARI10_SPVOUMALAM[[#This Row],[NAMA REKENING]]="","",TRANSHARI10_SPVOUMALAM[[#This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IFERROR(VLOOKUP(TRANSHARI10_SPVOUPAGI[[#This Row],[PRODUK]],DATA_SPVOU[],12,FALSE),"")</f>
        <v/>
      </c>
      <c r="E191" s="376"/>
      <c r="F191" s="394" t="str">
        <f>IFERROR(IF(TRANSHARI10_SPVOUPAGI[[#This Row],[NAMA PENGHUTANG]]="",((TRANSHARI10_SPVOUPAGI[[#This Row],[HARGA]]*TRANSHARI10_SPVOUPAGI[[#This Row],[QUANTITY]])+TRANSHARI10_SPVOUPAGI[[#This Row],[PRICE TOLERANCE]]),""),"")</f>
        <v/>
      </c>
      <c r="G191" s="394" t="str">
        <f>IFERROR(IF(TRANSHARI10_SPVOUPAGI[[#This Row],[NAMA PENGHUTANG]]="","",((TRANSHARI10_SPVOUPAGI[[#This Row],[HARGA]]*TRANSHARI10_SPVOUPAGI[[#This Row],[QUANTITY]])+TRANSHARI10_SPVOUPAGI[[#This Row],[PRICE TOLERANCE]])),"")</f>
        <v/>
      </c>
      <c r="H191" s="377"/>
      <c r="I191" s="399" t="str">
        <f>IFERROR(IF(TRANSHARI10_SPVOUPAGI[[#This Row],[NAMA REKENING]]="","",TRANSHARI10_SPVOUPAGI[[#This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IFERROR(VLOOKUP(TRANSHARI10_SPVOUMALAM[[#This Row],[PRODUK]],DATA_SPVOU[],12,FALSE),"")</f>
        <v/>
      </c>
      <c r="T191" s="376"/>
      <c r="U191" s="394" t="str">
        <f>IFERROR(IF(TRANSHARI10_SPVOUMALAM[[#This Row],[NAMA PENGHUTANG]]="",((TRANSHARI10_SPVOUMALAM[[#This Row],[HARGA]]*TRANSHARI10_SPVOUMALAM[[#This Row],[QUANTITY]])+TRANSHARI10_SPVOUMALAM[[#This Row],[PRICE TOLERANCE]]),""),"")</f>
        <v/>
      </c>
      <c r="V191" s="394" t="str">
        <f>IFERROR(IF(TRANSHARI10_SPVOUMALAM[[#This Row],[NAMA PENGHUTANG]]="","",((TRANSHARI10_SPVOUMALAM[[#This Row],[HARGA]]*TRANSHARI10_SPVOUMALAM[[#This Row],[QUANTITY]])+TRANSHARI10_SPVOUMALAM[[#This Row],[PRICE TOLERANCE]])),"")</f>
        <v/>
      </c>
      <c r="W191" s="377"/>
      <c r="X191" s="399" t="str">
        <f>IFERROR(IF(TRANSHARI10_SPVOUMALAM[[#This Row],[NAMA REKENING]]="","",TRANSHARI10_SPVOUMALAM[[#This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SUM(TRANSHARI10_SPVOUPAGI[QUANTITY])</f>
        <v>0</v>
      </c>
      <c r="E192" s="398">
        <f>SUM(TRANSHARI10_SPVOUPAGI[PRICE TOLERANCE])</f>
        <v>0</v>
      </c>
      <c r="F192" s="396">
        <f>SUM(TRANSHARI10_SPVOUPAGI[DEBIT])</f>
        <v>0</v>
      </c>
      <c r="G192" s="396">
        <f>SUM(TRANSHARI10_SPVOUPAGI[KREDIT])</f>
        <v>0</v>
      </c>
      <c r="I192" s="396">
        <f>SUM(TRANSHARI10_SPVOUPAGI[NOMINAL TRANSFER])</f>
        <v>0</v>
      </c>
      <c r="O192" s="324"/>
      <c r="P192" s="303" t="s">
        <v>78</v>
      </c>
      <c r="Q192" s="316"/>
      <c r="R192" s="395">
        <f>SUM(TRANSHARI10_SPVOUMALAM[QUANTITY])</f>
        <v>0</v>
      </c>
      <c r="T192" s="398">
        <f>SUM(TRANSHARI10_SPVOUMALAM[PRICE TOLERANCE])</f>
        <v>0</v>
      </c>
      <c r="U192" s="396">
        <f>SUM(TRANSHARI10_SPVOUMALAM[DEBIT])</f>
        <v>0</v>
      </c>
      <c r="V192" s="396">
        <f>SUM(TRANSHARI10_SPVOUMALAM[KREDIT])</f>
        <v>0</v>
      </c>
      <c r="X192" s="396">
        <f>SUM(TRANSHARI10_SPVOUMALAM[NOMINAL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tr">
        <f>A25</f>
        <v>HARI 10 : PAGI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tr">
        <f>P25</f>
        <v>HARI 10 : MALAM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IFERROR(VLOOKUP(TRANSHARI10_SOFTDRINKPAGI[[#This Row],[PRODUK]],DATA_SOFTDRINK[],12,FALSE),"")</f>
        <v/>
      </c>
      <c r="E199" s="370"/>
      <c r="F199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199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199" s="371"/>
      <c r="I199" s="384" t="str">
        <f>IFERROR(IF(TRANSHARI10_SOFTDRINKPAGI[[#This Row],[NAMA REKENING]]="","",TRANSHARI10_SOFTDRINKPAGI[[#This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IFERROR(VLOOKUP(TRANSHARI10_SOFTDRINKMALAM[[#This Row],[PRODUK]],DATA_SOFTDRINK[],12,FALSE),"")</f>
        <v/>
      </c>
      <c r="T199" s="370"/>
      <c r="U199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199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199" s="371"/>
      <c r="X199" s="384" t="str">
        <f>IFERROR(IF(TRANSHARI10_SOFTDRINKMALAM[[#This Row],[NAMA REKENING]]="","",TRANSHARI10_SOFTDRINKMALAM[[#This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IFERROR(VLOOKUP(TRANSHARI10_SOFTDRINKPAGI[[#This Row],[PRODUK]],DATA_SOFTDRINK[],12,FALSE),"")</f>
        <v/>
      </c>
      <c r="E200" s="374"/>
      <c r="F200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0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0" s="12"/>
      <c r="I200" s="386" t="str">
        <f>IFERROR(IF(TRANSHARI10_SOFTDRINKPAGI[[#This Row],[NAMA REKENING]]="","",TRANSHARI10_SOFTDRINKPAGI[[#This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IFERROR(VLOOKUP(TRANSHARI10_SOFTDRINKMALAM[[#This Row],[PRODUK]],DATA_SOFTDRINK[],12,FALSE),"")</f>
        <v/>
      </c>
      <c r="T200" s="374"/>
      <c r="U200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0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0" s="12"/>
      <c r="X200" s="386" t="str">
        <f>IFERROR(IF(TRANSHARI10_SOFTDRINKMALAM[[#This Row],[NAMA REKENING]]="","",TRANSHARI10_SOFTDRINKMALAM[[#This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IFERROR(VLOOKUP(TRANSHARI10_SOFTDRINKPAGI[[#This Row],[PRODUK]],DATA_SOFTDRINK[],12,FALSE),"")</f>
        <v/>
      </c>
      <c r="E201" s="374"/>
      <c r="F201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1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1" s="12"/>
      <c r="I201" s="384" t="str">
        <f>IFERROR(IF(TRANSHARI10_SOFTDRINKPAGI[[#This Row],[NAMA REKENING]]="","",TRANSHARI10_SOFTDRINKPAGI[[#This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IFERROR(VLOOKUP(TRANSHARI10_SOFTDRINKMALAM[[#This Row],[PRODUK]],DATA_SOFTDRINK[],12,FALSE),"")</f>
        <v/>
      </c>
      <c r="T201" s="374"/>
      <c r="U201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1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1" s="12"/>
      <c r="X201" s="384" t="str">
        <f>IFERROR(IF(TRANSHARI10_SOFTDRINKMALAM[[#This Row],[NAMA REKENING]]="","",TRANSHARI10_SOFTDRINKMALAM[[#This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IFERROR(VLOOKUP(TRANSHARI10_SOFTDRINKPAGI[[#This Row],[PRODUK]],DATA_SOFTDRINK[],12,FALSE),"")</f>
        <v/>
      </c>
      <c r="E202" s="374"/>
      <c r="F202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2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2" s="12"/>
      <c r="I202" s="386" t="str">
        <f>IFERROR(IF(TRANSHARI10_SOFTDRINKPAGI[[#This Row],[NAMA REKENING]]="","",TRANSHARI10_SOFTDRINKPAGI[[#This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IFERROR(VLOOKUP(TRANSHARI10_SOFTDRINKMALAM[[#This Row],[PRODUK]],DATA_SOFTDRINK[],12,FALSE),"")</f>
        <v/>
      </c>
      <c r="T202" s="374"/>
      <c r="U202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2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2" s="12"/>
      <c r="X202" s="386" t="str">
        <f>IFERROR(IF(TRANSHARI10_SOFTDRINKMALAM[[#This Row],[NAMA REKENING]]="","",TRANSHARI10_SOFTDRINKMALAM[[#This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IFERROR(VLOOKUP(TRANSHARI10_SOFTDRINKPAGI[[#This Row],[PRODUK]],DATA_SOFTDRINK[],12,FALSE),"")</f>
        <v/>
      </c>
      <c r="E203" s="374"/>
      <c r="F203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3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3" s="12"/>
      <c r="I203" s="384" t="str">
        <f>IFERROR(IF(TRANSHARI10_SOFTDRINKPAGI[[#This Row],[NAMA REKENING]]="","",TRANSHARI10_SOFTDRINKPAGI[[#This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IFERROR(VLOOKUP(TRANSHARI10_SOFTDRINKMALAM[[#This Row],[PRODUK]],DATA_SOFTDRINK[],12,FALSE),"")</f>
        <v/>
      </c>
      <c r="T203" s="374"/>
      <c r="U203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3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3" s="12"/>
      <c r="X203" s="384" t="str">
        <f>IFERROR(IF(TRANSHARI10_SOFTDRINKMALAM[[#This Row],[NAMA REKENING]]="","",TRANSHARI10_SOFTDRINKMALAM[[#This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IFERROR(VLOOKUP(TRANSHARI10_SOFTDRINKPAGI[[#This Row],[PRODUK]],DATA_SOFTDRINK[],12,FALSE),"")</f>
        <v/>
      </c>
      <c r="E204" s="374"/>
      <c r="F204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4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4" s="12"/>
      <c r="I204" s="386" t="str">
        <f>IFERROR(IF(TRANSHARI10_SOFTDRINKPAGI[[#This Row],[NAMA REKENING]]="","",TRANSHARI10_SOFTDRINKPAGI[[#This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IFERROR(VLOOKUP(TRANSHARI10_SOFTDRINKMALAM[[#This Row],[PRODUK]],DATA_SOFTDRINK[],12,FALSE),"")</f>
        <v/>
      </c>
      <c r="T204" s="374"/>
      <c r="U204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4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4" s="12"/>
      <c r="X204" s="386" t="str">
        <f>IFERROR(IF(TRANSHARI10_SOFTDRINKMALAM[[#This Row],[NAMA REKENING]]="","",TRANSHARI10_SOFTDRINKMALAM[[#This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IFERROR(VLOOKUP(TRANSHARI10_SOFTDRINKPAGI[[#This Row],[PRODUK]],DATA_SOFTDRINK[],12,FALSE),"")</f>
        <v/>
      </c>
      <c r="E205" s="374"/>
      <c r="F205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5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5" s="12"/>
      <c r="I205" s="384" t="str">
        <f>IFERROR(IF(TRANSHARI10_SOFTDRINKPAGI[[#This Row],[NAMA REKENING]]="","",TRANSHARI10_SOFTDRINKPAGI[[#This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IFERROR(VLOOKUP(TRANSHARI10_SOFTDRINKMALAM[[#This Row],[PRODUK]],DATA_SOFTDRINK[],12,FALSE),"")</f>
        <v/>
      </c>
      <c r="T205" s="374"/>
      <c r="U205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5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5" s="12"/>
      <c r="X205" s="384" t="str">
        <f>IFERROR(IF(TRANSHARI10_SOFTDRINKMALAM[[#This Row],[NAMA REKENING]]="","",TRANSHARI10_SOFTDRINKMALAM[[#This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IFERROR(VLOOKUP(TRANSHARI10_SOFTDRINKPAGI[[#This Row],[PRODUK]],DATA_SOFTDRINK[],12,FALSE),"")</f>
        <v/>
      </c>
      <c r="E206" s="374"/>
      <c r="F206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6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6" s="12"/>
      <c r="I206" s="386" t="str">
        <f>IFERROR(IF(TRANSHARI10_SOFTDRINKPAGI[[#This Row],[NAMA REKENING]]="","",TRANSHARI10_SOFTDRINKPAGI[[#This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IFERROR(VLOOKUP(TRANSHARI10_SOFTDRINKMALAM[[#This Row],[PRODUK]],DATA_SOFTDRINK[],12,FALSE),"")</f>
        <v/>
      </c>
      <c r="T206" s="374"/>
      <c r="U206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6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6" s="12"/>
      <c r="X206" s="386" t="str">
        <f>IFERROR(IF(TRANSHARI10_SOFTDRINKMALAM[[#This Row],[NAMA REKENING]]="","",TRANSHARI10_SOFTDRINKMALAM[[#This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IFERROR(VLOOKUP(TRANSHARI10_SOFTDRINKPAGI[[#This Row],[PRODUK]],DATA_SOFTDRINK[],12,FALSE),"")</f>
        <v/>
      </c>
      <c r="E207" s="374"/>
      <c r="F207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7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7" s="12"/>
      <c r="I207" s="384" t="str">
        <f>IFERROR(IF(TRANSHARI10_SOFTDRINKPAGI[[#This Row],[NAMA REKENING]]="","",TRANSHARI10_SOFTDRINKPAGI[[#This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IFERROR(VLOOKUP(TRANSHARI10_SOFTDRINKMALAM[[#This Row],[PRODUK]],DATA_SOFTDRINK[],12,FALSE),"")</f>
        <v/>
      </c>
      <c r="T207" s="374"/>
      <c r="U207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7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7" s="12"/>
      <c r="X207" s="384" t="str">
        <f>IFERROR(IF(TRANSHARI10_SOFTDRINKMALAM[[#This Row],[NAMA REKENING]]="","",TRANSHARI10_SOFTDRINKMALAM[[#This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IFERROR(VLOOKUP(TRANSHARI10_SOFTDRINKPAGI[[#This Row],[PRODUK]],DATA_SOFTDRINK[],12,FALSE),"")</f>
        <v/>
      </c>
      <c r="E208" s="374"/>
      <c r="F208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8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8" s="12"/>
      <c r="I208" s="386" t="str">
        <f>IFERROR(IF(TRANSHARI10_SOFTDRINKPAGI[[#This Row],[NAMA REKENING]]="","",TRANSHARI10_SOFTDRINKPAGI[[#This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IFERROR(VLOOKUP(TRANSHARI10_SOFTDRINKMALAM[[#This Row],[PRODUK]],DATA_SOFTDRINK[],12,FALSE),"")</f>
        <v/>
      </c>
      <c r="T208" s="374"/>
      <c r="U208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8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8" s="12"/>
      <c r="X208" s="386" t="str">
        <f>IFERROR(IF(TRANSHARI10_SOFTDRINKMALAM[[#This Row],[NAMA REKENING]]="","",TRANSHARI10_SOFTDRINKMALAM[[#This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IFERROR(VLOOKUP(TRANSHARI10_SOFTDRINKPAGI[[#This Row],[PRODUK]],DATA_SOFTDRINK[],12,FALSE),"")</f>
        <v/>
      </c>
      <c r="E209" s="374"/>
      <c r="F209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09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09" s="12"/>
      <c r="I209" s="384" t="str">
        <f>IFERROR(IF(TRANSHARI10_SOFTDRINKPAGI[[#This Row],[NAMA REKENING]]="","",TRANSHARI10_SOFTDRINKPAGI[[#This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IFERROR(VLOOKUP(TRANSHARI10_SOFTDRINKMALAM[[#This Row],[PRODUK]],DATA_SOFTDRINK[],12,FALSE),"")</f>
        <v/>
      </c>
      <c r="T209" s="374"/>
      <c r="U209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09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09" s="12"/>
      <c r="X209" s="384" t="str">
        <f>IFERROR(IF(TRANSHARI10_SOFTDRINKMALAM[[#This Row],[NAMA REKENING]]="","",TRANSHARI10_SOFTDRINKMALAM[[#This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IFERROR(VLOOKUP(TRANSHARI10_SOFTDRINKPAGI[[#This Row],[PRODUK]],DATA_SOFTDRINK[],12,FALSE),"")</f>
        <v/>
      </c>
      <c r="E210" s="374"/>
      <c r="F210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0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0" s="12"/>
      <c r="I210" s="386" t="str">
        <f>IFERROR(IF(TRANSHARI10_SOFTDRINKPAGI[[#This Row],[NAMA REKENING]]="","",TRANSHARI10_SOFTDRINKPAGI[[#This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IFERROR(VLOOKUP(TRANSHARI10_SOFTDRINKMALAM[[#This Row],[PRODUK]],DATA_SOFTDRINK[],12,FALSE),"")</f>
        <v/>
      </c>
      <c r="T210" s="374"/>
      <c r="U210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0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0" s="12"/>
      <c r="X210" s="386" t="str">
        <f>IFERROR(IF(TRANSHARI10_SOFTDRINKMALAM[[#This Row],[NAMA REKENING]]="","",TRANSHARI10_SOFTDRINKMALAM[[#This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IFERROR(VLOOKUP(TRANSHARI10_SOFTDRINKPAGI[[#This Row],[PRODUK]],DATA_SOFTDRINK[],12,FALSE),"")</f>
        <v/>
      </c>
      <c r="E211" s="374"/>
      <c r="F211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1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1" s="12"/>
      <c r="I211" s="384" t="str">
        <f>IFERROR(IF(TRANSHARI10_SOFTDRINKPAGI[[#This Row],[NAMA REKENING]]="","",TRANSHARI10_SOFTDRINKPAGI[[#This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IFERROR(VLOOKUP(TRANSHARI10_SOFTDRINKMALAM[[#This Row],[PRODUK]],DATA_SOFTDRINK[],12,FALSE),"")</f>
        <v/>
      </c>
      <c r="T211" s="374"/>
      <c r="U211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1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1" s="12"/>
      <c r="X211" s="384" t="str">
        <f>IFERROR(IF(TRANSHARI10_SOFTDRINKMALAM[[#This Row],[NAMA REKENING]]="","",TRANSHARI10_SOFTDRINKMALAM[[#This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IFERROR(VLOOKUP(TRANSHARI10_SOFTDRINKPAGI[[#This Row],[PRODUK]],DATA_SOFTDRINK[],12,FALSE),"")</f>
        <v/>
      </c>
      <c r="E212" s="374"/>
      <c r="F212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2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2" s="12"/>
      <c r="I212" s="386" t="str">
        <f>IFERROR(IF(TRANSHARI10_SOFTDRINKPAGI[[#This Row],[NAMA REKENING]]="","",TRANSHARI10_SOFTDRINKPAGI[[#This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IFERROR(VLOOKUP(TRANSHARI10_SOFTDRINKMALAM[[#This Row],[PRODUK]],DATA_SOFTDRINK[],12,FALSE),"")</f>
        <v/>
      </c>
      <c r="T212" s="374"/>
      <c r="U212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2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2" s="12"/>
      <c r="X212" s="386" t="str">
        <f>IFERROR(IF(TRANSHARI10_SOFTDRINKMALAM[[#This Row],[NAMA REKENING]]="","",TRANSHARI10_SOFTDRINKMALAM[[#This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IFERROR(VLOOKUP(TRANSHARI10_SOFTDRINKPAGI[[#This Row],[PRODUK]],DATA_SOFTDRINK[],12,FALSE),"")</f>
        <v/>
      </c>
      <c r="E213" s="374"/>
      <c r="F213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3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3" s="12"/>
      <c r="I213" s="384" t="str">
        <f>IFERROR(IF(TRANSHARI10_SOFTDRINKPAGI[[#This Row],[NAMA REKENING]]="","",TRANSHARI10_SOFTDRINKPAGI[[#This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IFERROR(VLOOKUP(TRANSHARI10_SOFTDRINKMALAM[[#This Row],[PRODUK]],DATA_SOFTDRINK[],12,FALSE),"")</f>
        <v/>
      </c>
      <c r="T213" s="374"/>
      <c r="U213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3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3" s="12"/>
      <c r="X213" s="384" t="str">
        <f>IFERROR(IF(TRANSHARI10_SOFTDRINKMALAM[[#This Row],[NAMA REKENING]]="","",TRANSHARI10_SOFTDRINKMALAM[[#This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IFERROR(VLOOKUP(TRANSHARI10_SOFTDRINKPAGI[[#This Row],[PRODUK]],DATA_SOFTDRINK[],12,FALSE),"")</f>
        <v/>
      </c>
      <c r="E214" s="374"/>
      <c r="F214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4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4" s="12"/>
      <c r="I214" s="386" t="str">
        <f>IFERROR(IF(TRANSHARI10_SOFTDRINKPAGI[[#This Row],[NAMA REKENING]]="","",TRANSHARI10_SOFTDRINKPAGI[[#This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IFERROR(VLOOKUP(TRANSHARI10_SOFTDRINKMALAM[[#This Row],[PRODUK]],DATA_SOFTDRINK[],12,FALSE),"")</f>
        <v/>
      </c>
      <c r="T214" s="374"/>
      <c r="U214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4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4" s="12"/>
      <c r="X214" s="386" t="str">
        <f>IFERROR(IF(TRANSHARI10_SOFTDRINKMALAM[[#This Row],[NAMA REKENING]]="","",TRANSHARI10_SOFTDRINKMALAM[[#This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IFERROR(VLOOKUP(TRANSHARI10_SOFTDRINKPAGI[[#This Row],[PRODUK]],DATA_SOFTDRINK[],12,FALSE),"")</f>
        <v/>
      </c>
      <c r="E215" s="374"/>
      <c r="F215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5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5" s="12"/>
      <c r="I215" s="384" t="str">
        <f>IFERROR(IF(TRANSHARI10_SOFTDRINKPAGI[[#This Row],[NAMA REKENING]]="","",TRANSHARI10_SOFTDRINKPAGI[[#This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IFERROR(VLOOKUP(TRANSHARI10_SOFTDRINKMALAM[[#This Row],[PRODUK]],DATA_SOFTDRINK[],12,FALSE),"")</f>
        <v/>
      </c>
      <c r="T215" s="374"/>
      <c r="U215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5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5" s="12"/>
      <c r="X215" s="384" t="str">
        <f>IFERROR(IF(TRANSHARI10_SOFTDRINKMALAM[[#This Row],[NAMA REKENING]]="","",TRANSHARI10_SOFTDRINKMALAM[[#This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IFERROR(VLOOKUP(TRANSHARI10_SOFTDRINKPAGI[[#This Row],[PRODUK]],DATA_SOFTDRINK[],12,FALSE),"")</f>
        <v/>
      </c>
      <c r="E216" s="374"/>
      <c r="F216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6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6" s="12"/>
      <c r="I216" s="386" t="str">
        <f>IFERROR(IF(TRANSHARI10_SOFTDRINKPAGI[[#This Row],[NAMA REKENING]]="","",TRANSHARI10_SOFTDRINKPAGI[[#This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IFERROR(VLOOKUP(TRANSHARI10_SOFTDRINKMALAM[[#This Row],[PRODUK]],DATA_SOFTDRINK[],12,FALSE),"")</f>
        <v/>
      </c>
      <c r="T216" s="374"/>
      <c r="U216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6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6" s="12"/>
      <c r="X216" s="386" t="str">
        <f>IFERROR(IF(TRANSHARI10_SOFTDRINKMALAM[[#This Row],[NAMA REKENING]]="","",TRANSHARI10_SOFTDRINKMALAM[[#This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IFERROR(VLOOKUP(TRANSHARI10_SOFTDRINKPAGI[[#This Row],[PRODUK]],DATA_SOFTDRINK[],12,FALSE),"")</f>
        <v/>
      </c>
      <c r="E217" s="374"/>
      <c r="F217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7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7" s="12"/>
      <c r="I217" s="384" t="str">
        <f>IFERROR(IF(TRANSHARI10_SOFTDRINKPAGI[[#This Row],[NAMA REKENING]]="","",TRANSHARI10_SOFTDRINKPAGI[[#This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IFERROR(VLOOKUP(TRANSHARI10_SOFTDRINKMALAM[[#This Row],[PRODUK]],DATA_SOFTDRINK[],12,FALSE),"")</f>
        <v/>
      </c>
      <c r="T217" s="374"/>
      <c r="U217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7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7" s="12"/>
      <c r="X217" s="384" t="str">
        <f>IFERROR(IF(TRANSHARI10_SOFTDRINKMALAM[[#This Row],[NAMA REKENING]]="","",TRANSHARI10_SOFTDRINKMALAM[[#This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IFERROR(VLOOKUP(TRANSHARI10_SOFTDRINKPAGI[[#This Row],[PRODUK]],DATA_SOFTDRINK[],12,FALSE),"")</f>
        <v/>
      </c>
      <c r="E218" s="374"/>
      <c r="F218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8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8" s="12"/>
      <c r="I218" s="386" t="str">
        <f>IFERROR(IF(TRANSHARI10_SOFTDRINKPAGI[[#This Row],[NAMA REKENING]]="","",TRANSHARI10_SOFTDRINKPAGI[[#This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IFERROR(VLOOKUP(TRANSHARI10_SOFTDRINKMALAM[[#This Row],[PRODUK]],DATA_SOFTDRINK[],12,FALSE),"")</f>
        <v/>
      </c>
      <c r="T218" s="374"/>
      <c r="U218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8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8" s="12"/>
      <c r="X218" s="386" t="str">
        <f>IFERROR(IF(TRANSHARI10_SOFTDRINKMALAM[[#This Row],[NAMA REKENING]]="","",TRANSHARI10_SOFTDRINKMALAM[[#This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IFERROR(VLOOKUP(TRANSHARI10_SOFTDRINKPAGI[[#This Row],[PRODUK]],DATA_SOFTDRINK[],12,FALSE),"")</f>
        <v/>
      </c>
      <c r="E219" s="374"/>
      <c r="F219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19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19" s="12"/>
      <c r="I219" s="384" t="str">
        <f>IFERROR(IF(TRANSHARI10_SOFTDRINKPAGI[[#This Row],[NAMA REKENING]]="","",TRANSHARI10_SOFTDRINKPAGI[[#This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IFERROR(VLOOKUP(TRANSHARI10_SOFTDRINKMALAM[[#This Row],[PRODUK]],DATA_SOFTDRINK[],12,FALSE),"")</f>
        <v/>
      </c>
      <c r="T219" s="374"/>
      <c r="U219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19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19" s="12"/>
      <c r="X219" s="384" t="str">
        <f>IFERROR(IF(TRANSHARI10_SOFTDRINKMALAM[[#This Row],[NAMA REKENING]]="","",TRANSHARI10_SOFTDRINKMALAM[[#This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IFERROR(VLOOKUP(TRANSHARI10_SOFTDRINKPAGI[[#This Row],[PRODUK]],DATA_SOFTDRINK[],12,FALSE),"")</f>
        <v/>
      </c>
      <c r="E220" s="374"/>
      <c r="F220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0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0" s="12"/>
      <c r="I220" s="386" t="str">
        <f>IFERROR(IF(TRANSHARI10_SOFTDRINKPAGI[[#This Row],[NAMA REKENING]]="","",TRANSHARI10_SOFTDRINKPAGI[[#This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IFERROR(VLOOKUP(TRANSHARI10_SOFTDRINKMALAM[[#This Row],[PRODUK]],DATA_SOFTDRINK[],12,FALSE),"")</f>
        <v/>
      </c>
      <c r="T220" s="374"/>
      <c r="U220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0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0" s="12"/>
      <c r="X220" s="386" t="str">
        <f>IFERROR(IF(TRANSHARI10_SOFTDRINKMALAM[[#This Row],[NAMA REKENING]]="","",TRANSHARI10_SOFTDRINKMALAM[[#This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IFERROR(VLOOKUP(TRANSHARI10_SOFTDRINKPAGI[[#This Row],[PRODUK]],DATA_SOFTDRINK[],12,FALSE),"")</f>
        <v/>
      </c>
      <c r="E221" s="374"/>
      <c r="F221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1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1" s="12"/>
      <c r="I221" s="384" t="str">
        <f>IFERROR(IF(TRANSHARI10_SOFTDRINKPAGI[[#This Row],[NAMA REKENING]]="","",TRANSHARI10_SOFTDRINKPAGI[[#This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IFERROR(VLOOKUP(TRANSHARI10_SOFTDRINKMALAM[[#This Row],[PRODUK]],DATA_SOFTDRINK[],12,FALSE),"")</f>
        <v/>
      </c>
      <c r="T221" s="374"/>
      <c r="U221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1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1" s="12"/>
      <c r="X221" s="384" t="str">
        <f>IFERROR(IF(TRANSHARI10_SOFTDRINKMALAM[[#This Row],[NAMA REKENING]]="","",TRANSHARI10_SOFTDRINKMALAM[[#This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IFERROR(VLOOKUP(TRANSHARI10_SOFTDRINKPAGI[[#This Row],[PRODUK]],DATA_SOFTDRINK[],12,FALSE),"")</f>
        <v/>
      </c>
      <c r="E222" s="374"/>
      <c r="F222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2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2" s="12"/>
      <c r="I222" s="386" t="str">
        <f>IFERROR(IF(TRANSHARI10_SOFTDRINKPAGI[[#This Row],[NAMA REKENING]]="","",TRANSHARI10_SOFTDRINKPAGI[[#This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IFERROR(VLOOKUP(TRANSHARI10_SOFTDRINKMALAM[[#This Row],[PRODUK]],DATA_SOFTDRINK[],12,FALSE),"")</f>
        <v/>
      </c>
      <c r="T222" s="374"/>
      <c r="U222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2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2" s="12"/>
      <c r="X222" s="386" t="str">
        <f>IFERROR(IF(TRANSHARI10_SOFTDRINKMALAM[[#This Row],[NAMA REKENING]]="","",TRANSHARI10_SOFTDRINKMALAM[[#This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IFERROR(VLOOKUP(TRANSHARI10_SOFTDRINKPAGI[[#This Row],[PRODUK]],DATA_SOFTDRINK[],12,FALSE),"")</f>
        <v/>
      </c>
      <c r="E223" s="374"/>
      <c r="F223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3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3" s="12"/>
      <c r="I223" s="384" t="str">
        <f>IFERROR(IF(TRANSHARI10_SOFTDRINKPAGI[[#This Row],[NAMA REKENING]]="","",TRANSHARI10_SOFTDRINKPAGI[[#This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IFERROR(VLOOKUP(TRANSHARI10_SOFTDRINKMALAM[[#This Row],[PRODUK]],DATA_SOFTDRINK[],12,FALSE),"")</f>
        <v/>
      </c>
      <c r="T223" s="374"/>
      <c r="U223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3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3" s="12"/>
      <c r="X223" s="384" t="str">
        <f>IFERROR(IF(TRANSHARI10_SOFTDRINKMALAM[[#This Row],[NAMA REKENING]]="","",TRANSHARI10_SOFTDRINKMALAM[[#This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IFERROR(VLOOKUP(TRANSHARI10_SOFTDRINKPAGI[[#This Row],[PRODUK]],DATA_SOFTDRINK[],12,FALSE),"")</f>
        <v/>
      </c>
      <c r="E224" s="376"/>
      <c r="F224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4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4" s="377"/>
      <c r="I224" s="386" t="str">
        <f>IFERROR(IF(TRANSHARI10_SOFTDRINKPAGI[[#This Row],[NAMA REKENING]]="","",TRANSHARI10_SOFTDRINKPAGI[[#This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IFERROR(VLOOKUP(TRANSHARI10_SOFTDRINKMALAM[[#This Row],[PRODUK]],DATA_SOFTDRINK[],12,FALSE),"")</f>
        <v/>
      </c>
      <c r="T224" s="376"/>
      <c r="U224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4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4" s="377"/>
      <c r="X224" s="386" t="str">
        <f>IFERROR(IF(TRANSHARI10_SOFTDRINKMALAM[[#This Row],[NAMA REKENING]]="","",TRANSHARI10_SOFTDRINKMALAM[[#This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IFERROR(VLOOKUP(TRANSHARI10_SOFTDRINKPAGI[[#This Row],[PRODUK]],DATA_SOFTDRINK[],12,FALSE),"")</f>
        <v/>
      </c>
      <c r="E225" s="374"/>
      <c r="F225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5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5" s="12"/>
      <c r="I225" s="384" t="str">
        <f>IFERROR(IF(TRANSHARI10_SOFTDRINKPAGI[[#This Row],[NAMA REKENING]]="","",TRANSHARI10_SOFTDRINKPAGI[[#This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IFERROR(VLOOKUP(TRANSHARI10_SOFTDRINKMALAM[[#This Row],[PRODUK]],DATA_SOFTDRINK[],12,FALSE),"")</f>
        <v/>
      </c>
      <c r="T225" s="374"/>
      <c r="U225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5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5" s="12"/>
      <c r="X225" s="384" t="str">
        <f>IFERROR(IF(TRANSHARI10_SOFTDRINKMALAM[[#This Row],[NAMA REKENING]]="","",TRANSHARI10_SOFTDRINKMALAM[[#This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IFERROR(VLOOKUP(TRANSHARI10_SOFTDRINKPAGI[[#This Row],[PRODUK]],DATA_SOFTDRINK[],12,FALSE),"")</f>
        <v/>
      </c>
      <c r="E226" s="374"/>
      <c r="F226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6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6" s="12"/>
      <c r="I226" s="386" t="str">
        <f>IFERROR(IF(TRANSHARI10_SOFTDRINKPAGI[[#This Row],[NAMA REKENING]]="","",TRANSHARI10_SOFTDRINKPAGI[[#This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IFERROR(VLOOKUP(TRANSHARI10_SOFTDRINKMALAM[[#This Row],[PRODUK]],DATA_SOFTDRINK[],12,FALSE),"")</f>
        <v/>
      </c>
      <c r="T226" s="374"/>
      <c r="U226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6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6" s="12"/>
      <c r="X226" s="386" t="str">
        <f>IFERROR(IF(TRANSHARI10_SOFTDRINKMALAM[[#This Row],[NAMA REKENING]]="","",TRANSHARI10_SOFTDRINKMALAM[[#This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IFERROR(VLOOKUP(TRANSHARI10_SOFTDRINKPAGI[[#This Row],[PRODUK]],DATA_SOFTDRINK[],12,FALSE),"")</f>
        <v/>
      </c>
      <c r="E227" s="374"/>
      <c r="F227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7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7" s="12"/>
      <c r="I227" s="384" t="str">
        <f>IFERROR(IF(TRANSHARI10_SOFTDRINKPAGI[[#This Row],[NAMA REKENING]]="","",TRANSHARI10_SOFTDRINKPAGI[[#This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IFERROR(VLOOKUP(TRANSHARI10_SOFTDRINKMALAM[[#This Row],[PRODUK]],DATA_SOFTDRINK[],12,FALSE),"")</f>
        <v/>
      </c>
      <c r="T227" s="374"/>
      <c r="U227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7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7" s="12"/>
      <c r="X227" s="384" t="str">
        <f>IFERROR(IF(TRANSHARI10_SOFTDRINKMALAM[[#This Row],[NAMA REKENING]]="","",TRANSHARI10_SOFTDRINKMALAM[[#This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IFERROR(VLOOKUP(TRANSHARI10_SOFTDRINKPAGI[[#This Row],[PRODUK]],DATA_SOFTDRINK[],12,FALSE),"")</f>
        <v/>
      </c>
      <c r="E228" s="374"/>
      <c r="F228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8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8" s="12"/>
      <c r="I228" s="386" t="str">
        <f>IFERROR(IF(TRANSHARI10_SOFTDRINKPAGI[[#This Row],[NAMA REKENING]]="","",TRANSHARI10_SOFTDRINKPAGI[[#This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IFERROR(VLOOKUP(TRANSHARI10_SOFTDRINKMALAM[[#This Row],[PRODUK]],DATA_SOFTDRINK[],12,FALSE),"")</f>
        <v/>
      </c>
      <c r="T228" s="374"/>
      <c r="U228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8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8" s="12"/>
      <c r="X228" s="386" t="str">
        <f>IFERROR(IF(TRANSHARI10_SOFTDRINKMALAM[[#This Row],[NAMA REKENING]]="","",TRANSHARI10_SOFTDRINKMALAM[[#This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IFERROR(VLOOKUP(TRANSHARI10_SOFTDRINKPAGI[[#This Row],[PRODUK]],DATA_SOFTDRINK[],12,FALSE),"")</f>
        <v/>
      </c>
      <c r="E229" s="374"/>
      <c r="F229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29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29" s="12"/>
      <c r="I229" s="384" t="str">
        <f>IFERROR(IF(TRANSHARI10_SOFTDRINKPAGI[[#This Row],[NAMA REKENING]]="","",TRANSHARI10_SOFTDRINKPAGI[[#This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IFERROR(VLOOKUP(TRANSHARI10_SOFTDRINKMALAM[[#This Row],[PRODUK]],DATA_SOFTDRINK[],12,FALSE),"")</f>
        <v/>
      </c>
      <c r="T229" s="374"/>
      <c r="U229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29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29" s="12"/>
      <c r="X229" s="384" t="str">
        <f>IFERROR(IF(TRANSHARI10_SOFTDRINKMALAM[[#This Row],[NAMA REKENING]]="","",TRANSHARI10_SOFTDRINKMALAM[[#This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IFERROR(VLOOKUP(TRANSHARI10_SOFTDRINKPAGI[[#This Row],[PRODUK]],DATA_SOFTDRINK[],12,FALSE),"")</f>
        <v/>
      </c>
      <c r="E230" s="374"/>
      <c r="F230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0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0" s="12"/>
      <c r="I230" s="386" t="str">
        <f>IFERROR(IF(TRANSHARI10_SOFTDRINKPAGI[[#This Row],[NAMA REKENING]]="","",TRANSHARI10_SOFTDRINKPAGI[[#This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IFERROR(VLOOKUP(TRANSHARI10_SOFTDRINKMALAM[[#This Row],[PRODUK]],DATA_SOFTDRINK[],12,FALSE),"")</f>
        <v/>
      </c>
      <c r="T230" s="374"/>
      <c r="U230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0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0" s="12"/>
      <c r="X230" s="386" t="str">
        <f>IFERROR(IF(TRANSHARI10_SOFTDRINKMALAM[[#This Row],[NAMA REKENING]]="","",TRANSHARI10_SOFTDRINKMALAM[[#This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IFERROR(VLOOKUP(TRANSHARI10_SOFTDRINKPAGI[[#This Row],[PRODUK]],DATA_SOFTDRINK[],12,FALSE),"")</f>
        <v/>
      </c>
      <c r="E231" s="374"/>
      <c r="F231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1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1" s="12"/>
      <c r="I231" s="384" t="str">
        <f>IFERROR(IF(TRANSHARI10_SOFTDRINKPAGI[[#This Row],[NAMA REKENING]]="","",TRANSHARI10_SOFTDRINKPAGI[[#This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IFERROR(VLOOKUP(TRANSHARI10_SOFTDRINKMALAM[[#This Row],[PRODUK]],DATA_SOFTDRINK[],12,FALSE),"")</f>
        <v/>
      </c>
      <c r="T231" s="374"/>
      <c r="U231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1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1" s="12"/>
      <c r="X231" s="384" t="str">
        <f>IFERROR(IF(TRANSHARI10_SOFTDRINKMALAM[[#This Row],[NAMA REKENING]]="","",TRANSHARI10_SOFTDRINKMALAM[[#This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IFERROR(VLOOKUP(TRANSHARI10_SOFTDRINKPAGI[[#This Row],[PRODUK]],DATA_SOFTDRINK[],12,FALSE),"")</f>
        <v/>
      </c>
      <c r="E232" s="374"/>
      <c r="F232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2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2" s="12"/>
      <c r="I232" s="386" t="str">
        <f>IFERROR(IF(TRANSHARI10_SOFTDRINKPAGI[[#This Row],[NAMA REKENING]]="","",TRANSHARI10_SOFTDRINKPAGI[[#This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IFERROR(VLOOKUP(TRANSHARI10_SOFTDRINKMALAM[[#This Row],[PRODUK]],DATA_SOFTDRINK[],12,FALSE),"")</f>
        <v/>
      </c>
      <c r="T232" s="374"/>
      <c r="U232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2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2" s="12"/>
      <c r="X232" s="386" t="str">
        <f>IFERROR(IF(TRANSHARI10_SOFTDRINKMALAM[[#This Row],[NAMA REKENING]]="","",TRANSHARI10_SOFTDRINKMALAM[[#This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IFERROR(VLOOKUP(TRANSHARI10_SOFTDRINKPAGI[[#This Row],[PRODUK]],DATA_SOFTDRINK[],12,FALSE),"")</f>
        <v/>
      </c>
      <c r="E233" s="374"/>
      <c r="F233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3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3" s="12"/>
      <c r="I233" s="384" t="str">
        <f>IFERROR(IF(TRANSHARI10_SOFTDRINKPAGI[[#This Row],[NAMA REKENING]]="","",TRANSHARI10_SOFTDRINKPAGI[[#This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IFERROR(VLOOKUP(TRANSHARI10_SOFTDRINKMALAM[[#This Row],[PRODUK]],DATA_SOFTDRINK[],12,FALSE),"")</f>
        <v/>
      </c>
      <c r="T233" s="374"/>
      <c r="U233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3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3" s="12"/>
      <c r="X233" s="384" t="str">
        <f>IFERROR(IF(TRANSHARI10_SOFTDRINKMALAM[[#This Row],[NAMA REKENING]]="","",TRANSHARI10_SOFTDRINKMALAM[[#This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IFERROR(VLOOKUP(TRANSHARI10_SOFTDRINKPAGI[[#This Row],[PRODUK]],DATA_SOFTDRINK[],12,FALSE),"")</f>
        <v/>
      </c>
      <c r="E234" s="374"/>
      <c r="F234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4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4" s="12"/>
      <c r="I234" s="386" t="str">
        <f>IFERROR(IF(TRANSHARI10_SOFTDRINKPAGI[[#This Row],[NAMA REKENING]]="","",TRANSHARI10_SOFTDRINKPAGI[[#This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IFERROR(VLOOKUP(TRANSHARI10_SOFTDRINKMALAM[[#This Row],[PRODUK]],DATA_SOFTDRINK[],12,FALSE),"")</f>
        <v/>
      </c>
      <c r="T234" s="374"/>
      <c r="U234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4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4" s="12"/>
      <c r="X234" s="386" t="str">
        <f>IFERROR(IF(TRANSHARI10_SOFTDRINKMALAM[[#This Row],[NAMA REKENING]]="","",TRANSHARI10_SOFTDRINKMALAM[[#This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IFERROR(VLOOKUP(TRANSHARI10_SOFTDRINKPAGI[[#This Row],[PRODUK]],DATA_SOFTDRINK[],12,FALSE),"")</f>
        <v/>
      </c>
      <c r="E235" s="374"/>
      <c r="F235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5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5" s="12"/>
      <c r="I235" s="384" t="str">
        <f>IFERROR(IF(TRANSHARI10_SOFTDRINKPAGI[[#This Row],[NAMA REKENING]]="","",TRANSHARI10_SOFTDRINKPAGI[[#This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IFERROR(VLOOKUP(TRANSHARI10_SOFTDRINKMALAM[[#This Row],[PRODUK]],DATA_SOFTDRINK[],12,FALSE),"")</f>
        <v/>
      </c>
      <c r="T235" s="374"/>
      <c r="U235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5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5" s="12"/>
      <c r="X235" s="384" t="str">
        <f>IFERROR(IF(TRANSHARI10_SOFTDRINKMALAM[[#This Row],[NAMA REKENING]]="","",TRANSHARI10_SOFTDRINKMALAM[[#This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IFERROR(VLOOKUP(TRANSHARI10_SOFTDRINKPAGI[[#This Row],[PRODUK]],DATA_SOFTDRINK[],12,FALSE),"")</f>
        <v/>
      </c>
      <c r="E236" s="374"/>
      <c r="F236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6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6" s="12"/>
      <c r="I236" s="386" t="str">
        <f>IFERROR(IF(TRANSHARI10_SOFTDRINKPAGI[[#This Row],[NAMA REKENING]]="","",TRANSHARI10_SOFTDRINKPAGI[[#This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IFERROR(VLOOKUP(TRANSHARI10_SOFTDRINKMALAM[[#This Row],[PRODUK]],DATA_SOFTDRINK[],12,FALSE),"")</f>
        <v/>
      </c>
      <c r="T236" s="374"/>
      <c r="U236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6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6" s="12"/>
      <c r="X236" s="386" t="str">
        <f>IFERROR(IF(TRANSHARI10_SOFTDRINKMALAM[[#This Row],[NAMA REKENING]]="","",TRANSHARI10_SOFTDRINKMALAM[[#This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IFERROR(VLOOKUP(TRANSHARI10_SOFTDRINKPAGI[[#This Row],[PRODUK]],DATA_SOFTDRINK[],12,FALSE),"")</f>
        <v/>
      </c>
      <c r="E237" s="374"/>
      <c r="F237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7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7" s="12"/>
      <c r="I237" s="384" t="str">
        <f>IFERROR(IF(TRANSHARI10_SOFTDRINKPAGI[[#This Row],[NAMA REKENING]]="","",TRANSHARI10_SOFTDRINKPAGI[[#This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IFERROR(VLOOKUP(TRANSHARI10_SOFTDRINKMALAM[[#This Row],[PRODUK]],DATA_SOFTDRINK[],12,FALSE),"")</f>
        <v/>
      </c>
      <c r="T237" s="374"/>
      <c r="U237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7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7" s="12"/>
      <c r="X237" s="384" t="str">
        <f>IFERROR(IF(TRANSHARI10_SOFTDRINKMALAM[[#This Row],[NAMA REKENING]]="","",TRANSHARI10_SOFTDRINKMALAM[[#This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IFERROR(VLOOKUP(TRANSHARI10_SOFTDRINKPAGI[[#This Row],[PRODUK]],DATA_SOFTDRINK[],12,FALSE),"")</f>
        <v/>
      </c>
      <c r="E238" s="374"/>
      <c r="F238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8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8" s="12"/>
      <c r="I238" s="386" t="str">
        <f>IFERROR(IF(TRANSHARI10_SOFTDRINKPAGI[[#This Row],[NAMA REKENING]]="","",TRANSHARI10_SOFTDRINKPAGI[[#This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IFERROR(VLOOKUP(TRANSHARI10_SOFTDRINKMALAM[[#This Row],[PRODUK]],DATA_SOFTDRINK[],12,FALSE),"")</f>
        <v/>
      </c>
      <c r="T238" s="374"/>
      <c r="U238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8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8" s="12"/>
      <c r="X238" s="386" t="str">
        <f>IFERROR(IF(TRANSHARI10_SOFTDRINKMALAM[[#This Row],[NAMA REKENING]]="","",TRANSHARI10_SOFTDRINKMALAM[[#This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IFERROR(VLOOKUP(TRANSHARI10_SOFTDRINKPAGI[[#This Row],[PRODUK]],DATA_SOFTDRINK[],12,FALSE),"")</f>
        <v/>
      </c>
      <c r="E239" s="374"/>
      <c r="F239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39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39" s="12"/>
      <c r="I239" s="384" t="str">
        <f>IFERROR(IF(TRANSHARI10_SOFTDRINKPAGI[[#This Row],[NAMA REKENING]]="","",TRANSHARI10_SOFTDRINKPAGI[[#This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IFERROR(VLOOKUP(TRANSHARI10_SOFTDRINKMALAM[[#This Row],[PRODUK]],DATA_SOFTDRINK[],12,FALSE),"")</f>
        <v/>
      </c>
      <c r="T239" s="374"/>
      <c r="U239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39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39" s="12"/>
      <c r="X239" s="384" t="str">
        <f>IFERROR(IF(TRANSHARI10_SOFTDRINKMALAM[[#This Row],[NAMA REKENING]]="","",TRANSHARI10_SOFTDRINKMALAM[[#This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IFERROR(VLOOKUP(TRANSHARI10_SOFTDRINKPAGI[[#This Row],[PRODUK]],DATA_SOFTDRINK[],12,FALSE),"")</f>
        <v/>
      </c>
      <c r="E240" s="374"/>
      <c r="F240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0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0" s="12"/>
      <c r="I240" s="386" t="str">
        <f>IFERROR(IF(TRANSHARI10_SOFTDRINKPAGI[[#This Row],[NAMA REKENING]]="","",TRANSHARI10_SOFTDRINKPAGI[[#This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IFERROR(VLOOKUP(TRANSHARI10_SOFTDRINKMALAM[[#This Row],[PRODUK]],DATA_SOFTDRINK[],12,FALSE),"")</f>
        <v/>
      </c>
      <c r="T240" s="374"/>
      <c r="U240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0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0" s="12"/>
      <c r="X240" s="386" t="str">
        <f>IFERROR(IF(TRANSHARI10_SOFTDRINKMALAM[[#This Row],[NAMA REKENING]]="","",TRANSHARI10_SOFTDRINKMALAM[[#This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IFERROR(VLOOKUP(TRANSHARI10_SOFTDRINKPAGI[[#This Row],[PRODUK]],DATA_SOFTDRINK[],12,FALSE),"")</f>
        <v/>
      </c>
      <c r="E241" s="374"/>
      <c r="F241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1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1" s="12"/>
      <c r="I241" s="384" t="str">
        <f>IFERROR(IF(TRANSHARI10_SOFTDRINKPAGI[[#This Row],[NAMA REKENING]]="","",TRANSHARI10_SOFTDRINKPAGI[[#This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IFERROR(VLOOKUP(TRANSHARI10_SOFTDRINKMALAM[[#This Row],[PRODUK]],DATA_SOFTDRINK[],12,FALSE),"")</f>
        <v/>
      </c>
      <c r="T241" s="374"/>
      <c r="U241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1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1" s="12"/>
      <c r="X241" s="384" t="str">
        <f>IFERROR(IF(TRANSHARI10_SOFTDRINKMALAM[[#This Row],[NAMA REKENING]]="","",TRANSHARI10_SOFTDRINKMALAM[[#This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IFERROR(VLOOKUP(TRANSHARI10_SOFTDRINKPAGI[[#This Row],[PRODUK]],DATA_SOFTDRINK[],12,FALSE),"")</f>
        <v/>
      </c>
      <c r="E242" s="374"/>
      <c r="F242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2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2" s="12"/>
      <c r="I242" s="386" t="str">
        <f>IFERROR(IF(TRANSHARI10_SOFTDRINKPAGI[[#This Row],[NAMA REKENING]]="","",TRANSHARI10_SOFTDRINKPAGI[[#This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IFERROR(VLOOKUP(TRANSHARI10_SOFTDRINKMALAM[[#This Row],[PRODUK]],DATA_SOFTDRINK[],12,FALSE),"")</f>
        <v/>
      </c>
      <c r="T242" s="374"/>
      <c r="U242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2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2" s="12"/>
      <c r="X242" s="386" t="str">
        <f>IFERROR(IF(TRANSHARI10_SOFTDRINKMALAM[[#This Row],[NAMA REKENING]]="","",TRANSHARI10_SOFTDRINKMALAM[[#This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IFERROR(VLOOKUP(TRANSHARI10_SOFTDRINKPAGI[[#This Row],[PRODUK]],DATA_SOFTDRINK[],12,FALSE),"")</f>
        <v/>
      </c>
      <c r="E243" s="374"/>
      <c r="F243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3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3" s="12"/>
      <c r="I243" s="384" t="str">
        <f>IFERROR(IF(TRANSHARI10_SOFTDRINKPAGI[[#This Row],[NAMA REKENING]]="","",TRANSHARI10_SOFTDRINKPAGI[[#This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IFERROR(VLOOKUP(TRANSHARI10_SOFTDRINKMALAM[[#This Row],[PRODUK]],DATA_SOFTDRINK[],12,FALSE),"")</f>
        <v/>
      </c>
      <c r="T243" s="374"/>
      <c r="U243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3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3" s="12"/>
      <c r="X243" s="384" t="str">
        <f>IFERROR(IF(TRANSHARI10_SOFTDRINKMALAM[[#This Row],[NAMA REKENING]]="","",TRANSHARI10_SOFTDRINKMALAM[[#This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IFERROR(VLOOKUP(TRANSHARI10_SOFTDRINKPAGI[[#This Row],[PRODUK]],DATA_SOFTDRINK[],12,FALSE),"")</f>
        <v/>
      </c>
      <c r="E244" s="374"/>
      <c r="F244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4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4" s="12"/>
      <c r="I244" s="386" t="str">
        <f>IFERROR(IF(TRANSHARI10_SOFTDRINKPAGI[[#This Row],[NAMA REKENING]]="","",TRANSHARI10_SOFTDRINKPAGI[[#This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IFERROR(VLOOKUP(TRANSHARI10_SOFTDRINKMALAM[[#This Row],[PRODUK]],DATA_SOFTDRINK[],12,FALSE),"")</f>
        <v/>
      </c>
      <c r="T244" s="374"/>
      <c r="U244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4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4" s="12"/>
      <c r="X244" s="386" t="str">
        <f>IFERROR(IF(TRANSHARI10_SOFTDRINKMALAM[[#This Row],[NAMA REKENING]]="","",TRANSHARI10_SOFTDRINKMALAM[[#This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IFERROR(VLOOKUP(TRANSHARI10_SOFTDRINKPAGI[[#This Row],[PRODUK]],DATA_SOFTDRINK[],12,FALSE),"")</f>
        <v/>
      </c>
      <c r="E245" s="374"/>
      <c r="F245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5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5" s="12"/>
      <c r="I245" s="384" t="str">
        <f>IFERROR(IF(TRANSHARI10_SOFTDRINKPAGI[[#This Row],[NAMA REKENING]]="","",TRANSHARI10_SOFTDRINKPAGI[[#This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IFERROR(VLOOKUP(TRANSHARI10_SOFTDRINKMALAM[[#This Row],[PRODUK]],DATA_SOFTDRINK[],12,FALSE),"")</f>
        <v/>
      </c>
      <c r="T245" s="374"/>
      <c r="U245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5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5" s="12"/>
      <c r="X245" s="384" t="str">
        <f>IFERROR(IF(TRANSHARI10_SOFTDRINKMALAM[[#This Row],[NAMA REKENING]]="","",TRANSHARI10_SOFTDRINKMALAM[[#This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IFERROR(VLOOKUP(TRANSHARI10_SOFTDRINKPAGI[[#This Row],[PRODUK]],DATA_SOFTDRINK[],12,FALSE),"")</f>
        <v/>
      </c>
      <c r="E246" s="374"/>
      <c r="F246" s="373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6" s="373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6" s="12"/>
      <c r="I246" s="386" t="str">
        <f>IFERROR(IF(TRANSHARI10_SOFTDRINKPAGI[[#This Row],[NAMA REKENING]]="","",TRANSHARI10_SOFTDRINKPAGI[[#This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IFERROR(VLOOKUP(TRANSHARI10_SOFTDRINKMALAM[[#This Row],[PRODUK]],DATA_SOFTDRINK[],12,FALSE),"")</f>
        <v/>
      </c>
      <c r="T246" s="374"/>
      <c r="U246" s="373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6" s="373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6" s="12"/>
      <c r="X246" s="386" t="str">
        <f>IFERROR(IF(TRANSHARI10_SOFTDRINKMALAM[[#This Row],[NAMA REKENING]]="","",TRANSHARI10_SOFTDRINKMALAM[[#This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IFERROR(VLOOKUP(TRANSHARI10_SOFTDRINKPAGI[[#This Row],[PRODUK]],DATA_SOFTDRINK[],12,FALSE),"")</f>
        <v/>
      </c>
      <c r="E247" s="374"/>
      <c r="F247" s="369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7" s="369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7" s="12"/>
      <c r="I247" s="384" t="str">
        <f>IFERROR(IF(TRANSHARI10_SOFTDRINKPAGI[[#This Row],[NAMA REKENING]]="","",TRANSHARI10_SOFTDRINKPAGI[[#This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IFERROR(VLOOKUP(TRANSHARI10_SOFTDRINKMALAM[[#This Row],[PRODUK]],DATA_SOFTDRINK[],12,FALSE),"")</f>
        <v/>
      </c>
      <c r="T247" s="374"/>
      <c r="U247" s="369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7" s="369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7" s="12"/>
      <c r="X247" s="384" t="str">
        <f>IFERROR(IF(TRANSHARI10_SOFTDRINKMALAM[[#This Row],[NAMA REKENING]]="","",TRANSHARI10_SOFTDRINKMALAM[[#This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IFERROR(VLOOKUP(TRANSHARI10_SOFTDRINKPAGI[[#This Row],[PRODUK]],DATA_SOFTDRINK[],12,FALSE),"")</f>
        <v/>
      </c>
      <c r="E248" s="376"/>
      <c r="F248" s="394" t="str">
        <f>IFERROR(IF(TRANSHARI10_SOFTDRINKPAGI[[#This Row],[NAMA PENGHUTANG]]="",((TRANSHARI10_SOFTDRINKPAGI[[#This Row],[HARGA]]*TRANSHARI10_SOFTDRINKPAGI[[#This Row],[QUANTITY]])+TRANSHARI10_SOFTDRINKPAGI[[#This Row],[PRICE TOLERANCE]]),""),"")</f>
        <v/>
      </c>
      <c r="G248" s="394" t="str">
        <f>IFERROR(IF(TRANSHARI10_SOFTDRINKPAGI[[#This Row],[NAMA PENGHUTANG]]="","",((TRANSHARI10_SOFTDRINKPAGI[[#This Row],[HARGA]]*TRANSHARI10_SOFTDRINKPAGI[[#This Row],[QUANTITY]])+TRANSHARI10_SOFTDRINKPAGI[[#This Row],[PRICE TOLERANCE]])),"")</f>
        <v/>
      </c>
      <c r="H248" s="377"/>
      <c r="I248" s="399" t="str">
        <f>IFERROR(IF(TRANSHARI10_SOFTDRINKPAGI[[#This Row],[NAMA REKENING]]="","",TRANSHARI10_SOFTDRINKPAGI[[#This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IFERROR(VLOOKUP(TRANSHARI10_SOFTDRINKMALAM[[#This Row],[PRODUK]],DATA_SOFTDRINK[],12,FALSE),"")</f>
        <v/>
      </c>
      <c r="T248" s="376"/>
      <c r="U248" s="394" t="str">
        <f>IFERROR(IF(TRANSHARI10_SOFTDRINKMALAM[[#This Row],[NAMA PENGHUTANG]]="",((TRANSHARI10_SOFTDRINKMALAM[[#This Row],[HARGA]]*TRANSHARI10_SOFTDRINKMALAM[[#This Row],[QUANTITY]])+TRANSHARI10_SOFTDRINKMALAM[[#This Row],[PRICE TOLERANCE]]),""),"")</f>
        <v/>
      </c>
      <c r="V248" s="394" t="str">
        <f>IFERROR(IF(TRANSHARI10_SOFTDRINKMALAM[[#This Row],[NAMA PENGHUTANG]]="","",((TRANSHARI10_SOFTDRINKMALAM[[#This Row],[HARGA]]*TRANSHARI10_SOFTDRINKMALAM[[#This Row],[QUANTITY]])+TRANSHARI10_SOFTDRINKMALAM[[#This Row],[PRICE TOLERANCE]])),"")</f>
        <v/>
      </c>
      <c r="W248" s="377"/>
      <c r="X248" s="399" t="str">
        <f>IFERROR(IF(TRANSHARI10_SOFTDRINKMALAM[[#This Row],[NAMA REKENING]]="","",TRANSHARI10_SOFTDRINKMALAM[[#This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SUM(TRANSHARI10_SOFTDRINKPAGI[QUANTITY])</f>
        <v>0</v>
      </c>
      <c r="E249" s="398">
        <f>SUM(TRANSHARI10_SOFTDRINKPAGI[PRICE TOLERANCE])</f>
        <v>0</v>
      </c>
      <c r="F249" s="396">
        <f>SUM(TRANSHARI10_SOFTDRINKPAGI[DEBIT])</f>
        <v>0</v>
      </c>
      <c r="G249" s="396">
        <f>SUM(TRANSHARI10_SOFTDRINKPAGI[KREDIT])</f>
        <v>0</v>
      </c>
      <c r="I249" s="396">
        <f>SUM(TRANSHARI10_SOFTDRINKPAGI[NOMINAL TRANSFER])</f>
        <v>0</v>
      </c>
      <c r="O249" s="324"/>
      <c r="P249" s="303" t="s">
        <v>78</v>
      </c>
      <c r="Q249" s="316"/>
      <c r="R249" s="395">
        <f>SUM(TRANSHARI10_SOFTDRINKMALAM[QUANTITY])</f>
        <v>0</v>
      </c>
      <c r="T249" s="398">
        <f>SUM(TRANSHARI10_SOFTDRINKMALAM[PRICE TOLERANCE])</f>
        <v>0</v>
      </c>
      <c r="U249" s="396">
        <f>SUM(TRANSHARI10_SOFTDRINKMALAM[DEBIT])</f>
        <v>0</v>
      </c>
      <c r="V249" s="396">
        <f>SUM(TRANSHARI10_SOFTDRINKMALAM[KREDIT])</f>
        <v>0</v>
      </c>
      <c r="X249" s="396">
        <f>SUM(TRANSHARI10_SOFTDRINKMALAM[NOMINAL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tr">
        <f>A25</f>
        <v>HARI 10 : PAGI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tr">
        <f>P25</f>
        <v>HARI 10 : MALAM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IFERROR(VLOOKUP(TRANSHARI10_ICECREAMPAGI[[#This Row],[PRODUK]],DATA_ICECREAM[],12,FALSE),"")</f>
        <v/>
      </c>
      <c r="E256" s="370"/>
      <c r="F256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56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56" s="371"/>
      <c r="I256" s="384" t="str">
        <f>IFERROR(IF(TRANSHARI10_ICECREAMPAGI[[#This Row],[NAMA REKENING]]="","",TRANSHARI10_ICECREAMPAGI[[#This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IFERROR(VLOOKUP(TRANSHARI10_ICECREAMMALAM[[#This Row],[PRODUK]],DATA_ICECREAM[],12,FALSE),"")</f>
        <v/>
      </c>
      <c r="T256" s="370"/>
      <c r="U256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56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56" s="371"/>
      <c r="X256" s="384" t="str">
        <f>IFERROR(IF(TRANSHARI10_ICECREAMMALAM[[#This Row],[NAMA REKENING]]="","",TRANSHARI10_ICECREAMMALAM[[#This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IFERROR(VLOOKUP(TRANSHARI10_ICECREAMPAGI[[#This Row],[PRODUK]],DATA_ICECREAM[],12,FALSE),"")</f>
        <v/>
      </c>
      <c r="E257" s="374"/>
      <c r="F257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57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57" s="12"/>
      <c r="I257" s="386" t="str">
        <f>IFERROR(IF(TRANSHARI10_ICECREAMPAGI[[#This Row],[NAMA REKENING]]="","",TRANSHARI10_ICECREAMPAGI[[#This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IFERROR(VLOOKUP(TRANSHARI10_ICECREAMMALAM[[#This Row],[PRODUK]],DATA_ICECREAM[],12,FALSE),"")</f>
        <v/>
      </c>
      <c r="T257" s="374"/>
      <c r="U257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57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57" s="12"/>
      <c r="X257" s="386" t="str">
        <f>IFERROR(IF(TRANSHARI10_ICECREAMMALAM[[#This Row],[NAMA REKENING]]="","",TRANSHARI10_ICECREAMMALAM[[#This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IFERROR(VLOOKUP(TRANSHARI10_ICECREAMPAGI[[#This Row],[PRODUK]],DATA_ICECREAM[],12,FALSE),"")</f>
        <v/>
      </c>
      <c r="E258" s="374"/>
      <c r="F258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58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58" s="12"/>
      <c r="I258" s="384" t="str">
        <f>IFERROR(IF(TRANSHARI10_ICECREAMPAGI[[#This Row],[NAMA REKENING]]="","",TRANSHARI10_ICECREAMPAGI[[#This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IFERROR(VLOOKUP(TRANSHARI10_ICECREAMMALAM[[#This Row],[PRODUK]],DATA_ICECREAM[],12,FALSE),"")</f>
        <v/>
      </c>
      <c r="T258" s="374"/>
      <c r="U258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58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58" s="12"/>
      <c r="X258" s="384" t="str">
        <f>IFERROR(IF(TRANSHARI10_ICECREAMMALAM[[#This Row],[NAMA REKENING]]="","",TRANSHARI10_ICECREAMMALAM[[#This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IFERROR(VLOOKUP(TRANSHARI10_ICECREAMPAGI[[#This Row],[PRODUK]],DATA_ICECREAM[],12,FALSE),"")</f>
        <v/>
      </c>
      <c r="E259" s="374"/>
      <c r="F259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59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59" s="12"/>
      <c r="I259" s="386" t="str">
        <f>IFERROR(IF(TRANSHARI10_ICECREAMPAGI[[#This Row],[NAMA REKENING]]="","",TRANSHARI10_ICECREAMPAGI[[#This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IFERROR(VLOOKUP(TRANSHARI10_ICECREAMMALAM[[#This Row],[PRODUK]],DATA_ICECREAM[],12,FALSE),"")</f>
        <v/>
      </c>
      <c r="T259" s="374"/>
      <c r="U259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59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59" s="12"/>
      <c r="X259" s="386" t="str">
        <f>IFERROR(IF(TRANSHARI10_ICECREAMMALAM[[#This Row],[NAMA REKENING]]="","",TRANSHARI10_ICECREAMMALAM[[#This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IFERROR(VLOOKUP(TRANSHARI10_ICECREAMPAGI[[#This Row],[PRODUK]],DATA_ICECREAM[],12,FALSE),"")</f>
        <v/>
      </c>
      <c r="E260" s="374"/>
      <c r="F260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0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0" s="12"/>
      <c r="I260" s="384" t="str">
        <f>IFERROR(IF(TRANSHARI10_ICECREAMPAGI[[#This Row],[NAMA REKENING]]="","",TRANSHARI10_ICECREAMPAGI[[#This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IFERROR(VLOOKUP(TRANSHARI10_ICECREAMMALAM[[#This Row],[PRODUK]],DATA_ICECREAM[],12,FALSE),"")</f>
        <v/>
      </c>
      <c r="T260" s="374"/>
      <c r="U260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0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0" s="12"/>
      <c r="X260" s="384" t="str">
        <f>IFERROR(IF(TRANSHARI10_ICECREAMMALAM[[#This Row],[NAMA REKENING]]="","",TRANSHARI10_ICECREAMMALAM[[#This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IFERROR(VLOOKUP(TRANSHARI10_ICECREAMPAGI[[#This Row],[PRODUK]],DATA_ICECREAM[],12,FALSE),"")</f>
        <v/>
      </c>
      <c r="E261" s="374"/>
      <c r="F261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1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1" s="12"/>
      <c r="I261" s="386" t="str">
        <f>IFERROR(IF(TRANSHARI10_ICECREAMPAGI[[#This Row],[NAMA REKENING]]="","",TRANSHARI10_ICECREAMPAGI[[#This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IFERROR(VLOOKUP(TRANSHARI10_ICECREAMMALAM[[#This Row],[PRODUK]],DATA_ICECREAM[],12,FALSE),"")</f>
        <v/>
      </c>
      <c r="T261" s="374"/>
      <c r="U261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1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1" s="12"/>
      <c r="X261" s="386" t="str">
        <f>IFERROR(IF(TRANSHARI10_ICECREAMMALAM[[#This Row],[NAMA REKENING]]="","",TRANSHARI10_ICECREAMMALAM[[#This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IFERROR(VLOOKUP(TRANSHARI10_ICECREAMPAGI[[#This Row],[PRODUK]],DATA_ICECREAM[],12,FALSE),"")</f>
        <v/>
      </c>
      <c r="E262" s="374"/>
      <c r="F262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2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2" s="12"/>
      <c r="I262" s="384" t="str">
        <f>IFERROR(IF(TRANSHARI10_ICECREAMPAGI[[#This Row],[NAMA REKENING]]="","",TRANSHARI10_ICECREAMPAGI[[#This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IFERROR(VLOOKUP(TRANSHARI10_ICECREAMMALAM[[#This Row],[PRODUK]],DATA_ICECREAM[],12,FALSE),"")</f>
        <v/>
      </c>
      <c r="T262" s="374"/>
      <c r="U262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2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2" s="12"/>
      <c r="X262" s="384" t="str">
        <f>IFERROR(IF(TRANSHARI10_ICECREAMMALAM[[#This Row],[NAMA REKENING]]="","",TRANSHARI10_ICECREAMMALAM[[#This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IFERROR(VLOOKUP(TRANSHARI10_ICECREAMPAGI[[#This Row],[PRODUK]],DATA_ICECREAM[],12,FALSE),"")</f>
        <v/>
      </c>
      <c r="E263" s="374"/>
      <c r="F263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3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3" s="12"/>
      <c r="I263" s="386" t="str">
        <f>IFERROR(IF(TRANSHARI10_ICECREAMPAGI[[#This Row],[NAMA REKENING]]="","",TRANSHARI10_ICECREAMPAGI[[#This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IFERROR(VLOOKUP(TRANSHARI10_ICECREAMMALAM[[#This Row],[PRODUK]],DATA_ICECREAM[],12,FALSE),"")</f>
        <v/>
      </c>
      <c r="T263" s="374"/>
      <c r="U263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3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3" s="12"/>
      <c r="X263" s="386" t="str">
        <f>IFERROR(IF(TRANSHARI10_ICECREAMMALAM[[#This Row],[NAMA REKENING]]="","",TRANSHARI10_ICECREAMMALAM[[#This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IFERROR(VLOOKUP(TRANSHARI10_ICECREAMPAGI[[#This Row],[PRODUK]],DATA_ICECREAM[],12,FALSE),"")</f>
        <v/>
      </c>
      <c r="E264" s="374"/>
      <c r="F264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4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4" s="12"/>
      <c r="I264" s="384" t="str">
        <f>IFERROR(IF(TRANSHARI10_ICECREAMPAGI[[#This Row],[NAMA REKENING]]="","",TRANSHARI10_ICECREAMPAGI[[#This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IFERROR(VLOOKUP(TRANSHARI10_ICECREAMMALAM[[#This Row],[PRODUK]],DATA_ICECREAM[],12,FALSE),"")</f>
        <v/>
      </c>
      <c r="T264" s="374"/>
      <c r="U264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4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4" s="12"/>
      <c r="X264" s="384" t="str">
        <f>IFERROR(IF(TRANSHARI10_ICECREAMMALAM[[#This Row],[NAMA REKENING]]="","",TRANSHARI10_ICECREAMMALAM[[#This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IFERROR(VLOOKUP(TRANSHARI10_ICECREAMPAGI[[#This Row],[PRODUK]],DATA_ICECREAM[],12,FALSE),"")</f>
        <v/>
      </c>
      <c r="E265" s="374"/>
      <c r="F265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5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5" s="12"/>
      <c r="I265" s="386" t="str">
        <f>IFERROR(IF(TRANSHARI10_ICECREAMPAGI[[#This Row],[NAMA REKENING]]="","",TRANSHARI10_ICECREAMPAGI[[#This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IFERROR(VLOOKUP(TRANSHARI10_ICECREAMMALAM[[#This Row],[PRODUK]],DATA_ICECREAM[],12,FALSE),"")</f>
        <v/>
      </c>
      <c r="T265" s="374"/>
      <c r="U265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5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5" s="12"/>
      <c r="X265" s="386" t="str">
        <f>IFERROR(IF(TRANSHARI10_ICECREAMMALAM[[#This Row],[NAMA REKENING]]="","",TRANSHARI10_ICECREAMMALAM[[#This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IFERROR(VLOOKUP(TRANSHARI10_ICECREAMPAGI[[#This Row],[PRODUK]],DATA_ICECREAM[],12,FALSE),"")</f>
        <v/>
      </c>
      <c r="E266" s="374"/>
      <c r="F266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6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6" s="12"/>
      <c r="I266" s="384" t="str">
        <f>IFERROR(IF(TRANSHARI10_ICECREAMPAGI[[#This Row],[NAMA REKENING]]="","",TRANSHARI10_ICECREAMPAGI[[#This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IFERROR(VLOOKUP(TRANSHARI10_ICECREAMMALAM[[#This Row],[PRODUK]],DATA_ICECREAM[],12,FALSE),"")</f>
        <v/>
      </c>
      <c r="T266" s="374"/>
      <c r="U266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6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6" s="12"/>
      <c r="X266" s="384" t="str">
        <f>IFERROR(IF(TRANSHARI10_ICECREAMMALAM[[#This Row],[NAMA REKENING]]="","",TRANSHARI10_ICECREAMMALAM[[#This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IFERROR(VLOOKUP(TRANSHARI10_ICECREAMPAGI[[#This Row],[PRODUK]],DATA_ICECREAM[],12,FALSE),"")</f>
        <v/>
      </c>
      <c r="E267" s="374"/>
      <c r="F267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7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7" s="12"/>
      <c r="I267" s="386" t="str">
        <f>IFERROR(IF(TRANSHARI10_ICECREAMPAGI[[#This Row],[NAMA REKENING]]="","",TRANSHARI10_ICECREAMPAGI[[#This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IFERROR(VLOOKUP(TRANSHARI10_ICECREAMMALAM[[#This Row],[PRODUK]],DATA_ICECREAM[],12,FALSE),"")</f>
        <v/>
      </c>
      <c r="T267" s="374"/>
      <c r="U267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7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7" s="12"/>
      <c r="X267" s="386" t="str">
        <f>IFERROR(IF(TRANSHARI10_ICECREAMMALAM[[#This Row],[NAMA REKENING]]="","",TRANSHARI10_ICECREAMMALAM[[#This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IFERROR(VLOOKUP(TRANSHARI10_ICECREAMPAGI[[#This Row],[PRODUK]],DATA_ICECREAM[],12,FALSE),"")</f>
        <v/>
      </c>
      <c r="E268" s="374"/>
      <c r="F268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8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8" s="12"/>
      <c r="I268" s="384" t="str">
        <f>IFERROR(IF(TRANSHARI10_ICECREAMPAGI[[#This Row],[NAMA REKENING]]="","",TRANSHARI10_ICECREAMPAGI[[#This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IFERROR(VLOOKUP(TRANSHARI10_ICECREAMMALAM[[#This Row],[PRODUK]],DATA_ICECREAM[],12,FALSE),"")</f>
        <v/>
      </c>
      <c r="T268" s="374"/>
      <c r="U268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8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8" s="12"/>
      <c r="X268" s="384" t="str">
        <f>IFERROR(IF(TRANSHARI10_ICECREAMMALAM[[#This Row],[NAMA REKENING]]="","",TRANSHARI10_ICECREAMMALAM[[#This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IFERROR(VLOOKUP(TRANSHARI10_ICECREAMPAGI[[#This Row],[PRODUK]],DATA_ICECREAM[],12,FALSE),"")</f>
        <v/>
      </c>
      <c r="E269" s="374"/>
      <c r="F269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69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69" s="12"/>
      <c r="I269" s="386" t="str">
        <f>IFERROR(IF(TRANSHARI10_ICECREAMPAGI[[#This Row],[NAMA REKENING]]="","",TRANSHARI10_ICECREAMPAGI[[#This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IFERROR(VLOOKUP(TRANSHARI10_ICECREAMMALAM[[#This Row],[PRODUK]],DATA_ICECREAM[],12,FALSE),"")</f>
        <v/>
      </c>
      <c r="T269" s="374"/>
      <c r="U269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69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69" s="12"/>
      <c r="X269" s="386" t="str">
        <f>IFERROR(IF(TRANSHARI10_ICECREAMMALAM[[#This Row],[NAMA REKENING]]="","",TRANSHARI10_ICECREAMMALAM[[#This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IFERROR(VLOOKUP(TRANSHARI10_ICECREAMPAGI[[#This Row],[PRODUK]],DATA_ICECREAM[],12,FALSE),"")</f>
        <v/>
      </c>
      <c r="E270" s="374"/>
      <c r="F270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0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0" s="12"/>
      <c r="I270" s="384" t="str">
        <f>IFERROR(IF(TRANSHARI10_ICECREAMPAGI[[#This Row],[NAMA REKENING]]="","",TRANSHARI10_ICECREAMPAGI[[#This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IFERROR(VLOOKUP(TRANSHARI10_ICECREAMMALAM[[#This Row],[PRODUK]],DATA_ICECREAM[],12,FALSE),"")</f>
        <v/>
      </c>
      <c r="T270" s="374"/>
      <c r="U270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0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0" s="12"/>
      <c r="X270" s="384" t="str">
        <f>IFERROR(IF(TRANSHARI10_ICECREAMMALAM[[#This Row],[NAMA REKENING]]="","",TRANSHARI10_ICECREAMMALAM[[#This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IFERROR(VLOOKUP(TRANSHARI10_ICECREAMPAGI[[#This Row],[PRODUK]],DATA_ICECREAM[],12,FALSE),"")</f>
        <v/>
      </c>
      <c r="E271" s="374"/>
      <c r="F271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1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1" s="12"/>
      <c r="I271" s="386" t="str">
        <f>IFERROR(IF(TRANSHARI10_ICECREAMPAGI[[#This Row],[NAMA REKENING]]="","",TRANSHARI10_ICECREAMPAGI[[#This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IFERROR(VLOOKUP(TRANSHARI10_ICECREAMMALAM[[#This Row],[PRODUK]],DATA_ICECREAM[],12,FALSE),"")</f>
        <v/>
      </c>
      <c r="T271" s="374"/>
      <c r="U271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1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1" s="12"/>
      <c r="X271" s="386" t="str">
        <f>IFERROR(IF(TRANSHARI10_ICECREAMMALAM[[#This Row],[NAMA REKENING]]="","",TRANSHARI10_ICECREAMMALAM[[#This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IFERROR(VLOOKUP(TRANSHARI10_ICECREAMPAGI[[#This Row],[PRODUK]],DATA_ICECREAM[],12,FALSE),"")</f>
        <v/>
      </c>
      <c r="E272" s="374"/>
      <c r="F272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2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2" s="12"/>
      <c r="I272" s="384" t="str">
        <f>IFERROR(IF(TRANSHARI10_ICECREAMPAGI[[#This Row],[NAMA REKENING]]="","",TRANSHARI10_ICECREAMPAGI[[#This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IFERROR(VLOOKUP(TRANSHARI10_ICECREAMMALAM[[#This Row],[PRODUK]],DATA_ICECREAM[],12,FALSE),"")</f>
        <v/>
      </c>
      <c r="T272" s="374"/>
      <c r="U272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2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2" s="12"/>
      <c r="X272" s="384" t="str">
        <f>IFERROR(IF(TRANSHARI10_ICECREAMMALAM[[#This Row],[NAMA REKENING]]="","",TRANSHARI10_ICECREAMMALAM[[#This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IFERROR(VLOOKUP(TRANSHARI10_ICECREAMPAGI[[#This Row],[PRODUK]],DATA_ICECREAM[],12,FALSE),"")</f>
        <v/>
      </c>
      <c r="E273" s="374"/>
      <c r="F273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3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3" s="12"/>
      <c r="I273" s="386" t="str">
        <f>IFERROR(IF(TRANSHARI10_ICECREAMPAGI[[#This Row],[NAMA REKENING]]="","",TRANSHARI10_ICECREAMPAGI[[#This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IFERROR(VLOOKUP(TRANSHARI10_ICECREAMMALAM[[#This Row],[PRODUK]],DATA_ICECREAM[],12,FALSE),"")</f>
        <v/>
      </c>
      <c r="T273" s="374"/>
      <c r="U273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3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3" s="12"/>
      <c r="X273" s="386" t="str">
        <f>IFERROR(IF(TRANSHARI10_ICECREAMMALAM[[#This Row],[NAMA REKENING]]="","",TRANSHARI10_ICECREAMMALAM[[#This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IFERROR(VLOOKUP(TRANSHARI10_ICECREAMPAGI[[#This Row],[PRODUK]],DATA_ICECREAM[],12,FALSE),"")</f>
        <v/>
      </c>
      <c r="E274" s="374"/>
      <c r="F274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4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4" s="12"/>
      <c r="I274" s="384" t="str">
        <f>IFERROR(IF(TRANSHARI10_ICECREAMPAGI[[#This Row],[NAMA REKENING]]="","",TRANSHARI10_ICECREAMPAGI[[#This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IFERROR(VLOOKUP(TRANSHARI10_ICECREAMMALAM[[#This Row],[PRODUK]],DATA_ICECREAM[],12,FALSE),"")</f>
        <v/>
      </c>
      <c r="T274" s="374"/>
      <c r="U274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4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4" s="12"/>
      <c r="X274" s="384" t="str">
        <f>IFERROR(IF(TRANSHARI10_ICECREAMMALAM[[#This Row],[NAMA REKENING]]="","",TRANSHARI10_ICECREAMMALAM[[#This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IFERROR(VLOOKUP(TRANSHARI10_ICECREAMPAGI[[#This Row],[PRODUK]],DATA_ICECREAM[],12,FALSE),"")</f>
        <v/>
      </c>
      <c r="E275" s="374"/>
      <c r="F275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5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5" s="12"/>
      <c r="I275" s="386" t="str">
        <f>IFERROR(IF(TRANSHARI10_ICECREAMPAGI[[#This Row],[NAMA REKENING]]="","",TRANSHARI10_ICECREAMPAGI[[#This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IFERROR(VLOOKUP(TRANSHARI10_ICECREAMMALAM[[#This Row],[PRODUK]],DATA_ICECREAM[],12,FALSE),"")</f>
        <v/>
      </c>
      <c r="T275" s="374"/>
      <c r="U275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5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5" s="12"/>
      <c r="X275" s="386" t="str">
        <f>IFERROR(IF(TRANSHARI10_ICECREAMMALAM[[#This Row],[NAMA REKENING]]="","",TRANSHARI10_ICECREAMMALAM[[#This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IFERROR(VLOOKUP(TRANSHARI10_ICECREAMPAGI[[#This Row],[PRODUK]],DATA_ICECREAM[],12,FALSE),"")</f>
        <v/>
      </c>
      <c r="E276" s="374"/>
      <c r="F276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6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6" s="12"/>
      <c r="I276" s="384" t="str">
        <f>IFERROR(IF(TRANSHARI10_ICECREAMPAGI[[#This Row],[NAMA REKENING]]="","",TRANSHARI10_ICECREAMPAGI[[#This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IFERROR(VLOOKUP(TRANSHARI10_ICECREAMMALAM[[#This Row],[PRODUK]],DATA_ICECREAM[],12,FALSE),"")</f>
        <v/>
      </c>
      <c r="T276" s="374"/>
      <c r="U276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6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6" s="12"/>
      <c r="X276" s="384" t="str">
        <f>IFERROR(IF(TRANSHARI10_ICECREAMMALAM[[#This Row],[NAMA REKENING]]="","",TRANSHARI10_ICECREAMMALAM[[#This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IFERROR(VLOOKUP(TRANSHARI10_ICECREAMPAGI[[#This Row],[PRODUK]],DATA_ICECREAM[],12,FALSE),"")</f>
        <v/>
      </c>
      <c r="E277" s="374"/>
      <c r="F277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7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7" s="12"/>
      <c r="I277" s="386" t="str">
        <f>IFERROR(IF(TRANSHARI10_ICECREAMPAGI[[#This Row],[NAMA REKENING]]="","",TRANSHARI10_ICECREAMPAGI[[#This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IFERROR(VLOOKUP(TRANSHARI10_ICECREAMMALAM[[#This Row],[PRODUK]],DATA_ICECREAM[],12,FALSE),"")</f>
        <v/>
      </c>
      <c r="T277" s="374"/>
      <c r="U277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7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7" s="12"/>
      <c r="X277" s="386" t="str">
        <f>IFERROR(IF(TRANSHARI10_ICECREAMMALAM[[#This Row],[NAMA REKENING]]="","",TRANSHARI10_ICECREAMMALAM[[#This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IFERROR(VLOOKUP(TRANSHARI10_ICECREAMPAGI[[#This Row],[PRODUK]],DATA_ICECREAM[],12,FALSE),"")</f>
        <v/>
      </c>
      <c r="E278" s="374"/>
      <c r="F278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8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8" s="12"/>
      <c r="I278" s="384" t="str">
        <f>IFERROR(IF(TRANSHARI10_ICECREAMPAGI[[#This Row],[NAMA REKENING]]="","",TRANSHARI10_ICECREAMPAGI[[#This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IFERROR(VLOOKUP(TRANSHARI10_ICECREAMMALAM[[#This Row],[PRODUK]],DATA_ICECREAM[],12,FALSE),"")</f>
        <v/>
      </c>
      <c r="T278" s="374"/>
      <c r="U278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8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8" s="12"/>
      <c r="X278" s="384" t="str">
        <f>IFERROR(IF(TRANSHARI10_ICECREAMMALAM[[#This Row],[NAMA REKENING]]="","",TRANSHARI10_ICECREAMMALAM[[#This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IFERROR(VLOOKUP(TRANSHARI10_ICECREAMPAGI[[#This Row],[PRODUK]],DATA_ICECREAM[],12,FALSE),"")</f>
        <v/>
      </c>
      <c r="E279" s="374"/>
      <c r="F279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79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79" s="12"/>
      <c r="I279" s="386" t="str">
        <f>IFERROR(IF(TRANSHARI10_ICECREAMPAGI[[#This Row],[NAMA REKENING]]="","",TRANSHARI10_ICECREAMPAGI[[#This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IFERROR(VLOOKUP(TRANSHARI10_ICECREAMMALAM[[#This Row],[PRODUK]],DATA_ICECREAM[],12,FALSE),"")</f>
        <v/>
      </c>
      <c r="T279" s="374"/>
      <c r="U279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79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79" s="12"/>
      <c r="X279" s="386" t="str">
        <f>IFERROR(IF(TRANSHARI10_ICECREAMMALAM[[#This Row],[NAMA REKENING]]="","",TRANSHARI10_ICECREAMMALAM[[#This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IFERROR(VLOOKUP(TRANSHARI10_ICECREAMPAGI[[#This Row],[PRODUK]],DATA_ICECREAM[],12,FALSE),"")</f>
        <v/>
      </c>
      <c r="E280" s="374"/>
      <c r="F280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0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0" s="12"/>
      <c r="I280" s="384" t="str">
        <f>IFERROR(IF(TRANSHARI10_ICECREAMPAGI[[#This Row],[NAMA REKENING]]="","",TRANSHARI10_ICECREAMPAGI[[#This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IFERROR(VLOOKUP(TRANSHARI10_ICECREAMMALAM[[#This Row],[PRODUK]],DATA_ICECREAM[],12,FALSE),"")</f>
        <v/>
      </c>
      <c r="T280" s="374"/>
      <c r="U280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0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0" s="12"/>
      <c r="X280" s="384" t="str">
        <f>IFERROR(IF(TRANSHARI10_ICECREAMMALAM[[#This Row],[NAMA REKENING]]="","",TRANSHARI10_ICECREAMMALAM[[#This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IFERROR(VLOOKUP(TRANSHARI10_ICECREAMPAGI[[#This Row],[PRODUK]],DATA_ICECREAM[],12,FALSE),"")</f>
        <v/>
      </c>
      <c r="E281" s="376"/>
      <c r="F281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1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1" s="377"/>
      <c r="I281" s="386" t="str">
        <f>IFERROR(IF(TRANSHARI10_ICECREAMPAGI[[#This Row],[NAMA REKENING]]="","",TRANSHARI10_ICECREAMPAGI[[#This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IFERROR(VLOOKUP(TRANSHARI10_ICECREAMMALAM[[#This Row],[PRODUK]],DATA_ICECREAM[],12,FALSE),"")</f>
        <v/>
      </c>
      <c r="T281" s="376"/>
      <c r="U281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1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1" s="377"/>
      <c r="X281" s="386" t="str">
        <f>IFERROR(IF(TRANSHARI10_ICECREAMMALAM[[#This Row],[NAMA REKENING]]="","",TRANSHARI10_ICECREAMMALAM[[#This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IFERROR(VLOOKUP(TRANSHARI10_ICECREAMPAGI[[#This Row],[PRODUK]],DATA_ICECREAM[],12,FALSE),"")</f>
        <v/>
      </c>
      <c r="E282" s="374"/>
      <c r="F282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2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2" s="12"/>
      <c r="I282" s="384" t="str">
        <f>IFERROR(IF(TRANSHARI10_ICECREAMPAGI[[#This Row],[NAMA REKENING]]="","",TRANSHARI10_ICECREAMPAGI[[#This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IFERROR(VLOOKUP(TRANSHARI10_ICECREAMMALAM[[#This Row],[PRODUK]],DATA_ICECREAM[],12,FALSE),"")</f>
        <v/>
      </c>
      <c r="T282" s="374"/>
      <c r="U282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2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2" s="12"/>
      <c r="X282" s="384" t="str">
        <f>IFERROR(IF(TRANSHARI10_ICECREAMMALAM[[#This Row],[NAMA REKENING]]="","",TRANSHARI10_ICECREAMMALAM[[#This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IFERROR(VLOOKUP(TRANSHARI10_ICECREAMPAGI[[#This Row],[PRODUK]],DATA_ICECREAM[],12,FALSE),"")</f>
        <v/>
      </c>
      <c r="E283" s="374"/>
      <c r="F283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3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3" s="12"/>
      <c r="I283" s="386" t="str">
        <f>IFERROR(IF(TRANSHARI10_ICECREAMPAGI[[#This Row],[NAMA REKENING]]="","",TRANSHARI10_ICECREAMPAGI[[#This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IFERROR(VLOOKUP(TRANSHARI10_ICECREAMMALAM[[#This Row],[PRODUK]],DATA_ICECREAM[],12,FALSE),"")</f>
        <v/>
      </c>
      <c r="T283" s="374"/>
      <c r="U283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3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3" s="12"/>
      <c r="X283" s="386" t="str">
        <f>IFERROR(IF(TRANSHARI10_ICECREAMMALAM[[#This Row],[NAMA REKENING]]="","",TRANSHARI10_ICECREAMMALAM[[#This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IFERROR(VLOOKUP(TRANSHARI10_ICECREAMPAGI[[#This Row],[PRODUK]],DATA_ICECREAM[],12,FALSE),"")</f>
        <v/>
      </c>
      <c r="E284" s="374"/>
      <c r="F284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4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4" s="12"/>
      <c r="I284" s="384" t="str">
        <f>IFERROR(IF(TRANSHARI10_ICECREAMPAGI[[#This Row],[NAMA REKENING]]="","",TRANSHARI10_ICECREAMPAGI[[#This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IFERROR(VLOOKUP(TRANSHARI10_ICECREAMMALAM[[#This Row],[PRODUK]],DATA_ICECREAM[],12,FALSE),"")</f>
        <v/>
      </c>
      <c r="T284" s="374"/>
      <c r="U284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4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4" s="12"/>
      <c r="X284" s="384" t="str">
        <f>IFERROR(IF(TRANSHARI10_ICECREAMMALAM[[#This Row],[NAMA REKENING]]="","",TRANSHARI10_ICECREAMMALAM[[#This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IFERROR(VLOOKUP(TRANSHARI10_ICECREAMPAGI[[#This Row],[PRODUK]],DATA_ICECREAM[],12,FALSE),"")</f>
        <v/>
      </c>
      <c r="E285" s="374"/>
      <c r="F285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5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5" s="12"/>
      <c r="I285" s="386" t="str">
        <f>IFERROR(IF(TRANSHARI10_ICECREAMPAGI[[#This Row],[NAMA REKENING]]="","",TRANSHARI10_ICECREAMPAGI[[#This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IFERROR(VLOOKUP(TRANSHARI10_ICECREAMMALAM[[#This Row],[PRODUK]],DATA_ICECREAM[],12,FALSE),"")</f>
        <v/>
      </c>
      <c r="T285" s="374"/>
      <c r="U285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5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5" s="12"/>
      <c r="X285" s="386" t="str">
        <f>IFERROR(IF(TRANSHARI10_ICECREAMMALAM[[#This Row],[NAMA REKENING]]="","",TRANSHARI10_ICECREAMMALAM[[#This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IFERROR(VLOOKUP(TRANSHARI10_ICECREAMPAGI[[#This Row],[PRODUK]],DATA_ICECREAM[],12,FALSE),"")</f>
        <v/>
      </c>
      <c r="E286" s="374"/>
      <c r="F286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6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6" s="12"/>
      <c r="I286" s="384" t="str">
        <f>IFERROR(IF(TRANSHARI10_ICECREAMPAGI[[#This Row],[NAMA REKENING]]="","",TRANSHARI10_ICECREAMPAGI[[#This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IFERROR(VLOOKUP(TRANSHARI10_ICECREAMMALAM[[#This Row],[PRODUK]],DATA_ICECREAM[],12,FALSE),"")</f>
        <v/>
      </c>
      <c r="T286" s="374"/>
      <c r="U286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6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6" s="12"/>
      <c r="X286" s="384" t="str">
        <f>IFERROR(IF(TRANSHARI10_ICECREAMMALAM[[#This Row],[NAMA REKENING]]="","",TRANSHARI10_ICECREAMMALAM[[#This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IFERROR(VLOOKUP(TRANSHARI10_ICECREAMPAGI[[#This Row],[PRODUK]],DATA_ICECREAM[],12,FALSE),"")</f>
        <v/>
      </c>
      <c r="E287" s="374"/>
      <c r="F287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7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7" s="12"/>
      <c r="I287" s="386" t="str">
        <f>IFERROR(IF(TRANSHARI10_ICECREAMPAGI[[#This Row],[NAMA REKENING]]="","",TRANSHARI10_ICECREAMPAGI[[#This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IFERROR(VLOOKUP(TRANSHARI10_ICECREAMMALAM[[#This Row],[PRODUK]],DATA_ICECREAM[],12,FALSE),"")</f>
        <v/>
      </c>
      <c r="T287" s="374"/>
      <c r="U287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7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7" s="12"/>
      <c r="X287" s="386" t="str">
        <f>IFERROR(IF(TRANSHARI10_ICECREAMMALAM[[#This Row],[NAMA REKENING]]="","",TRANSHARI10_ICECREAMMALAM[[#This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IFERROR(VLOOKUP(TRANSHARI10_ICECREAMPAGI[[#This Row],[PRODUK]],DATA_ICECREAM[],12,FALSE),"")</f>
        <v/>
      </c>
      <c r="E288" s="374"/>
      <c r="F288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8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8" s="12"/>
      <c r="I288" s="384" t="str">
        <f>IFERROR(IF(TRANSHARI10_ICECREAMPAGI[[#This Row],[NAMA REKENING]]="","",TRANSHARI10_ICECREAMPAGI[[#This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IFERROR(VLOOKUP(TRANSHARI10_ICECREAMMALAM[[#This Row],[PRODUK]],DATA_ICECREAM[],12,FALSE),"")</f>
        <v/>
      </c>
      <c r="T288" s="374"/>
      <c r="U288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8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8" s="12"/>
      <c r="X288" s="384" t="str">
        <f>IFERROR(IF(TRANSHARI10_ICECREAMMALAM[[#This Row],[NAMA REKENING]]="","",TRANSHARI10_ICECREAMMALAM[[#This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IFERROR(VLOOKUP(TRANSHARI10_ICECREAMPAGI[[#This Row],[PRODUK]],DATA_ICECREAM[],12,FALSE),"")</f>
        <v/>
      </c>
      <c r="E289" s="374"/>
      <c r="F289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89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89" s="12"/>
      <c r="I289" s="386" t="str">
        <f>IFERROR(IF(TRANSHARI10_ICECREAMPAGI[[#This Row],[NAMA REKENING]]="","",TRANSHARI10_ICECREAMPAGI[[#This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IFERROR(VLOOKUP(TRANSHARI10_ICECREAMMALAM[[#This Row],[PRODUK]],DATA_ICECREAM[],12,FALSE),"")</f>
        <v/>
      </c>
      <c r="T289" s="374"/>
      <c r="U289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89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89" s="12"/>
      <c r="X289" s="386" t="str">
        <f>IFERROR(IF(TRANSHARI10_ICECREAMMALAM[[#This Row],[NAMA REKENING]]="","",TRANSHARI10_ICECREAMMALAM[[#This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IFERROR(VLOOKUP(TRANSHARI10_ICECREAMPAGI[[#This Row],[PRODUK]],DATA_ICECREAM[],12,FALSE),"")</f>
        <v/>
      </c>
      <c r="E290" s="374"/>
      <c r="F290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0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0" s="12"/>
      <c r="I290" s="384" t="str">
        <f>IFERROR(IF(TRANSHARI10_ICECREAMPAGI[[#This Row],[NAMA REKENING]]="","",TRANSHARI10_ICECREAMPAGI[[#This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IFERROR(VLOOKUP(TRANSHARI10_ICECREAMMALAM[[#This Row],[PRODUK]],DATA_ICECREAM[],12,FALSE),"")</f>
        <v/>
      </c>
      <c r="T290" s="374"/>
      <c r="U290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0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0" s="12"/>
      <c r="X290" s="384" t="str">
        <f>IFERROR(IF(TRANSHARI10_ICECREAMMALAM[[#This Row],[NAMA REKENING]]="","",TRANSHARI10_ICECREAMMALAM[[#This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IFERROR(VLOOKUP(TRANSHARI10_ICECREAMPAGI[[#This Row],[PRODUK]],DATA_ICECREAM[],12,FALSE),"")</f>
        <v/>
      </c>
      <c r="E291" s="374"/>
      <c r="F291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1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1" s="12"/>
      <c r="I291" s="386" t="str">
        <f>IFERROR(IF(TRANSHARI10_ICECREAMPAGI[[#This Row],[NAMA REKENING]]="","",TRANSHARI10_ICECREAMPAGI[[#This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IFERROR(VLOOKUP(TRANSHARI10_ICECREAMMALAM[[#This Row],[PRODUK]],DATA_ICECREAM[],12,FALSE),"")</f>
        <v/>
      </c>
      <c r="T291" s="374"/>
      <c r="U291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1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1" s="12"/>
      <c r="X291" s="386" t="str">
        <f>IFERROR(IF(TRANSHARI10_ICECREAMMALAM[[#This Row],[NAMA REKENING]]="","",TRANSHARI10_ICECREAMMALAM[[#This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IFERROR(VLOOKUP(TRANSHARI10_ICECREAMPAGI[[#This Row],[PRODUK]],DATA_ICECREAM[],12,FALSE),"")</f>
        <v/>
      </c>
      <c r="E292" s="374"/>
      <c r="F292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2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2" s="12"/>
      <c r="I292" s="384" t="str">
        <f>IFERROR(IF(TRANSHARI10_ICECREAMPAGI[[#This Row],[NAMA REKENING]]="","",TRANSHARI10_ICECREAMPAGI[[#This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IFERROR(VLOOKUP(TRANSHARI10_ICECREAMMALAM[[#This Row],[PRODUK]],DATA_ICECREAM[],12,FALSE),"")</f>
        <v/>
      </c>
      <c r="T292" s="374"/>
      <c r="U292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2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2" s="12"/>
      <c r="X292" s="384" t="str">
        <f>IFERROR(IF(TRANSHARI10_ICECREAMMALAM[[#This Row],[NAMA REKENING]]="","",TRANSHARI10_ICECREAMMALAM[[#This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IFERROR(VLOOKUP(TRANSHARI10_ICECREAMPAGI[[#This Row],[PRODUK]],DATA_ICECREAM[],12,FALSE),"")</f>
        <v/>
      </c>
      <c r="E293" s="374"/>
      <c r="F293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3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3" s="12"/>
      <c r="I293" s="386" t="str">
        <f>IFERROR(IF(TRANSHARI10_ICECREAMPAGI[[#This Row],[NAMA REKENING]]="","",TRANSHARI10_ICECREAMPAGI[[#This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IFERROR(VLOOKUP(TRANSHARI10_ICECREAMMALAM[[#This Row],[PRODUK]],DATA_ICECREAM[],12,FALSE),"")</f>
        <v/>
      </c>
      <c r="T293" s="374"/>
      <c r="U293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3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3" s="12"/>
      <c r="X293" s="386" t="str">
        <f>IFERROR(IF(TRANSHARI10_ICECREAMMALAM[[#This Row],[NAMA REKENING]]="","",TRANSHARI10_ICECREAMMALAM[[#This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IFERROR(VLOOKUP(TRANSHARI10_ICECREAMPAGI[[#This Row],[PRODUK]],DATA_ICECREAM[],12,FALSE),"")</f>
        <v/>
      </c>
      <c r="E294" s="374"/>
      <c r="F294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4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4" s="12"/>
      <c r="I294" s="384" t="str">
        <f>IFERROR(IF(TRANSHARI10_ICECREAMPAGI[[#This Row],[NAMA REKENING]]="","",TRANSHARI10_ICECREAMPAGI[[#This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IFERROR(VLOOKUP(TRANSHARI10_ICECREAMMALAM[[#This Row],[PRODUK]],DATA_ICECREAM[],12,FALSE),"")</f>
        <v/>
      </c>
      <c r="T294" s="374"/>
      <c r="U294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4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4" s="12"/>
      <c r="X294" s="384" t="str">
        <f>IFERROR(IF(TRANSHARI10_ICECREAMMALAM[[#This Row],[NAMA REKENING]]="","",TRANSHARI10_ICECREAMMALAM[[#This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IFERROR(VLOOKUP(TRANSHARI10_ICECREAMPAGI[[#This Row],[PRODUK]],DATA_ICECREAM[],12,FALSE),"")</f>
        <v/>
      </c>
      <c r="E295" s="374"/>
      <c r="F295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5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5" s="12"/>
      <c r="I295" s="386" t="str">
        <f>IFERROR(IF(TRANSHARI10_ICECREAMPAGI[[#This Row],[NAMA REKENING]]="","",TRANSHARI10_ICECREAMPAGI[[#This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IFERROR(VLOOKUP(TRANSHARI10_ICECREAMMALAM[[#This Row],[PRODUK]],DATA_ICECREAM[],12,FALSE),"")</f>
        <v/>
      </c>
      <c r="T295" s="374"/>
      <c r="U295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5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5" s="12"/>
      <c r="X295" s="386" t="str">
        <f>IFERROR(IF(TRANSHARI10_ICECREAMMALAM[[#This Row],[NAMA REKENING]]="","",TRANSHARI10_ICECREAMMALAM[[#This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IFERROR(VLOOKUP(TRANSHARI10_ICECREAMPAGI[[#This Row],[PRODUK]],DATA_ICECREAM[],12,FALSE),"")</f>
        <v/>
      </c>
      <c r="E296" s="374"/>
      <c r="F296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6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6" s="12"/>
      <c r="I296" s="384" t="str">
        <f>IFERROR(IF(TRANSHARI10_ICECREAMPAGI[[#This Row],[NAMA REKENING]]="","",TRANSHARI10_ICECREAMPAGI[[#This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IFERROR(VLOOKUP(TRANSHARI10_ICECREAMMALAM[[#This Row],[PRODUK]],DATA_ICECREAM[],12,FALSE),"")</f>
        <v/>
      </c>
      <c r="T296" s="374"/>
      <c r="U296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6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6" s="12"/>
      <c r="X296" s="384" t="str">
        <f>IFERROR(IF(TRANSHARI10_ICECREAMMALAM[[#This Row],[NAMA REKENING]]="","",TRANSHARI10_ICECREAMMALAM[[#This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IFERROR(VLOOKUP(TRANSHARI10_ICECREAMPAGI[[#This Row],[PRODUK]],DATA_ICECREAM[],12,FALSE),"")</f>
        <v/>
      </c>
      <c r="E297" s="374"/>
      <c r="F297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7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7" s="12"/>
      <c r="I297" s="386" t="str">
        <f>IFERROR(IF(TRANSHARI10_ICECREAMPAGI[[#This Row],[NAMA REKENING]]="","",TRANSHARI10_ICECREAMPAGI[[#This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IFERROR(VLOOKUP(TRANSHARI10_ICECREAMMALAM[[#This Row],[PRODUK]],DATA_ICECREAM[],12,FALSE),"")</f>
        <v/>
      </c>
      <c r="T297" s="374"/>
      <c r="U297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7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7" s="12"/>
      <c r="X297" s="386" t="str">
        <f>IFERROR(IF(TRANSHARI10_ICECREAMMALAM[[#This Row],[NAMA REKENING]]="","",TRANSHARI10_ICECREAMMALAM[[#This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IFERROR(VLOOKUP(TRANSHARI10_ICECREAMPAGI[[#This Row],[PRODUK]],DATA_ICECREAM[],12,FALSE),"")</f>
        <v/>
      </c>
      <c r="E298" s="374"/>
      <c r="F298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8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8" s="12"/>
      <c r="I298" s="384" t="str">
        <f>IFERROR(IF(TRANSHARI10_ICECREAMPAGI[[#This Row],[NAMA REKENING]]="","",TRANSHARI10_ICECREAMPAGI[[#This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IFERROR(VLOOKUP(TRANSHARI10_ICECREAMMALAM[[#This Row],[PRODUK]],DATA_ICECREAM[],12,FALSE),"")</f>
        <v/>
      </c>
      <c r="T298" s="374"/>
      <c r="U298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8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8" s="12"/>
      <c r="X298" s="384" t="str">
        <f>IFERROR(IF(TRANSHARI10_ICECREAMMALAM[[#This Row],[NAMA REKENING]]="","",TRANSHARI10_ICECREAMMALAM[[#This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IFERROR(VLOOKUP(TRANSHARI10_ICECREAMPAGI[[#This Row],[PRODUK]],DATA_ICECREAM[],12,FALSE),"")</f>
        <v/>
      </c>
      <c r="E299" s="374"/>
      <c r="F299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299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299" s="12"/>
      <c r="I299" s="386" t="str">
        <f>IFERROR(IF(TRANSHARI10_ICECREAMPAGI[[#This Row],[NAMA REKENING]]="","",TRANSHARI10_ICECREAMPAGI[[#This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IFERROR(VLOOKUP(TRANSHARI10_ICECREAMMALAM[[#This Row],[PRODUK]],DATA_ICECREAM[],12,FALSE),"")</f>
        <v/>
      </c>
      <c r="T299" s="374"/>
      <c r="U299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299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299" s="12"/>
      <c r="X299" s="386" t="str">
        <f>IFERROR(IF(TRANSHARI10_ICECREAMMALAM[[#This Row],[NAMA REKENING]]="","",TRANSHARI10_ICECREAMMALAM[[#This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IFERROR(VLOOKUP(TRANSHARI10_ICECREAMPAGI[[#This Row],[PRODUK]],DATA_ICECREAM[],12,FALSE),"")</f>
        <v/>
      </c>
      <c r="E300" s="374"/>
      <c r="F300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300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300" s="12"/>
      <c r="I300" s="384" t="str">
        <f>IFERROR(IF(TRANSHARI10_ICECREAMPAGI[[#This Row],[NAMA REKENING]]="","",TRANSHARI10_ICECREAMPAGI[[#This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IFERROR(VLOOKUP(TRANSHARI10_ICECREAMMALAM[[#This Row],[PRODUK]],DATA_ICECREAM[],12,FALSE),"")</f>
        <v/>
      </c>
      <c r="T300" s="374"/>
      <c r="U300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300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300" s="12"/>
      <c r="X300" s="384" t="str">
        <f>IFERROR(IF(TRANSHARI10_ICECREAMMALAM[[#This Row],[NAMA REKENING]]="","",TRANSHARI10_ICECREAMMALAM[[#This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IFERROR(VLOOKUP(TRANSHARI10_ICECREAMPAGI[[#This Row],[PRODUK]],DATA_ICECREAM[],12,FALSE),"")</f>
        <v/>
      </c>
      <c r="E301" s="374"/>
      <c r="F301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301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301" s="12"/>
      <c r="I301" s="386" t="str">
        <f>IFERROR(IF(TRANSHARI10_ICECREAMPAGI[[#This Row],[NAMA REKENING]]="","",TRANSHARI10_ICECREAMPAGI[[#This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IFERROR(VLOOKUP(TRANSHARI10_ICECREAMMALAM[[#This Row],[PRODUK]],DATA_ICECREAM[],12,FALSE),"")</f>
        <v/>
      </c>
      <c r="T301" s="374"/>
      <c r="U301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301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301" s="12"/>
      <c r="X301" s="386" t="str">
        <f>IFERROR(IF(TRANSHARI10_ICECREAMMALAM[[#This Row],[NAMA REKENING]]="","",TRANSHARI10_ICECREAMMALAM[[#This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IFERROR(VLOOKUP(TRANSHARI10_ICECREAMPAGI[[#This Row],[PRODUK]],DATA_ICECREAM[],12,FALSE),"")</f>
        <v/>
      </c>
      <c r="E302" s="374"/>
      <c r="F302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302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302" s="12"/>
      <c r="I302" s="384" t="str">
        <f>IFERROR(IF(TRANSHARI10_ICECREAMPAGI[[#This Row],[NAMA REKENING]]="","",TRANSHARI10_ICECREAMPAGI[[#This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IFERROR(VLOOKUP(TRANSHARI10_ICECREAMMALAM[[#This Row],[PRODUK]],DATA_ICECREAM[],12,FALSE),"")</f>
        <v/>
      </c>
      <c r="T302" s="374"/>
      <c r="U302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302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302" s="12"/>
      <c r="X302" s="384" t="str">
        <f>IFERROR(IF(TRANSHARI10_ICECREAMMALAM[[#This Row],[NAMA REKENING]]="","",TRANSHARI10_ICECREAMMALAM[[#This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IFERROR(VLOOKUP(TRANSHARI10_ICECREAMPAGI[[#This Row],[PRODUK]],DATA_ICECREAM[],12,FALSE),"")</f>
        <v/>
      </c>
      <c r="E303" s="374"/>
      <c r="F303" s="373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303" s="373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303" s="12"/>
      <c r="I303" s="386" t="str">
        <f>IFERROR(IF(TRANSHARI10_ICECREAMPAGI[[#This Row],[NAMA REKENING]]="","",TRANSHARI10_ICECREAMPAGI[[#This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IFERROR(VLOOKUP(TRANSHARI10_ICECREAMMALAM[[#This Row],[PRODUK]],DATA_ICECREAM[],12,FALSE),"")</f>
        <v/>
      </c>
      <c r="T303" s="374"/>
      <c r="U303" s="373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303" s="373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303" s="12"/>
      <c r="X303" s="386" t="str">
        <f>IFERROR(IF(TRANSHARI10_ICECREAMMALAM[[#This Row],[NAMA REKENING]]="","",TRANSHARI10_ICECREAMMALAM[[#This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IFERROR(VLOOKUP(TRANSHARI10_ICECREAMPAGI[[#This Row],[PRODUK]],DATA_ICECREAM[],12,FALSE),"")</f>
        <v/>
      </c>
      <c r="E304" s="374"/>
      <c r="F304" s="369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304" s="369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304" s="12"/>
      <c r="I304" s="384" t="str">
        <f>IFERROR(IF(TRANSHARI10_ICECREAMPAGI[[#This Row],[NAMA REKENING]]="","",TRANSHARI10_ICECREAMPAGI[[#This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IFERROR(VLOOKUP(TRANSHARI10_ICECREAMMALAM[[#This Row],[PRODUK]],DATA_ICECREAM[],12,FALSE),"")</f>
        <v/>
      </c>
      <c r="T304" s="374"/>
      <c r="U304" s="369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304" s="369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304" s="12"/>
      <c r="X304" s="384" t="str">
        <f>IFERROR(IF(TRANSHARI10_ICECREAMMALAM[[#This Row],[NAMA REKENING]]="","",TRANSHARI10_ICECREAMMALAM[[#This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IFERROR(VLOOKUP(TRANSHARI10_ICECREAMPAGI[[#This Row],[PRODUK]],DATA_ICECREAM[],12,FALSE),"")</f>
        <v/>
      </c>
      <c r="E305" s="376"/>
      <c r="F305" s="394" t="str">
        <f>IFERROR(IF(TRANSHARI10_ICECREAMPAGI[[#This Row],[NAMA PENGHUTANG]]="",((TRANSHARI10_ICECREAMPAGI[[#This Row],[HARGA]]*TRANSHARI10_ICECREAMPAGI[[#This Row],[QUANTITY]])+TRANSHARI10_ICECREAMPAGI[[#This Row],[PRICE TOLERANCE]]),""),"")</f>
        <v/>
      </c>
      <c r="G305" s="394" t="str">
        <f>IFERROR(IF(TRANSHARI10_ICECREAMPAGI[[#This Row],[NAMA PENGHUTANG]]="","",((TRANSHARI10_ICECREAMPAGI[[#This Row],[HARGA]]*TRANSHARI10_ICECREAMPAGI[[#This Row],[QUANTITY]])+TRANSHARI10_ICECREAMPAGI[[#This Row],[PRICE TOLERANCE]])),"")</f>
        <v/>
      </c>
      <c r="H305" s="377"/>
      <c r="I305" s="399" t="str">
        <f>IFERROR(IF(TRANSHARI10_ICECREAMPAGI[[#This Row],[NAMA REKENING]]="","",TRANSHARI10_ICECREAMPAGI[[#This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IFERROR(VLOOKUP(TRANSHARI10_ICECREAMMALAM[[#This Row],[PRODUK]],DATA_ICECREAM[],12,FALSE),"")</f>
        <v/>
      </c>
      <c r="T305" s="376"/>
      <c r="U305" s="394" t="str">
        <f>IFERROR(IF(TRANSHARI10_ICECREAMMALAM[[#This Row],[NAMA PENGHUTANG]]="",((TRANSHARI10_ICECREAMMALAM[[#This Row],[HARGA]]*TRANSHARI10_ICECREAMMALAM[[#This Row],[QUANTITY]])+TRANSHARI10_ICECREAMMALAM[[#This Row],[PRICE TOLERANCE]]),""),"")</f>
        <v/>
      </c>
      <c r="V305" s="394" t="str">
        <f>IFERROR(IF(TRANSHARI10_ICECREAMMALAM[[#This Row],[NAMA PENGHUTANG]]="","",((TRANSHARI10_ICECREAMMALAM[[#This Row],[HARGA]]*TRANSHARI10_ICECREAMMALAM[[#This Row],[QUANTITY]])+TRANSHARI10_ICECREAMMALAM[[#This Row],[PRICE TOLERANCE]])),"")</f>
        <v/>
      </c>
      <c r="W305" s="377"/>
      <c r="X305" s="399" t="str">
        <f>IFERROR(IF(TRANSHARI10_ICECREAMMALAM[[#This Row],[NAMA REKENING]]="","",TRANSHARI10_ICECREAMMALAM[[#This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SUM(TRANSHARI10_ICECREAMPAGI[QUANTITY])</f>
        <v>0</v>
      </c>
      <c r="E306" s="398">
        <f>SUM(TRANSHARI10_ICECREAMPAGI[PRICE TOLERANCE])</f>
        <v>0</v>
      </c>
      <c r="F306" s="396">
        <f>SUM(TRANSHARI10_ICECREAMPAGI[DEBIT])</f>
        <v>0</v>
      </c>
      <c r="G306" s="396">
        <f>SUM(TRANSHARI10_ICECREAMPAGI[KREDIT])</f>
        <v>0</v>
      </c>
      <c r="I306" s="396">
        <f>SUM(TRANSHARI10_ICECREAMPAGI[NOMINAL TRANSFER])</f>
        <v>0</v>
      </c>
      <c r="O306" s="324"/>
      <c r="P306" s="303" t="s">
        <v>78</v>
      </c>
      <c r="Q306" s="316"/>
      <c r="R306" s="395">
        <f>SUM(TRANSHARI10_ICECREAMMALAM[QUANTITY])</f>
        <v>0</v>
      </c>
      <c r="T306" s="398">
        <f>SUM(TRANSHARI10_ICECREAMMALAM[PRICE TOLERANCE])</f>
        <v>0</v>
      </c>
      <c r="U306" s="396">
        <f>SUM(TRANSHARI10_ICECREAMMALAM[DEBIT])</f>
        <v>0</v>
      </c>
      <c r="V306" s="396">
        <f>SUM(TRANSHARI10_ICECREAMMALAM[KREDIT])</f>
        <v>0</v>
      </c>
      <c r="X306" s="396">
        <f>SUM(TRANSHARI10_ICECREAMMALAM[NOMINAL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tr">
        <f>A25</f>
        <v>HARI 10 : PAGI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tr">
        <f>P25</f>
        <v>HARI 10 : MALAM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IFERROR(VLOOKUP(TRANSHARI10_ACCPAGI[[#This Row],[PRODUK]],DATA_ACC[],12,FALSE),"")</f>
        <v/>
      </c>
      <c r="E313" s="370"/>
      <c r="F313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13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13" s="371"/>
      <c r="I313" s="384" t="str">
        <f>IFERROR(IF(TRANSHARI10_ACCPAGI[[#This Row],[NAMA REKENING]]="","",TRANSHARI10_ACCPAGI[[#This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IFERROR(VLOOKUP(TRANSHARI10_ACCMALAM[[#This Row],[PRODUK]],DATA_ACC[],12,FALSE),"")</f>
        <v/>
      </c>
      <c r="T313" s="370"/>
      <c r="U313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13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13" s="371"/>
      <c r="X313" s="384" t="str">
        <f>IFERROR(IF(TRANSHARI10_ACCMALAM[[#This Row],[NAMA REKENING]]="","",TRANSHARI10_ACCMALAM[[#This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IFERROR(VLOOKUP(TRANSHARI10_ACCPAGI[[#This Row],[PRODUK]],DATA_ACC[],12,FALSE),"")</f>
        <v/>
      </c>
      <c r="E314" s="374"/>
      <c r="F314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14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14" s="12"/>
      <c r="I314" s="386" t="str">
        <f>IFERROR(IF(TRANSHARI10_ACCPAGI[[#This Row],[NAMA REKENING]]="","",TRANSHARI10_ACCPAGI[[#This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IFERROR(VLOOKUP(TRANSHARI10_ACCMALAM[[#This Row],[PRODUK]],DATA_ACC[],12,FALSE),"")</f>
        <v/>
      </c>
      <c r="T314" s="374"/>
      <c r="U314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14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14" s="12"/>
      <c r="X314" s="386" t="str">
        <f>IFERROR(IF(TRANSHARI10_ACCMALAM[[#This Row],[NAMA REKENING]]="","",TRANSHARI10_ACCMALAM[[#This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IFERROR(VLOOKUP(TRANSHARI10_ACCPAGI[[#This Row],[PRODUK]],DATA_ACC[],12,FALSE),"")</f>
        <v/>
      </c>
      <c r="E315" s="374"/>
      <c r="F315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15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15" s="12"/>
      <c r="I315" s="384" t="str">
        <f>IFERROR(IF(TRANSHARI10_ACCPAGI[[#This Row],[NAMA REKENING]]="","",TRANSHARI10_ACCPAGI[[#This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IFERROR(VLOOKUP(TRANSHARI10_ACCMALAM[[#This Row],[PRODUK]],DATA_ACC[],12,FALSE),"")</f>
        <v/>
      </c>
      <c r="T315" s="374"/>
      <c r="U315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15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15" s="12"/>
      <c r="X315" s="384" t="str">
        <f>IFERROR(IF(TRANSHARI10_ACCMALAM[[#This Row],[NAMA REKENING]]="","",TRANSHARI10_ACCMALAM[[#This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IFERROR(VLOOKUP(TRANSHARI10_ACCPAGI[[#This Row],[PRODUK]],DATA_ACC[],12,FALSE),"")</f>
        <v/>
      </c>
      <c r="E316" s="374"/>
      <c r="F316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16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16" s="12"/>
      <c r="I316" s="386" t="str">
        <f>IFERROR(IF(TRANSHARI10_ACCPAGI[[#This Row],[NAMA REKENING]]="","",TRANSHARI10_ACCPAGI[[#This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IFERROR(VLOOKUP(TRANSHARI10_ACCMALAM[[#This Row],[PRODUK]],DATA_ACC[],12,FALSE),"")</f>
        <v/>
      </c>
      <c r="T316" s="374"/>
      <c r="U316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16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16" s="12"/>
      <c r="X316" s="386" t="str">
        <f>IFERROR(IF(TRANSHARI10_ACCMALAM[[#This Row],[NAMA REKENING]]="","",TRANSHARI10_ACCMALAM[[#This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IFERROR(VLOOKUP(TRANSHARI10_ACCPAGI[[#This Row],[PRODUK]],DATA_ACC[],12,FALSE),"")</f>
        <v/>
      </c>
      <c r="E317" s="374"/>
      <c r="F317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17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17" s="12"/>
      <c r="I317" s="384" t="str">
        <f>IFERROR(IF(TRANSHARI10_ACCPAGI[[#This Row],[NAMA REKENING]]="","",TRANSHARI10_ACCPAGI[[#This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IFERROR(VLOOKUP(TRANSHARI10_ACCMALAM[[#This Row],[PRODUK]],DATA_ACC[],12,FALSE),"")</f>
        <v/>
      </c>
      <c r="T317" s="374"/>
      <c r="U317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17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17" s="12"/>
      <c r="X317" s="384" t="str">
        <f>IFERROR(IF(TRANSHARI10_ACCMALAM[[#This Row],[NAMA REKENING]]="","",TRANSHARI10_ACCMALAM[[#This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IFERROR(VLOOKUP(TRANSHARI10_ACCPAGI[[#This Row],[PRODUK]],DATA_ACC[],12,FALSE),"")</f>
        <v/>
      </c>
      <c r="E318" s="374"/>
      <c r="F318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18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18" s="12"/>
      <c r="I318" s="386" t="str">
        <f>IFERROR(IF(TRANSHARI10_ACCPAGI[[#This Row],[NAMA REKENING]]="","",TRANSHARI10_ACCPAGI[[#This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IFERROR(VLOOKUP(TRANSHARI10_ACCMALAM[[#This Row],[PRODUK]],DATA_ACC[],12,FALSE),"")</f>
        <v/>
      </c>
      <c r="T318" s="374"/>
      <c r="U318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18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18" s="12"/>
      <c r="X318" s="386" t="str">
        <f>IFERROR(IF(TRANSHARI10_ACCMALAM[[#This Row],[NAMA REKENING]]="","",TRANSHARI10_ACCMALAM[[#This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IFERROR(VLOOKUP(TRANSHARI10_ACCPAGI[[#This Row],[PRODUK]],DATA_ACC[],12,FALSE),"")</f>
        <v/>
      </c>
      <c r="E319" s="374"/>
      <c r="F319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19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19" s="12"/>
      <c r="I319" s="384" t="str">
        <f>IFERROR(IF(TRANSHARI10_ACCPAGI[[#This Row],[NAMA REKENING]]="","",TRANSHARI10_ACCPAGI[[#This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IFERROR(VLOOKUP(TRANSHARI10_ACCMALAM[[#This Row],[PRODUK]],DATA_ACC[],12,FALSE),"")</f>
        <v/>
      </c>
      <c r="T319" s="374"/>
      <c r="U319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19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19" s="12"/>
      <c r="X319" s="384" t="str">
        <f>IFERROR(IF(TRANSHARI10_ACCMALAM[[#This Row],[NAMA REKENING]]="","",TRANSHARI10_ACCMALAM[[#This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IFERROR(VLOOKUP(TRANSHARI10_ACCPAGI[[#This Row],[PRODUK]],DATA_ACC[],12,FALSE),"")</f>
        <v/>
      </c>
      <c r="E320" s="374"/>
      <c r="F320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20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20" s="12"/>
      <c r="I320" s="386" t="str">
        <f>IFERROR(IF(TRANSHARI10_ACCPAGI[[#This Row],[NAMA REKENING]]="","",TRANSHARI10_ACCPAGI[[#This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IFERROR(VLOOKUP(TRANSHARI10_ACCMALAM[[#This Row],[PRODUK]],DATA_ACC[],12,FALSE),"")</f>
        <v/>
      </c>
      <c r="T320" s="374"/>
      <c r="U320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0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0" s="12"/>
      <c r="X320" s="386" t="str">
        <f>IFERROR(IF(TRANSHARI10_ACCMALAM[[#This Row],[NAMA REKENING]]="","",TRANSHARI10_ACCMALAM[[#This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IFERROR(VLOOKUP(TRANSHARI10_ACCPAGI[[#This Row],[PRODUK]],DATA_ACC[],12,FALSE),"")</f>
        <v/>
      </c>
      <c r="E321" s="374"/>
      <c r="F321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21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21" s="12"/>
      <c r="I321" s="384" t="str">
        <f>IFERROR(IF(TRANSHARI10_ACCPAGI[[#This Row],[NAMA REKENING]]="","",TRANSHARI10_ACCPAGI[[#This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IFERROR(VLOOKUP(TRANSHARI10_ACCMALAM[[#This Row],[PRODUK]],DATA_ACC[],12,FALSE),"")</f>
        <v/>
      </c>
      <c r="T321" s="374"/>
      <c r="U321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1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1" s="12"/>
      <c r="X321" s="384" t="str">
        <f>IFERROR(IF(TRANSHARI10_ACCMALAM[[#This Row],[NAMA REKENING]]="","",TRANSHARI10_ACCMALAM[[#This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IFERROR(VLOOKUP(TRANSHARI10_ACCPAGI[[#This Row],[PRODUK]],DATA_ACC[],12,FALSE),"")</f>
        <v/>
      </c>
      <c r="E322" s="374"/>
      <c r="F322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22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22" s="12"/>
      <c r="I322" s="386" t="str">
        <f>IFERROR(IF(TRANSHARI10_ACCPAGI[[#This Row],[NAMA REKENING]]="","",TRANSHARI10_ACCPAGI[[#This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IFERROR(VLOOKUP(TRANSHARI10_ACCMALAM[[#This Row],[PRODUK]],DATA_ACC[],12,FALSE),"")</f>
        <v/>
      </c>
      <c r="T322" s="374"/>
      <c r="U322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2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2" s="12"/>
      <c r="X322" s="386" t="str">
        <f>IFERROR(IF(TRANSHARI10_ACCMALAM[[#This Row],[NAMA REKENING]]="","",TRANSHARI10_ACCMALAM[[#This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IFERROR(VLOOKUP(TRANSHARI10_ACCPAGI[[#This Row],[PRODUK]],DATA_ACC[],12,FALSE),"")</f>
        <v/>
      </c>
      <c r="E323" s="374"/>
      <c r="F323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23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23" s="12"/>
      <c r="I323" s="384" t="str">
        <f>IFERROR(IF(TRANSHARI10_ACCPAGI[[#This Row],[NAMA REKENING]]="","",TRANSHARI10_ACCPAGI[[#This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IFERROR(VLOOKUP(TRANSHARI10_ACCMALAM[[#This Row],[PRODUK]],DATA_ACC[],12,FALSE),"")</f>
        <v/>
      </c>
      <c r="T323" s="374"/>
      <c r="U323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3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3" s="12"/>
      <c r="X323" s="384" t="str">
        <f>IFERROR(IF(TRANSHARI10_ACCMALAM[[#This Row],[NAMA REKENING]]="","",TRANSHARI10_ACCMALAM[[#This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IFERROR(VLOOKUP(TRANSHARI10_ACCPAGI[[#This Row],[PRODUK]],DATA_ACC[],12,FALSE),"")</f>
        <v/>
      </c>
      <c r="E324" s="374"/>
      <c r="F324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24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24" s="12"/>
      <c r="I324" s="386" t="str">
        <f>IFERROR(IF(TRANSHARI10_ACCPAGI[[#This Row],[NAMA REKENING]]="","",TRANSHARI10_ACCPAGI[[#This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IFERROR(VLOOKUP(TRANSHARI10_ACCMALAM[[#This Row],[PRODUK]],DATA_ACC[],12,FALSE),"")</f>
        <v/>
      </c>
      <c r="T324" s="374"/>
      <c r="U324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4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4" s="12"/>
      <c r="X324" s="386" t="str">
        <f>IFERROR(IF(TRANSHARI10_ACCMALAM[[#This Row],[NAMA REKENING]]="","",TRANSHARI10_ACCMALAM[[#This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IFERROR(VLOOKUP(TRANSHARI10_ACCPAGI[[#This Row],[PRODUK]],DATA_ACC[],12,FALSE),"")</f>
        <v/>
      </c>
      <c r="E325" s="374"/>
      <c r="F325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25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25" s="12"/>
      <c r="I325" s="384" t="str">
        <f>IFERROR(IF(TRANSHARI10_ACCPAGI[[#This Row],[NAMA REKENING]]="","",TRANSHARI10_ACCPAGI[[#This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IFERROR(VLOOKUP(TRANSHARI10_ACCMALAM[[#This Row],[PRODUK]],DATA_ACC[],12,FALSE),"")</f>
        <v/>
      </c>
      <c r="T325" s="374"/>
      <c r="U325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5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5" s="12"/>
      <c r="X325" s="384" t="str">
        <f>IFERROR(IF(TRANSHARI10_ACCMALAM[[#This Row],[NAMA REKENING]]="","",TRANSHARI10_ACCMALAM[[#This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IFERROR(VLOOKUP(TRANSHARI10_ACCPAGI[[#This Row],[PRODUK]],DATA_ACC[],12,FALSE),"")</f>
        <v/>
      </c>
      <c r="E326" s="374"/>
      <c r="F326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26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26" s="12"/>
      <c r="I326" s="386" t="str">
        <f>IFERROR(IF(TRANSHARI10_ACCPAGI[[#This Row],[NAMA REKENING]]="","",TRANSHARI10_ACCPAGI[[#This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IFERROR(VLOOKUP(TRANSHARI10_ACCMALAM[[#This Row],[PRODUK]],DATA_ACC[],12,FALSE),"")</f>
        <v/>
      </c>
      <c r="T326" s="374"/>
      <c r="U326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6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6" s="12"/>
      <c r="X326" s="386" t="str">
        <f>IFERROR(IF(TRANSHARI10_ACCMALAM[[#This Row],[NAMA REKENING]]="","",TRANSHARI10_ACCMALAM[[#This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IFERROR(VLOOKUP(TRANSHARI10_ACCPAGI[[#This Row],[PRODUK]],DATA_ACC[],12,FALSE),"")</f>
        <v/>
      </c>
      <c r="E327" s="374"/>
      <c r="F327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27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27" s="12"/>
      <c r="I327" s="384" t="str">
        <f>IFERROR(IF(TRANSHARI10_ACCPAGI[[#This Row],[NAMA REKENING]]="","",TRANSHARI10_ACCPAGI[[#This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IFERROR(VLOOKUP(TRANSHARI10_ACCMALAM[[#This Row],[PRODUK]],DATA_ACC[],12,FALSE),"")</f>
        <v/>
      </c>
      <c r="T327" s="374"/>
      <c r="U327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7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7" s="12"/>
      <c r="X327" s="384" t="str">
        <f>IFERROR(IF(TRANSHARI10_ACCMALAM[[#This Row],[NAMA REKENING]]="","",TRANSHARI10_ACCMALAM[[#This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IFERROR(VLOOKUP(TRANSHARI10_ACCPAGI[[#This Row],[PRODUK]],DATA_ACC[],12,FALSE),"")</f>
        <v/>
      </c>
      <c r="E328" s="374"/>
      <c r="F328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28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28" s="12"/>
      <c r="I328" s="386" t="str">
        <f>IFERROR(IF(TRANSHARI10_ACCPAGI[[#This Row],[NAMA REKENING]]="","",TRANSHARI10_ACCPAGI[[#This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IFERROR(VLOOKUP(TRANSHARI10_ACCMALAM[[#This Row],[PRODUK]],DATA_ACC[],12,FALSE),"")</f>
        <v/>
      </c>
      <c r="T328" s="374"/>
      <c r="U328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8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8" s="12"/>
      <c r="X328" s="386" t="str">
        <f>IFERROR(IF(TRANSHARI10_ACCMALAM[[#This Row],[NAMA REKENING]]="","",TRANSHARI10_ACCMALAM[[#This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IFERROR(VLOOKUP(TRANSHARI10_ACCPAGI[[#This Row],[PRODUK]],DATA_ACC[],12,FALSE),"")</f>
        <v/>
      </c>
      <c r="E329" s="374"/>
      <c r="F329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29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29" s="12"/>
      <c r="I329" s="384" t="str">
        <f>IFERROR(IF(TRANSHARI10_ACCPAGI[[#This Row],[NAMA REKENING]]="","",TRANSHARI10_ACCPAGI[[#This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IFERROR(VLOOKUP(TRANSHARI10_ACCMALAM[[#This Row],[PRODUK]],DATA_ACC[],12,FALSE),"")</f>
        <v/>
      </c>
      <c r="T329" s="374"/>
      <c r="U329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29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29" s="12"/>
      <c r="X329" s="384" t="str">
        <f>IFERROR(IF(TRANSHARI10_ACCMALAM[[#This Row],[NAMA REKENING]]="","",TRANSHARI10_ACCMALAM[[#This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IFERROR(VLOOKUP(TRANSHARI10_ACCPAGI[[#This Row],[PRODUK]],DATA_ACC[],12,FALSE),"")</f>
        <v/>
      </c>
      <c r="E330" s="374"/>
      <c r="F330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30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30" s="12"/>
      <c r="I330" s="386" t="str">
        <f>IFERROR(IF(TRANSHARI10_ACCPAGI[[#This Row],[NAMA REKENING]]="","",TRANSHARI10_ACCPAGI[[#This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IFERROR(VLOOKUP(TRANSHARI10_ACCMALAM[[#This Row],[PRODUK]],DATA_ACC[],12,FALSE),"")</f>
        <v/>
      </c>
      <c r="T330" s="374"/>
      <c r="U330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0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0" s="12"/>
      <c r="X330" s="386" t="str">
        <f>IFERROR(IF(TRANSHARI10_ACCMALAM[[#This Row],[NAMA REKENING]]="","",TRANSHARI10_ACCMALAM[[#This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IFERROR(VLOOKUP(TRANSHARI10_ACCPAGI[[#This Row],[PRODUK]],DATA_ACC[],12,FALSE),"")</f>
        <v/>
      </c>
      <c r="E331" s="374"/>
      <c r="F331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31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31" s="12"/>
      <c r="I331" s="384" t="str">
        <f>IFERROR(IF(TRANSHARI10_ACCPAGI[[#This Row],[NAMA REKENING]]="","",TRANSHARI10_ACCPAGI[[#This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IFERROR(VLOOKUP(TRANSHARI10_ACCMALAM[[#This Row],[PRODUK]],DATA_ACC[],12,FALSE),"")</f>
        <v/>
      </c>
      <c r="T331" s="374"/>
      <c r="U331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1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1" s="12"/>
      <c r="X331" s="384" t="str">
        <f>IFERROR(IF(TRANSHARI10_ACCMALAM[[#This Row],[NAMA REKENING]]="","",TRANSHARI10_ACCMALAM[[#This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IFERROR(VLOOKUP(TRANSHARI10_ACCPAGI[[#This Row],[PRODUK]],DATA_ACC[],12,FALSE),"")</f>
        <v/>
      </c>
      <c r="E332" s="374"/>
      <c r="F332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32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32" s="12"/>
      <c r="I332" s="386" t="str">
        <f>IFERROR(IF(TRANSHARI10_ACCPAGI[[#This Row],[NAMA REKENING]]="","",TRANSHARI10_ACCPAGI[[#This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IFERROR(VLOOKUP(TRANSHARI10_ACCMALAM[[#This Row],[PRODUK]],DATA_ACC[],12,FALSE),"")</f>
        <v/>
      </c>
      <c r="T332" s="374"/>
      <c r="U332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2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2" s="12"/>
      <c r="X332" s="386" t="str">
        <f>IFERROR(IF(TRANSHARI10_ACCMALAM[[#This Row],[NAMA REKENING]]="","",TRANSHARI10_ACCMALAM[[#This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IFERROR(VLOOKUP(TRANSHARI10_ACCPAGI[[#This Row],[PRODUK]],DATA_ACC[],12,FALSE),"")</f>
        <v/>
      </c>
      <c r="E333" s="374"/>
      <c r="F333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33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33" s="12"/>
      <c r="I333" s="384" t="str">
        <f>IFERROR(IF(TRANSHARI10_ACCPAGI[[#This Row],[NAMA REKENING]]="","",TRANSHARI10_ACCPAGI[[#This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IFERROR(VLOOKUP(TRANSHARI10_ACCMALAM[[#This Row],[PRODUK]],DATA_ACC[],12,FALSE),"")</f>
        <v/>
      </c>
      <c r="T333" s="374"/>
      <c r="U333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3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3" s="12"/>
      <c r="X333" s="384" t="str">
        <f>IFERROR(IF(TRANSHARI10_ACCMALAM[[#This Row],[NAMA REKENING]]="","",TRANSHARI10_ACCMALAM[[#This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IFERROR(VLOOKUP(TRANSHARI10_ACCPAGI[[#This Row],[PRODUK]],DATA_ACC[],12,FALSE),"")</f>
        <v/>
      </c>
      <c r="E334" s="374"/>
      <c r="F334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34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34" s="12"/>
      <c r="I334" s="386" t="str">
        <f>IFERROR(IF(TRANSHARI10_ACCPAGI[[#This Row],[NAMA REKENING]]="","",TRANSHARI10_ACCPAGI[[#This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IFERROR(VLOOKUP(TRANSHARI10_ACCMALAM[[#This Row],[PRODUK]],DATA_ACC[],12,FALSE),"")</f>
        <v/>
      </c>
      <c r="T334" s="374"/>
      <c r="U334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4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4" s="12"/>
      <c r="X334" s="386" t="str">
        <f>IFERROR(IF(TRANSHARI10_ACCMALAM[[#This Row],[NAMA REKENING]]="","",TRANSHARI10_ACCMALAM[[#This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IFERROR(VLOOKUP(TRANSHARI10_ACCPAGI[[#This Row],[PRODUK]],DATA_ACC[],12,FALSE),"")</f>
        <v/>
      </c>
      <c r="E335" s="374"/>
      <c r="F335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35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35" s="12"/>
      <c r="I335" s="384" t="str">
        <f>IFERROR(IF(TRANSHARI10_ACCPAGI[[#This Row],[NAMA REKENING]]="","",TRANSHARI10_ACCPAGI[[#This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IFERROR(VLOOKUP(TRANSHARI10_ACCMALAM[[#This Row],[PRODUK]],DATA_ACC[],12,FALSE),"")</f>
        <v/>
      </c>
      <c r="T335" s="374"/>
      <c r="U335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5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5" s="12"/>
      <c r="X335" s="384" t="str">
        <f>IFERROR(IF(TRANSHARI10_ACCMALAM[[#This Row],[NAMA REKENING]]="","",TRANSHARI10_ACCMALAM[[#This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IFERROR(VLOOKUP(TRANSHARI10_ACCPAGI[[#This Row],[PRODUK]],DATA_ACC[],12,FALSE),"")</f>
        <v/>
      </c>
      <c r="E336" s="374"/>
      <c r="F336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36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36" s="12"/>
      <c r="I336" s="386" t="str">
        <f>IFERROR(IF(TRANSHARI10_ACCPAGI[[#This Row],[NAMA REKENING]]="","",TRANSHARI10_ACCPAGI[[#This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IFERROR(VLOOKUP(TRANSHARI10_ACCMALAM[[#This Row],[PRODUK]],DATA_ACC[],12,FALSE),"")</f>
        <v/>
      </c>
      <c r="T336" s="374"/>
      <c r="U336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6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6" s="12"/>
      <c r="X336" s="386" t="str">
        <f>IFERROR(IF(TRANSHARI10_ACCMALAM[[#This Row],[NAMA REKENING]]="","",TRANSHARI10_ACCMALAM[[#This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IFERROR(VLOOKUP(TRANSHARI10_ACCPAGI[[#This Row],[PRODUK]],DATA_ACC[],12,FALSE),"")</f>
        <v/>
      </c>
      <c r="E337" s="374"/>
      <c r="F337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37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37" s="12"/>
      <c r="I337" s="384" t="str">
        <f>IFERROR(IF(TRANSHARI10_ACCPAGI[[#This Row],[NAMA REKENING]]="","",TRANSHARI10_ACCPAGI[[#This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IFERROR(VLOOKUP(TRANSHARI10_ACCMALAM[[#This Row],[PRODUK]],DATA_ACC[],12,FALSE),"")</f>
        <v/>
      </c>
      <c r="T337" s="374"/>
      <c r="U337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7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7" s="12"/>
      <c r="X337" s="384" t="str">
        <f>IFERROR(IF(TRANSHARI10_ACCMALAM[[#This Row],[NAMA REKENING]]="","",TRANSHARI10_ACCMALAM[[#This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IFERROR(VLOOKUP(TRANSHARI10_ACCPAGI[[#This Row],[PRODUK]],DATA_ACC[],12,FALSE),"")</f>
        <v/>
      </c>
      <c r="E338" s="376"/>
      <c r="F338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38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38" s="377"/>
      <c r="I338" s="386" t="str">
        <f>IFERROR(IF(TRANSHARI10_ACCPAGI[[#This Row],[NAMA REKENING]]="","",TRANSHARI10_ACCPAGI[[#This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IFERROR(VLOOKUP(TRANSHARI10_ACCMALAM[[#This Row],[PRODUK]],DATA_ACC[],12,FALSE),"")</f>
        <v/>
      </c>
      <c r="T338" s="376"/>
      <c r="U338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8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8" s="377"/>
      <c r="X338" s="386" t="str">
        <f>IFERROR(IF(TRANSHARI10_ACCMALAM[[#This Row],[NAMA REKENING]]="","",TRANSHARI10_ACCMALAM[[#This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IFERROR(VLOOKUP(TRANSHARI10_ACCPAGI[[#This Row],[PRODUK]],DATA_ACC[],12,FALSE),"")</f>
        <v/>
      </c>
      <c r="E339" s="374"/>
      <c r="F339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39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39" s="12"/>
      <c r="I339" s="384" t="str">
        <f>IFERROR(IF(TRANSHARI10_ACCPAGI[[#This Row],[NAMA REKENING]]="","",TRANSHARI10_ACCPAGI[[#This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IFERROR(VLOOKUP(TRANSHARI10_ACCMALAM[[#This Row],[PRODUK]],DATA_ACC[],12,FALSE),"")</f>
        <v/>
      </c>
      <c r="T339" s="374"/>
      <c r="U339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39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39" s="12"/>
      <c r="X339" s="384" t="str">
        <f>IFERROR(IF(TRANSHARI10_ACCMALAM[[#This Row],[NAMA REKENING]]="","",TRANSHARI10_ACCMALAM[[#This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IFERROR(VLOOKUP(TRANSHARI10_ACCPAGI[[#This Row],[PRODUK]],DATA_ACC[],12,FALSE),"")</f>
        <v/>
      </c>
      <c r="E340" s="374"/>
      <c r="F340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40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40" s="12"/>
      <c r="I340" s="386" t="str">
        <f>IFERROR(IF(TRANSHARI10_ACCPAGI[[#This Row],[NAMA REKENING]]="","",TRANSHARI10_ACCPAGI[[#This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IFERROR(VLOOKUP(TRANSHARI10_ACCMALAM[[#This Row],[PRODUK]],DATA_ACC[],12,FALSE),"")</f>
        <v/>
      </c>
      <c r="T340" s="374"/>
      <c r="U340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40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40" s="12"/>
      <c r="X340" s="386" t="str">
        <f>IFERROR(IF(TRANSHARI10_ACCMALAM[[#This Row],[NAMA REKENING]]="","",TRANSHARI10_ACCMALAM[[#This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IFERROR(VLOOKUP(TRANSHARI10_ACCPAGI[[#This Row],[PRODUK]],DATA_ACC[],12,FALSE),"")</f>
        <v/>
      </c>
      <c r="E341" s="374"/>
      <c r="F341" s="369" t="str">
        <f>IFERROR(IF(TRANSHARI10_ACCPAGI[[#This Row],[NAMA PENGHUTANG]]="",((TRANSHARI10_ACCPAGI[[#This Row],[HARGA]]*TRANSHARI10_ACCPAGI[[#This Row],[QUANTITY]])+TRANSHARI10_ACCPAGI[[#This Row],[PRICE TOLERANCE]]),""),"")</f>
        <v/>
      </c>
      <c r="G341" s="369" t="str">
        <f>IFERROR(IF(TRANSHARI10_ACCPAGI[[#This Row],[NAMA PENGHUTANG]]="","",((TRANSHARI10_ACCPAGI[[#This Row],[HARGA]]*TRANSHARI10_ACCPAGI[[#This Row],[QUANTITY]])+TRANSHARI10_ACCPAGI[[#This Row],[PRICE TOLERANCE]])),"")</f>
        <v/>
      </c>
      <c r="H341" s="12"/>
      <c r="I341" s="384" t="str">
        <f>IFERROR(IF(TRANSHARI10_ACCPAGI[[#This Row],[NAMA REKENING]]="","",TRANSHARI10_ACCPAGI[[#This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IFERROR(VLOOKUP(TRANSHARI10_ACCMALAM[[#This Row],[PRODUK]],DATA_ACC[],12,FALSE),"")</f>
        <v/>
      </c>
      <c r="T341" s="374"/>
      <c r="U341" s="369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41" s="369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41" s="12"/>
      <c r="X341" s="384" t="str">
        <f>IFERROR(IF(TRANSHARI10_ACCMALAM[[#This Row],[NAMA REKENING]]="","",TRANSHARI10_ACCMALAM[[#This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IFERROR(VLOOKUP(TRANSHARI10_ACCPAGI[[#This Row],[PRODUK]],DATA_ACC[],12,FALSE),"")</f>
        <v/>
      </c>
      <c r="E342" s="374"/>
      <c r="F342" s="373" t="str">
        <f>IFERROR(IF(TRANSHARI10_ACCPAGI[[#This Row],[NAMA PENGHUTANG]]="",((TRANSHARI10_ACCPAGI[[#This Row],[HARGA]]*TRANSHARI10_ACCPAGI[[#This Row],[QUANTITY]])+TRANSHARI10_ACCPAGI[[#This Row],[PRICE TOLERANCE]]),""),"")</f>
        <v/>
      </c>
      <c r="G342" s="373" t="str">
        <f>IFERROR(IF(TRANSHARI10_ACCPAGI[[#This Row],[NAMA PENGHUTANG]]="","",((TRANSHARI10_ACCPAGI[[#This Row],[HARGA]]*TRANSHARI10_ACCPAGI[[#This Row],[QUANTITY]])+TRANSHARI10_ACCPAGI[[#This Row],[PRICE TOLERANCE]])),"")</f>
        <v/>
      </c>
      <c r="H342" s="12"/>
      <c r="I342" s="386" t="str">
        <f>IFERROR(IF(TRANSHARI10_ACCPAGI[[#This Row],[NAMA REKENING]]="","",TRANSHARI10_ACCPAGI[[#This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IFERROR(VLOOKUP(TRANSHARI10_ACCMALAM[[#This Row],[PRODUK]],DATA_ACC[],12,FALSE),"")</f>
        <v/>
      </c>
      <c r="T342" s="374"/>
      <c r="U342" s="373" t="str">
        <f>IFERROR(IF(TRANSHARI10_ACCMALAM[[#This Row],[NAMA PENGHUTANG]]="",((TRANSHARI10_ACCMALAM[[#This Row],[HARGA]]*TRANSHARI10_ACCMALAM[[#This Row],[QUANTITY]])+TRANSHARI10_ACCMALAM[[#This Row],[PRICE TOLERANCE]]),""),"")</f>
        <v/>
      </c>
      <c r="V342" s="373" t="str">
        <f>IFERROR(IF(TRANSHARI10_ACCMALAM[[#This Row],[NAMA PENGHUTANG]]="","",((TRANSHARI10_ACCMALAM[[#This Row],[HARGA]]*TRANSHARI10_ACCMALAM[[#This Row],[QUANTITY]])+TRANSHARI10_ACCMALAM[[#This Row],[PRICE TOLERANCE]])),"")</f>
        <v/>
      </c>
      <c r="W342" s="12"/>
      <c r="X342" s="386" t="str">
        <f>IFERROR(IF(TRANSHARI10_ACCMALAM[[#This Row],[NAMA REKENING]]="","",TRANSHARI10_ACCMALAM[[#This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SUM(TRANSHARI10_ACCPAGI[QUANTITY])</f>
        <v>0</v>
      </c>
      <c r="E343" s="398">
        <f>SUM(TRANSHARI10_ACCPAGI[PRICE TOLERANCE])</f>
        <v>0</v>
      </c>
      <c r="F343" s="396">
        <f>SUM(TRANSHARI10_ACCPAGI[DEBIT])</f>
        <v>0</v>
      </c>
      <c r="G343" s="396">
        <f>SUM(TRANSHARI10_ACCPAGI[KREDIT])</f>
        <v>0</v>
      </c>
      <c r="I343" s="396">
        <f>SUM(TRANSHARI10_ACCPAGI[NOMINAL TRANSFER])</f>
        <v>0</v>
      </c>
      <c r="O343" s="324"/>
      <c r="P343" s="303" t="s">
        <v>78</v>
      </c>
      <c r="Q343" s="316"/>
      <c r="R343" s="395">
        <f>SUM(TRANSHARI10_ACCMALAM[QUANTITY])</f>
        <v>0</v>
      </c>
      <c r="T343" s="398">
        <f>SUM(TRANSHARI10_ACCMALAM[PRICE TOLERANCE])</f>
        <v>0</v>
      </c>
      <c r="U343" s="396">
        <f>SUM(TRANSHARI10_ACCMALAM[DEBIT])</f>
        <v>0</v>
      </c>
      <c r="V343" s="396">
        <f>SUM(TRANSHARI10_ACCMALAM[KREDIT])</f>
        <v>0</v>
      </c>
      <c r="X343" s="396">
        <f>SUM(TRANSHARI10_ACCMALAM[NOMINAL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tr">
        <f>A25</f>
        <v>HARI 10 : PAGI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tr">
        <f>P25</f>
        <v>HARI 10 : MALAM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IFERROR(VLOOKUP(TRANSHARI10_HYDROPAGI[[#This Row],[PRODUK]],DATA_HYDRO[],12,FALSE),"")</f>
        <v/>
      </c>
      <c r="E350" s="370"/>
      <c r="F350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0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0" s="371"/>
      <c r="I350" s="384" t="str">
        <f>IFERROR(IF(TRANSHARI10_HYDROPAGI[[#This Row],[NAMA REKENING]]="","",TRANSHARI10_HYDROPAGI[[#This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IFERROR(VLOOKUP(TRANSHARI10_HYDROMALAM[[#This Row],[PRODUK]],DATA_HYDRO[],12,FALSE),"")</f>
        <v/>
      </c>
      <c r="T350" s="370"/>
      <c r="U350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0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0" s="371"/>
      <c r="X350" s="384" t="str">
        <f>IFERROR(IF(TRANSHARI10_HYDROMALAM[[#This Row],[NAMA REKENING]]="","",TRANSHARI10_HYDROMALAM[[#This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IFERROR(VLOOKUP(TRANSHARI10_HYDROPAGI[[#This Row],[PRODUK]],DATA_HYDRO[],12,FALSE),"")</f>
        <v/>
      </c>
      <c r="E351" s="374"/>
      <c r="F351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1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1" s="12"/>
      <c r="I351" s="386" t="str">
        <f>IFERROR(IF(TRANSHARI10_HYDROPAGI[[#This Row],[NAMA REKENING]]="","",TRANSHARI10_HYDROPAGI[[#This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IFERROR(VLOOKUP(TRANSHARI10_HYDROMALAM[[#This Row],[PRODUK]],DATA_HYDRO[],12,FALSE),"")</f>
        <v/>
      </c>
      <c r="T351" s="374"/>
      <c r="U351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1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1" s="12"/>
      <c r="X351" s="386" t="str">
        <f>IFERROR(IF(TRANSHARI10_HYDROMALAM[[#This Row],[NAMA REKENING]]="","",TRANSHARI10_HYDROMALAM[[#This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IFERROR(VLOOKUP(TRANSHARI10_HYDROPAGI[[#This Row],[PRODUK]],DATA_HYDRO[],12,FALSE),"")</f>
        <v/>
      </c>
      <c r="E352" s="374"/>
      <c r="F352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2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2" s="12"/>
      <c r="I352" s="384" t="str">
        <f>IFERROR(IF(TRANSHARI10_HYDROPAGI[[#This Row],[NAMA REKENING]]="","",TRANSHARI10_HYDROPAGI[[#This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IFERROR(VLOOKUP(TRANSHARI10_HYDROMALAM[[#This Row],[PRODUK]],DATA_HYDRO[],12,FALSE),"")</f>
        <v/>
      </c>
      <c r="T352" s="374"/>
      <c r="U352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2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2" s="12"/>
      <c r="X352" s="384" t="str">
        <f>IFERROR(IF(TRANSHARI10_HYDROMALAM[[#This Row],[NAMA REKENING]]="","",TRANSHARI10_HYDROMALAM[[#This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IFERROR(VLOOKUP(TRANSHARI10_HYDROPAGI[[#This Row],[PRODUK]],DATA_HYDRO[],12,FALSE),"")</f>
        <v/>
      </c>
      <c r="E353" s="374"/>
      <c r="F353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3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3" s="12"/>
      <c r="I353" s="386" t="str">
        <f>IFERROR(IF(TRANSHARI10_HYDROPAGI[[#This Row],[NAMA REKENING]]="","",TRANSHARI10_HYDROPAGI[[#This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IFERROR(VLOOKUP(TRANSHARI10_HYDROMALAM[[#This Row],[PRODUK]],DATA_HYDRO[],12,FALSE),"")</f>
        <v/>
      </c>
      <c r="T353" s="374"/>
      <c r="U353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3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3" s="12"/>
      <c r="X353" s="386" t="str">
        <f>IFERROR(IF(TRANSHARI10_HYDROMALAM[[#This Row],[NAMA REKENING]]="","",TRANSHARI10_HYDROMALAM[[#This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IFERROR(VLOOKUP(TRANSHARI10_HYDROPAGI[[#This Row],[PRODUK]],DATA_HYDRO[],12,FALSE),"")</f>
        <v/>
      </c>
      <c r="E354" s="374"/>
      <c r="F354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4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4" s="12"/>
      <c r="I354" s="384" t="str">
        <f>IFERROR(IF(TRANSHARI10_HYDROPAGI[[#This Row],[NAMA REKENING]]="","",TRANSHARI10_HYDROPAGI[[#This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IFERROR(VLOOKUP(TRANSHARI10_HYDROMALAM[[#This Row],[PRODUK]],DATA_HYDRO[],12,FALSE),"")</f>
        <v/>
      </c>
      <c r="T354" s="374"/>
      <c r="U354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4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4" s="12"/>
      <c r="X354" s="384" t="str">
        <f>IFERROR(IF(TRANSHARI10_HYDROMALAM[[#This Row],[NAMA REKENING]]="","",TRANSHARI10_HYDROMALAM[[#This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IFERROR(VLOOKUP(TRANSHARI10_HYDROPAGI[[#This Row],[PRODUK]],DATA_HYDRO[],12,FALSE),"")</f>
        <v/>
      </c>
      <c r="E355" s="374"/>
      <c r="F355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5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5" s="12"/>
      <c r="I355" s="386" t="str">
        <f>IFERROR(IF(TRANSHARI10_HYDROPAGI[[#This Row],[NAMA REKENING]]="","",TRANSHARI10_HYDROPAGI[[#This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IFERROR(VLOOKUP(TRANSHARI10_HYDROMALAM[[#This Row],[PRODUK]],DATA_HYDRO[],12,FALSE),"")</f>
        <v/>
      </c>
      <c r="T355" s="374"/>
      <c r="U355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5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5" s="12"/>
      <c r="X355" s="386" t="str">
        <f>IFERROR(IF(TRANSHARI10_HYDROMALAM[[#This Row],[NAMA REKENING]]="","",TRANSHARI10_HYDROMALAM[[#This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IFERROR(VLOOKUP(TRANSHARI10_HYDROPAGI[[#This Row],[PRODUK]],DATA_HYDRO[],12,FALSE),"")</f>
        <v/>
      </c>
      <c r="E356" s="374"/>
      <c r="F356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6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6" s="12"/>
      <c r="I356" s="384" t="str">
        <f>IFERROR(IF(TRANSHARI10_HYDROPAGI[[#This Row],[NAMA REKENING]]="","",TRANSHARI10_HYDROPAGI[[#This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IFERROR(VLOOKUP(TRANSHARI10_HYDROMALAM[[#This Row],[PRODUK]],DATA_HYDRO[],12,FALSE),"")</f>
        <v/>
      </c>
      <c r="T356" s="374"/>
      <c r="U356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6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6" s="12"/>
      <c r="X356" s="384" t="str">
        <f>IFERROR(IF(TRANSHARI10_HYDROMALAM[[#This Row],[NAMA REKENING]]="","",TRANSHARI10_HYDROMALAM[[#This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IFERROR(VLOOKUP(TRANSHARI10_HYDROPAGI[[#This Row],[PRODUK]],DATA_HYDRO[],12,FALSE),"")</f>
        <v/>
      </c>
      <c r="E357" s="374"/>
      <c r="F357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7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7" s="12"/>
      <c r="I357" s="386" t="str">
        <f>IFERROR(IF(TRANSHARI10_HYDROPAGI[[#This Row],[NAMA REKENING]]="","",TRANSHARI10_HYDROPAGI[[#This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IFERROR(VLOOKUP(TRANSHARI10_HYDROMALAM[[#This Row],[PRODUK]],DATA_HYDRO[],12,FALSE),"")</f>
        <v/>
      </c>
      <c r="T357" s="374"/>
      <c r="U357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7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7" s="12"/>
      <c r="X357" s="386" t="str">
        <f>IFERROR(IF(TRANSHARI10_HYDROMALAM[[#This Row],[NAMA REKENING]]="","",TRANSHARI10_HYDROMALAM[[#This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IFERROR(VLOOKUP(TRANSHARI10_HYDROPAGI[[#This Row],[PRODUK]],DATA_HYDRO[],12,FALSE),"")</f>
        <v/>
      </c>
      <c r="E358" s="374"/>
      <c r="F358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8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8" s="12"/>
      <c r="I358" s="384" t="str">
        <f>IFERROR(IF(TRANSHARI10_HYDROPAGI[[#This Row],[NAMA REKENING]]="","",TRANSHARI10_HYDROPAGI[[#This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IFERROR(VLOOKUP(TRANSHARI10_HYDROMALAM[[#This Row],[PRODUK]],DATA_HYDRO[],12,FALSE),"")</f>
        <v/>
      </c>
      <c r="T358" s="374"/>
      <c r="U358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8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8" s="12"/>
      <c r="X358" s="384" t="str">
        <f>IFERROR(IF(TRANSHARI10_HYDROMALAM[[#This Row],[NAMA REKENING]]="","",TRANSHARI10_HYDROMALAM[[#This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IFERROR(VLOOKUP(TRANSHARI10_HYDROPAGI[[#This Row],[PRODUK]],DATA_HYDRO[],12,FALSE),"")</f>
        <v/>
      </c>
      <c r="E359" s="374"/>
      <c r="F359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59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59" s="12"/>
      <c r="I359" s="386" t="str">
        <f>IFERROR(IF(TRANSHARI10_HYDROPAGI[[#This Row],[NAMA REKENING]]="","",TRANSHARI10_HYDROPAGI[[#This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IFERROR(VLOOKUP(TRANSHARI10_HYDROMALAM[[#This Row],[PRODUK]],DATA_HYDRO[],12,FALSE),"")</f>
        <v/>
      </c>
      <c r="T359" s="374"/>
      <c r="U359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59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59" s="12"/>
      <c r="X359" s="386" t="str">
        <f>IFERROR(IF(TRANSHARI10_HYDROMALAM[[#This Row],[NAMA REKENING]]="","",TRANSHARI10_HYDROMALAM[[#This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IFERROR(VLOOKUP(TRANSHARI10_HYDROPAGI[[#This Row],[PRODUK]],DATA_HYDRO[],12,FALSE),"")</f>
        <v/>
      </c>
      <c r="E360" s="374"/>
      <c r="F360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0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0" s="12"/>
      <c r="I360" s="384" t="str">
        <f>IFERROR(IF(TRANSHARI10_HYDROPAGI[[#This Row],[NAMA REKENING]]="","",TRANSHARI10_HYDROPAGI[[#This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IFERROR(VLOOKUP(TRANSHARI10_HYDROMALAM[[#This Row],[PRODUK]],DATA_HYDRO[],12,FALSE),"")</f>
        <v/>
      </c>
      <c r="T360" s="374"/>
      <c r="U360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0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0" s="12"/>
      <c r="X360" s="384" t="str">
        <f>IFERROR(IF(TRANSHARI10_HYDROMALAM[[#This Row],[NAMA REKENING]]="","",TRANSHARI10_HYDROMALAM[[#This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IFERROR(VLOOKUP(TRANSHARI10_HYDROPAGI[[#This Row],[PRODUK]],DATA_HYDRO[],12,FALSE),"")</f>
        <v/>
      </c>
      <c r="E361" s="374"/>
      <c r="F361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1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1" s="12"/>
      <c r="I361" s="386" t="str">
        <f>IFERROR(IF(TRANSHARI10_HYDROPAGI[[#This Row],[NAMA REKENING]]="","",TRANSHARI10_HYDROPAGI[[#This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IFERROR(VLOOKUP(TRANSHARI10_HYDROMALAM[[#This Row],[PRODUK]],DATA_HYDRO[],12,FALSE),"")</f>
        <v/>
      </c>
      <c r="T361" s="374"/>
      <c r="U361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1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1" s="12"/>
      <c r="X361" s="386" t="str">
        <f>IFERROR(IF(TRANSHARI10_HYDROMALAM[[#This Row],[NAMA REKENING]]="","",TRANSHARI10_HYDROMALAM[[#This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IFERROR(VLOOKUP(TRANSHARI10_HYDROPAGI[[#This Row],[PRODUK]],DATA_HYDRO[],12,FALSE),"")</f>
        <v/>
      </c>
      <c r="E362" s="374"/>
      <c r="F362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2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2" s="12"/>
      <c r="I362" s="384" t="str">
        <f>IFERROR(IF(TRANSHARI10_HYDROPAGI[[#This Row],[NAMA REKENING]]="","",TRANSHARI10_HYDROPAGI[[#This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IFERROR(VLOOKUP(TRANSHARI10_HYDROMALAM[[#This Row],[PRODUK]],DATA_HYDRO[],12,FALSE),"")</f>
        <v/>
      </c>
      <c r="T362" s="374"/>
      <c r="U362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2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2" s="12"/>
      <c r="X362" s="384" t="str">
        <f>IFERROR(IF(TRANSHARI10_HYDROMALAM[[#This Row],[NAMA REKENING]]="","",TRANSHARI10_HYDROMALAM[[#This Row],[DEBIT]]),"")</f>
        <v/>
      </c>
      <c r="Y362" s="387"/>
    </row>
    <row r="363" spans="1:25">
      <c r="A363" s="367">
        <v>14</v>
      </c>
      <c r="B363" s="368"/>
      <c r="C363" s="372"/>
      <c r="D363" s="373" t="str">
        <f>IFERROR(VLOOKUP(TRANSHARI10_HYDROPAGI[[#This Row],[PRODUK]],DATA_HYDRO[],12,FALSE),"")</f>
        <v/>
      </c>
      <c r="E363" s="374"/>
      <c r="F363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3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3" s="12"/>
      <c r="I363" s="386" t="str">
        <f>IFERROR(IF(TRANSHARI10_HYDROPAGI[[#This Row],[NAMA REKENING]]="","",TRANSHARI10_HYDROPAGI[[#This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IFERROR(VLOOKUP(TRANSHARI10_HYDROMALAM[[#This Row],[PRODUK]],DATA_HYDRO[],12,FALSE),"")</f>
        <v/>
      </c>
      <c r="T363" s="374"/>
      <c r="U363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3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3" s="12"/>
      <c r="X363" s="386" t="str">
        <f>IFERROR(IF(TRANSHARI10_HYDROMALAM[[#This Row],[NAMA REKENING]]="","",TRANSHARI10_HYDROMALAM[[#This Row],[DEBIT]]),"")</f>
        <v/>
      </c>
      <c r="Y363" s="387"/>
    </row>
    <row r="364" spans="1:25">
      <c r="A364" s="367">
        <v>15</v>
      </c>
      <c r="B364" s="368"/>
      <c r="C364" s="372"/>
      <c r="D364" s="369" t="str">
        <f>IFERROR(VLOOKUP(TRANSHARI10_HYDROPAGI[[#This Row],[PRODUK]],DATA_HYDRO[],12,FALSE),"")</f>
        <v/>
      </c>
      <c r="E364" s="374"/>
      <c r="F364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4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4" s="12"/>
      <c r="I364" s="384" t="str">
        <f>IFERROR(IF(TRANSHARI10_HYDROPAGI[[#This Row],[NAMA REKENING]]="","",TRANSHARI10_HYDROPAGI[[#This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IFERROR(VLOOKUP(TRANSHARI10_HYDROMALAM[[#This Row],[PRODUK]],DATA_HYDRO[],12,FALSE),"")</f>
        <v/>
      </c>
      <c r="T364" s="374"/>
      <c r="U364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4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4" s="12"/>
      <c r="X364" s="384" t="str">
        <f>IFERROR(IF(TRANSHARI10_HYDROMALAM[[#This Row],[NAMA REKENING]]="","",TRANSHARI10_HYDROMALAM[[#This Row],[DEBIT]]),"")</f>
        <v/>
      </c>
      <c r="Y364" s="387"/>
    </row>
    <row r="365" spans="1:25">
      <c r="A365" s="367">
        <v>16</v>
      </c>
      <c r="B365" s="368"/>
      <c r="C365" s="372"/>
      <c r="D365" s="373" t="str">
        <f>IFERROR(VLOOKUP(TRANSHARI10_HYDROPAGI[[#This Row],[PRODUK]],DATA_HYDRO[],12,FALSE),"")</f>
        <v/>
      </c>
      <c r="E365" s="374"/>
      <c r="F365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5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5" s="12"/>
      <c r="I365" s="386" t="str">
        <f>IFERROR(IF(TRANSHARI10_HYDROPAGI[[#This Row],[NAMA REKENING]]="","",TRANSHARI10_HYDROPAGI[[#This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IFERROR(VLOOKUP(TRANSHARI10_HYDROMALAM[[#This Row],[PRODUK]],DATA_HYDRO[],12,FALSE),"")</f>
        <v/>
      </c>
      <c r="T365" s="374"/>
      <c r="U365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5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5" s="12"/>
      <c r="X365" s="386" t="str">
        <f>IFERROR(IF(TRANSHARI10_HYDROMALAM[[#This Row],[NAMA REKENING]]="","",TRANSHARI10_HYDROMALAM[[#This Row],[DEBIT]]),"")</f>
        <v/>
      </c>
      <c r="Y365" s="387"/>
    </row>
    <row r="366" spans="1:25">
      <c r="A366" s="367">
        <v>17</v>
      </c>
      <c r="B366" s="368"/>
      <c r="C366" s="372"/>
      <c r="D366" s="369" t="str">
        <f>IFERROR(VLOOKUP(TRANSHARI10_HYDROPAGI[[#This Row],[PRODUK]],DATA_HYDRO[],12,FALSE),"")</f>
        <v/>
      </c>
      <c r="E366" s="374"/>
      <c r="F366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6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6" s="12"/>
      <c r="I366" s="384" t="str">
        <f>IFERROR(IF(TRANSHARI10_HYDROPAGI[[#This Row],[NAMA REKENING]]="","",TRANSHARI10_HYDROPAGI[[#This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IFERROR(VLOOKUP(TRANSHARI10_HYDROMALAM[[#This Row],[PRODUK]],DATA_HYDRO[],12,FALSE),"")</f>
        <v/>
      </c>
      <c r="T366" s="374"/>
      <c r="U366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6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6" s="12"/>
      <c r="X366" s="384" t="str">
        <f>IFERROR(IF(TRANSHARI10_HYDROMALAM[[#This Row],[NAMA REKENING]]="","",TRANSHARI10_HYDROMALAM[[#This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IFERROR(VLOOKUP(TRANSHARI10_HYDROPAGI[[#This Row],[PRODUK]],DATA_HYDRO[],12,FALSE),"")</f>
        <v/>
      </c>
      <c r="E367" s="374"/>
      <c r="F367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7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7" s="12"/>
      <c r="I367" s="386" t="str">
        <f>IFERROR(IF(TRANSHARI10_HYDROPAGI[[#This Row],[NAMA REKENING]]="","",TRANSHARI10_HYDROPAGI[[#This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IFERROR(VLOOKUP(TRANSHARI10_HYDROMALAM[[#This Row],[PRODUK]],DATA_HYDRO[],12,FALSE),"")</f>
        <v/>
      </c>
      <c r="T367" s="374"/>
      <c r="U367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7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7" s="12"/>
      <c r="X367" s="386" t="str">
        <f>IFERROR(IF(TRANSHARI10_HYDROMALAM[[#This Row],[NAMA REKENING]]="","",TRANSHARI10_HYDROMALAM[[#This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IFERROR(VLOOKUP(TRANSHARI10_HYDROPAGI[[#This Row],[PRODUK]],DATA_HYDRO[],12,FALSE),"")</f>
        <v/>
      </c>
      <c r="E368" s="374"/>
      <c r="F368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8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8" s="12"/>
      <c r="I368" s="384" t="str">
        <f>IFERROR(IF(TRANSHARI10_HYDROPAGI[[#This Row],[NAMA REKENING]]="","",TRANSHARI10_HYDROPAGI[[#This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IFERROR(VLOOKUP(TRANSHARI10_HYDROMALAM[[#This Row],[PRODUK]],DATA_HYDRO[],12,FALSE),"")</f>
        <v/>
      </c>
      <c r="T368" s="374"/>
      <c r="U368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8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8" s="12"/>
      <c r="X368" s="384" t="str">
        <f>IFERROR(IF(TRANSHARI10_HYDROMALAM[[#This Row],[NAMA REKENING]]="","",TRANSHARI10_HYDROMALAM[[#This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IFERROR(VLOOKUP(TRANSHARI10_HYDROPAGI[[#This Row],[PRODUK]],DATA_HYDRO[],12,FALSE),"")</f>
        <v/>
      </c>
      <c r="E369" s="374"/>
      <c r="F369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69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69" s="12"/>
      <c r="I369" s="386" t="str">
        <f>IFERROR(IF(TRANSHARI10_HYDROPAGI[[#This Row],[NAMA REKENING]]="","",TRANSHARI10_HYDROPAGI[[#This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IFERROR(VLOOKUP(TRANSHARI10_HYDROMALAM[[#This Row],[PRODUK]],DATA_HYDRO[],12,FALSE),"")</f>
        <v/>
      </c>
      <c r="T369" s="374"/>
      <c r="U369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69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69" s="12"/>
      <c r="X369" s="386" t="str">
        <f>IFERROR(IF(TRANSHARI10_HYDROMALAM[[#This Row],[NAMA REKENING]]="","",TRANSHARI10_HYDROMALAM[[#This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IFERROR(VLOOKUP(TRANSHARI10_HYDROPAGI[[#This Row],[PRODUK]],DATA_HYDRO[],12,FALSE),"")</f>
        <v/>
      </c>
      <c r="E370" s="374"/>
      <c r="F370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0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0" s="12"/>
      <c r="I370" s="384" t="str">
        <f>IFERROR(IF(TRANSHARI10_HYDROPAGI[[#This Row],[NAMA REKENING]]="","",TRANSHARI10_HYDROPAGI[[#This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IFERROR(VLOOKUP(TRANSHARI10_HYDROMALAM[[#This Row],[PRODUK]],DATA_HYDRO[],12,FALSE),"")</f>
        <v/>
      </c>
      <c r="T370" s="374"/>
      <c r="U370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0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0" s="12"/>
      <c r="X370" s="384" t="str">
        <f>IFERROR(IF(TRANSHARI10_HYDROMALAM[[#This Row],[NAMA REKENING]]="","",TRANSHARI10_HYDROMALAM[[#This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IFERROR(VLOOKUP(TRANSHARI10_HYDROPAGI[[#This Row],[PRODUK]],DATA_HYDRO[],12,FALSE),"")</f>
        <v/>
      </c>
      <c r="E371" s="374"/>
      <c r="F371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1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1" s="12"/>
      <c r="I371" s="386" t="str">
        <f>IFERROR(IF(TRANSHARI10_HYDROPAGI[[#This Row],[NAMA REKENING]]="","",TRANSHARI10_HYDROPAGI[[#This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IFERROR(VLOOKUP(TRANSHARI10_HYDROMALAM[[#This Row],[PRODUK]],DATA_HYDRO[],12,FALSE),"")</f>
        <v/>
      </c>
      <c r="T371" s="374"/>
      <c r="U371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1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1" s="12"/>
      <c r="X371" s="386" t="str">
        <f>IFERROR(IF(TRANSHARI10_HYDROMALAM[[#This Row],[NAMA REKENING]]="","",TRANSHARI10_HYDROMALAM[[#This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IFERROR(VLOOKUP(TRANSHARI10_HYDROPAGI[[#This Row],[PRODUK]],DATA_HYDRO[],12,FALSE),"")</f>
        <v/>
      </c>
      <c r="E372" s="374"/>
      <c r="F372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2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2" s="12"/>
      <c r="I372" s="384" t="str">
        <f>IFERROR(IF(TRANSHARI10_HYDROPAGI[[#This Row],[NAMA REKENING]]="","",TRANSHARI10_HYDROPAGI[[#This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IFERROR(VLOOKUP(TRANSHARI10_HYDROMALAM[[#This Row],[PRODUK]],DATA_HYDRO[],12,FALSE),"")</f>
        <v/>
      </c>
      <c r="T372" s="374"/>
      <c r="U372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2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2" s="12"/>
      <c r="X372" s="384" t="str">
        <f>IFERROR(IF(TRANSHARI10_HYDROMALAM[[#This Row],[NAMA REKENING]]="","",TRANSHARI10_HYDROMALAM[[#This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IFERROR(VLOOKUP(TRANSHARI10_HYDROPAGI[[#This Row],[PRODUK]],DATA_HYDRO[],12,FALSE),"")</f>
        <v/>
      </c>
      <c r="E373" s="374"/>
      <c r="F373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3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3" s="12"/>
      <c r="I373" s="386" t="str">
        <f>IFERROR(IF(TRANSHARI10_HYDROPAGI[[#This Row],[NAMA REKENING]]="","",TRANSHARI10_HYDROPAGI[[#This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IFERROR(VLOOKUP(TRANSHARI10_HYDROMALAM[[#This Row],[PRODUK]],DATA_HYDRO[],12,FALSE),"")</f>
        <v/>
      </c>
      <c r="T373" s="374"/>
      <c r="U373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3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3" s="12"/>
      <c r="X373" s="386" t="str">
        <f>IFERROR(IF(TRANSHARI10_HYDROMALAM[[#This Row],[NAMA REKENING]]="","",TRANSHARI10_HYDROMALAM[[#This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IFERROR(VLOOKUP(TRANSHARI10_HYDROPAGI[[#This Row],[PRODUK]],DATA_HYDRO[],12,FALSE),"")</f>
        <v/>
      </c>
      <c r="E374" s="374"/>
      <c r="F374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4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4" s="12"/>
      <c r="I374" s="384" t="str">
        <f>IFERROR(IF(TRANSHARI10_HYDROPAGI[[#This Row],[NAMA REKENING]]="","",TRANSHARI10_HYDROPAGI[[#This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IFERROR(VLOOKUP(TRANSHARI10_HYDROMALAM[[#This Row],[PRODUK]],DATA_HYDRO[],12,FALSE),"")</f>
        <v/>
      </c>
      <c r="T374" s="374"/>
      <c r="U374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4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4" s="12"/>
      <c r="X374" s="384" t="str">
        <f>IFERROR(IF(TRANSHARI10_HYDROMALAM[[#This Row],[NAMA REKENING]]="","",TRANSHARI10_HYDROMALAM[[#This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IFERROR(VLOOKUP(TRANSHARI10_HYDROPAGI[[#This Row],[PRODUK]],DATA_HYDRO[],12,FALSE),"")</f>
        <v/>
      </c>
      <c r="E375" s="376"/>
      <c r="F375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5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5" s="377"/>
      <c r="I375" s="386" t="str">
        <f>IFERROR(IF(TRANSHARI10_HYDROPAGI[[#This Row],[NAMA REKENING]]="","",TRANSHARI10_HYDROPAGI[[#This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IFERROR(VLOOKUP(TRANSHARI10_HYDROMALAM[[#This Row],[PRODUK]],DATA_HYDRO[],12,FALSE),"")</f>
        <v/>
      </c>
      <c r="T375" s="376"/>
      <c r="U375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5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5" s="377"/>
      <c r="X375" s="386" t="str">
        <f>IFERROR(IF(TRANSHARI10_HYDROMALAM[[#This Row],[NAMA REKENING]]="","",TRANSHARI10_HYDROMALAM[[#This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IFERROR(VLOOKUP(TRANSHARI10_HYDROPAGI[[#This Row],[PRODUK]],DATA_HYDRO[],12,FALSE),"")</f>
        <v/>
      </c>
      <c r="E376" s="374"/>
      <c r="F376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6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6" s="12"/>
      <c r="I376" s="384" t="str">
        <f>IFERROR(IF(TRANSHARI10_HYDROPAGI[[#This Row],[NAMA REKENING]]="","",TRANSHARI10_HYDROPAGI[[#This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IFERROR(VLOOKUP(TRANSHARI10_HYDROMALAM[[#This Row],[PRODUK]],DATA_HYDRO[],12,FALSE),"")</f>
        <v/>
      </c>
      <c r="T376" s="374"/>
      <c r="U376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6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6" s="12"/>
      <c r="X376" s="384" t="str">
        <f>IFERROR(IF(TRANSHARI10_HYDROMALAM[[#This Row],[NAMA REKENING]]="","",TRANSHARI10_HYDROMALAM[[#This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IFERROR(VLOOKUP(TRANSHARI10_HYDROPAGI[[#This Row],[PRODUK]],DATA_HYDRO[],12,FALSE),"")</f>
        <v/>
      </c>
      <c r="E377" s="374"/>
      <c r="F377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7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7" s="12"/>
      <c r="I377" s="386" t="str">
        <f>IFERROR(IF(TRANSHARI10_HYDROPAGI[[#This Row],[NAMA REKENING]]="","",TRANSHARI10_HYDROPAGI[[#This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IFERROR(VLOOKUP(TRANSHARI10_HYDROMALAM[[#This Row],[PRODUK]],DATA_HYDRO[],12,FALSE),"")</f>
        <v/>
      </c>
      <c r="T377" s="374"/>
      <c r="U377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7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7" s="12"/>
      <c r="X377" s="386" t="str">
        <f>IFERROR(IF(TRANSHARI10_HYDROMALAM[[#This Row],[NAMA REKENING]]="","",TRANSHARI10_HYDROMALAM[[#This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IFERROR(VLOOKUP(TRANSHARI10_HYDROPAGI[[#This Row],[PRODUK]],DATA_HYDRO[],12,FALSE),"")</f>
        <v/>
      </c>
      <c r="E378" s="374"/>
      <c r="F378" s="369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8" s="369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8" s="12"/>
      <c r="I378" s="384" t="str">
        <f>IFERROR(IF(TRANSHARI10_HYDROPAGI[[#This Row],[NAMA REKENING]]="","",TRANSHARI10_HYDROPAGI[[#This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IFERROR(VLOOKUP(TRANSHARI10_HYDROMALAM[[#This Row],[PRODUK]],DATA_HYDRO[],12,FALSE),"")</f>
        <v/>
      </c>
      <c r="T378" s="374"/>
      <c r="U378" s="369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8" s="369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8" s="12"/>
      <c r="X378" s="384" t="str">
        <f>IFERROR(IF(TRANSHARI10_HYDROMALAM[[#This Row],[NAMA REKENING]]="","",TRANSHARI10_HYDROMALAM[[#This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IFERROR(VLOOKUP(TRANSHARI10_HYDROPAGI[[#This Row],[PRODUK]],DATA_HYDRO[],12,FALSE),"")</f>
        <v/>
      </c>
      <c r="E379" s="374"/>
      <c r="F379" s="373" t="str">
        <f>IFERROR(IF(TRANSHARI10_HYDROPAGI[[#This Row],[NAMA PENGHUTANG]]="",((TRANSHARI10_HYDROPAGI[[#This Row],[HARGA]]*TRANSHARI10_HYDROPAGI[[#This Row],[QUANTITY]])+TRANSHARI10_HYDROPAGI[[#This Row],[PRICE TOLERANCE]]),""),"")</f>
        <v/>
      </c>
      <c r="G379" s="373" t="str">
        <f>IFERROR(IF(TRANSHARI10_HYDROPAGI[[#This Row],[NAMA PENGHUTANG]]="","",((TRANSHARI10_HYDROPAGI[[#This Row],[HARGA]]*TRANSHARI10_HYDROPAGI[[#This Row],[QUANTITY]])+TRANSHARI10_HYDROPAGI[[#This Row],[PRICE TOLERANCE]])),"")</f>
        <v/>
      </c>
      <c r="H379" s="12"/>
      <c r="I379" s="386" t="str">
        <f>IFERROR(IF(TRANSHARI10_HYDROPAGI[[#This Row],[NAMA REKENING]]="","",TRANSHARI10_HYDROPAGI[[#This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IFERROR(VLOOKUP(TRANSHARI10_HYDROMALAM[[#This Row],[PRODUK]],DATA_HYDRO[],12,FALSE),"")</f>
        <v/>
      </c>
      <c r="T379" s="374"/>
      <c r="U379" s="373" t="str">
        <f>IFERROR(IF(TRANSHARI10_HYDROMALAM[[#This Row],[NAMA PENGHUTANG]]="",((TRANSHARI10_HYDROMALAM[[#This Row],[HARGA]]*TRANSHARI10_HYDROMALAM[[#This Row],[QUANTITY]])+TRANSHARI10_HYDROMALAM[[#This Row],[PRICE TOLERANCE]]),""),"")</f>
        <v/>
      </c>
      <c r="V379" s="373" t="str">
        <f>IFERROR(IF(TRANSHARI10_HYDROMALAM[[#This Row],[NAMA PENGHUTANG]]="","",((TRANSHARI10_HYDROMALAM[[#This Row],[HARGA]]*TRANSHARI10_HYDROMALAM[[#This Row],[QUANTITY]])+TRANSHARI10_HYDROMALAM[[#This Row],[PRICE TOLERANCE]])),"")</f>
        <v/>
      </c>
      <c r="W379" s="12"/>
      <c r="X379" s="386" t="str">
        <f>IFERROR(IF(TRANSHARI10_HYDROMALAM[[#This Row],[NAMA REKENING]]="","",TRANSHARI10_HYDROMALAM[[#This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SUM(TRANSHARI10_HYDROPAGI[QUANTITY])</f>
        <v>0</v>
      </c>
      <c r="E380" s="398">
        <f>SUM(TRANSHARI10_HYDROPAGI[PRICE TOLERANCE])</f>
        <v>0</v>
      </c>
      <c r="F380" s="396">
        <f>SUM(TRANSHARI10_HYDROPAGI[DEBIT])</f>
        <v>0</v>
      </c>
      <c r="G380" s="396">
        <f>SUM(TRANSHARI10_HYDROPAGI[KREDIT])</f>
        <v>0</v>
      </c>
      <c r="I380" s="396">
        <f>SUM(TRANSHARI10_HYDROPAGI[NOMINAL TRANSFER])</f>
        <v>0</v>
      </c>
      <c r="O380" s="324"/>
      <c r="P380" s="303" t="s">
        <v>78</v>
      </c>
      <c r="Q380" s="316"/>
      <c r="R380" s="395">
        <f>SUM(TRANSHARI10_HYDROMALAM[QUANTITY])</f>
        <v>0</v>
      </c>
      <c r="T380" s="398">
        <f>SUM(TRANSHARI10_HYDROMALAM[PRICE TOLERANCE])</f>
        <v>0</v>
      </c>
      <c r="U380" s="396">
        <f>SUM(TRANSHARI10_HYDROMALAM[DEBIT])</f>
        <v>0</v>
      </c>
      <c r="V380" s="396">
        <f>SUM(TRANSHARI10_HYDROMALAM[KREDIT])</f>
        <v>0</v>
      </c>
      <c r="X380" s="396">
        <f>SUM(TRANSHARI10_HYDROMALAM[NOMINAL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232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233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SUM(TRANSHARI10_PULSAPAGI[DEBIT])</f>
        <v>0</v>
      </c>
      <c r="D390" s="431">
        <f>SUM(TRANSHARI10_PULSAPAGI[KREDIT])</f>
        <v>0</v>
      </c>
      <c r="E390" s="432">
        <f>SUM(TRANSHARI10_PULSAPAGI[NOMINAL TRANSFER])</f>
        <v>0</v>
      </c>
      <c r="F390" s="433">
        <f>0</f>
        <v>0</v>
      </c>
      <c r="G390" s="434">
        <f>COUNTA(TRANSHARI10_PULSAPAGI[[DEBIT]:[KREDIT]])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SUM(TRANSHARI10_PULSAMALAM[DEBIT])</f>
        <v>0</v>
      </c>
      <c r="S390" s="431">
        <f>SUM(TRANSHARI10_PULSAMALAM[KREDIT])</f>
        <v>0</v>
      </c>
      <c r="T390" s="432">
        <f>SUM(TRANSHARI10_PULSAMALAM[NOMINAL TRANSFER])</f>
        <v>0</v>
      </c>
      <c r="U390" s="433">
        <f>0</f>
        <v>0</v>
      </c>
      <c r="V390" s="434">
        <f>COUNTA(TRANSHARI10_PULSAMALAM[[DEBIT]:[KREDIT]])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SUM(TRANSHARI10_ROKOKPAGI[DEBIT])</f>
        <v>0</v>
      </c>
      <c r="D391" s="431">
        <f>SUM(TRANSHARI10_ROKOKPAGI[KREDIT])</f>
        <v>0</v>
      </c>
      <c r="E391" s="432">
        <f>SUM(TRANSHARI10_ROKOKPAGI[NOMINAL TRANSFER])</f>
        <v>0</v>
      </c>
      <c r="F391" s="433">
        <f>SUM(TRANSHARI10_ROKOKPAGI[PRICE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SUM(TRANSHARI10_ROKOKMALAM[DEBIT])</f>
        <v>0</v>
      </c>
      <c r="S391" s="431">
        <f>SUM(TRANSHARI10_ROKOKMALAM[KREDIT])</f>
        <v>0</v>
      </c>
      <c r="T391" s="432">
        <f>SUM(TRANSHARI10_ROKOKMALAM[NOMINAL TRANSFER])</f>
        <v>0</v>
      </c>
      <c r="U391" s="433">
        <f>SUM(TRANSHARI10_ROKOKMALAM[PRICE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SUM(TRANSHARI10_SPVOUPAGI[DEBIT])</f>
        <v>0</v>
      </c>
      <c r="D392" s="431">
        <f>SUM(TRANSHARI10_SPVOUPAGI[KREDIT])</f>
        <v>0</v>
      </c>
      <c r="E392" s="432">
        <f>SUM(TRANSHARI10_SPVOUPAGI[NOMINAL TRANSFER])</f>
        <v>0</v>
      </c>
      <c r="F392" s="433">
        <f>SUM(TRANSHARI10_SPVOUPAGI[PRICE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SUM(TRANSHARI10_SPVOUMALAM[DEBIT])</f>
        <v>0</v>
      </c>
      <c r="S392" s="431">
        <f>SUM(TRANSHARI10_SPVOUMALAM[KREDIT])</f>
        <v>0</v>
      </c>
      <c r="T392" s="432">
        <f>SUM(TRANSHARI10_SPVOUMALAM[NOMINAL TRANSFER])</f>
        <v>0</v>
      </c>
      <c r="U392" s="433">
        <f>SUM(TRANSHARI10_SPVOUMALAM[PRICE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SUM(TRANSHARI10_SOFTDRINKPAGI[DEBIT])</f>
        <v>0</v>
      </c>
      <c r="D393" s="431">
        <f>SUM(TRANSHARI10_SOFTDRINKPAGI[KREDIT])</f>
        <v>0</v>
      </c>
      <c r="E393" s="432">
        <f>SUM(TRANSHARI10_SOFTDRINKPAGI[NOMINAL TRANSFER])</f>
        <v>0</v>
      </c>
      <c r="F393" s="433">
        <f>SUM(TRANSHARI10_SOFTDRINKPAGI[PRICE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SUM(TRANSHARI10_SOFTDRINKMALAM[DEBIT])</f>
        <v>0</v>
      </c>
      <c r="S393" s="431">
        <f>SUM(TRANSHARI10_SOFTDRINKMALAM[KREDIT])</f>
        <v>0</v>
      </c>
      <c r="T393" s="432">
        <f>SUM(TRANSHARI10_SOFTDRINKMALAM[NOMINAL TRANSFER])</f>
        <v>0</v>
      </c>
      <c r="U393" s="433">
        <f>SUM(TRANSHARI10_SOFTDRINKMALAM[PRICE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SUM(TRANSHARI10_ICECREAMPAGI[DEBIT])</f>
        <v>0</v>
      </c>
      <c r="D394" s="431">
        <f>SUM(TRANSHARI10_ICECREAMPAGI[KREDIT])</f>
        <v>0</v>
      </c>
      <c r="E394" s="432">
        <f>SUM(TRANSHARI10_ICECREAMPAGI[NOMINAL TRANSFER])</f>
        <v>0</v>
      </c>
      <c r="F394" s="433">
        <f>SUM(TRANSHARI10_ICECREAMPAGI[PRICE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SUM(TRANSHARI10_ICECREAMMALAM[DEBIT])</f>
        <v>0</v>
      </c>
      <c r="S394" s="431">
        <f>SUM(TRANSHARI10_ICECREAMMALAM[KREDIT])</f>
        <v>0</v>
      </c>
      <c r="T394" s="432">
        <f>SUM(TRANSHARI10_ICECREAMMALAM[NOMINAL TRANSFER])</f>
        <v>0</v>
      </c>
      <c r="U394" s="433">
        <f>SUM(TRANSHARI10_ICECREAMMALAM[PRICE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SUM(TRANSHARI10_ACCPAGI[DEBIT])</f>
        <v>0</v>
      </c>
      <c r="D395" s="431">
        <f>SUM(TRANSHARI10_ACCPAGI[KREDIT])</f>
        <v>0</v>
      </c>
      <c r="E395" s="432">
        <f>SUM(TRANSHARI10_ACCPAGI[NOMINAL TRANSFER])</f>
        <v>0</v>
      </c>
      <c r="F395" s="433">
        <f>SUM(TRANSHARI10_ACCPAGI[PRICE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SUM(TRANSHARI10_ACCMALAM[DEBIT])</f>
        <v>0</v>
      </c>
      <c r="S395" s="431">
        <f>SUM(TRANSHARI10_ACCMALAM[KREDIT])</f>
        <v>0</v>
      </c>
      <c r="T395" s="432">
        <f>SUM(TRANSHARI10_ACCMALAM[NOMINAL TRANSFER])</f>
        <v>0</v>
      </c>
      <c r="U395" s="433">
        <f>SUM(TRANSHARI10_ACCMALAM[PRICE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SUM(TRANSHARI10_HYDROPAGI[DEBIT])</f>
        <v>0</v>
      </c>
      <c r="D396" s="437">
        <f>SUM(TRANSHARI10_HYDROPAGI[KREDIT])</f>
        <v>0</v>
      </c>
      <c r="E396" s="438">
        <f>SUM(TRANSHARI10_HYDROPAGI[NOMINAL TRANSFER])</f>
        <v>0</v>
      </c>
      <c r="F396" s="439">
        <f>SUM(TRANSHARI10_HYDROPAGI[PRICE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SUM(TRANSHARI10_HYDROMALAM[DEBIT])</f>
        <v>0</v>
      </c>
      <c r="S396" s="437">
        <f>SUM(TRANSHARI10_HYDROMALAM[KREDIT])</f>
        <v>0</v>
      </c>
      <c r="T396" s="438">
        <f>SUM(TRANSHARI10_HYDROMALAM[NOMINAL TRANSFER])</f>
        <v>0</v>
      </c>
      <c r="U396" s="439">
        <f>SUM(TRANSHARI10_HYDROMALAM[PRICE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9'!T430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diHqBbYwjXQAxWYpsbmL2dmUp92alwcYS4Fl5QFXNKGOBrWwaTsZ+VGkgCsFpYDbRxdBbll2iKKi3G67NjpcWw==" saltValue="S0Abcgy8e/t5GtCh4eyeUA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24:AC447"/>
  <sheetViews>
    <sheetView showGridLines="0" zoomScale="77" zoomScaleNormal="77" topLeftCell="A405" workbookViewId="0">
      <selection activeCell="I365" sqref="I365"/>
    </sheetView>
  </sheetViews>
  <sheetFormatPr defaultColWidth="8.45" defaultRowHeight="16.5"/>
  <cols>
    <col min="1" max="1" width="5.98333333333333" style="53" customWidth="1"/>
    <col min="2" max="2" width="35.4916666666667" style="53" customWidth="1"/>
    <col min="3" max="7" width="20.5416666666667" style="53" customWidth="1"/>
    <col min="8" max="8" width="25.4833333333333" style="53" customWidth="1"/>
    <col min="9" max="9" width="23.0083333333333" style="53" customWidth="1"/>
    <col min="10" max="11" width="25.4833333333333" style="53" customWidth="1"/>
    <col min="12" max="12" width="28.475" style="53" customWidth="1"/>
    <col min="13" max="13" width="8.45" style="53" customWidth="1"/>
    <col min="14" max="15" width="8.45" style="53"/>
    <col min="16" max="16" width="5.98333333333333" style="53" customWidth="1"/>
    <col min="17" max="17" width="35.4916666666667" style="53" customWidth="1"/>
    <col min="18" max="22" width="20.5416666666667" style="53" customWidth="1"/>
    <col min="23" max="23" width="25.4833333333333" style="53" customWidth="1"/>
    <col min="24" max="24" width="23.0083333333333" style="53" customWidth="1"/>
    <col min="25" max="26" width="25.4833333333333" style="53" customWidth="1"/>
    <col min="27" max="27" width="28.475" style="53" customWidth="1"/>
    <col min="28" max="16384" width="8.45" style="53"/>
  </cols>
  <sheetData>
    <row r="24" ht="17.25"/>
    <row r="25" ht="14.45" customHeight="1" spans="1:27">
      <c r="A25" s="300" t="s">
        <v>234</v>
      </c>
      <c r="B25" s="301"/>
      <c r="C25" s="302" t="s">
        <v>11</v>
      </c>
      <c r="D25" s="303"/>
      <c r="E25" s="303"/>
      <c r="F25" s="303"/>
      <c r="G25" s="303"/>
      <c r="H25" s="303"/>
      <c r="I25" s="316"/>
      <c r="K25" s="317" t="s">
        <v>12</v>
      </c>
      <c r="L25" s="318"/>
      <c r="O25" s="319"/>
      <c r="P25" s="320" t="s">
        <v>235</v>
      </c>
      <c r="Q25" s="301"/>
      <c r="R25" s="302" t="s">
        <v>11</v>
      </c>
      <c r="S25" s="303"/>
      <c r="T25" s="303"/>
      <c r="U25" s="303"/>
      <c r="V25" s="303"/>
      <c r="W25" s="303"/>
      <c r="X25" s="316"/>
      <c r="Z25" s="317" t="s">
        <v>12</v>
      </c>
      <c r="AA25" s="318"/>
    </row>
    <row r="26" ht="14.45" customHeight="1" spans="1:27">
      <c r="A26" s="304"/>
      <c r="B26" s="305"/>
      <c r="C26" s="306"/>
      <c r="D26" s="307"/>
      <c r="E26" s="307"/>
      <c r="F26" s="307"/>
      <c r="G26" s="307"/>
      <c r="H26" s="307"/>
      <c r="I26" s="321"/>
      <c r="K26" s="322"/>
      <c r="L26" s="323"/>
      <c r="O26" s="324"/>
      <c r="P26" s="325"/>
      <c r="Q26" s="305"/>
      <c r="R26" s="306"/>
      <c r="S26" s="307"/>
      <c r="T26" s="307"/>
      <c r="U26" s="307"/>
      <c r="V26" s="307"/>
      <c r="W26" s="307"/>
      <c r="X26" s="321"/>
      <c r="Z26" s="322"/>
      <c r="AA26" s="323"/>
    </row>
    <row r="27" ht="17.25" spans="1:24">
      <c r="A27" s="308" t="s">
        <v>14</v>
      </c>
      <c r="B27" s="309" t="s">
        <v>15</v>
      </c>
      <c r="C27" s="309" t="s">
        <v>16</v>
      </c>
      <c r="D27" s="309" t="s">
        <v>17</v>
      </c>
      <c r="E27" s="309" t="s">
        <v>18</v>
      </c>
      <c r="F27" s="309" t="s">
        <v>19</v>
      </c>
      <c r="G27" s="310" t="s">
        <v>20</v>
      </c>
      <c r="H27" s="309" t="s">
        <v>21</v>
      </c>
      <c r="I27" s="309" t="s">
        <v>22</v>
      </c>
      <c r="O27" s="324"/>
      <c r="P27" s="308" t="s">
        <v>14</v>
      </c>
      <c r="Q27" s="309" t="s">
        <v>15</v>
      </c>
      <c r="R27" s="309" t="s">
        <v>16</v>
      </c>
      <c r="S27" s="309" t="s">
        <v>17</v>
      </c>
      <c r="T27" s="309" t="s">
        <v>18</v>
      </c>
      <c r="U27" s="309" t="s">
        <v>19</v>
      </c>
      <c r="V27" s="310" t="s">
        <v>20</v>
      </c>
      <c r="W27" s="309" t="s">
        <v>21</v>
      </c>
      <c r="X27" s="309" t="s">
        <v>22</v>
      </c>
    </row>
    <row r="28" ht="18" spans="1:27">
      <c r="A28" s="311">
        <v>1</v>
      </c>
      <c r="B28" s="311"/>
      <c r="C28" s="312"/>
      <c r="D28" s="313"/>
      <c r="E28" s="26"/>
      <c r="F28" s="312"/>
      <c r="G28" s="311"/>
      <c r="H28" s="314" t="str">
        <f>IFERROR(IF(TRANSHARI11_PULSAPAGI[[#This Row],[NAMA REKENING]]="","",TRANSHARI11_PULSAPAGI[[#This Row],[DEBIT]]),"")</f>
        <v/>
      </c>
      <c r="I28" s="311"/>
      <c r="J28" s="326"/>
      <c r="K28" s="327" t="s">
        <v>24</v>
      </c>
      <c r="L28" s="328"/>
      <c r="O28" s="324"/>
      <c r="P28" s="329">
        <v>1</v>
      </c>
      <c r="Q28" s="311"/>
      <c r="R28" s="312"/>
      <c r="S28" s="313"/>
      <c r="T28" s="26"/>
      <c r="U28" s="312"/>
      <c r="V28" s="311"/>
      <c r="W28" s="314" t="str">
        <f>IFERROR(IF(TRANSHARI11_PULSAMALAM[[#This Row],[NAMA REKENING]]="","",TRANSHARI11_PULSAMALAM[[#This Row],[DEBIT]]),"")</f>
        <v/>
      </c>
      <c r="X28" s="311"/>
      <c r="Y28" s="326"/>
      <c r="Z28" s="327" t="s">
        <v>24</v>
      </c>
      <c r="AA28" s="328"/>
    </row>
    <row r="29" ht="18" spans="1:27">
      <c r="A29" s="311">
        <v>2</v>
      </c>
      <c r="B29" s="311"/>
      <c r="C29" s="312"/>
      <c r="D29" s="313"/>
      <c r="E29" s="26"/>
      <c r="F29" s="312"/>
      <c r="G29" s="311"/>
      <c r="H29" s="315" t="str">
        <f>IFERROR(IF(TRANSHARI11_PULSAPAGI[[#This Row],[NAMA REKENING]]="","",TRANSHARI11_PULSAPAGI[[#This Row],[DEBIT]]),"")</f>
        <v/>
      </c>
      <c r="I29" s="311"/>
      <c r="J29" s="326"/>
      <c r="K29" s="330" t="s">
        <v>27</v>
      </c>
      <c r="L29" s="331">
        <f>'HARI 10'!AA33</f>
        <v>528692</v>
      </c>
      <c r="O29" s="324"/>
      <c r="P29" s="329">
        <v>2</v>
      </c>
      <c r="Q29" s="311"/>
      <c r="R29" s="312"/>
      <c r="S29" s="313"/>
      <c r="T29" s="26"/>
      <c r="U29" s="312"/>
      <c r="V29" s="311"/>
      <c r="W29" s="315" t="str">
        <f>IFERROR(IF(TRANSHARI11_PULSAMALAM[[#This Row],[NAMA REKENING]]="","",TRANSHARI11_PULSAMALAM[[#This Row],[DEBIT]]),"")</f>
        <v/>
      </c>
      <c r="X29" s="311"/>
      <c r="Y29" s="326"/>
      <c r="Z29" s="330" t="s">
        <v>27</v>
      </c>
      <c r="AA29" s="331">
        <f>L33</f>
        <v>528692</v>
      </c>
    </row>
    <row r="30" ht="18" spans="1:27">
      <c r="A30" s="311">
        <v>3</v>
      </c>
      <c r="B30" s="311"/>
      <c r="C30" s="312"/>
      <c r="D30" s="313"/>
      <c r="E30" s="26"/>
      <c r="F30" s="312"/>
      <c r="G30" s="311"/>
      <c r="H30" s="314" t="str">
        <f>IFERROR(IF(TRANSHARI11_PULSAPAGI[[#This Row],[NAMA REKENING]]="","",TRANSHARI11_PULSAPAGI[[#This Row],[DEBIT]]),"")</f>
        <v/>
      </c>
      <c r="I30" s="311"/>
      <c r="J30" s="326"/>
      <c r="K30" s="332" t="s">
        <v>30</v>
      </c>
      <c r="L30" s="333">
        <f>SUMIF(TRANSHARI11_PULSAPAGI[APLIKASI],K28,TRANSHARI11_PULSAPAGI[SALDO MINUS])</f>
        <v>0</v>
      </c>
      <c r="O30" s="324"/>
      <c r="P30" s="329">
        <v>3</v>
      </c>
      <c r="Q30" s="311"/>
      <c r="R30" s="312"/>
      <c r="S30" s="313"/>
      <c r="T30" s="26"/>
      <c r="U30" s="312"/>
      <c r="V30" s="311"/>
      <c r="W30" s="314" t="str">
        <f>IFERROR(IF(TRANSHARI11_PULSAMALAM[[#This Row],[NAMA REKENING]]="","",TRANSHARI11_PULSAMALAM[[#This Row],[DEBIT]]),"")</f>
        <v/>
      </c>
      <c r="X30" s="311"/>
      <c r="Y30" s="326"/>
      <c r="Z30" s="332" t="s">
        <v>30</v>
      </c>
      <c r="AA30" s="333">
        <f>SUMIF(TRANSHARI11_PULSAMALAM[APLIKASI],Z28,TRANSHARI11_PULSAMALAM[SALDO MINUS])</f>
        <v>0</v>
      </c>
    </row>
    <row r="31" ht="18" spans="1:27">
      <c r="A31" s="311">
        <v>4</v>
      </c>
      <c r="B31" s="311"/>
      <c r="C31" s="312"/>
      <c r="D31" s="313"/>
      <c r="E31" s="26"/>
      <c r="F31" s="312"/>
      <c r="G31" s="311"/>
      <c r="H31" s="315" t="str">
        <f>IFERROR(IF(TRANSHARI11_PULSAPAGI[[#This Row],[NAMA REKENING]]="","",TRANSHARI11_PULSAPAGI[[#This Row],[DEBIT]]),"")</f>
        <v/>
      </c>
      <c r="I31" s="311"/>
      <c r="J31" s="326"/>
      <c r="K31" s="334" t="s">
        <v>33</v>
      </c>
      <c r="L31" s="335">
        <v>0</v>
      </c>
      <c r="O31" s="324"/>
      <c r="P31" s="329">
        <v>4</v>
      </c>
      <c r="Q31" s="311"/>
      <c r="R31" s="312"/>
      <c r="S31" s="313"/>
      <c r="T31" s="26"/>
      <c r="U31" s="312"/>
      <c r="V31" s="311"/>
      <c r="W31" s="315" t="str">
        <f>IFERROR(IF(TRANSHARI11_PULSAMALAM[[#This Row],[NAMA REKENING]]="","",TRANSHARI11_PULSAMALAM[[#This Row],[DEBIT]]),"")</f>
        <v/>
      </c>
      <c r="X31" s="311"/>
      <c r="Y31" s="326"/>
      <c r="Z31" s="334" t="s">
        <v>33</v>
      </c>
      <c r="AA31" s="335">
        <v>0</v>
      </c>
    </row>
    <row r="32" ht="18" spans="1:27">
      <c r="A32" s="311">
        <v>5</v>
      </c>
      <c r="B32" s="311"/>
      <c r="C32" s="312"/>
      <c r="D32" s="313"/>
      <c r="E32" s="26"/>
      <c r="F32" s="312"/>
      <c r="G32" s="311"/>
      <c r="H32" s="314" t="str">
        <f>IFERROR(IF(TRANSHARI11_PULSAPAGI[[#This Row],[NAMA REKENING]]="","",TRANSHARI11_PULSAPAGI[[#This Row],[DEBIT]]),"")</f>
        <v/>
      </c>
      <c r="I32" s="311"/>
      <c r="J32" s="326"/>
      <c r="K32" s="334" t="s">
        <v>37</v>
      </c>
      <c r="L32" s="335">
        <v>0</v>
      </c>
      <c r="O32" s="324"/>
      <c r="P32" s="329">
        <v>5</v>
      </c>
      <c r="Q32" s="311"/>
      <c r="R32" s="312"/>
      <c r="S32" s="313"/>
      <c r="T32" s="26"/>
      <c r="U32" s="312"/>
      <c r="V32" s="311"/>
      <c r="W32" s="314" t="str">
        <f>IFERROR(IF(TRANSHARI11_PULSAMALAM[[#This Row],[NAMA REKENING]]="","",TRANSHARI11_PULSAMALAM[[#This Row],[DEBIT]]),"")</f>
        <v/>
      </c>
      <c r="X32" s="311"/>
      <c r="Y32" s="326"/>
      <c r="Z32" s="334" t="s">
        <v>37</v>
      </c>
      <c r="AA32" s="335">
        <v>0</v>
      </c>
    </row>
    <row r="33" ht="18.75" spans="1:27">
      <c r="A33" s="311">
        <v>6</v>
      </c>
      <c r="B33" s="311"/>
      <c r="C33" s="312"/>
      <c r="D33" s="313"/>
      <c r="E33" s="26"/>
      <c r="F33" s="312"/>
      <c r="G33" s="311"/>
      <c r="H33" s="315" t="str">
        <f>IFERROR(IF(TRANSHARI11_PULSAPAGI[[#This Row],[NAMA REKENING]]="","",TRANSHARI11_PULSAPAGI[[#This Row],[DEBIT]]),"")</f>
        <v/>
      </c>
      <c r="I33" s="311"/>
      <c r="J33" s="326"/>
      <c r="K33" s="336" t="s">
        <v>39</v>
      </c>
      <c r="L33" s="337">
        <f>L29-L30+L31+L32</f>
        <v>528692</v>
      </c>
      <c r="O33" s="324"/>
      <c r="P33" s="329">
        <v>6</v>
      </c>
      <c r="Q33" s="311"/>
      <c r="R33" s="312"/>
      <c r="S33" s="313"/>
      <c r="T33" s="26"/>
      <c r="U33" s="312"/>
      <c r="V33" s="311"/>
      <c r="W33" s="315" t="str">
        <f>IFERROR(IF(TRANSHARI11_PULSAMALAM[[#This Row],[NAMA REKENING]]="","",TRANSHARI11_PULSAMALAM[[#This Row],[DEBIT]]),"")</f>
        <v/>
      </c>
      <c r="X33" s="311"/>
      <c r="Y33" s="326"/>
      <c r="Z33" s="336" t="s">
        <v>39</v>
      </c>
      <c r="AA33" s="337">
        <f>AA29-AA30+AA31+AA32</f>
        <v>528692</v>
      </c>
    </row>
    <row r="34" ht="18.75" spans="1:27">
      <c r="A34" s="311">
        <v>7</v>
      </c>
      <c r="B34" s="311"/>
      <c r="C34" s="312"/>
      <c r="D34" s="313"/>
      <c r="E34" s="26"/>
      <c r="F34" s="312"/>
      <c r="G34" s="311"/>
      <c r="H34" s="314" t="str">
        <f>IFERROR(IF(TRANSHARI11_PULSAPAGI[[#This Row],[NAMA REKENING]]="","",TRANSHARI11_PULSAPAGI[[#This Row],[DEBIT]]),"")</f>
        <v/>
      </c>
      <c r="I34" s="311"/>
      <c r="J34" s="326"/>
      <c r="K34" s="1"/>
      <c r="L34" s="1"/>
      <c r="O34" s="324"/>
      <c r="P34" s="329">
        <v>7</v>
      </c>
      <c r="Q34" s="311"/>
      <c r="R34" s="312"/>
      <c r="S34" s="313"/>
      <c r="T34" s="26"/>
      <c r="U34" s="312"/>
      <c r="V34" s="311"/>
      <c r="W34" s="314" t="str">
        <f>IFERROR(IF(TRANSHARI11_PULSAMALAM[[#This Row],[NAMA REKENING]]="","",TRANSHARI11_PULSAMALAM[[#This Row],[DEBIT]]),"")</f>
        <v/>
      </c>
      <c r="X34" s="311"/>
      <c r="Y34" s="326"/>
      <c r="Z34" s="1"/>
      <c r="AA34" s="1"/>
    </row>
    <row r="35" ht="18" spans="1:27">
      <c r="A35" s="311">
        <v>8</v>
      </c>
      <c r="B35" s="311"/>
      <c r="C35" s="312"/>
      <c r="D35" s="313"/>
      <c r="E35" s="26"/>
      <c r="F35" s="312"/>
      <c r="G35" s="311"/>
      <c r="H35" s="315" t="str">
        <f>IFERROR(IF(TRANSHARI11_PULSAPAGI[[#This Row],[NAMA REKENING]]="","",TRANSHARI11_PULSAPAGI[[#This Row],[DEBIT]]),"")</f>
        <v/>
      </c>
      <c r="I35" s="311"/>
      <c r="J35" s="326"/>
      <c r="K35" s="338" t="s">
        <v>35</v>
      </c>
      <c r="L35" s="339"/>
      <c r="O35" s="324"/>
      <c r="P35" s="329">
        <v>8</v>
      </c>
      <c r="Q35" s="311"/>
      <c r="R35" s="312"/>
      <c r="S35" s="313"/>
      <c r="T35" s="26"/>
      <c r="U35" s="312"/>
      <c r="V35" s="311"/>
      <c r="W35" s="315" t="str">
        <f>IFERROR(IF(TRANSHARI11_PULSAMALAM[[#This Row],[NAMA REKENING]]="","",TRANSHARI11_PULSAMALAM[[#This Row],[DEBIT]]),"")</f>
        <v/>
      </c>
      <c r="X35" s="311"/>
      <c r="Y35" s="326"/>
      <c r="Z35" s="338" t="s">
        <v>35</v>
      </c>
      <c r="AA35" s="339"/>
    </row>
    <row r="36" ht="18" spans="1:27">
      <c r="A36" s="311">
        <v>9</v>
      </c>
      <c r="B36" s="311"/>
      <c r="C36" s="312"/>
      <c r="D36" s="313"/>
      <c r="E36" s="26"/>
      <c r="F36" s="312"/>
      <c r="G36" s="311"/>
      <c r="H36" s="314" t="str">
        <f>IFERROR(IF(TRANSHARI11_PULSAPAGI[[#This Row],[NAMA REKENING]]="","",TRANSHARI11_PULSAPAGI[[#This Row],[DEBIT]]),"")</f>
        <v/>
      </c>
      <c r="I36" s="311"/>
      <c r="J36" s="326"/>
      <c r="K36" s="330" t="s">
        <v>27</v>
      </c>
      <c r="L36" s="331">
        <f>'HARI 10'!AA40</f>
        <v>300063</v>
      </c>
      <c r="O36" s="324"/>
      <c r="P36" s="329">
        <v>9</v>
      </c>
      <c r="Q36" s="311"/>
      <c r="R36" s="312"/>
      <c r="S36" s="313"/>
      <c r="T36" s="26"/>
      <c r="U36" s="312"/>
      <c r="V36" s="311"/>
      <c r="W36" s="314" t="str">
        <f>IFERROR(IF(TRANSHARI11_PULSAMALAM[[#This Row],[NAMA REKENING]]="","",TRANSHARI11_PULSAMALAM[[#This Row],[DEBIT]]),"")</f>
        <v/>
      </c>
      <c r="X36" s="311"/>
      <c r="Y36" s="326"/>
      <c r="Z36" s="330" t="s">
        <v>27</v>
      </c>
      <c r="AA36" s="331">
        <f>L40</f>
        <v>300063</v>
      </c>
    </row>
    <row r="37" ht="18" spans="1:27">
      <c r="A37" s="311">
        <v>10</v>
      </c>
      <c r="B37" s="311"/>
      <c r="C37" s="312"/>
      <c r="D37" s="313"/>
      <c r="E37" s="26"/>
      <c r="F37" s="312"/>
      <c r="G37" s="311"/>
      <c r="H37" s="315" t="str">
        <f>IFERROR(IF(TRANSHARI11_PULSAPAGI[[#This Row],[NAMA REKENING]]="","",TRANSHARI11_PULSAPAGI[[#This Row],[DEBIT]]),"")</f>
        <v/>
      </c>
      <c r="I37" s="311"/>
      <c r="J37" s="326"/>
      <c r="K37" s="332" t="s">
        <v>30</v>
      </c>
      <c r="L37" s="333">
        <f>SUMIF(TRANSHARI11_PULSAPAGI[APLIKASI],K35,TRANSHARI11_PULSAPAGI[SALDO MINUS])</f>
        <v>0</v>
      </c>
      <c r="O37" s="324"/>
      <c r="P37" s="329">
        <v>10</v>
      </c>
      <c r="Q37" s="311"/>
      <c r="R37" s="312"/>
      <c r="S37" s="313"/>
      <c r="T37" s="26"/>
      <c r="U37" s="312"/>
      <c r="V37" s="311"/>
      <c r="W37" s="315" t="str">
        <f>IFERROR(IF(TRANSHARI11_PULSAMALAM[[#This Row],[NAMA REKENING]]="","",TRANSHARI11_PULSAMALAM[[#This Row],[DEBIT]]),"")</f>
        <v/>
      </c>
      <c r="X37" s="311"/>
      <c r="Y37" s="326"/>
      <c r="Z37" s="332" t="s">
        <v>30</v>
      </c>
      <c r="AA37" s="333">
        <f>SUMIF(TRANSHARI11_PULSAMALAM[APLIKASI],Z35,TRANSHARI11_PULSAMALAM[SALDO MINUS])</f>
        <v>0</v>
      </c>
    </row>
    <row r="38" ht="18" spans="1:27">
      <c r="A38" s="311">
        <v>11</v>
      </c>
      <c r="B38" s="311"/>
      <c r="C38" s="312"/>
      <c r="D38" s="313"/>
      <c r="E38" s="26"/>
      <c r="F38" s="312"/>
      <c r="G38" s="311"/>
      <c r="H38" s="314" t="str">
        <f>IFERROR(IF(TRANSHARI11_PULSAPAGI[[#This Row],[NAMA REKENING]]="","",TRANSHARI11_PULSAPAGI[[#This Row],[DEBIT]]),"")</f>
        <v/>
      </c>
      <c r="I38" s="311"/>
      <c r="J38" s="326"/>
      <c r="K38" s="334" t="s">
        <v>33</v>
      </c>
      <c r="L38" s="335">
        <v>0</v>
      </c>
      <c r="O38" s="324"/>
      <c r="P38" s="329">
        <v>11</v>
      </c>
      <c r="Q38" s="311"/>
      <c r="R38" s="312"/>
      <c r="S38" s="313"/>
      <c r="T38" s="26"/>
      <c r="U38" s="312"/>
      <c r="V38" s="311"/>
      <c r="W38" s="314" t="str">
        <f>IFERROR(IF(TRANSHARI11_PULSAMALAM[[#This Row],[NAMA REKENING]]="","",TRANSHARI11_PULSAMALAM[[#This Row],[DEBIT]]),"")</f>
        <v/>
      </c>
      <c r="X38" s="311"/>
      <c r="Y38" s="326"/>
      <c r="Z38" s="334" t="s">
        <v>33</v>
      </c>
      <c r="AA38" s="335">
        <v>0</v>
      </c>
    </row>
    <row r="39" ht="18" spans="1:27">
      <c r="A39" s="311">
        <v>12</v>
      </c>
      <c r="B39" s="311"/>
      <c r="C39" s="312"/>
      <c r="D39" s="313"/>
      <c r="E39" s="26"/>
      <c r="F39" s="312"/>
      <c r="G39" s="311"/>
      <c r="H39" s="315" t="str">
        <f>IFERROR(IF(TRANSHARI11_PULSAPAGI[[#This Row],[NAMA REKENING]]="","",TRANSHARI11_PULSAPAGI[[#This Row],[DEBIT]]),"")</f>
        <v/>
      </c>
      <c r="I39" s="311"/>
      <c r="J39" s="326"/>
      <c r="K39" s="334" t="s">
        <v>51</v>
      </c>
      <c r="L39" s="335">
        <v>0</v>
      </c>
      <c r="O39" s="324"/>
      <c r="P39" s="329">
        <v>12</v>
      </c>
      <c r="Q39" s="311"/>
      <c r="R39" s="312"/>
      <c r="S39" s="313"/>
      <c r="T39" s="26"/>
      <c r="U39" s="312"/>
      <c r="V39" s="311"/>
      <c r="W39" s="315" t="str">
        <f>IFERROR(IF(TRANSHARI11_PULSAMALAM[[#This Row],[NAMA REKENING]]="","",TRANSHARI11_PULSAMALAM[[#This Row],[DEBIT]]),"")</f>
        <v/>
      </c>
      <c r="X39" s="311"/>
      <c r="Y39" s="326"/>
      <c r="Z39" s="334" t="s">
        <v>51</v>
      </c>
      <c r="AA39" s="335">
        <v>0</v>
      </c>
    </row>
    <row r="40" ht="18.75" spans="1:27">
      <c r="A40" s="311">
        <v>13</v>
      </c>
      <c r="B40" s="311"/>
      <c r="C40" s="312"/>
      <c r="D40" s="313"/>
      <c r="E40" s="26"/>
      <c r="F40" s="312"/>
      <c r="G40" s="311"/>
      <c r="H40" s="314" t="str">
        <f>IFERROR(IF(TRANSHARI11_PULSAPAGI[[#This Row],[NAMA REKENING]]="","",TRANSHARI11_PULSAPAGI[[#This Row],[DEBIT]]),"")</f>
        <v/>
      </c>
      <c r="I40" s="311"/>
      <c r="J40" s="326"/>
      <c r="K40" s="336" t="s">
        <v>39</v>
      </c>
      <c r="L40" s="337">
        <f>L36-L37+L38+L39</f>
        <v>300063</v>
      </c>
      <c r="O40" s="324"/>
      <c r="P40" s="329">
        <v>13</v>
      </c>
      <c r="Q40" s="311"/>
      <c r="R40" s="312"/>
      <c r="S40" s="313"/>
      <c r="T40" s="26"/>
      <c r="U40" s="312"/>
      <c r="V40" s="311"/>
      <c r="W40" s="314" t="str">
        <f>IFERROR(IF(TRANSHARI11_PULSAMALAM[[#This Row],[NAMA REKENING]]="","",TRANSHARI11_PULSAMALAM[[#This Row],[DEBIT]]),"")</f>
        <v/>
      </c>
      <c r="X40" s="311"/>
      <c r="Y40" s="326"/>
      <c r="Z40" s="336" t="s">
        <v>39</v>
      </c>
      <c r="AA40" s="337">
        <f>AA36-AA37+AA38+AA39</f>
        <v>300063</v>
      </c>
    </row>
    <row r="41" ht="18.75" spans="1:27">
      <c r="A41" s="311">
        <v>14</v>
      </c>
      <c r="B41" s="311"/>
      <c r="C41" s="312"/>
      <c r="D41" s="313"/>
      <c r="E41" s="26"/>
      <c r="F41" s="312"/>
      <c r="G41" s="311"/>
      <c r="H41" s="315" t="str">
        <f>IFERROR(IF(TRANSHARI11_PULSAPAGI[[#This Row],[NAMA REKENING]]="","",TRANSHARI11_PULSAPAGI[[#This Row],[DEBIT]]),"")</f>
        <v/>
      </c>
      <c r="I41" s="311"/>
      <c r="J41" s="326"/>
      <c r="K41" s="1"/>
      <c r="L41" s="1"/>
      <c r="O41" s="324"/>
      <c r="P41" s="329">
        <v>14</v>
      </c>
      <c r="Q41" s="311"/>
      <c r="R41" s="312"/>
      <c r="S41" s="313"/>
      <c r="T41" s="26"/>
      <c r="U41" s="312"/>
      <c r="V41" s="311"/>
      <c r="W41" s="315" t="str">
        <f>IFERROR(IF(TRANSHARI11_PULSAMALAM[[#This Row],[NAMA REKENING]]="","",TRANSHARI11_PULSAMALAM[[#This Row],[DEBIT]]),"")</f>
        <v/>
      </c>
      <c r="X41" s="311"/>
      <c r="Y41" s="326"/>
      <c r="Z41" s="1"/>
      <c r="AA41" s="1"/>
    </row>
    <row r="42" ht="18" spans="1:27">
      <c r="A42" s="311">
        <v>15</v>
      </c>
      <c r="B42" s="311"/>
      <c r="C42" s="312"/>
      <c r="D42" s="313"/>
      <c r="E42" s="26"/>
      <c r="F42" s="312"/>
      <c r="G42" s="311"/>
      <c r="H42" s="314" t="str">
        <f>IFERROR(IF(TRANSHARI11_PULSAPAGI[[#This Row],[NAMA REKENING]]="","",TRANSHARI11_PULSAPAGI[[#This Row],[DEBIT]]),"")</f>
        <v/>
      </c>
      <c r="I42" s="311"/>
      <c r="J42" s="326"/>
      <c r="K42" s="340" t="s">
        <v>55</v>
      </c>
      <c r="L42" s="341"/>
      <c r="O42" s="324"/>
      <c r="P42" s="329">
        <v>15</v>
      </c>
      <c r="Q42" s="311"/>
      <c r="R42" s="312"/>
      <c r="S42" s="313"/>
      <c r="T42" s="26"/>
      <c r="U42" s="312"/>
      <c r="V42" s="311"/>
      <c r="W42" s="314" t="str">
        <f>IFERROR(IF(TRANSHARI11_PULSAMALAM[[#This Row],[NAMA REKENING]]="","",TRANSHARI11_PULSAMALAM[[#This Row],[DEBIT]]),"")</f>
        <v/>
      </c>
      <c r="X42" s="311"/>
      <c r="Y42" s="326"/>
      <c r="Z42" s="340" t="s">
        <v>55</v>
      </c>
      <c r="AA42" s="341"/>
    </row>
    <row r="43" ht="18" spans="1:27">
      <c r="A43" s="311">
        <v>16</v>
      </c>
      <c r="B43" s="311"/>
      <c r="C43" s="312"/>
      <c r="D43" s="313"/>
      <c r="E43" s="26"/>
      <c r="F43" s="312"/>
      <c r="G43" s="311"/>
      <c r="H43" s="315" t="str">
        <f>IFERROR(IF(TRANSHARI11_PULSAPAGI[[#This Row],[NAMA REKENING]]="","",TRANSHARI11_PULSAPAGI[[#This Row],[DEBIT]]),"")</f>
        <v/>
      </c>
      <c r="I43" s="311"/>
      <c r="J43" s="326"/>
      <c r="K43" s="330" t="s">
        <v>27</v>
      </c>
      <c r="L43" s="331">
        <f>'HARI 10'!AA47</f>
        <v>106650</v>
      </c>
      <c r="O43" s="324"/>
      <c r="P43" s="329">
        <v>16</v>
      </c>
      <c r="Q43" s="311"/>
      <c r="R43" s="312"/>
      <c r="S43" s="313"/>
      <c r="T43" s="26"/>
      <c r="U43" s="312"/>
      <c r="V43" s="311"/>
      <c r="W43" s="315" t="str">
        <f>IFERROR(IF(TRANSHARI11_PULSAMALAM[[#This Row],[NAMA REKENING]]="","",TRANSHARI11_PULSAMALAM[[#This Row],[DEBIT]]),"")</f>
        <v/>
      </c>
      <c r="X43" s="311"/>
      <c r="Y43" s="326"/>
      <c r="Z43" s="330" t="s">
        <v>27</v>
      </c>
      <c r="AA43" s="331">
        <f>L47</f>
        <v>106650</v>
      </c>
    </row>
    <row r="44" ht="18" spans="1:27">
      <c r="A44" s="311">
        <v>17</v>
      </c>
      <c r="B44" s="311"/>
      <c r="C44" s="312"/>
      <c r="D44" s="313"/>
      <c r="E44" s="26"/>
      <c r="F44" s="312"/>
      <c r="G44" s="311"/>
      <c r="H44" s="314" t="str">
        <f>IFERROR(IF(TRANSHARI11_PULSAPAGI[[#This Row],[NAMA REKENING]]="","",TRANSHARI11_PULSAPAGI[[#This Row],[DEBIT]]),"")</f>
        <v/>
      </c>
      <c r="I44" s="311"/>
      <c r="J44" s="326"/>
      <c r="K44" s="332" t="s">
        <v>30</v>
      </c>
      <c r="L44" s="333">
        <f>SUMIF(TRANSHARI11_PULSAPAGI[APLIKASI],K42,TRANSHARI11_PULSAPAGI[SALDO MINUS])</f>
        <v>0</v>
      </c>
      <c r="O44" s="324"/>
      <c r="P44" s="329">
        <v>17</v>
      </c>
      <c r="Q44" s="311"/>
      <c r="R44" s="312"/>
      <c r="S44" s="313"/>
      <c r="T44" s="26"/>
      <c r="U44" s="312"/>
      <c r="V44" s="311"/>
      <c r="W44" s="314" t="str">
        <f>IFERROR(IF(TRANSHARI11_PULSAMALAM[[#This Row],[NAMA REKENING]]="","",TRANSHARI11_PULSAMALAM[[#This Row],[DEBIT]]),"")</f>
        <v/>
      </c>
      <c r="X44" s="311"/>
      <c r="Y44" s="326"/>
      <c r="Z44" s="332" t="s">
        <v>30</v>
      </c>
      <c r="AA44" s="333">
        <f>SUMIF(TRANSHARI11_PULSAMALAM[APLIKASI],Z42,TRANSHARI11_PULSAMALAM[SALDO MINUS])</f>
        <v>0</v>
      </c>
    </row>
    <row r="45" ht="18" spans="1:27">
      <c r="A45" s="311">
        <v>18</v>
      </c>
      <c r="B45" s="311"/>
      <c r="C45" s="312"/>
      <c r="D45" s="313"/>
      <c r="E45" s="26"/>
      <c r="F45" s="312"/>
      <c r="G45" s="311"/>
      <c r="H45" s="315" t="str">
        <f>IFERROR(IF(TRANSHARI11_PULSAPAGI[[#This Row],[NAMA REKENING]]="","",TRANSHARI11_PULSAPAGI[[#This Row],[DEBIT]]),"")</f>
        <v/>
      </c>
      <c r="I45" s="311"/>
      <c r="J45" s="326"/>
      <c r="K45" s="334" t="s">
        <v>33</v>
      </c>
      <c r="L45" s="335">
        <v>0</v>
      </c>
      <c r="O45" s="324"/>
      <c r="P45" s="329">
        <v>18</v>
      </c>
      <c r="Q45" s="311"/>
      <c r="R45" s="312"/>
      <c r="S45" s="313"/>
      <c r="T45" s="26"/>
      <c r="U45" s="312"/>
      <c r="V45" s="311"/>
      <c r="W45" s="315" t="str">
        <f>IFERROR(IF(TRANSHARI11_PULSAMALAM[[#This Row],[NAMA REKENING]]="","",TRANSHARI11_PULSAMALAM[[#This Row],[DEBIT]]),"")</f>
        <v/>
      </c>
      <c r="X45" s="311"/>
      <c r="Y45" s="326"/>
      <c r="Z45" s="334" t="s">
        <v>33</v>
      </c>
      <c r="AA45" s="335">
        <v>0</v>
      </c>
    </row>
    <row r="46" ht="18" spans="1:27">
      <c r="A46" s="311">
        <v>19</v>
      </c>
      <c r="B46" s="311"/>
      <c r="C46" s="312"/>
      <c r="D46" s="313"/>
      <c r="E46" s="26"/>
      <c r="F46" s="312"/>
      <c r="G46" s="311"/>
      <c r="H46" s="314" t="str">
        <f>IFERROR(IF(TRANSHARI11_PULSAPAGI[[#This Row],[NAMA REKENING]]="","",TRANSHARI11_PULSAPAGI[[#This Row],[DEBIT]]),"")</f>
        <v/>
      </c>
      <c r="I46" s="311"/>
      <c r="J46" s="326"/>
      <c r="K46" s="334" t="s">
        <v>51</v>
      </c>
      <c r="L46" s="335">
        <v>0</v>
      </c>
      <c r="O46" s="324"/>
      <c r="P46" s="329">
        <v>19</v>
      </c>
      <c r="Q46" s="311"/>
      <c r="R46" s="312"/>
      <c r="S46" s="313"/>
      <c r="T46" s="26"/>
      <c r="U46" s="312"/>
      <c r="V46" s="311"/>
      <c r="W46" s="314" t="str">
        <f>IFERROR(IF(TRANSHARI11_PULSAMALAM[[#This Row],[NAMA REKENING]]="","",TRANSHARI11_PULSAMALAM[[#This Row],[DEBIT]]),"")</f>
        <v/>
      </c>
      <c r="X46" s="311"/>
      <c r="Y46" s="326"/>
      <c r="Z46" s="334" t="s">
        <v>51</v>
      </c>
      <c r="AA46" s="335">
        <v>0</v>
      </c>
    </row>
    <row r="47" ht="18.75" spans="1:27">
      <c r="A47" s="311">
        <v>20</v>
      </c>
      <c r="B47" s="311"/>
      <c r="C47" s="312"/>
      <c r="D47" s="313"/>
      <c r="E47" s="26"/>
      <c r="F47" s="312"/>
      <c r="G47" s="311"/>
      <c r="H47" s="315" t="str">
        <f>IFERROR(IF(TRANSHARI11_PULSAPAGI[[#This Row],[NAMA REKENING]]="","",TRANSHARI11_PULSAPAGI[[#This Row],[DEBIT]]),"")</f>
        <v/>
      </c>
      <c r="I47" s="311"/>
      <c r="J47" s="326"/>
      <c r="K47" s="336" t="s">
        <v>39</v>
      </c>
      <c r="L47" s="337">
        <f>L43-L44+L45+L46</f>
        <v>106650</v>
      </c>
      <c r="O47" s="324"/>
      <c r="P47" s="329">
        <v>20</v>
      </c>
      <c r="Q47" s="311"/>
      <c r="R47" s="312"/>
      <c r="S47" s="313"/>
      <c r="T47" s="26"/>
      <c r="U47" s="312"/>
      <c r="V47" s="311"/>
      <c r="W47" s="315" t="str">
        <f>IFERROR(IF(TRANSHARI11_PULSAMALAM[[#This Row],[NAMA REKENING]]="","",TRANSHARI11_PULSAMALAM[[#This Row],[DEBIT]]),"")</f>
        <v/>
      </c>
      <c r="X47" s="311"/>
      <c r="Y47" s="326"/>
      <c r="Z47" s="336" t="s">
        <v>39</v>
      </c>
      <c r="AA47" s="337">
        <f>AA43-AA44+AA45+AA46</f>
        <v>106650</v>
      </c>
    </row>
    <row r="48" ht="18.75" spans="1:27">
      <c r="A48" s="311">
        <v>21</v>
      </c>
      <c r="B48" s="311"/>
      <c r="C48" s="312"/>
      <c r="D48" s="313"/>
      <c r="E48" s="26"/>
      <c r="F48" s="312"/>
      <c r="G48" s="311"/>
      <c r="H48" s="314" t="str">
        <f>IFERROR(IF(TRANSHARI11_PULSAPAGI[[#This Row],[NAMA REKENING]]="","",TRANSHARI11_PULSAPAGI[[#This Row],[DEBIT]]),"")</f>
        <v/>
      </c>
      <c r="I48" s="311"/>
      <c r="J48" s="326"/>
      <c r="K48" s="1"/>
      <c r="L48" s="1"/>
      <c r="O48" s="324"/>
      <c r="P48" s="329">
        <v>21</v>
      </c>
      <c r="Q48" s="311"/>
      <c r="R48" s="312"/>
      <c r="S48" s="313"/>
      <c r="T48" s="26"/>
      <c r="U48" s="312"/>
      <c r="V48" s="311"/>
      <c r="W48" s="314" t="str">
        <f>IFERROR(IF(TRANSHARI11_PULSAMALAM[[#This Row],[NAMA REKENING]]="","",TRANSHARI11_PULSAMALAM[[#This Row],[DEBIT]]),"")</f>
        <v/>
      </c>
      <c r="X48" s="311"/>
      <c r="Y48" s="326"/>
      <c r="Z48" s="1"/>
      <c r="AA48" s="1"/>
    </row>
    <row r="49" ht="18" spans="1:27">
      <c r="A49" s="311">
        <v>22</v>
      </c>
      <c r="B49" s="311"/>
      <c r="C49" s="312"/>
      <c r="D49" s="313"/>
      <c r="E49" s="26"/>
      <c r="F49" s="312"/>
      <c r="G49" s="311"/>
      <c r="H49" s="315" t="str">
        <f>IFERROR(IF(TRANSHARI11_PULSAPAGI[[#This Row],[NAMA REKENING]]="","",TRANSHARI11_PULSAPAGI[[#This Row],[DEBIT]]),"")</f>
        <v/>
      </c>
      <c r="I49" s="311"/>
      <c r="J49" s="326"/>
      <c r="K49" s="342" t="s">
        <v>48</v>
      </c>
      <c r="L49" s="343"/>
      <c r="O49" s="324"/>
      <c r="P49" s="329">
        <v>22</v>
      </c>
      <c r="Q49" s="311"/>
      <c r="R49" s="312"/>
      <c r="S49" s="313"/>
      <c r="T49" s="26"/>
      <c r="U49" s="312"/>
      <c r="V49" s="311"/>
      <c r="W49" s="315" t="str">
        <f>IFERROR(IF(TRANSHARI11_PULSAMALAM[[#This Row],[NAMA REKENING]]="","",TRANSHARI11_PULSAMALAM[[#This Row],[DEBIT]]),"")</f>
        <v/>
      </c>
      <c r="X49" s="311"/>
      <c r="Y49" s="326"/>
      <c r="Z49" s="342" t="s">
        <v>48</v>
      </c>
      <c r="AA49" s="343"/>
    </row>
    <row r="50" ht="18" spans="1:27">
      <c r="A50" s="311">
        <v>23</v>
      </c>
      <c r="B50" s="311"/>
      <c r="C50" s="312"/>
      <c r="D50" s="313"/>
      <c r="E50" s="26"/>
      <c r="F50" s="312"/>
      <c r="G50" s="311"/>
      <c r="H50" s="314" t="str">
        <f>IFERROR(IF(TRANSHARI11_PULSAPAGI[[#This Row],[NAMA REKENING]]="","",TRANSHARI11_PULSAPAGI[[#This Row],[DEBIT]]),"")</f>
        <v/>
      </c>
      <c r="I50" s="311"/>
      <c r="J50" s="326"/>
      <c r="K50" s="330" t="s">
        <v>27</v>
      </c>
      <c r="L50" s="331">
        <f>'HARI 10'!AA54</f>
        <v>31666</v>
      </c>
      <c r="O50" s="324"/>
      <c r="P50" s="329">
        <v>23</v>
      </c>
      <c r="Q50" s="311"/>
      <c r="R50" s="312"/>
      <c r="S50" s="313"/>
      <c r="T50" s="26"/>
      <c r="U50" s="312"/>
      <c r="V50" s="311"/>
      <c r="W50" s="314" t="str">
        <f>IFERROR(IF(TRANSHARI11_PULSAMALAM[[#This Row],[NAMA REKENING]]="","",TRANSHARI11_PULSAMALAM[[#This Row],[DEBIT]]),"")</f>
        <v/>
      </c>
      <c r="X50" s="311"/>
      <c r="Y50" s="326"/>
      <c r="Z50" s="330" t="s">
        <v>27</v>
      </c>
      <c r="AA50" s="331">
        <f>L54</f>
        <v>31666</v>
      </c>
    </row>
    <row r="51" ht="18" spans="1:27">
      <c r="A51" s="311">
        <v>24</v>
      </c>
      <c r="B51" s="311"/>
      <c r="C51" s="312"/>
      <c r="D51" s="313"/>
      <c r="E51" s="26"/>
      <c r="F51" s="312"/>
      <c r="G51" s="311"/>
      <c r="H51" s="315" t="str">
        <f>IFERROR(IF(TRANSHARI11_PULSAPAGI[[#This Row],[NAMA REKENING]]="","",TRANSHARI11_PULSAPAGI[[#This Row],[DEBIT]]),"")</f>
        <v/>
      </c>
      <c r="I51" s="311"/>
      <c r="J51" s="326"/>
      <c r="K51" s="332" t="s">
        <v>30</v>
      </c>
      <c r="L51" s="333">
        <f>SUMIF(TRANSHARI11_PULSAPAGI[APLIKASI],K49,TRANSHARI11_PULSAPAGI[SALDO MINUS])</f>
        <v>0</v>
      </c>
      <c r="O51" s="324"/>
      <c r="P51" s="329">
        <v>24</v>
      </c>
      <c r="Q51" s="311"/>
      <c r="R51" s="312"/>
      <c r="S51" s="313"/>
      <c r="T51" s="26"/>
      <c r="U51" s="312"/>
      <c r="V51" s="311"/>
      <c r="W51" s="315" t="str">
        <f>IFERROR(IF(TRANSHARI11_PULSAMALAM[[#This Row],[NAMA REKENING]]="","",TRANSHARI11_PULSAMALAM[[#This Row],[DEBIT]]),"")</f>
        <v/>
      </c>
      <c r="X51" s="311"/>
      <c r="Y51" s="326"/>
      <c r="Z51" s="332" t="s">
        <v>30</v>
      </c>
      <c r="AA51" s="333">
        <f>SUMIF(TRANSHARI11_PULSAMALAM[APLIKASI],Z49,TRANSHARI11_PULSAMALAM[SALDO MINUS])</f>
        <v>0</v>
      </c>
    </row>
    <row r="52" ht="18" spans="1:27">
      <c r="A52" s="311">
        <v>25</v>
      </c>
      <c r="B52" s="311"/>
      <c r="C52" s="312"/>
      <c r="D52" s="313"/>
      <c r="E52" s="26"/>
      <c r="F52" s="312"/>
      <c r="G52" s="311"/>
      <c r="H52" s="314" t="str">
        <f>IFERROR(IF(TRANSHARI11_PULSAPAGI[[#This Row],[NAMA REKENING]]="","",TRANSHARI11_PULSAPAGI[[#This Row],[DEBIT]]),"")</f>
        <v/>
      </c>
      <c r="I52" s="311"/>
      <c r="J52" s="326"/>
      <c r="K52" s="334" t="s">
        <v>33</v>
      </c>
      <c r="L52" s="335">
        <v>0</v>
      </c>
      <c r="O52" s="324"/>
      <c r="P52" s="329">
        <v>25</v>
      </c>
      <c r="Q52" s="311"/>
      <c r="R52" s="312"/>
      <c r="S52" s="313"/>
      <c r="T52" s="26"/>
      <c r="U52" s="312"/>
      <c r="V52" s="311"/>
      <c r="W52" s="314" t="str">
        <f>IFERROR(IF(TRANSHARI11_PULSAMALAM[[#This Row],[NAMA REKENING]]="","",TRANSHARI11_PULSAMALAM[[#This Row],[DEBIT]]),"")</f>
        <v/>
      </c>
      <c r="X52" s="311"/>
      <c r="Y52" s="326"/>
      <c r="Z52" s="334" t="s">
        <v>33</v>
      </c>
      <c r="AA52" s="335">
        <v>0</v>
      </c>
    </row>
    <row r="53" ht="18" spans="1:27">
      <c r="A53" s="311">
        <v>26</v>
      </c>
      <c r="B53" s="311"/>
      <c r="C53" s="312"/>
      <c r="D53" s="313"/>
      <c r="E53" s="26"/>
      <c r="F53" s="312"/>
      <c r="G53" s="311"/>
      <c r="H53" s="315" t="str">
        <f>IFERROR(IF(TRANSHARI11_PULSAPAGI[[#This Row],[NAMA REKENING]]="","",TRANSHARI11_PULSAPAGI[[#This Row],[DEBIT]]),"")</f>
        <v/>
      </c>
      <c r="I53" s="311"/>
      <c r="J53" s="326"/>
      <c r="K53" s="334" t="s">
        <v>51</v>
      </c>
      <c r="L53" s="335">
        <v>0</v>
      </c>
      <c r="O53" s="324"/>
      <c r="P53" s="329">
        <v>26</v>
      </c>
      <c r="Q53" s="311"/>
      <c r="R53" s="312"/>
      <c r="S53" s="313"/>
      <c r="T53" s="26"/>
      <c r="U53" s="312"/>
      <c r="V53" s="311"/>
      <c r="W53" s="315" t="str">
        <f>IFERROR(IF(TRANSHARI11_PULSAMALAM[[#This Row],[NAMA REKENING]]="","",TRANSHARI11_PULSAMALAM[[#This Row],[DEBIT]]),"")</f>
        <v/>
      </c>
      <c r="X53" s="311"/>
      <c r="Y53" s="326"/>
      <c r="Z53" s="334" t="s">
        <v>51</v>
      </c>
      <c r="AA53" s="335">
        <v>0</v>
      </c>
    </row>
    <row r="54" ht="18.75" spans="1:27">
      <c r="A54" s="311">
        <v>27</v>
      </c>
      <c r="B54" s="311"/>
      <c r="C54" s="312"/>
      <c r="D54" s="313"/>
      <c r="E54" s="26"/>
      <c r="F54" s="312"/>
      <c r="G54" s="311"/>
      <c r="H54" s="314" t="str">
        <f>IFERROR(IF(TRANSHARI11_PULSAPAGI[[#This Row],[NAMA REKENING]]="","",TRANSHARI11_PULSAPAGI[[#This Row],[DEBIT]]),"")</f>
        <v/>
      </c>
      <c r="I54" s="311"/>
      <c r="J54" s="326"/>
      <c r="K54" s="336" t="s">
        <v>39</v>
      </c>
      <c r="L54" s="337">
        <f>L50-L51+L52+L53</f>
        <v>31666</v>
      </c>
      <c r="O54" s="324"/>
      <c r="P54" s="329">
        <v>27</v>
      </c>
      <c r="Q54" s="311"/>
      <c r="R54" s="312"/>
      <c r="S54" s="313"/>
      <c r="T54" s="26"/>
      <c r="U54" s="312"/>
      <c r="V54" s="311"/>
      <c r="W54" s="314" t="str">
        <f>IFERROR(IF(TRANSHARI11_PULSAMALAM[[#This Row],[NAMA REKENING]]="","",TRANSHARI11_PULSAMALAM[[#This Row],[DEBIT]]),"")</f>
        <v/>
      </c>
      <c r="X54" s="311"/>
      <c r="Y54" s="326"/>
      <c r="Z54" s="336" t="s">
        <v>39</v>
      </c>
      <c r="AA54" s="337">
        <f>AA50-AA51+AA52+AA53</f>
        <v>31666</v>
      </c>
    </row>
    <row r="55" ht="18.75" spans="1:27">
      <c r="A55" s="311">
        <v>28</v>
      </c>
      <c r="B55" s="311"/>
      <c r="C55" s="312"/>
      <c r="D55" s="313"/>
      <c r="E55" s="26"/>
      <c r="F55" s="312"/>
      <c r="G55" s="311"/>
      <c r="H55" s="315" t="str">
        <f>IFERROR(IF(TRANSHARI11_PULSAPAGI[[#This Row],[NAMA REKENING]]="","",TRANSHARI11_PULSAPAGI[[#This Row],[DEBIT]]),"")</f>
        <v/>
      </c>
      <c r="I55" s="311"/>
      <c r="J55" s="326"/>
      <c r="K55" s="1"/>
      <c r="L55" s="1"/>
      <c r="O55" s="324"/>
      <c r="P55" s="329">
        <v>28</v>
      </c>
      <c r="Q55" s="311"/>
      <c r="R55" s="312"/>
      <c r="S55" s="313"/>
      <c r="T55" s="26"/>
      <c r="U55" s="312"/>
      <c r="V55" s="311"/>
      <c r="W55" s="315" t="str">
        <f>IFERROR(IF(TRANSHARI11_PULSAMALAM[[#This Row],[NAMA REKENING]]="","",TRANSHARI11_PULSAMALAM[[#This Row],[DEBIT]]),"")</f>
        <v/>
      </c>
      <c r="X55" s="311"/>
      <c r="Y55" s="326"/>
      <c r="Z55" s="1"/>
      <c r="AA55" s="1"/>
    </row>
    <row r="56" ht="18" spans="1:27">
      <c r="A56" s="311">
        <v>29</v>
      </c>
      <c r="B56" s="311"/>
      <c r="C56" s="312"/>
      <c r="D56" s="313"/>
      <c r="E56" s="26"/>
      <c r="F56" s="312"/>
      <c r="G56" s="311"/>
      <c r="H56" s="314" t="str">
        <f>IFERROR(IF(TRANSHARI11_PULSAPAGI[[#This Row],[NAMA REKENING]]="","",TRANSHARI11_PULSAPAGI[[#This Row],[DEBIT]]),"")</f>
        <v/>
      </c>
      <c r="I56" s="311"/>
      <c r="J56" s="326"/>
      <c r="K56" s="344" t="s">
        <v>62</v>
      </c>
      <c r="L56" s="345"/>
      <c r="O56" s="324"/>
      <c r="P56" s="329">
        <v>29</v>
      </c>
      <c r="Q56" s="311"/>
      <c r="R56" s="312"/>
      <c r="S56" s="313"/>
      <c r="T56" s="26"/>
      <c r="U56" s="312"/>
      <c r="V56" s="311"/>
      <c r="W56" s="314" t="str">
        <f>IFERROR(IF(TRANSHARI11_PULSAMALAM[[#This Row],[NAMA REKENING]]="","",TRANSHARI11_PULSAMALAM[[#This Row],[DEBIT]]),"")</f>
        <v/>
      </c>
      <c r="X56" s="311"/>
      <c r="Y56" s="326"/>
      <c r="Z56" s="344" t="s">
        <v>62</v>
      </c>
      <c r="AA56" s="345"/>
    </row>
    <row r="57" ht="18" spans="1:27">
      <c r="A57" s="311">
        <v>30</v>
      </c>
      <c r="B57" s="311"/>
      <c r="C57" s="312"/>
      <c r="D57" s="313"/>
      <c r="E57" s="26"/>
      <c r="F57" s="312"/>
      <c r="G57" s="311"/>
      <c r="H57" s="315" t="str">
        <f>IFERROR(IF(TRANSHARI11_PULSAPAGI[[#This Row],[NAMA REKENING]]="","",TRANSHARI11_PULSAPAGI[[#This Row],[DEBIT]]),"")</f>
        <v/>
      </c>
      <c r="I57" s="311"/>
      <c r="J57" s="326"/>
      <c r="K57" s="330" t="s">
        <v>27</v>
      </c>
      <c r="L57" s="331">
        <f>'HARI 10'!AA61</f>
        <v>148960</v>
      </c>
      <c r="O57" s="324"/>
      <c r="P57" s="329">
        <v>30</v>
      </c>
      <c r="Q57" s="311"/>
      <c r="R57" s="312"/>
      <c r="S57" s="313"/>
      <c r="T57" s="26"/>
      <c r="U57" s="312"/>
      <c r="V57" s="311"/>
      <c r="W57" s="315" t="str">
        <f>IFERROR(IF(TRANSHARI11_PULSAMALAM[[#This Row],[NAMA REKENING]]="","",TRANSHARI11_PULSAMALAM[[#This Row],[DEBIT]]),"")</f>
        <v/>
      </c>
      <c r="X57" s="311"/>
      <c r="Y57" s="326"/>
      <c r="Z57" s="330" t="s">
        <v>27</v>
      </c>
      <c r="AA57" s="331">
        <f>L61</f>
        <v>148960</v>
      </c>
    </row>
    <row r="58" ht="18" spans="1:27">
      <c r="A58" s="311">
        <v>31</v>
      </c>
      <c r="B58" s="311"/>
      <c r="C58" s="312"/>
      <c r="D58" s="313"/>
      <c r="E58" s="26"/>
      <c r="F58" s="312"/>
      <c r="G58" s="311"/>
      <c r="H58" s="314" t="str">
        <f>IFERROR(IF(TRANSHARI11_PULSAPAGI[[#This Row],[NAMA REKENING]]="","",TRANSHARI11_PULSAPAGI[[#This Row],[DEBIT]]),"")</f>
        <v/>
      </c>
      <c r="I58" s="311"/>
      <c r="J58" s="326"/>
      <c r="K58" s="332" t="s">
        <v>30</v>
      </c>
      <c r="L58" s="333">
        <f>SUMIF(TRANSHARI11_PULSAPAGI[APLIKASI],K56,TRANSHARI11_PULSAPAGI[SALDO MINUS])</f>
        <v>0</v>
      </c>
      <c r="O58" s="324"/>
      <c r="P58" s="329">
        <v>31</v>
      </c>
      <c r="Q58" s="311"/>
      <c r="R58" s="312"/>
      <c r="S58" s="313"/>
      <c r="T58" s="26"/>
      <c r="U58" s="312"/>
      <c r="V58" s="311"/>
      <c r="W58" s="314" t="str">
        <f>IFERROR(IF(TRANSHARI11_PULSAMALAM[[#This Row],[NAMA REKENING]]="","",TRANSHARI11_PULSAMALAM[[#This Row],[DEBIT]]),"")</f>
        <v/>
      </c>
      <c r="X58" s="311"/>
      <c r="Y58" s="326"/>
      <c r="Z58" s="332" t="s">
        <v>30</v>
      </c>
      <c r="AA58" s="333">
        <f>SUMIF(TRANSHARI11_PULSAMALAM[APLIKASI],Z56,TRANSHARI11_PULSAMALAM[SALDO MINUS])</f>
        <v>0</v>
      </c>
    </row>
    <row r="59" ht="18" spans="1:27">
      <c r="A59" s="311">
        <v>32</v>
      </c>
      <c r="B59" s="311"/>
      <c r="C59" s="312"/>
      <c r="D59" s="313"/>
      <c r="E59" s="26"/>
      <c r="F59" s="312"/>
      <c r="G59" s="311"/>
      <c r="H59" s="315" t="str">
        <f>IFERROR(IF(TRANSHARI11_PULSAPAGI[[#This Row],[NAMA REKENING]]="","",TRANSHARI11_PULSAPAGI[[#This Row],[DEBIT]]),"")</f>
        <v/>
      </c>
      <c r="I59" s="311"/>
      <c r="J59" s="326"/>
      <c r="K59" s="334" t="s">
        <v>33</v>
      </c>
      <c r="L59" s="335">
        <v>0</v>
      </c>
      <c r="O59" s="324"/>
      <c r="P59" s="329">
        <v>32</v>
      </c>
      <c r="Q59" s="311"/>
      <c r="R59" s="312"/>
      <c r="S59" s="313"/>
      <c r="T59" s="26"/>
      <c r="U59" s="312"/>
      <c r="V59" s="311"/>
      <c r="W59" s="315" t="str">
        <f>IFERROR(IF(TRANSHARI11_PULSAMALAM[[#This Row],[NAMA REKENING]]="","",TRANSHARI11_PULSAMALAM[[#This Row],[DEBIT]]),"")</f>
        <v/>
      </c>
      <c r="X59" s="311"/>
      <c r="Y59" s="326"/>
      <c r="Z59" s="334" t="s">
        <v>33</v>
      </c>
      <c r="AA59" s="335">
        <v>0</v>
      </c>
    </row>
    <row r="60" ht="18" spans="1:27">
      <c r="A60" s="311">
        <v>33</v>
      </c>
      <c r="B60" s="311"/>
      <c r="C60" s="312"/>
      <c r="D60" s="313"/>
      <c r="E60" s="26"/>
      <c r="F60" s="312"/>
      <c r="G60" s="311"/>
      <c r="H60" s="314" t="str">
        <f>IFERROR(IF(TRANSHARI11_PULSAPAGI[[#This Row],[NAMA REKENING]]="","",TRANSHARI11_PULSAPAGI[[#This Row],[DEBIT]]),"")</f>
        <v/>
      </c>
      <c r="I60" s="311"/>
      <c r="J60" s="326"/>
      <c r="K60" s="334" t="s">
        <v>51</v>
      </c>
      <c r="L60" s="335">
        <v>0</v>
      </c>
      <c r="O60" s="324"/>
      <c r="P60" s="329">
        <v>33</v>
      </c>
      <c r="Q60" s="311"/>
      <c r="R60" s="312"/>
      <c r="S60" s="313"/>
      <c r="T60" s="26"/>
      <c r="U60" s="312"/>
      <c r="V60" s="311"/>
      <c r="W60" s="314" t="str">
        <f>IFERROR(IF(TRANSHARI11_PULSAMALAM[[#This Row],[NAMA REKENING]]="","",TRANSHARI11_PULSAMALAM[[#This Row],[DEBIT]]),"")</f>
        <v/>
      </c>
      <c r="X60" s="311"/>
      <c r="Y60" s="326"/>
      <c r="Z60" s="334" t="s">
        <v>51</v>
      </c>
      <c r="AA60" s="335">
        <v>0</v>
      </c>
    </row>
    <row r="61" ht="18.75" spans="1:27">
      <c r="A61" s="311">
        <v>34</v>
      </c>
      <c r="B61" s="311"/>
      <c r="C61" s="312"/>
      <c r="D61" s="313"/>
      <c r="E61" s="26"/>
      <c r="F61" s="312"/>
      <c r="G61" s="311"/>
      <c r="H61" s="315" t="str">
        <f>IFERROR(IF(TRANSHARI11_PULSAPAGI[[#This Row],[NAMA REKENING]]="","",TRANSHARI11_PULSAPAGI[[#This Row],[DEBIT]]),"")</f>
        <v/>
      </c>
      <c r="I61" s="311"/>
      <c r="J61" s="326"/>
      <c r="K61" s="336" t="s">
        <v>39</v>
      </c>
      <c r="L61" s="337">
        <f>L57-L58+L59+L60</f>
        <v>148960</v>
      </c>
      <c r="O61" s="324"/>
      <c r="P61" s="329">
        <v>34</v>
      </c>
      <c r="Q61" s="311"/>
      <c r="R61" s="312"/>
      <c r="S61" s="313"/>
      <c r="T61" s="26"/>
      <c r="U61" s="312"/>
      <c r="V61" s="311"/>
      <c r="W61" s="315" t="str">
        <f>IFERROR(IF(TRANSHARI11_PULSAMALAM[[#This Row],[NAMA REKENING]]="","",TRANSHARI11_PULSAMALAM[[#This Row],[DEBIT]]),"")</f>
        <v/>
      </c>
      <c r="X61" s="311"/>
      <c r="Y61" s="326"/>
      <c r="Z61" s="336" t="s">
        <v>39</v>
      </c>
      <c r="AA61" s="337">
        <f>AA57-AA58+AA59+AA60</f>
        <v>148960</v>
      </c>
    </row>
    <row r="62" spans="1:24">
      <c r="A62" s="311">
        <v>35</v>
      </c>
      <c r="B62" s="311"/>
      <c r="C62" s="312"/>
      <c r="D62" s="313"/>
      <c r="E62" s="26"/>
      <c r="F62" s="312"/>
      <c r="G62" s="311"/>
      <c r="H62" s="314" t="str">
        <f>IFERROR(IF(TRANSHARI11_PULSAPAGI[[#This Row],[NAMA REKENING]]="","",TRANSHARI11_PULSAPAGI[[#This Row],[DEBIT]]),"")</f>
        <v/>
      </c>
      <c r="I62" s="311"/>
      <c r="O62" s="324"/>
      <c r="P62" s="329">
        <v>35</v>
      </c>
      <c r="Q62" s="311"/>
      <c r="R62" s="312"/>
      <c r="S62" s="313"/>
      <c r="T62" s="26"/>
      <c r="U62" s="312"/>
      <c r="V62" s="311"/>
      <c r="W62" s="314" t="str">
        <f>IFERROR(IF(TRANSHARI11_PULSAMALAM[[#This Row],[NAMA REKENING]]="","",TRANSHARI11_PULSAMALAM[[#This Row],[DEBIT]]),"")</f>
        <v/>
      </c>
      <c r="X62" s="311"/>
    </row>
    <row r="63" spans="1:26">
      <c r="A63" s="311">
        <v>36</v>
      </c>
      <c r="B63" s="311"/>
      <c r="C63" s="312"/>
      <c r="D63" s="313"/>
      <c r="E63" s="26"/>
      <c r="F63" s="312"/>
      <c r="G63" s="311"/>
      <c r="H63" s="315" t="str">
        <f>IFERROR(IF(TRANSHARI11_PULSAPAGI[[#This Row],[NAMA REKENING]]="","",TRANSHARI11_PULSAPAGI[[#This Row],[DEBIT]]),"")</f>
        <v/>
      </c>
      <c r="I63" s="311"/>
      <c r="K63" s="346"/>
      <c r="O63" s="324"/>
      <c r="P63" s="329">
        <v>36</v>
      </c>
      <c r="Q63" s="311"/>
      <c r="R63" s="312"/>
      <c r="S63" s="313"/>
      <c r="T63" s="26"/>
      <c r="U63" s="312"/>
      <c r="V63" s="311"/>
      <c r="W63" s="315" t="str">
        <f>IFERROR(IF(TRANSHARI11_PULSAMALAM[[#This Row],[NAMA REKENING]]="","",TRANSHARI11_PULSAMALAM[[#This Row],[DEBIT]]),"")</f>
        <v/>
      </c>
      <c r="X63" s="311"/>
      <c r="Z63" s="346"/>
    </row>
    <row r="64" spans="1:24">
      <c r="A64" s="311">
        <v>37</v>
      </c>
      <c r="B64" s="311"/>
      <c r="C64" s="312"/>
      <c r="D64" s="313"/>
      <c r="E64" s="26"/>
      <c r="F64" s="312"/>
      <c r="G64" s="311"/>
      <c r="H64" s="314" t="str">
        <f>IFERROR(IF(TRANSHARI11_PULSAPAGI[[#This Row],[NAMA REKENING]]="","",TRANSHARI11_PULSAPAGI[[#This Row],[DEBIT]]),"")</f>
        <v/>
      </c>
      <c r="I64" s="311"/>
      <c r="O64" s="324"/>
      <c r="P64" s="329">
        <v>37</v>
      </c>
      <c r="Q64" s="311"/>
      <c r="R64" s="312"/>
      <c r="S64" s="313"/>
      <c r="T64" s="26"/>
      <c r="U64" s="312"/>
      <c r="V64" s="311"/>
      <c r="W64" s="314" t="str">
        <f>IFERROR(IF(TRANSHARI11_PULSAMALAM[[#This Row],[NAMA REKENING]]="","",TRANSHARI11_PULSAMALAM[[#This Row],[DEBIT]]),"")</f>
        <v/>
      </c>
      <c r="X64" s="311"/>
    </row>
    <row r="65" spans="1:24">
      <c r="A65" s="311">
        <v>38</v>
      </c>
      <c r="B65" s="311"/>
      <c r="C65" s="312"/>
      <c r="D65" s="313"/>
      <c r="E65" s="26"/>
      <c r="F65" s="312"/>
      <c r="G65" s="311"/>
      <c r="H65" s="315" t="str">
        <f>IFERROR(IF(TRANSHARI11_PULSAPAGI[[#This Row],[NAMA REKENING]]="","",TRANSHARI11_PULSAPAGI[[#This Row],[DEBIT]]),"")</f>
        <v/>
      </c>
      <c r="I65" s="311"/>
      <c r="O65" s="324"/>
      <c r="P65" s="329">
        <v>38</v>
      </c>
      <c r="Q65" s="311"/>
      <c r="R65" s="312"/>
      <c r="S65" s="313"/>
      <c r="T65" s="26"/>
      <c r="U65" s="312"/>
      <c r="V65" s="311"/>
      <c r="W65" s="315" t="str">
        <f>IFERROR(IF(TRANSHARI11_PULSAMALAM[[#This Row],[NAMA REKENING]]="","",TRANSHARI11_PULSAMALAM[[#This Row],[DEBIT]]),"")</f>
        <v/>
      </c>
      <c r="X65" s="311"/>
    </row>
    <row r="66" spans="1:24">
      <c r="A66" s="311">
        <v>39</v>
      </c>
      <c r="B66" s="311"/>
      <c r="C66" s="312"/>
      <c r="D66" s="313"/>
      <c r="E66" s="26"/>
      <c r="F66" s="312"/>
      <c r="G66" s="311"/>
      <c r="H66" s="314" t="str">
        <f>IFERROR(IF(TRANSHARI11_PULSAPAGI[[#This Row],[NAMA REKENING]]="","",TRANSHARI11_PULSAPAGI[[#This Row],[DEBIT]]),"")</f>
        <v/>
      </c>
      <c r="I66" s="311"/>
      <c r="O66" s="324"/>
      <c r="P66" s="329">
        <v>39</v>
      </c>
      <c r="Q66" s="311"/>
      <c r="R66" s="312"/>
      <c r="S66" s="313"/>
      <c r="T66" s="26"/>
      <c r="U66" s="312"/>
      <c r="V66" s="311"/>
      <c r="W66" s="314" t="str">
        <f>IFERROR(IF(TRANSHARI11_PULSAMALAM[[#This Row],[NAMA REKENING]]="","",TRANSHARI11_PULSAMALAM[[#This Row],[DEBIT]]),"")</f>
        <v/>
      </c>
      <c r="X66" s="311"/>
    </row>
    <row r="67" spans="1:24">
      <c r="A67" s="311">
        <v>40</v>
      </c>
      <c r="B67" s="311"/>
      <c r="C67" s="312"/>
      <c r="D67" s="313"/>
      <c r="E67" s="26"/>
      <c r="F67" s="312"/>
      <c r="G67" s="311"/>
      <c r="H67" s="315" t="str">
        <f>IFERROR(IF(TRANSHARI11_PULSAPAGI[[#This Row],[NAMA REKENING]]="","",TRANSHARI11_PULSAPAGI[[#This Row],[DEBIT]]),"")</f>
        <v/>
      </c>
      <c r="I67" s="311"/>
      <c r="O67" s="324"/>
      <c r="P67" s="329">
        <v>40</v>
      </c>
      <c r="Q67" s="311"/>
      <c r="R67" s="312"/>
      <c r="S67" s="313"/>
      <c r="T67" s="26"/>
      <c r="U67" s="312"/>
      <c r="V67" s="311"/>
      <c r="W67" s="315" t="str">
        <f>IFERROR(IF(TRANSHARI11_PULSAMALAM[[#This Row],[NAMA REKENING]]="","",TRANSHARI11_PULSAMALAM[[#This Row],[DEBIT]]),"")</f>
        <v/>
      </c>
      <c r="X67" s="311"/>
    </row>
    <row r="68" spans="1:24">
      <c r="A68" s="311">
        <v>41</v>
      </c>
      <c r="B68" s="311"/>
      <c r="C68" s="312"/>
      <c r="D68" s="313"/>
      <c r="E68" s="26"/>
      <c r="F68" s="312"/>
      <c r="G68" s="311"/>
      <c r="H68" s="314" t="str">
        <f>IFERROR(IF(TRANSHARI11_PULSAPAGI[[#This Row],[NAMA REKENING]]="","",TRANSHARI11_PULSAPAGI[[#This Row],[DEBIT]]),"")</f>
        <v/>
      </c>
      <c r="I68" s="311"/>
      <c r="O68" s="324"/>
      <c r="P68" s="329">
        <v>41</v>
      </c>
      <c r="Q68" s="311"/>
      <c r="R68" s="312"/>
      <c r="S68" s="313"/>
      <c r="T68" s="26"/>
      <c r="U68" s="312"/>
      <c r="V68" s="311"/>
      <c r="W68" s="314" t="str">
        <f>IFERROR(IF(TRANSHARI11_PULSAMALAM[[#This Row],[NAMA REKENING]]="","",TRANSHARI11_PULSAMALAM[[#This Row],[DEBIT]]),"")</f>
        <v/>
      </c>
      <c r="X68" s="311"/>
    </row>
    <row r="69" spans="1:24">
      <c r="A69" s="311">
        <v>42</v>
      </c>
      <c r="B69" s="311"/>
      <c r="C69" s="312"/>
      <c r="D69" s="313"/>
      <c r="E69" s="26"/>
      <c r="F69" s="312"/>
      <c r="G69" s="311"/>
      <c r="H69" s="315" t="str">
        <f>IFERROR(IF(TRANSHARI11_PULSAPAGI[[#This Row],[NAMA REKENING]]="","",TRANSHARI11_PULSAPAGI[[#This Row],[DEBIT]]),"")</f>
        <v/>
      </c>
      <c r="I69" s="311"/>
      <c r="O69" s="324"/>
      <c r="P69" s="329">
        <v>42</v>
      </c>
      <c r="Q69" s="311"/>
      <c r="R69" s="312"/>
      <c r="S69" s="313"/>
      <c r="T69" s="26"/>
      <c r="U69" s="312"/>
      <c r="V69" s="311"/>
      <c r="W69" s="315" t="str">
        <f>IFERROR(IF(TRANSHARI11_PULSAMALAM[[#This Row],[NAMA REKENING]]="","",TRANSHARI11_PULSAMALAM[[#This Row],[DEBIT]]),"")</f>
        <v/>
      </c>
      <c r="X69" s="311"/>
    </row>
    <row r="70" spans="1:24">
      <c r="A70" s="311">
        <v>43</v>
      </c>
      <c r="B70" s="311"/>
      <c r="C70" s="312"/>
      <c r="D70" s="313"/>
      <c r="E70" s="26"/>
      <c r="F70" s="312"/>
      <c r="G70" s="311"/>
      <c r="H70" s="314" t="str">
        <f>IFERROR(IF(TRANSHARI11_PULSAPAGI[[#This Row],[NAMA REKENING]]="","",TRANSHARI11_PULSAPAGI[[#This Row],[DEBIT]]),"")</f>
        <v/>
      </c>
      <c r="I70" s="311"/>
      <c r="O70" s="324"/>
      <c r="P70" s="329">
        <v>43</v>
      </c>
      <c r="Q70" s="311"/>
      <c r="R70" s="312"/>
      <c r="S70" s="313"/>
      <c r="T70" s="26"/>
      <c r="U70" s="312"/>
      <c r="V70" s="311"/>
      <c r="W70" s="314" t="str">
        <f>IFERROR(IF(TRANSHARI11_PULSAMALAM[[#This Row],[NAMA REKENING]]="","",TRANSHARI11_PULSAMALAM[[#This Row],[DEBIT]]),"")</f>
        <v/>
      </c>
      <c r="X70" s="311"/>
    </row>
    <row r="71" spans="1:24">
      <c r="A71" s="311">
        <v>44</v>
      </c>
      <c r="B71" s="311"/>
      <c r="C71" s="312"/>
      <c r="D71" s="313"/>
      <c r="E71" s="26"/>
      <c r="F71" s="312"/>
      <c r="G71" s="311"/>
      <c r="H71" s="315" t="str">
        <f>IFERROR(IF(TRANSHARI11_PULSAPAGI[[#This Row],[NAMA REKENING]]="","",TRANSHARI11_PULSAPAGI[[#This Row],[DEBIT]]),"")</f>
        <v/>
      </c>
      <c r="I71" s="311"/>
      <c r="O71" s="324"/>
      <c r="P71" s="329">
        <v>44</v>
      </c>
      <c r="Q71" s="311"/>
      <c r="R71" s="312"/>
      <c r="S71" s="313"/>
      <c r="T71" s="26"/>
      <c r="U71" s="312"/>
      <c r="V71" s="311"/>
      <c r="W71" s="315" t="str">
        <f>IFERROR(IF(TRANSHARI11_PULSAMALAM[[#This Row],[NAMA REKENING]]="","",TRANSHARI11_PULSAMALAM[[#This Row],[DEBIT]]),"")</f>
        <v/>
      </c>
      <c r="X71" s="311"/>
    </row>
    <row r="72" spans="1:24">
      <c r="A72" s="311">
        <v>45</v>
      </c>
      <c r="B72" s="311"/>
      <c r="C72" s="312"/>
      <c r="D72" s="313"/>
      <c r="E72" s="26"/>
      <c r="F72" s="312"/>
      <c r="G72" s="311"/>
      <c r="H72" s="314" t="str">
        <f>IFERROR(IF(TRANSHARI11_PULSAPAGI[[#This Row],[NAMA REKENING]]="","",TRANSHARI11_PULSAPAGI[[#This Row],[DEBIT]]),"")</f>
        <v/>
      </c>
      <c r="I72" s="311"/>
      <c r="O72" s="324"/>
      <c r="P72" s="329">
        <v>45</v>
      </c>
      <c r="Q72" s="311"/>
      <c r="R72" s="312"/>
      <c r="S72" s="313"/>
      <c r="T72" s="26"/>
      <c r="U72" s="312"/>
      <c r="V72" s="311"/>
      <c r="W72" s="314" t="str">
        <f>IFERROR(IF(TRANSHARI11_PULSAMALAM[[#This Row],[NAMA REKENING]]="","",TRANSHARI11_PULSAMALAM[[#This Row],[DEBIT]]),"")</f>
        <v/>
      </c>
      <c r="X72" s="311"/>
    </row>
    <row r="73" ht="17.25" spans="1:24">
      <c r="A73" s="311">
        <v>46</v>
      </c>
      <c r="B73" s="311"/>
      <c r="C73" s="312"/>
      <c r="D73" s="313"/>
      <c r="E73" s="26"/>
      <c r="F73" s="312"/>
      <c r="G73" s="311"/>
      <c r="H73" s="315" t="str">
        <f>IFERROR(IF(TRANSHARI11_PULSAPAGI[[#This Row],[NAMA REKENING]]="","",TRANSHARI11_PULSAPAGI[[#This Row],[DEBIT]]),"")</f>
        <v/>
      </c>
      <c r="I73" s="311"/>
      <c r="O73" s="324"/>
      <c r="P73" s="329">
        <v>46</v>
      </c>
      <c r="Q73" s="311"/>
      <c r="R73" s="312"/>
      <c r="S73" s="313"/>
      <c r="T73" s="26"/>
      <c r="U73" s="312"/>
      <c r="V73" s="311"/>
      <c r="W73" s="315" t="str">
        <f>IFERROR(IF(TRANSHARI11_PULSAMALAM[[#This Row],[NAMA REKENING]]="","",TRANSHARI11_PULSAMALAM[[#This Row],[DEBIT]]),"")</f>
        <v/>
      </c>
      <c r="X73" s="311"/>
    </row>
    <row r="74" spans="1:26">
      <c r="A74" s="311">
        <v>47</v>
      </c>
      <c r="B74" s="311"/>
      <c r="C74" s="312"/>
      <c r="D74" s="313"/>
      <c r="E74" s="26"/>
      <c r="F74" s="312"/>
      <c r="G74" s="311"/>
      <c r="H74" s="314" t="str">
        <f>IFERROR(IF(TRANSHARI11_PULSAPAGI[[#This Row],[NAMA REKENING]]="","",TRANSHARI11_PULSAPAGI[[#This Row],[DEBIT]]),"")</f>
        <v/>
      </c>
      <c r="I74" s="311"/>
      <c r="O74" s="324"/>
      <c r="P74" s="329">
        <v>47</v>
      </c>
      <c r="Q74" s="311"/>
      <c r="R74" s="312"/>
      <c r="S74" s="313"/>
      <c r="T74" s="26"/>
      <c r="U74" s="312"/>
      <c r="V74" s="311"/>
      <c r="W74" s="314" t="str">
        <f>IFERROR(IF(TRANSHARI11_PULSAMALAM[[#This Row],[NAMA REKENING]]="","",TRANSHARI11_PULSAMALAM[[#This Row],[DEBIT]]),"")</f>
        <v/>
      </c>
      <c r="X74" s="311"/>
      <c r="Y74" s="302" t="s">
        <v>63</v>
      </c>
      <c r="Z74" s="316"/>
    </row>
    <row r="75" ht="17.25" spans="1:26">
      <c r="A75" s="311">
        <v>48</v>
      </c>
      <c r="B75" s="311"/>
      <c r="C75" s="312"/>
      <c r="D75" s="313"/>
      <c r="E75" s="26"/>
      <c r="F75" s="312"/>
      <c r="G75" s="311"/>
      <c r="H75" s="315" t="str">
        <f>IFERROR(IF(TRANSHARI11_PULSAPAGI[[#This Row],[NAMA REKENING]]="","",TRANSHARI11_PULSAPAGI[[#This Row],[DEBIT]]),"")</f>
        <v/>
      </c>
      <c r="I75" s="311"/>
      <c r="O75" s="324"/>
      <c r="P75" s="329">
        <v>48</v>
      </c>
      <c r="Q75" s="311"/>
      <c r="R75" s="312"/>
      <c r="S75" s="313"/>
      <c r="T75" s="26"/>
      <c r="U75" s="312"/>
      <c r="V75" s="311"/>
      <c r="W75" s="315" t="str">
        <f>IFERROR(IF(TRANSHARI11_PULSAMALAM[[#This Row],[NAMA REKENING]]="","",TRANSHARI11_PULSAMALAM[[#This Row],[DEBIT]]),"")</f>
        <v/>
      </c>
      <c r="X75" s="311"/>
      <c r="Y75" s="306"/>
      <c r="Z75" s="321"/>
    </row>
    <row r="76" spans="1:26">
      <c r="A76" s="311">
        <v>49</v>
      </c>
      <c r="B76" s="311"/>
      <c r="C76" s="312"/>
      <c r="D76" s="313"/>
      <c r="E76" s="26"/>
      <c r="F76" s="312"/>
      <c r="G76" s="311"/>
      <c r="H76" s="314" t="str">
        <f>IFERROR(IF(TRANSHARI11_PULSAPAGI[[#This Row],[NAMA REKENING]]="","",TRANSHARI11_PULSAPAGI[[#This Row],[DEBIT]]),"")</f>
        <v/>
      </c>
      <c r="I76" s="311"/>
      <c r="O76" s="324"/>
      <c r="P76" s="329">
        <v>49</v>
      </c>
      <c r="Q76" s="311"/>
      <c r="R76" s="312"/>
      <c r="S76" s="313"/>
      <c r="T76" s="26"/>
      <c r="U76" s="312"/>
      <c r="V76" s="311"/>
      <c r="W76" s="314" t="str">
        <f>IFERROR(IF(TRANSHARI11_PULSAMALAM[[#This Row],[NAMA REKENING]]="","",TRANSHARI11_PULSAMALAM[[#This Row],[DEBIT]]),"")</f>
        <v/>
      </c>
      <c r="X76" s="311"/>
      <c r="Y76" s="389">
        <f>C79+R79</f>
        <v>0</v>
      </c>
      <c r="Z76" s="390"/>
    </row>
    <row r="77" ht="17.25" spans="1:26">
      <c r="A77" s="347">
        <v>50</v>
      </c>
      <c r="B77" s="347"/>
      <c r="C77" s="348"/>
      <c r="D77" s="349"/>
      <c r="E77" s="26"/>
      <c r="F77" s="312"/>
      <c r="G77" s="311"/>
      <c r="H77" s="350" t="str">
        <f>IFERROR(IF(TRANSHARI11_PULSAPAGI[[#This Row],[NAMA REKENING]]="","",TRANSHARI11_PULSAPAGI[[#This Row],[DEBIT]]),"")</f>
        <v/>
      </c>
      <c r="I77" s="311"/>
      <c r="O77" s="324"/>
      <c r="P77" s="378">
        <v>50</v>
      </c>
      <c r="Q77" s="347"/>
      <c r="R77" s="348"/>
      <c r="S77" s="349"/>
      <c r="T77" s="26"/>
      <c r="U77" s="312"/>
      <c r="V77" s="311"/>
      <c r="W77" s="350" t="str">
        <f>IFERROR(IF(TRANSHARI11_PULSAMALAM[[#This Row],[NAMA REKENING]]="","",TRANSHARI11_PULSAMALAM[[#This Row],[DEBIT]]),"")</f>
        <v/>
      </c>
      <c r="X77" s="311"/>
      <c r="Y77" s="391"/>
      <c r="Z77" s="392"/>
    </row>
    <row r="78" ht="20.25" customHeight="1" spans="1:24">
      <c r="A78" s="351" t="s">
        <v>64</v>
      </c>
      <c r="B78" s="352"/>
      <c r="C78" s="353">
        <f>SUM(TRANSHARI11_PULSAPAGI[DEBIT])</f>
        <v>0</v>
      </c>
      <c r="D78" s="353">
        <f>SUM(TRANSHARI11_PULSAPAGI[KREDIT])</f>
        <v>0</v>
      </c>
      <c r="E78" s="167"/>
      <c r="F78" s="354">
        <f>SUM(TRANSHARI11_PULSAPAGI[SALDO MINUS])</f>
        <v>0</v>
      </c>
      <c r="G78" s="167"/>
      <c r="H78" s="355">
        <f>SUM(TRANSHARI11_PULSAPAGI[NOMINAL TRANSFER])</f>
        <v>0</v>
      </c>
      <c r="I78" s="167"/>
      <c r="O78" s="324"/>
      <c r="P78" s="379" t="s">
        <v>64</v>
      </c>
      <c r="Q78" s="352"/>
      <c r="R78" s="353">
        <f>SUM(TRANSHARI11_PULSAMALAM[DEBIT])</f>
        <v>0</v>
      </c>
      <c r="S78" s="353">
        <f>SUM(TRANSHARI11_PULSAMALAM[KREDIT])</f>
        <v>0</v>
      </c>
      <c r="T78" s="167"/>
      <c r="U78" s="354">
        <f>SUM(TRANSHARI11_PULSAMALAM[SALDO MINUS])</f>
        <v>0</v>
      </c>
      <c r="V78" s="167"/>
      <c r="W78" s="355">
        <f>SUM(TRANSHARI11_PULSAMALAM[NOMINAL TRANSFER])</f>
        <v>0</v>
      </c>
      <c r="X78" s="167"/>
    </row>
    <row r="79" ht="15" customHeight="1" spans="1:24">
      <c r="A79" s="356"/>
      <c r="B79" s="357"/>
      <c r="C79" s="358">
        <f>C78+D78</f>
        <v>0</v>
      </c>
      <c r="D79" s="359"/>
      <c r="E79" s="167"/>
      <c r="F79" s="167"/>
      <c r="G79" s="167"/>
      <c r="I79" s="167"/>
      <c r="O79" s="324"/>
      <c r="P79" s="380"/>
      <c r="Q79" s="357"/>
      <c r="R79" s="358">
        <f>R78+S78</f>
        <v>0</v>
      </c>
      <c r="S79" s="359"/>
      <c r="T79" s="167"/>
      <c r="U79" s="167"/>
      <c r="V79" s="167"/>
      <c r="X79" s="167"/>
    </row>
    <row r="80" ht="17.25" spans="1:24">
      <c r="A80" s="360"/>
      <c r="B80" s="361"/>
      <c r="C80" s="362"/>
      <c r="D80" s="363"/>
      <c r="E80" s="167"/>
      <c r="F80" s="167"/>
      <c r="G80" s="167"/>
      <c r="H80" s="167"/>
      <c r="I80" s="167"/>
      <c r="O80" s="324"/>
      <c r="P80" s="381"/>
      <c r="Q80" s="361"/>
      <c r="R80" s="362"/>
      <c r="S80" s="363"/>
      <c r="T80" s="167"/>
      <c r="U80" s="167"/>
      <c r="V80" s="167"/>
      <c r="W80" s="167"/>
      <c r="X80" s="167"/>
    </row>
    <row r="81" ht="17.25" spans="1:24">
      <c r="A81" s="167"/>
      <c r="B81" s="167"/>
      <c r="C81" s="167"/>
      <c r="D81" s="167"/>
      <c r="E81" s="167"/>
      <c r="F81" s="167"/>
      <c r="G81" s="167"/>
      <c r="H81" s="167"/>
      <c r="I81" s="167"/>
      <c r="O81" s="324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5">
      <c r="A82" s="300" t="str">
        <f>A25</f>
        <v>HARI 11 : PAGI</v>
      </c>
      <c r="B82" s="301"/>
      <c r="C82" s="302" t="s">
        <v>65</v>
      </c>
      <c r="D82" s="303"/>
      <c r="E82" s="303"/>
      <c r="F82" s="303"/>
      <c r="G82" s="303"/>
      <c r="H82" s="303"/>
      <c r="I82" s="303"/>
      <c r="J82" s="316"/>
      <c r="O82" s="324"/>
      <c r="P82" s="320" t="str">
        <f>P25</f>
        <v>HARI 11 : MALAM</v>
      </c>
      <c r="Q82" s="301"/>
      <c r="R82" s="302" t="s">
        <v>65</v>
      </c>
      <c r="S82" s="303"/>
      <c r="T82" s="303"/>
      <c r="U82" s="303"/>
      <c r="V82" s="303"/>
      <c r="W82" s="303"/>
      <c r="X82" s="303"/>
      <c r="Y82" s="316"/>
    </row>
    <row r="83" spans="1:25">
      <c r="A83" s="304"/>
      <c r="B83" s="305"/>
      <c r="C83" s="364"/>
      <c r="D83" s="162"/>
      <c r="E83" s="162"/>
      <c r="F83" s="162"/>
      <c r="G83" s="162"/>
      <c r="H83" s="162"/>
      <c r="I83" s="162"/>
      <c r="J83" s="382"/>
      <c r="O83" s="324"/>
      <c r="P83" s="325"/>
      <c r="Q83" s="305"/>
      <c r="R83" s="364"/>
      <c r="S83" s="162"/>
      <c r="T83" s="162"/>
      <c r="U83" s="162"/>
      <c r="V83" s="162"/>
      <c r="W83" s="162"/>
      <c r="X83" s="162"/>
      <c r="Y83" s="382"/>
    </row>
    <row r="84" spans="1:25">
      <c r="A84" s="365" t="s">
        <v>14</v>
      </c>
      <c r="B84" s="366" t="s">
        <v>66</v>
      </c>
      <c r="C84" s="366" t="s">
        <v>67</v>
      </c>
      <c r="D84" s="366" t="s">
        <v>68</v>
      </c>
      <c r="E84" s="366" t="s">
        <v>69</v>
      </c>
      <c r="F84" s="366" t="s">
        <v>16</v>
      </c>
      <c r="G84" s="366" t="s">
        <v>17</v>
      </c>
      <c r="H84" s="366" t="s">
        <v>18</v>
      </c>
      <c r="I84" s="366" t="s">
        <v>21</v>
      </c>
      <c r="J84" s="383" t="s">
        <v>22</v>
      </c>
      <c r="O84" s="324"/>
      <c r="P84" s="365" t="s">
        <v>14</v>
      </c>
      <c r="Q84" s="366" t="s">
        <v>66</v>
      </c>
      <c r="R84" s="366" t="s">
        <v>67</v>
      </c>
      <c r="S84" s="366" t="s">
        <v>68</v>
      </c>
      <c r="T84" s="366" t="s">
        <v>69</v>
      </c>
      <c r="U84" s="366" t="s">
        <v>16</v>
      </c>
      <c r="V84" s="366" t="s">
        <v>17</v>
      </c>
      <c r="W84" s="366" t="s">
        <v>18</v>
      </c>
      <c r="X84" s="366" t="s">
        <v>21</v>
      </c>
      <c r="Y84" s="383" t="s">
        <v>22</v>
      </c>
    </row>
    <row r="85" spans="1:25">
      <c r="A85" s="367">
        <v>1</v>
      </c>
      <c r="B85" s="368"/>
      <c r="C85" s="368"/>
      <c r="D85" s="369" t="str">
        <f>IFERROR(VLOOKUP(TRANSHARI11_ROKOKPAGI[[#This Row],[PRODUK]],DATA_ROKOK[],13,FALSE),"")</f>
        <v/>
      </c>
      <c r="E85" s="370"/>
      <c r="F85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85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85" s="371"/>
      <c r="I85" s="384" t="str">
        <f>IFERROR(IF(TRANSHARI11_ROKOKPAGI[[#This Row],[NAMA REKENING]]="","",TRANSHARI11_ROKOKPAGI[[#This Row],[DEBIT]]),"")</f>
        <v/>
      </c>
      <c r="J85" s="385"/>
      <c r="O85" s="324"/>
      <c r="P85" s="367">
        <v>1</v>
      </c>
      <c r="Q85" s="368"/>
      <c r="R85" s="368"/>
      <c r="S85" s="369" t="str">
        <f>IFERROR(VLOOKUP(TRANSHARI11_ROKOKMALAM[[#This Row],[PRODUK]],DATA_ROKOK[],13,FALSE),"")</f>
        <v/>
      </c>
      <c r="T85" s="370"/>
      <c r="U85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85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85" s="371"/>
      <c r="X85" s="384" t="str">
        <f>IFERROR(IF(TRANSHARI11_ROKOKMALAM[[#This Row],[NAMA REKENING]]="","",TRANSHARI11_ROKOKMALAM[[#This Row],[DEBIT]]),"")</f>
        <v/>
      </c>
      <c r="Y85" s="385"/>
    </row>
    <row r="86" spans="1:25">
      <c r="A86" s="367">
        <v>2</v>
      </c>
      <c r="B86" s="368"/>
      <c r="C86" s="372"/>
      <c r="D86" s="373" t="str">
        <f>IFERROR(VLOOKUP(TRANSHARI11_ROKOKPAGI[[#This Row],[PRODUK]],DATA_ROKOK[],13,FALSE),"")</f>
        <v/>
      </c>
      <c r="E86" s="374"/>
      <c r="F86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86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86" s="12"/>
      <c r="I86" s="386" t="str">
        <f>IFERROR(IF(TRANSHARI11_ROKOKPAGI[[#This Row],[NAMA REKENING]]="","",TRANSHARI11_ROKOKPAGI[[#This Row],[DEBIT]]),"")</f>
        <v/>
      </c>
      <c r="J86" s="387"/>
      <c r="O86" s="324"/>
      <c r="P86" s="367">
        <v>2</v>
      </c>
      <c r="Q86" s="368"/>
      <c r="R86" s="372"/>
      <c r="S86" s="373" t="str">
        <f>IFERROR(VLOOKUP(TRANSHARI11_ROKOKMALAM[[#This Row],[PRODUK]],DATA_ROKOK[],13,FALSE),"")</f>
        <v/>
      </c>
      <c r="T86" s="374"/>
      <c r="U86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86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86" s="12"/>
      <c r="X86" s="386" t="str">
        <f>IFERROR(IF(TRANSHARI11_ROKOKMALAM[[#This Row],[NAMA REKENING]]="","",TRANSHARI11_ROKOKMALAM[[#This Row],[DEBIT]]),"")</f>
        <v/>
      </c>
      <c r="Y86" s="387"/>
    </row>
    <row r="87" spans="1:25">
      <c r="A87" s="367">
        <v>3</v>
      </c>
      <c r="B87" s="368"/>
      <c r="C87" s="372"/>
      <c r="D87" s="369" t="str">
        <f>IFERROR(VLOOKUP(TRANSHARI11_ROKOKPAGI[[#This Row],[PRODUK]],DATA_ROKOK[],13,FALSE),"")</f>
        <v/>
      </c>
      <c r="E87" s="374"/>
      <c r="F87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87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87" s="12"/>
      <c r="I87" s="384" t="str">
        <f>IFERROR(IF(TRANSHARI11_ROKOKPAGI[[#This Row],[NAMA REKENING]]="","",TRANSHARI11_ROKOKPAGI[[#This Row],[DEBIT]]),"")</f>
        <v/>
      </c>
      <c r="J87" s="387"/>
      <c r="O87" s="324"/>
      <c r="P87" s="367">
        <v>3</v>
      </c>
      <c r="Q87" s="368"/>
      <c r="R87" s="372"/>
      <c r="S87" s="369" t="str">
        <f>IFERROR(VLOOKUP(TRANSHARI11_ROKOKMALAM[[#This Row],[PRODUK]],DATA_ROKOK[],13,FALSE),"")</f>
        <v/>
      </c>
      <c r="T87" s="374"/>
      <c r="U87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87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87" s="12"/>
      <c r="X87" s="384" t="str">
        <f>IFERROR(IF(TRANSHARI11_ROKOKMALAM[[#This Row],[NAMA REKENING]]="","",TRANSHARI11_ROKOKMALAM[[#This Row],[DEBIT]]),"")</f>
        <v/>
      </c>
      <c r="Y87" s="387"/>
    </row>
    <row r="88" spans="1:25">
      <c r="A88" s="367">
        <v>4</v>
      </c>
      <c r="B88" s="368"/>
      <c r="C88" s="372"/>
      <c r="D88" s="373" t="str">
        <f>IFERROR(VLOOKUP(TRANSHARI11_ROKOKPAGI[[#This Row],[PRODUK]],DATA_ROKOK[],13,FALSE),"")</f>
        <v/>
      </c>
      <c r="E88" s="374"/>
      <c r="F88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88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88" s="12"/>
      <c r="I88" s="386" t="str">
        <f>IFERROR(IF(TRANSHARI11_ROKOKPAGI[[#This Row],[NAMA REKENING]]="","",TRANSHARI11_ROKOKPAGI[[#This Row],[DEBIT]]),"")</f>
        <v/>
      </c>
      <c r="J88" s="387"/>
      <c r="O88" s="324"/>
      <c r="P88" s="367">
        <v>4</v>
      </c>
      <c r="Q88" s="368"/>
      <c r="R88" s="372"/>
      <c r="S88" s="373" t="str">
        <f>IFERROR(VLOOKUP(TRANSHARI11_ROKOKMALAM[[#This Row],[PRODUK]],DATA_ROKOK[],13,FALSE),"")</f>
        <v/>
      </c>
      <c r="T88" s="374"/>
      <c r="U88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88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88" s="12"/>
      <c r="X88" s="386" t="str">
        <f>IFERROR(IF(TRANSHARI11_ROKOKMALAM[[#This Row],[NAMA REKENING]]="","",TRANSHARI11_ROKOKMALAM[[#This Row],[DEBIT]]),"")</f>
        <v/>
      </c>
      <c r="Y88" s="387"/>
    </row>
    <row r="89" spans="1:25">
      <c r="A89" s="367">
        <v>5</v>
      </c>
      <c r="B89" s="368"/>
      <c r="C89" s="372"/>
      <c r="D89" s="369" t="str">
        <f>IFERROR(VLOOKUP(TRANSHARI11_ROKOKPAGI[[#This Row],[PRODUK]],DATA_ROKOK[],13,FALSE),"")</f>
        <v/>
      </c>
      <c r="E89" s="374"/>
      <c r="F89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89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89" s="12"/>
      <c r="I89" s="384" t="str">
        <f>IFERROR(IF(TRANSHARI11_ROKOKPAGI[[#This Row],[NAMA REKENING]]="","",TRANSHARI11_ROKOKPAGI[[#This Row],[DEBIT]]),"")</f>
        <v/>
      </c>
      <c r="J89" s="387"/>
      <c r="O89" s="324"/>
      <c r="P89" s="367">
        <v>5</v>
      </c>
      <c r="Q89" s="368"/>
      <c r="R89" s="372"/>
      <c r="S89" s="369" t="str">
        <f>IFERROR(VLOOKUP(TRANSHARI11_ROKOKMALAM[[#This Row],[PRODUK]],DATA_ROKOK[],13,FALSE),"")</f>
        <v/>
      </c>
      <c r="T89" s="374"/>
      <c r="U89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89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89" s="12"/>
      <c r="X89" s="384" t="str">
        <f>IFERROR(IF(TRANSHARI11_ROKOKMALAM[[#This Row],[NAMA REKENING]]="","",TRANSHARI11_ROKOKMALAM[[#This Row],[DEBIT]]),"")</f>
        <v/>
      </c>
      <c r="Y89" s="387"/>
    </row>
    <row r="90" spans="1:25">
      <c r="A90" s="367">
        <v>6</v>
      </c>
      <c r="B90" s="368"/>
      <c r="C90" s="372"/>
      <c r="D90" s="373" t="str">
        <f>IFERROR(VLOOKUP(TRANSHARI11_ROKOKPAGI[[#This Row],[PRODUK]],DATA_ROKOK[],13,FALSE),"")</f>
        <v/>
      </c>
      <c r="E90" s="374"/>
      <c r="F90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0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0" s="12"/>
      <c r="I90" s="386" t="str">
        <f>IFERROR(IF(TRANSHARI11_ROKOKPAGI[[#This Row],[NAMA REKENING]]="","",TRANSHARI11_ROKOKPAGI[[#This Row],[DEBIT]]),"")</f>
        <v/>
      </c>
      <c r="J90" s="387"/>
      <c r="O90" s="324"/>
      <c r="P90" s="367">
        <v>6</v>
      </c>
      <c r="Q90" s="368"/>
      <c r="R90" s="372"/>
      <c r="S90" s="373" t="str">
        <f>IFERROR(VLOOKUP(TRANSHARI11_ROKOKMALAM[[#This Row],[PRODUK]],DATA_ROKOK[],13,FALSE),"")</f>
        <v/>
      </c>
      <c r="T90" s="374"/>
      <c r="U90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0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0" s="12"/>
      <c r="X90" s="386" t="str">
        <f>IFERROR(IF(TRANSHARI11_ROKOKMALAM[[#This Row],[NAMA REKENING]]="","",TRANSHARI11_ROKOKMALAM[[#This Row],[DEBIT]]),"")</f>
        <v/>
      </c>
      <c r="Y90" s="387"/>
    </row>
    <row r="91" spans="1:25">
      <c r="A91" s="367">
        <v>7</v>
      </c>
      <c r="B91" s="368"/>
      <c r="C91" s="372"/>
      <c r="D91" s="369" t="str">
        <f>IFERROR(VLOOKUP(TRANSHARI11_ROKOKPAGI[[#This Row],[PRODUK]],DATA_ROKOK[],13,FALSE),"")</f>
        <v/>
      </c>
      <c r="E91" s="374"/>
      <c r="F91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1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1" s="12"/>
      <c r="I91" s="384" t="str">
        <f>IFERROR(IF(TRANSHARI11_ROKOKPAGI[[#This Row],[NAMA REKENING]]="","",TRANSHARI11_ROKOKPAGI[[#This Row],[DEBIT]]),"")</f>
        <v/>
      </c>
      <c r="J91" s="387"/>
      <c r="O91" s="324"/>
      <c r="P91" s="367">
        <v>7</v>
      </c>
      <c r="Q91" s="368"/>
      <c r="R91" s="372"/>
      <c r="S91" s="369" t="str">
        <f>IFERROR(VLOOKUP(TRANSHARI11_ROKOKMALAM[[#This Row],[PRODUK]],DATA_ROKOK[],13,FALSE),"")</f>
        <v/>
      </c>
      <c r="T91" s="374"/>
      <c r="U91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1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1" s="12"/>
      <c r="X91" s="384" t="str">
        <f>IFERROR(IF(TRANSHARI11_ROKOKMALAM[[#This Row],[NAMA REKENING]]="","",TRANSHARI11_ROKOKMALAM[[#This Row],[DEBIT]]),"")</f>
        <v/>
      </c>
      <c r="Y91" s="387"/>
    </row>
    <row r="92" spans="1:25">
      <c r="A92" s="367">
        <v>8</v>
      </c>
      <c r="B92" s="368"/>
      <c r="C92" s="372"/>
      <c r="D92" s="373" t="str">
        <f>IFERROR(VLOOKUP(TRANSHARI11_ROKOKPAGI[[#This Row],[PRODUK]],DATA_ROKOK[],13,FALSE),"")</f>
        <v/>
      </c>
      <c r="E92" s="374"/>
      <c r="F92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2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2" s="12"/>
      <c r="I92" s="386" t="str">
        <f>IFERROR(IF(TRANSHARI11_ROKOKPAGI[[#This Row],[NAMA REKENING]]="","",TRANSHARI11_ROKOKPAGI[[#This Row],[DEBIT]]),"")</f>
        <v/>
      </c>
      <c r="J92" s="387"/>
      <c r="O92" s="324"/>
      <c r="P92" s="367">
        <v>8</v>
      </c>
      <c r="Q92" s="368"/>
      <c r="R92" s="372"/>
      <c r="S92" s="373" t="str">
        <f>IFERROR(VLOOKUP(TRANSHARI11_ROKOKMALAM[[#This Row],[PRODUK]],DATA_ROKOK[],13,FALSE),"")</f>
        <v/>
      </c>
      <c r="T92" s="374"/>
      <c r="U92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2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2" s="12"/>
      <c r="X92" s="386" t="str">
        <f>IFERROR(IF(TRANSHARI11_ROKOKMALAM[[#This Row],[NAMA REKENING]]="","",TRANSHARI11_ROKOKMALAM[[#This Row],[DEBIT]]),"")</f>
        <v/>
      </c>
      <c r="Y92" s="387"/>
    </row>
    <row r="93" spans="1:25">
      <c r="A93" s="367">
        <v>9</v>
      </c>
      <c r="B93" s="368"/>
      <c r="C93" s="372"/>
      <c r="D93" s="369" t="str">
        <f>IFERROR(VLOOKUP(TRANSHARI11_ROKOKPAGI[[#This Row],[PRODUK]],DATA_ROKOK[],13,FALSE),"")</f>
        <v/>
      </c>
      <c r="E93" s="374"/>
      <c r="F93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3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3" s="12"/>
      <c r="I93" s="384" t="str">
        <f>IFERROR(IF(TRANSHARI11_ROKOKPAGI[[#This Row],[NAMA REKENING]]="","",TRANSHARI11_ROKOKPAGI[[#This Row],[DEBIT]]),"")</f>
        <v/>
      </c>
      <c r="J93" s="387"/>
      <c r="O93" s="324"/>
      <c r="P93" s="367">
        <v>9</v>
      </c>
      <c r="Q93" s="368"/>
      <c r="R93" s="372"/>
      <c r="S93" s="369" t="str">
        <f>IFERROR(VLOOKUP(TRANSHARI11_ROKOKMALAM[[#This Row],[PRODUK]],DATA_ROKOK[],13,FALSE),"")</f>
        <v/>
      </c>
      <c r="T93" s="374"/>
      <c r="U93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3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3" s="12"/>
      <c r="X93" s="384" t="str">
        <f>IFERROR(IF(TRANSHARI11_ROKOKMALAM[[#This Row],[NAMA REKENING]]="","",TRANSHARI11_ROKOKMALAM[[#This Row],[DEBIT]]),"")</f>
        <v/>
      </c>
      <c r="Y93" s="387"/>
    </row>
    <row r="94" spans="1:25">
      <c r="A94" s="367">
        <v>10</v>
      </c>
      <c r="B94" s="368"/>
      <c r="C94" s="372"/>
      <c r="D94" s="373" t="str">
        <f>IFERROR(VLOOKUP(TRANSHARI11_ROKOKPAGI[[#This Row],[PRODUK]],DATA_ROKOK[],13,FALSE),"")</f>
        <v/>
      </c>
      <c r="E94" s="374"/>
      <c r="F94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4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4" s="12"/>
      <c r="I94" s="386" t="str">
        <f>IFERROR(IF(TRANSHARI11_ROKOKPAGI[[#This Row],[NAMA REKENING]]="","",TRANSHARI11_ROKOKPAGI[[#This Row],[DEBIT]]),"")</f>
        <v/>
      </c>
      <c r="J94" s="387"/>
      <c r="O94" s="324"/>
      <c r="P94" s="367">
        <v>10</v>
      </c>
      <c r="Q94" s="368"/>
      <c r="R94" s="372"/>
      <c r="S94" s="373" t="str">
        <f>IFERROR(VLOOKUP(TRANSHARI11_ROKOKMALAM[[#This Row],[PRODUK]],DATA_ROKOK[],13,FALSE),"")</f>
        <v/>
      </c>
      <c r="T94" s="374"/>
      <c r="U94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4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4" s="12"/>
      <c r="X94" s="386" t="str">
        <f>IFERROR(IF(TRANSHARI11_ROKOKMALAM[[#This Row],[NAMA REKENING]]="","",TRANSHARI11_ROKOKMALAM[[#This Row],[DEBIT]]),"")</f>
        <v/>
      </c>
      <c r="Y94" s="387"/>
    </row>
    <row r="95" spans="1:25">
      <c r="A95" s="367">
        <v>11</v>
      </c>
      <c r="B95" s="368"/>
      <c r="C95" s="372"/>
      <c r="D95" s="369" t="str">
        <f>IFERROR(VLOOKUP(TRANSHARI11_ROKOKPAGI[[#This Row],[PRODUK]],DATA_ROKOK[],13,FALSE),"")</f>
        <v/>
      </c>
      <c r="E95" s="374"/>
      <c r="F95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5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5" s="12"/>
      <c r="I95" s="384" t="str">
        <f>IFERROR(IF(TRANSHARI11_ROKOKPAGI[[#This Row],[NAMA REKENING]]="","",TRANSHARI11_ROKOKPAGI[[#This Row],[DEBIT]]),"")</f>
        <v/>
      </c>
      <c r="J95" s="387"/>
      <c r="O95" s="324"/>
      <c r="P95" s="367">
        <v>11</v>
      </c>
      <c r="Q95" s="368"/>
      <c r="R95" s="372"/>
      <c r="S95" s="369" t="str">
        <f>IFERROR(VLOOKUP(TRANSHARI11_ROKOKMALAM[[#This Row],[PRODUK]],DATA_ROKOK[],13,FALSE),"")</f>
        <v/>
      </c>
      <c r="T95" s="374"/>
      <c r="U95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5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5" s="12"/>
      <c r="X95" s="384" t="str">
        <f>IFERROR(IF(TRANSHARI11_ROKOKMALAM[[#This Row],[NAMA REKENING]]="","",TRANSHARI11_ROKOKMALAM[[#This Row],[DEBIT]]),"")</f>
        <v/>
      </c>
      <c r="Y95" s="387"/>
    </row>
    <row r="96" spans="1:25">
      <c r="A96" s="367">
        <v>12</v>
      </c>
      <c r="B96" s="368"/>
      <c r="C96" s="372"/>
      <c r="D96" s="373" t="str">
        <f>IFERROR(VLOOKUP(TRANSHARI11_ROKOKPAGI[[#This Row],[PRODUK]],DATA_ROKOK[],13,FALSE),"")</f>
        <v/>
      </c>
      <c r="E96" s="374"/>
      <c r="F96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6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6" s="12"/>
      <c r="I96" s="386" t="str">
        <f>IFERROR(IF(TRANSHARI11_ROKOKPAGI[[#This Row],[NAMA REKENING]]="","",TRANSHARI11_ROKOKPAGI[[#This Row],[DEBIT]]),"")</f>
        <v/>
      </c>
      <c r="J96" s="387"/>
      <c r="O96" s="324"/>
      <c r="P96" s="367">
        <v>12</v>
      </c>
      <c r="Q96" s="368"/>
      <c r="R96" s="372"/>
      <c r="S96" s="373" t="str">
        <f>IFERROR(VLOOKUP(TRANSHARI11_ROKOKMALAM[[#This Row],[PRODUK]],DATA_ROKOK[],13,FALSE),"")</f>
        <v/>
      </c>
      <c r="T96" s="374"/>
      <c r="U96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6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6" s="12"/>
      <c r="X96" s="386" t="str">
        <f>IFERROR(IF(TRANSHARI11_ROKOKMALAM[[#This Row],[NAMA REKENING]]="","",TRANSHARI11_ROKOKMALAM[[#This Row],[DEBIT]]),"")</f>
        <v/>
      </c>
      <c r="Y96" s="387"/>
    </row>
    <row r="97" spans="1:25">
      <c r="A97" s="367">
        <v>13</v>
      </c>
      <c r="B97" s="368"/>
      <c r="C97" s="372"/>
      <c r="D97" s="369" t="str">
        <f>IFERROR(VLOOKUP(TRANSHARI11_ROKOKPAGI[[#This Row],[PRODUK]],DATA_ROKOK[],13,FALSE),"")</f>
        <v/>
      </c>
      <c r="E97" s="374"/>
      <c r="F97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7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7" s="12"/>
      <c r="I97" s="384" t="str">
        <f>IFERROR(IF(TRANSHARI11_ROKOKPAGI[[#This Row],[NAMA REKENING]]="","",TRANSHARI11_ROKOKPAGI[[#This Row],[DEBIT]]),"")</f>
        <v/>
      </c>
      <c r="J97" s="387"/>
      <c r="O97" s="324"/>
      <c r="P97" s="367">
        <v>13</v>
      </c>
      <c r="Q97" s="368"/>
      <c r="R97" s="372"/>
      <c r="S97" s="369" t="str">
        <f>IFERROR(VLOOKUP(TRANSHARI11_ROKOKMALAM[[#This Row],[PRODUK]],DATA_ROKOK[],13,FALSE),"")</f>
        <v/>
      </c>
      <c r="T97" s="374"/>
      <c r="U97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7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7" s="12"/>
      <c r="X97" s="384" t="str">
        <f>IFERROR(IF(TRANSHARI11_ROKOKMALAM[[#This Row],[NAMA REKENING]]="","",TRANSHARI11_ROKOKMALAM[[#This Row],[DEBIT]]),"")</f>
        <v/>
      </c>
      <c r="Y97" s="387"/>
    </row>
    <row r="98" spans="1:25">
      <c r="A98" s="367">
        <v>14</v>
      </c>
      <c r="B98" s="368"/>
      <c r="C98" s="372"/>
      <c r="D98" s="373" t="str">
        <f>IFERROR(VLOOKUP(TRANSHARI11_ROKOKPAGI[[#This Row],[PRODUK]],DATA_ROKOK[],13,FALSE),"")</f>
        <v/>
      </c>
      <c r="E98" s="374"/>
      <c r="F98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8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8" s="12"/>
      <c r="I98" s="386" t="str">
        <f>IFERROR(IF(TRANSHARI11_ROKOKPAGI[[#This Row],[NAMA REKENING]]="","",TRANSHARI11_ROKOKPAGI[[#This Row],[DEBIT]]),"")</f>
        <v/>
      </c>
      <c r="J98" s="387"/>
      <c r="O98" s="324"/>
      <c r="P98" s="367">
        <v>14</v>
      </c>
      <c r="Q98" s="368"/>
      <c r="R98" s="372"/>
      <c r="S98" s="373" t="str">
        <f>IFERROR(VLOOKUP(TRANSHARI11_ROKOKMALAM[[#This Row],[PRODUK]],DATA_ROKOK[],13,FALSE),"")</f>
        <v/>
      </c>
      <c r="T98" s="374"/>
      <c r="U98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8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8" s="12"/>
      <c r="X98" s="386" t="str">
        <f>IFERROR(IF(TRANSHARI11_ROKOKMALAM[[#This Row],[NAMA REKENING]]="","",TRANSHARI11_ROKOKMALAM[[#This Row],[DEBIT]]),"")</f>
        <v/>
      </c>
      <c r="Y98" s="387"/>
    </row>
    <row r="99" spans="1:25">
      <c r="A99" s="367">
        <v>15</v>
      </c>
      <c r="B99" s="368"/>
      <c r="C99" s="372"/>
      <c r="D99" s="369" t="str">
        <f>IFERROR(VLOOKUP(TRANSHARI11_ROKOKPAGI[[#This Row],[PRODUK]],DATA_ROKOK[],13,FALSE),"")</f>
        <v/>
      </c>
      <c r="E99" s="374"/>
      <c r="F99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99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99" s="12"/>
      <c r="I99" s="384" t="str">
        <f>IFERROR(IF(TRANSHARI11_ROKOKPAGI[[#This Row],[NAMA REKENING]]="","",TRANSHARI11_ROKOKPAGI[[#This Row],[DEBIT]]),"")</f>
        <v/>
      </c>
      <c r="J99" s="387"/>
      <c r="O99" s="324"/>
      <c r="P99" s="367">
        <v>15</v>
      </c>
      <c r="Q99" s="368"/>
      <c r="R99" s="372"/>
      <c r="S99" s="369" t="str">
        <f>IFERROR(VLOOKUP(TRANSHARI11_ROKOKMALAM[[#This Row],[PRODUK]],DATA_ROKOK[],13,FALSE),"")</f>
        <v/>
      </c>
      <c r="T99" s="374"/>
      <c r="U99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99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99" s="12"/>
      <c r="X99" s="384" t="str">
        <f>IFERROR(IF(TRANSHARI11_ROKOKMALAM[[#This Row],[NAMA REKENING]]="","",TRANSHARI11_ROKOKMALAM[[#This Row],[DEBIT]]),"")</f>
        <v/>
      </c>
      <c r="Y99" s="387"/>
    </row>
    <row r="100" spans="1:25">
      <c r="A100" s="367">
        <v>16</v>
      </c>
      <c r="B100" s="368"/>
      <c r="C100" s="372"/>
      <c r="D100" s="373" t="str">
        <f>IFERROR(VLOOKUP(TRANSHARI11_ROKOKPAGI[[#This Row],[PRODUK]],DATA_ROKOK[],13,FALSE),"")</f>
        <v/>
      </c>
      <c r="E100" s="374"/>
      <c r="F100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0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0" s="12"/>
      <c r="I100" s="386" t="str">
        <f>IFERROR(IF(TRANSHARI11_ROKOKPAGI[[#This Row],[NAMA REKENING]]="","",TRANSHARI11_ROKOKPAGI[[#This Row],[DEBIT]]),"")</f>
        <v/>
      </c>
      <c r="J100" s="387"/>
      <c r="O100" s="324"/>
      <c r="P100" s="367">
        <v>16</v>
      </c>
      <c r="Q100" s="368"/>
      <c r="R100" s="372"/>
      <c r="S100" s="373" t="str">
        <f>IFERROR(VLOOKUP(TRANSHARI11_ROKOKMALAM[[#This Row],[PRODUK]],DATA_ROKOK[],13,FALSE),"")</f>
        <v/>
      </c>
      <c r="T100" s="374"/>
      <c r="U100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0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0" s="12"/>
      <c r="X100" s="386" t="str">
        <f>IFERROR(IF(TRANSHARI11_ROKOKMALAM[[#This Row],[NAMA REKENING]]="","",TRANSHARI11_ROKOKMALAM[[#This Row],[DEBIT]]),"")</f>
        <v/>
      </c>
      <c r="Y100" s="387"/>
    </row>
    <row r="101" spans="1:25">
      <c r="A101" s="367">
        <v>17</v>
      </c>
      <c r="B101" s="368"/>
      <c r="C101" s="372"/>
      <c r="D101" s="369" t="str">
        <f>IFERROR(VLOOKUP(TRANSHARI11_ROKOKPAGI[[#This Row],[PRODUK]],DATA_ROKOK[],13,FALSE),"")</f>
        <v/>
      </c>
      <c r="E101" s="374"/>
      <c r="F101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1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1" s="12"/>
      <c r="I101" s="384" t="str">
        <f>IFERROR(IF(TRANSHARI11_ROKOKPAGI[[#This Row],[NAMA REKENING]]="","",TRANSHARI11_ROKOKPAGI[[#This Row],[DEBIT]]),"")</f>
        <v/>
      </c>
      <c r="J101" s="387"/>
      <c r="O101" s="324"/>
      <c r="P101" s="367">
        <v>17</v>
      </c>
      <c r="Q101" s="368"/>
      <c r="R101" s="372"/>
      <c r="S101" s="369" t="str">
        <f>IFERROR(VLOOKUP(TRANSHARI11_ROKOKMALAM[[#This Row],[PRODUK]],DATA_ROKOK[],13,FALSE),"")</f>
        <v/>
      </c>
      <c r="T101" s="374"/>
      <c r="U101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1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1" s="12"/>
      <c r="X101" s="384" t="str">
        <f>IFERROR(IF(TRANSHARI11_ROKOKMALAM[[#This Row],[NAMA REKENING]]="","",TRANSHARI11_ROKOKMALAM[[#This Row],[DEBIT]]),"")</f>
        <v/>
      </c>
      <c r="Y101" s="387"/>
    </row>
    <row r="102" spans="1:25">
      <c r="A102" s="367">
        <v>18</v>
      </c>
      <c r="B102" s="368"/>
      <c r="C102" s="372"/>
      <c r="D102" s="373" t="str">
        <f>IFERROR(VLOOKUP(TRANSHARI11_ROKOKPAGI[[#This Row],[PRODUK]],DATA_ROKOK[],13,FALSE),"")</f>
        <v/>
      </c>
      <c r="E102" s="374"/>
      <c r="F102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2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2" s="12"/>
      <c r="I102" s="386" t="str">
        <f>IFERROR(IF(TRANSHARI11_ROKOKPAGI[[#This Row],[NAMA REKENING]]="","",TRANSHARI11_ROKOKPAGI[[#This Row],[DEBIT]]),"")</f>
        <v/>
      </c>
      <c r="J102" s="387"/>
      <c r="O102" s="324"/>
      <c r="P102" s="367">
        <v>18</v>
      </c>
      <c r="Q102" s="368"/>
      <c r="R102" s="372"/>
      <c r="S102" s="373" t="str">
        <f>IFERROR(VLOOKUP(TRANSHARI11_ROKOKMALAM[[#This Row],[PRODUK]],DATA_ROKOK[],13,FALSE),"")</f>
        <v/>
      </c>
      <c r="T102" s="374"/>
      <c r="U102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2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2" s="12"/>
      <c r="X102" s="386" t="str">
        <f>IFERROR(IF(TRANSHARI11_ROKOKMALAM[[#This Row],[NAMA REKENING]]="","",TRANSHARI11_ROKOKMALAM[[#This Row],[DEBIT]]),"")</f>
        <v/>
      </c>
      <c r="Y102" s="387"/>
    </row>
    <row r="103" spans="1:25">
      <c r="A103" s="367">
        <v>19</v>
      </c>
      <c r="B103" s="368"/>
      <c r="C103" s="372"/>
      <c r="D103" s="369" t="str">
        <f>IFERROR(VLOOKUP(TRANSHARI11_ROKOKPAGI[[#This Row],[PRODUK]],DATA_ROKOK[],13,FALSE),"")</f>
        <v/>
      </c>
      <c r="E103" s="374"/>
      <c r="F103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3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3" s="12"/>
      <c r="I103" s="384" t="str">
        <f>IFERROR(IF(TRANSHARI11_ROKOKPAGI[[#This Row],[NAMA REKENING]]="","",TRANSHARI11_ROKOKPAGI[[#This Row],[DEBIT]]),"")</f>
        <v/>
      </c>
      <c r="J103" s="387"/>
      <c r="O103" s="324"/>
      <c r="P103" s="367">
        <v>19</v>
      </c>
      <c r="Q103" s="368"/>
      <c r="R103" s="372"/>
      <c r="S103" s="369" t="str">
        <f>IFERROR(VLOOKUP(TRANSHARI11_ROKOKMALAM[[#This Row],[PRODUK]],DATA_ROKOK[],13,FALSE),"")</f>
        <v/>
      </c>
      <c r="T103" s="374"/>
      <c r="U103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3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3" s="12"/>
      <c r="X103" s="384" t="str">
        <f>IFERROR(IF(TRANSHARI11_ROKOKMALAM[[#This Row],[NAMA REKENING]]="","",TRANSHARI11_ROKOKMALAM[[#This Row],[DEBIT]]),"")</f>
        <v/>
      </c>
      <c r="Y103" s="387"/>
    </row>
    <row r="104" spans="1:25">
      <c r="A104" s="367">
        <v>20</v>
      </c>
      <c r="B104" s="368"/>
      <c r="C104" s="372"/>
      <c r="D104" s="373" t="str">
        <f>IFERROR(VLOOKUP(TRANSHARI11_ROKOKPAGI[[#This Row],[PRODUK]],DATA_ROKOK[],13,FALSE),"")</f>
        <v/>
      </c>
      <c r="E104" s="374"/>
      <c r="F104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4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4" s="12"/>
      <c r="I104" s="386" t="str">
        <f>IFERROR(IF(TRANSHARI11_ROKOKPAGI[[#This Row],[NAMA REKENING]]="","",TRANSHARI11_ROKOKPAGI[[#This Row],[DEBIT]]),"")</f>
        <v/>
      </c>
      <c r="J104" s="387"/>
      <c r="O104" s="324"/>
      <c r="P104" s="367">
        <v>20</v>
      </c>
      <c r="Q104" s="368"/>
      <c r="R104" s="372"/>
      <c r="S104" s="373" t="str">
        <f>IFERROR(VLOOKUP(TRANSHARI11_ROKOKMALAM[[#This Row],[PRODUK]],DATA_ROKOK[],13,FALSE),"")</f>
        <v/>
      </c>
      <c r="T104" s="374"/>
      <c r="U104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4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4" s="12"/>
      <c r="X104" s="386" t="str">
        <f>IFERROR(IF(TRANSHARI11_ROKOKMALAM[[#This Row],[NAMA REKENING]]="","",TRANSHARI11_ROKOKMALAM[[#This Row],[DEBIT]]),"")</f>
        <v/>
      </c>
      <c r="Y104" s="387"/>
    </row>
    <row r="105" spans="1:25">
      <c r="A105" s="367">
        <v>21</v>
      </c>
      <c r="B105" s="368"/>
      <c r="C105" s="372"/>
      <c r="D105" s="369" t="str">
        <f>IFERROR(VLOOKUP(TRANSHARI11_ROKOKPAGI[[#This Row],[PRODUK]],DATA_ROKOK[],13,FALSE),"")</f>
        <v/>
      </c>
      <c r="E105" s="374"/>
      <c r="F105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5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5" s="12"/>
      <c r="I105" s="384" t="str">
        <f>IFERROR(IF(TRANSHARI11_ROKOKPAGI[[#This Row],[NAMA REKENING]]="","",TRANSHARI11_ROKOKPAGI[[#This Row],[DEBIT]]),"")</f>
        <v/>
      </c>
      <c r="J105" s="387"/>
      <c r="O105" s="324"/>
      <c r="P105" s="367">
        <v>21</v>
      </c>
      <c r="Q105" s="368"/>
      <c r="R105" s="372"/>
      <c r="S105" s="369" t="str">
        <f>IFERROR(VLOOKUP(TRANSHARI11_ROKOKMALAM[[#This Row],[PRODUK]],DATA_ROKOK[],13,FALSE),"")</f>
        <v/>
      </c>
      <c r="T105" s="374"/>
      <c r="U105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5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5" s="12"/>
      <c r="X105" s="384" t="str">
        <f>IFERROR(IF(TRANSHARI11_ROKOKMALAM[[#This Row],[NAMA REKENING]]="","",TRANSHARI11_ROKOKMALAM[[#This Row],[DEBIT]]),"")</f>
        <v/>
      </c>
      <c r="Y105" s="387"/>
    </row>
    <row r="106" spans="1:25">
      <c r="A106" s="367">
        <v>22</v>
      </c>
      <c r="B106" s="368"/>
      <c r="C106" s="372"/>
      <c r="D106" s="373" t="str">
        <f>IFERROR(VLOOKUP(TRANSHARI11_ROKOKPAGI[[#This Row],[PRODUK]],DATA_ROKOK[],13,FALSE),"")</f>
        <v/>
      </c>
      <c r="E106" s="374"/>
      <c r="F106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6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6" s="12"/>
      <c r="I106" s="386" t="str">
        <f>IFERROR(IF(TRANSHARI11_ROKOKPAGI[[#This Row],[NAMA REKENING]]="","",TRANSHARI11_ROKOKPAGI[[#This Row],[DEBIT]]),"")</f>
        <v/>
      </c>
      <c r="J106" s="387"/>
      <c r="O106" s="324"/>
      <c r="P106" s="367">
        <v>22</v>
      </c>
      <c r="Q106" s="368"/>
      <c r="R106" s="372"/>
      <c r="S106" s="373" t="str">
        <f>IFERROR(VLOOKUP(TRANSHARI11_ROKOKMALAM[[#This Row],[PRODUK]],DATA_ROKOK[],13,FALSE),"")</f>
        <v/>
      </c>
      <c r="T106" s="374"/>
      <c r="U106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6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6" s="12"/>
      <c r="X106" s="386" t="str">
        <f>IFERROR(IF(TRANSHARI11_ROKOKMALAM[[#This Row],[NAMA REKENING]]="","",TRANSHARI11_ROKOKMALAM[[#This Row],[DEBIT]]),"")</f>
        <v/>
      </c>
      <c r="Y106" s="387"/>
    </row>
    <row r="107" spans="1:25">
      <c r="A107" s="367">
        <v>23</v>
      </c>
      <c r="B107" s="368"/>
      <c r="C107" s="372"/>
      <c r="D107" s="369" t="str">
        <f>IFERROR(VLOOKUP(TRANSHARI11_ROKOKPAGI[[#This Row],[PRODUK]],DATA_ROKOK[],13,FALSE),"")</f>
        <v/>
      </c>
      <c r="E107" s="374"/>
      <c r="F107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7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7" s="12"/>
      <c r="I107" s="384" t="str">
        <f>IFERROR(IF(TRANSHARI11_ROKOKPAGI[[#This Row],[NAMA REKENING]]="","",TRANSHARI11_ROKOKPAGI[[#This Row],[DEBIT]]),"")</f>
        <v/>
      </c>
      <c r="J107" s="387"/>
      <c r="O107" s="324"/>
      <c r="P107" s="367">
        <v>23</v>
      </c>
      <c r="Q107" s="368"/>
      <c r="R107" s="372"/>
      <c r="S107" s="369" t="str">
        <f>IFERROR(VLOOKUP(TRANSHARI11_ROKOKMALAM[[#This Row],[PRODUK]],DATA_ROKOK[],13,FALSE),"")</f>
        <v/>
      </c>
      <c r="T107" s="374"/>
      <c r="U107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7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7" s="12"/>
      <c r="X107" s="384" t="str">
        <f>IFERROR(IF(TRANSHARI11_ROKOKMALAM[[#This Row],[NAMA REKENING]]="","",TRANSHARI11_ROKOKMALAM[[#This Row],[DEBIT]]),"")</f>
        <v/>
      </c>
      <c r="Y107" s="387"/>
    </row>
    <row r="108" spans="1:25">
      <c r="A108" s="367">
        <v>24</v>
      </c>
      <c r="B108" s="368"/>
      <c r="C108" s="372"/>
      <c r="D108" s="373" t="str">
        <f>IFERROR(VLOOKUP(TRANSHARI11_ROKOKPAGI[[#This Row],[PRODUK]],DATA_ROKOK[],13,FALSE),"")</f>
        <v/>
      </c>
      <c r="E108" s="374"/>
      <c r="F108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8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8" s="12"/>
      <c r="I108" s="386" t="str">
        <f>IFERROR(IF(TRANSHARI11_ROKOKPAGI[[#This Row],[NAMA REKENING]]="","",TRANSHARI11_ROKOKPAGI[[#This Row],[DEBIT]]),"")</f>
        <v/>
      </c>
      <c r="J108" s="387"/>
      <c r="O108" s="324"/>
      <c r="P108" s="367">
        <v>24</v>
      </c>
      <c r="Q108" s="368"/>
      <c r="R108" s="372"/>
      <c r="S108" s="373" t="str">
        <f>IFERROR(VLOOKUP(TRANSHARI11_ROKOKMALAM[[#This Row],[PRODUK]],DATA_ROKOK[],13,FALSE),"")</f>
        <v/>
      </c>
      <c r="T108" s="374"/>
      <c r="U108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8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8" s="12"/>
      <c r="X108" s="386" t="str">
        <f>IFERROR(IF(TRANSHARI11_ROKOKMALAM[[#This Row],[NAMA REKENING]]="","",TRANSHARI11_ROKOKMALAM[[#This Row],[DEBIT]]),"")</f>
        <v/>
      </c>
      <c r="Y108" s="387"/>
    </row>
    <row r="109" spans="1:25">
      <c r="A109" s="367">
        <v>25</v>
      </c>
      <c r="B109" s="368"/>
      <c r="C109" s="372"/>
      <c r="D109" s="369" t="str">
        <f>IFERROR(VLOOKUP(TRANSHARI11_ROKOKPAGI[[#This Row],[PRODUK]],DATA_ROKOK[],13,FALSE),"")</f>
        <v/>
      </c>
      <c r="E109" s="374"/>
      <c r="F109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09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09" s="12"/>
      <c r="I109" s="384" t="str">
        <f>IFERROR(IF(TRANSHARI11_ROKOKPAGI[[#This Row],[NAMA REKENING]]="","",TRANSHARI11_ROKOKPAGI[[#This Row],[DEBIT]]),"")</f>
        <v/>
      </c>
      <c r="J109" s="387"/>
      <c r="O109" s="324"/>
      <c r="P109" s="367">
        <v>25</v>
      </c>
      <c r="Q109" s="368"/>
      <c r="R109" s="372"/>
      <c r="S109" s="369" t="str">
        <f>IFERROR(VLOOKUP(TRANSHARI11_ROKOKMALAM[[#This Row],[PRODUK]],DATA_ROKOK[],13,FALSE),"")</f>
        <v/>
      </c>
      <c r="T109" s="374"/>
      <c r="U109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09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09" s="12"/>
      <c r="X109" s="384" t="str">
        <f>IFERROR(IF(TRANSHARI11_ROKOKMALAM[[#This Row],[NAMA REKENING]]="","",TRANSHARI11_ROKOKMALAM[[#This Row],[DEBIT]]),"")</f>
        <v/>
      </c>
      <c r="Y109" s="387"/>
    </row>
    <row r="110" spans="1:25">
      <c r="A110" s="367">
        <v>26</v>
      </c>
      <c r="B110" s="368"/>
      <c r="C110" s="375"/>
      <c r="D110" s="373" t="str">
        <f>IFERROR(VLOOKUP(TRANSHARI11_ROKOKPAGI[[#This Row],[PRODUK]],DATA_ROKOK[],13,FALSE),"")</f>
        <v/>
      </c>
      <c r="E110" s="376"/>
      <c r="F110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0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0" s="377"/>
      <c r="I110" s="386" t="str">
        <f>IFERROR(IF(TRANSHARI11_ROKOKPAGI[[#This Row],[NAMA REKENING]]="","",TRANSHARI11_ROKOKPAGI[[#This Row],[DEBIT]]),"")</f>
        <v/>
      </c>
      <c r="J110" s="388"/>
      <c r="O110" s="324"/>
      <c r="P110" s="367">
        <v>26</v>
      </c>
      <c r="Q110" s="368"/>
      <c r="R110" s="375"/>
      <c r="S110" s="373" t="str">
        <f>IFERROR(VLOOKUP(TRANSHARI11_ROKOKMALAM[[#This Row],[PRODUK]],DATA_ROKOK[],13,FALSE),"")</f>
        <v/>
      </c>
      <c r="T110" s="376"/>
      <c r="U110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0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0" s="377"/>
      <c r="X110" s="386" t="str">
        <f>IFERROR(IF(TRANSHARI11_ROKOKMALAM[[#This Row],[NAMA REKENING]]="","",TRANSHARI11_ROKOKMALAM[[#This Row],[DEBIT]]),"")</f>
        <v/>
      </c>
      <c r="Y110" s="388"/>
    </row>
    <row r="111" spans="1:25">
      <c r="A111" s="367">
        <v>27</v>
      </c>
      <c r="B111" s="368"/>
      <c r="C111" s="372"/>
      <c r="D111" s="369" t="str">
        <f>IFERROR(VLOOKUP(TRANSHARI11_ROKOKPAGI[[#This Row],[PRODUK]],DATA_ROKOK[],13,FALSE),"")</f>
        <v/>
      </c>
      <c r="E111" s="374"/>
      <c r="F111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1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1" s="12"/>
      <c r="I111" s="384" t="str">
        <f>IFERROR(IF(TRANSHARI11_ROKOKPAGI[[#This Row],[NAMA REKENING]]="","",TRANSHARI11_ROKOKPAGI[[#This Row],[DEBIT]]),"")</f>
        <v/>
      </c>
      <c r="J111" s="387"/>
      <c r="O111" s="324"/>
      <c r="P111" s="367">
        <v>27</v>
      </c>
      <c r="Q111" s="368"/>
      <c r="R111" s="372"/>
      <c r="S111" s="369" t="str">
        <f>IFERROR(VLOOKUP(TRANSHARI11_ROKOKMALAM[[#This Row],[PRODUK]],DATA_ROKOK[],13,FALSE),"")</f>
        <v/>
      </c>
      <c r="T111" s="374"/>
      <c r="U111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1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1" s="12"/>
      <c r="X111" s="384" t="str">
        <f>IFERROR(IF(TRANSHARI11_ROKOKMALAM[[#This Row],[NAMA REKENING]]="","",TRANSHARI11_ROKOKMALAM[[#This Row],[DEBIT]]),"")</f>
        <v/>
      </c>
      <c r="Y111" s="387"/>
    </row>
    <row r="112" spans="1:25">
      <c r="A112" s="367">
        <v>28</v>
      </c>
      <c r="B112" s="368"/>
      <c r="C112" s="372"/>
      <c r="D112" s="373" t="str">
        <f>IFERROR(VLOOKUP(TRANSHARI11_ROKOKPAGI[[#This Row],[PRODUK]],DATA_ROKOK[],13,FALSE),"")</f>
        <v/>
      </c>
      <c r="E112" s="374"/>
      <c r="F112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2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2" s="12"/>
      <c r="I112" s="386" t="str">
        <f>IFERROR(IF(TRANSHARI11_ROKOKPAGI[[#This Row],[NAMA REKENING]]="","",TRANSHARI11_ROKOKPAGI[[#This Row],[DEBIT]]),"")</f>
        <v/>
      </c>
      <c r="J112" s="387"/>
      <c r="O112" s="324"/>
      <c r="P112" s="367">
        <v>28</v>
      </c>
      <c r="Q112" s="368"/>
      <c r="R112" s="372"/>
      <c r="S112" s="373" t="str">
        <f>IFERROR(VLOOKUP(TRANSHARI11_ROKOKMALAM[[#This Row],[PRODUK]],DATA_ROKOK[],13,FALSE),"")</f>
        <v/>
      </c>
      <c r="T112" s="374"/>
      <c r="U112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2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2" s="12"/>
      <c r="X112" s="386" t="str">
        <f>IFERROR(IF(TRANSHARI11_ROKOKMALAM[[#This Row],[NAMA REKENING]]="","",TRANSHARI11_ROKOKMALAM[[#This Row],[DEBIT]]),"")</f>
        <v/>
      </c>
      <c r="Y112" s="387"/>
    </row>
    <row r="113" spans="1:25">
      <c r="A113" s="367">
        <v>29</v>
      </c>
      <c r="B113" s="368"/>
      <c r="C113" s="372"/>
      <c r="D113" s="369" t="str">
        <f>IFERROR(VLOOKUP(TRANSHARI11_ROKOKPAGI[[#This Row],[PRODUK]],DATA_ROKOK[],13,FALSE),"")</f>
        <v/>
      </c>
      <c r="E113" s="374"/>
      <c r="F113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3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3" s="12"/>
      <c r="I113" s="384" t="str">
        <f>IFERROR(IF(TRANSHARI11_ROKOKPAGI[[#This Row],[NAMA REKENING]]="","",TRANSHARI11_ROKOKPAGI[[#This Row],[DEBIT]]),"")</f>
        <v/>
      </c>
      <c r="J113" s="387"/>
      <c r="O113" s="324"/>
      <c r="P113" s="367">
        <v>29</v>
      </c>
      <c r="Q113" s="368"/>
      <c r="R113" s="372"/>
      <c r="S113" s="369" t="str">
        <f>IFERROR(VLOOKUP(TRANSHARI11_ROKOKMALAM[[#This Row],[PRODUK]],DATA_ROKOK[],13,FALSE),"")</f>
        <v/>
      </c>
      <c r="T113" s="374"/>
      <c r="U113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3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3" s="12"/>
      <c r="X113" s="384" t="str">
        <f>IFERROR(IF(TRANSHARI11_ROKOKMALAM[[#This Row],[NAMA REKENING]]="","",TRANSHARI11_ROKOKMALAM[[#This Row],[DEBIT]]),"")</f>
        <v/>
      </c>
      <c r="Y113" s="387"/>
    </row>
    <row r="114" spans="1:25">
      <c r="A114" s="367">
        <v>30</v>
      </c>
      <c r="B114" s="368"/>
      <c r="C114" s="372"/>
      <c r="D114" s="373" t="str">
        <f>IFERROR(VLOOKUP(TRANSHARI11_ROKOKPAGI[[#This Row],[PRODUK]],DATA_ROKOK[],13,FALSE),"")</f>
        <v/>
      </c>
      <c r="E114" s="374"/>
      <c r="F114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4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4" s="12"/>
      <c r="I114" s="386" t="str">
        <f>IFERROR(IF(TRANSHARI11_ROKOKPAGI[[#This Row],[NAMA REKENING]]="","",TRANSHARI11_ROKOKPAGI[[#This Row],[DEBIT]]),"")</f>
        <v/>
      </c>
      <c r="J114" s="387"/>
      <c r="O114" s="324"/>
      <c r="P114" s="367">
        <v>30</v>
      </c>
      <c r="Q114" s="368"/>
      <c r="R114" s="372"/>
      <c r="S114" s="373" t="str">
        <f>IFERROR(VLOOKUP(TRANSHARI11_ROKOKMALAM[[#This Row],[PRODUK]],DATA_ROKOK[],13,FALSE),"")</f>
        <v/>
      </c>
      <c r="T114" s="374"/>
      <c r="U114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4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4" s="12"/>
      <c r="X114" s="386" t="str">
        <f>IFERROR(IF(TRANSHARI11_ROKOKMALAM[[#This Row],[NAMA REKENING]]="","",TRANSHARI11_ROKOKMALAM[[#This Row],[DEBIT]]),"")</f>
        <v/>
      </c>
      <c r="Y114" s="387"/>
    </row>
    <row r="115" spans="1:25">
      <c r="A115" s="367">
        <v>31</v>
      </c>
      <c r="B115" s="368"/>
      <c r="C115" s="372"/>
      <c r="D115" s="369" t="str">
        <f>IFERROR(VLOOKUP(TRANSHARI11_ROKOKPAGI[[#This Row],[PRODUK]],DATA_ROKOK[],13,FALSE),"")</f>
        <v/>
      </c>
      <c r="E115" s="374"/>
      <c r="F115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5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5" s="12"/>
      <c r="I115" s="384" t="str">
        <f>IFERROR(IF(TRANSHARI11_ROKOKPAGI[[#This Row],[NAMA REKENING]]="","",TRANSHARI11_ROKOKPAGI[[#This Row],[DEBIT]]),"")</f>
        <v/>
      </c>
      <c r="J115" s="387"/>
      <c r="O115" s="324"/>
      <c r="P115" s="367">
        <v>31</v>
      </c>
      <c r="Q115" s="368"/>
      <c r="R115" s="372"/>
      <c r="S115" s="369" t="str">
        <f>IFERROR(VLOOKUP(TRANSHARI11_ROKOKMALAM[[#This Row],[PRODUK]],DATA_ROKOK[],13,FALSE),"")</f>
        <v/>
      </c>
      <c r="T115" s="374"/>
      <c r="U115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5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5" s="12"/>
      <c r="X115" s="384" t="str">
        <f>IFERROR(IF(TRANSHARI11_ROKOKMALAM[[#This Row],[NAMA REKENING]]="","",TRANSHARI11_ROKOKMALAM[[#This Row],[DEBIT]]),"")</f>
        <v/>
      </c>
      <c r="Y115" s="387"/>
    </row>
    <row r="116" spans="1:25">
      <c r="A116" s="367">
        <v>32</v>
      </c>
      <c r="B116" s="368"/>
      <c r="C116" s="372"/>
      <c r="D116" s="373" t="str">
        <f>IFERROR(VLOOKUP(TRANSHARI11_ROKOKPAGI[[#This Row],[PRODUK]],DATA_ROKOK[],13,FALSE),"")</f>
        <v/>
      </c>
      <c r="E116" s="374"/>
      <c r="F116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6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6" s="12"/>
      <c r="I116" s="386" t="str">
        <f>IFERROR(IF(TRANSHARI11_ROKOKPAGI[[#This Row],[NAMA REKENING]]="","",TRANSHARI11_ROKOKPAGI[[#This Row],[DEBIT]]),"")</f>
        <v/>
      </c>
      <c r="J116" s="387"/>
      <c r="O116" s="324"/>
      <c r="P116" s="367">
        <v>32</v>
      </c>
      <c r="Q116" s="368"/>
      <c r="R116" s="372"/>
      <c r="S116" s="373" t="str">
        <f>IFERROR(VLOOKUP(TRANSHARI11_ROKOKMALAM[[#This Row],[PRODUK]],DATA_ROKOK[],13,FALSE),"")</f>
        <v/>
      </c>
      <c r="T116" s="374"/>
      <c r="U116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6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6" s="12"/>
      <c r="X116" s="386" t="str">
        <f>IFERROR(IF(TRANSHARI11_ROKOKMALAM[[#This Row],[NAMA REKENING]]="","",TRANSHARI11_ROKOKMALAM[[#This Row],[DEBIT]]),"")</f>
        <v/>
      </c>
      <c r="Y116" s="387"/>
    </row>
    <row r="117" spans="1:25">
      <c r="A117" s="367">
        <v>33</v>
      </c>
      <c r="B117" s="368"/>
      <c r="C117" s="372"/>
      <c r="D117" s="369" t="str">
        <f>IFERROR(VLOOKUP(TRANSHARI11_ROKOKPAGI[[#This Row],[PRODUK]],DATA_ROKOK[],13,FALSE),"")</f>
        <v/>
      </c>
      <c r="E117" s="374"/>
      <c r="F117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7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7" s="12"/>
      <c r="I117" s="384" t="str">
        <f>IFERROR(IF(TRANSHARI11_ROKOKPAGI[[#This Row],[NAMA REKENING]]="","",TRANSHARI11_ROKOKPAGI[[#This Row],[DEBIT]]),"")</f>
        <v/>
      </c>
      <c r="J117" s="387"/>
      <c r="O117" s="324"/>
      <c r="P117" s="367">
        <v>33</v>
      </c>
      <c r="Q117" s="368"/>
      <c r="R117" s="372"/>
      <c r="S117" s="369" t="str">
        <f>IFERROR(VLOOKUP(TRANSHARI11_ROKOKMALAM[[#This Row],[PRODUK]],DATA_ROKOK[],13,FALSE),"")</f>
        <v/>
      </c>
      <c r="T117" s="374"/>
      <c r="U117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7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7" s="12"/>
      <c r="X117" s="384" t="str">
        <f>IFERROR(IF(TRANSHARI11_ROKOKMALAM[[#This Row],[NAMA REKENING]]="","",TRANSHARI11_ROKOKMALAM[[#This Row],[DEBIT]]),"")</f>
        <v/>
      </c>
      <c r="Y117" s="387"/>
    </row>
    <row r="118" spans="1:25">
      <c r="A118" s="367">
        <v>34</v>
      </c>
      <c r="B118" s="368"/>
      <c r="C118" s="372"/>
      <c r="D118" s="373" t="str">
        <f>IFERROR(VLOOKUP(TRANSHARI11_ROKOKPAGI[[#This Row],[PRODUK]],DATA_ROKOK[],13,FALSE),"")</f>
        <v/>
      </c>
      <c r="E118" s="374"/>
      <c r="F118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8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8" s="12"/>
      <c r="I118" s="386" t="str">
        <f>IFERROR(IF(TRANSHARI11_ROKOKPAGI[[#This Row],[NAMA REKENING]]="","",TRANSHARI11_ROKOKPAGI[[#This Row],[DEBIT]]),"")</f>
        <v/>
      </c>
      <c r="J118" s="387"/>
      <c r="O118" s="324"/>
      <c r="P118" s="367">
        <v>34</v>
      </c>
      <c r="Q118" s="368"/>
      <c r="R118" s="372"/>
      <c r="S118" s="373" t="str">
        <f>IFERROR(VLOOKUP(TRANSHARI11_ROKOKMALAM[[#This Row],[PRODUK]],DATA_ROKOK[],13,FALSE),"")</f>
        <v/>
      </c>
      <c r="T118" s="374"/>
      <c r="U118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8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8" s="12"/>
      <c r="X118" s="386" t="str">
        <f>IFERROR(IF(TRANSHARI11_ROKOKMALAM[[#This Row],[NAMA REKENING]]="","",TRANSHARI11_ROKOKMALAM[[#This Row],[DEBIT]]),"")</f>
        <v/>
      </c>
      <c r="Y118" s="387"/>
    </row>
    <row r="119" spans="1:25">
      <c r="A119" s="367">
        <v>35</v>
      </c>
      <c r="B119" s="368"/>
      <c r="C119" s="372"/>
      <c r="D119" s="369" t="str">
        <f>IFERROR(VLOOKUP(TRANSHARI11_ROKOKPAGI[[#This Row],[PRODUK]],DATA_ROKOK[],13,FALSE),"")</f>
        <v/>
      </c>
      <c r="E119" s="374"/>
      <c r="F119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19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19" s="12"/>
      <c r="I119" s="384" t="str">
        <f>IFERROR(IF(TRANSHARI11_ROKOKPAGI[[#This Row],[NAMA REKENING]]="","",TRANSHARI11_ROKOKPAGI[[#This Row],[DEBIT]]),"")</f>
        <v/>
      </c>
      <c r="J119" s="387"/>
      <c r="O119" s="324"/>
      <c r="P119" s="367">
        <v>35</v>
      </c>
      <c r="Q119" s="368"/>
      <c r="R119" s="372"/>
      <c r="S119" s="369" t="str">
        <f>IFERROR(VLOOKUP(TRANSHARI11_ROKOKMALAM[[#This Row],[PRODUK]],DATA_ROKOK[],13,FALSE),"")</f>
        <v/>
      </c>
      <c r="T119" s="374"/>
      <c r="U119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19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19" s="12"/>
      <c r="X119" s="384" t="str">
        <f>IFERROR(IF(TRANSHARI11_ROKOKMALAM[[#This Row],[NAMA REKENING]]="","",TRANSHARI11_ROKOKMALAM[[#This Row],[DEBIT]]),"")</f>
        <v/>
      </c>
      <c r="Y119" s="387"/>
    </row>
    <row r="120" spans="1:25">
      <c r="A120" s="367">
        <v>36</v>
      </c>
      <c r="B120" s="368"/>
      <c r="C120" s="372"/>
      <c r="D120" s="373" t="str">
        <f>IFERROR(VLOOKUP(TRANSHARI11_ROKOKPAGI[[#This Row],[PRODUK]],DATA_ROKOK[],13,FALSE),"")</f>
        <v/>
      </c>
      <c r="E120" s="374"/>
      <c r="F120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0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0" s="12"/>
      <c r="I120" s="386" t="str">
        <f>IFERROR(IF(TRANSHARI11_ROKOKPAGI[[#This Row],[NAMA REKENING]]="","",TRANSHARI11_ROKOKPAGI[[#This Row],[DEBIT]]),"")</f>
        <v/>
      </c>
      <c r="J120" s="387"/>
      <c r="O120" s="324"/>
      <c r="P120" s="367">
        <v>36</v>
      </c>
      <c r="Q120" s="368"/>
      <c r="R120" s="372"/>
      <c r="S120" s="373" t="str">
        <f>IFERROR(VLOOKUP(TRANSHARI11_ROKOKMALAM[[#This Row],[PRODUK]],DATA_ROKOK[],13,FALSE),"")</f>
        <v/>
      </c>
      <c r="T120" s="374"/>
      <c r="U120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0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0" s="12"/>
      <c r="X120" s="386" t="str">
        <f>IFERROR(IF(TRANSHARI11_ROKOKMALAM[[#This Row],[NAMA REKENING]]="","",TRANSHARI11_ROKOKMALAM[[#This Row],[DEBIT]]),"")</f>
        <v/>
      </c>
      <c r="Y120" s="387"/>
    </row>
    <row r="121" spans="1:25">
      <c r="A121" s="367">
        <v>37</v>
      </c>
      <c r="B121" s="368"/>
      <c r="C121" s="372"/>
      <c r="D121" s="369" t="str">
        <f>IFERROR(VLOOKUP(TRANSHARI11_ROKOKPAGI[[#This Row],[PRODUK]],DATA_ROKOK[],13,FALSE),"")</f>
        <v/>
      </c>
      <c r="E121" s="374"/>
      <c r="F121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1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1" s="12"/>
      <c r="I121" s="384" t="str">
        <f>IFERROR(IF(TRANSHARI11_ROKOKPAGI[[#This Row],[NAMA REKENING]]="","",TRANSHARI11_ROKOKPAGI[[#This Row],[DEBIT]]),"")</f>
        <v/>
      </c>
      <c r="J121" s="387"/>
      <c r="O121" s="324"/>
      <c r="P121" s="367">
        <v>37</v>
      </c>
      <c r="Q121" s="368"/>
      <c r="R121" s="372"/>
      <c r="S121" s="369" t="str">
        <f>IFERROR(VLOOKUP(TRANSHARI11_ROKOKMALAM[[#This Row],[PRODUK]],DATA_ROKOK[],13,FALSE),"")</f>
        <v/>
      </c>
      <c r="T121" s="374"/>
      <c r="U121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1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1" s="12"/>
      <c r="X121" s="384" t="str">
        <f>IFERROR(IF(TRANSHARI11_ROKOKMALAM[[#This Row],[NAMA REKENING]]="","",TRANSHARI11_ROKOKMALAM[[#This Row],[DEBIT]]),"")</f>
        <v/>
      </c>
      <c r="Y121" s="387"/>
    </row>
    <row r="122" spans="1:25">
      <c r="A122" s="367">
        <v>38</v>
      </c>
      <c r="B122" s="368"/>
      <c r="C122" s="372"/>
      <c r="D122" s="373" t="str">
        <f>IFERROR(VLOOKUP(TRANSHARI11_ROKOKPAGI[[#This Row],[PRODUK]],DATA_ROKOK[],13,FALSE),"")</f>
        <v/>
      </c>
      <c r="E122" s="374"/>
      <c r="F122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2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2" s="12"/>
      <c r="I122" s="386" t="str">
        <f>IFERROR(IF(TRANSHARI11_ROKOKPAGI[[#This Row],[NAMA REKENING]]="","",TRANSHARI11_ROKOKPAGI[[#This Row],[DEBIT]]),"")</f>
        <v/>
      </c>
      <c r="J122" s="387"/>
      <c r="O122" s="324"/>
      <c r="P122" s="367">
        <v>38</v>
      </c>
      <c r="Q122" s="368"/>
      <c r="R122" s="372"/>
      <c r="S122" s="373" t="str">
        <f>IFERROR(VLOOKUP(TRANSHARI11_ROKOKMALAM[[#This Row],[PRODUK]],DATA_ROKOK[],13,FALSE),"")</f>
        <v/>
      </c>
      <c r="T122" s="374"/>
      <c r="U122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2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2" s="12"/>
      <c r="X122" s="386" t="str">
        <f>IFERROR(IF(TRANSHARI11_ROKOKMALAM[[#This Row],[NAMA REKENING]]="","",TRANSHARI11_ROKOKMALAM[[#This Row],[DEBIT]]),"")</f>
        <v/>
      </c>
      <c r="Y122" s="387"/>
    </row>
    <row r="123" spans="1:25">
      <c r="A123" s="367">
        <v>39</v>
      </c>
      <c r="B123" s="368"/>
      <c r="C123" s="372"/>
      <c r="D123" s="369" t="str">
        <f>IFERROR(VLOOKUP(TRANSHARI11_ROKOKPAGI[[#This Row],[PRODUK]],DATA_ROKOK[],13,FALSE),"")</f>
        <v/>
      </c>
      <c r="E123" s="374"/>
      <c r="F123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3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3" s="12"/>
      <c r="I123" s="384" t="str">
        <f>IFERROR(IF(TRANSHARI11_ROKOKPAGI[[#This Row],[NAMA REKENING]]="","",TRANSHARI11_ROKOKPAGI[[#This Row],[DEBIT]]),"")</f>
        <v/>
      </c>
      <c r="J123" s="387"/>
      <c r="O123" s="324"/>
      <c r="P123" s="367">
        <v>39</v>
      </c>
      <c r="Q123" s="368"/>
      <c r="R123" s="372"/>
      <c r="S123" s="369" t="str">
        <f>IFERROR(VLOOKUP(TRANSHARI11_ROKOKMALAM[[#This Row],[PRODUK]],DATA_ROKOK[],13,FALSE),"")</f>
        <v/>
      </c>
      <c r="T123" s="374"/>
      <c r="U123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3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3" s="12"/>
      <c r="X123" s="384" t="str">
        <f>IFERROR(IF(TRANSHARI11_ROKOKMALAM[[#This Row],[NAMA REKENING]]="","",TRANSHARI11_ROKOKMALAM[[#This Row],[DEBIT]]),"")</f>
        <v/>
      </c>
      <c r="Y123" s="387"/>
    </row>
    <row r="124" spans="1:25">
      <c r="A124" s="367">
        <v>40</v>
      </c>
      <c r="B124" s="368"/>
      <c r="C124" s="372"/>
      <c r="D124" s="373" t="str">
        <f>IFERROR(VLOOKUP(TRANSHARI11_ROKOKPAGI[[#This Row],[PRODUK]],DATA_ROKOK[],13,FALSE),"")</f>
        <v/>
      </c>
      <c r="E124" s="374"/>
      <c r="F124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4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4" s="12"/>
      <c r="I124" s="386" t="str">
        <f>IFERROR(IF(TRANSHARI11_ROKOKPAGI[[#This Row],[NAMA REKENING]]="","",TRANSHARI11_ROKOKPAGI[[#This Row],[DEBIT]]),"")</f>
        <v/>
      </c>
      <c r="J124" s="387"/>
      <c r="O124" s="324"/>
      <c r="P124" s="367">
        <v>40</v>
      </c>
      <c r="Q124" s="368"/>
      <c r="R124" s="372"/>
      <c r="S124" s="373" t="str">
        <f>IFERROR(VLOOKUP(TRANSHARI11_ROKOKMALAM[[#This Row],[PRODUK]],DATA_ROKOK[],13,FALSE),"")</f>
        <v/>
      </c>
      <c r="T124" s="374"/>
      <c r="U124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4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4" s="12"/>
      <c r="X124" s="386" t="str">
        <f>IFERROR(IF(TRANSHARI11_ROKOKMALAM[[#This Row],[NAMA REKENING]]="","",TRANSHARI11_ROKOKMALAM[[#This Row],[DEBIT]]),"")</f>
        <v/>
      </c>
      <c r="Y124" s="387"/>
    </row>
    <row r="125" ht="17.25" spans="1:25">
      <c r="A125" s="367">
        <v>41</v>
      </c>
      <c r="B125" s="368"/>
      <c r="C125" s="372"/>
      <c r="D125" s="369" t="str">
        <f>IFERROR(VLOOKUP(TRANSHARI11_ROKOKPAGI[[#This Row],[PRODUK]],DATA_ROKOK[],13,FALSE),"")</f>
        <v/>
      </c>
      <c r="E125" s="374"/>
      <c r="F125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5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5" s="12"/>
      <c r="I125" s="384" t="str">
        <f>IFERROR(IF(TRANSHARI11_ROKOKPAGI[[#This Row],[NAMA REKENING]]="","",TRANSHARI11_ROKOKPAGI[[#This Row],[DEBIT]]),"")</f>
        <v/>
      </c>
      <c r="J125" s="387"/>
      <c r="O125" s="324"/>
      <c r="P125" s="367">
        <v>41</v>
      </c>
      <c r="Q125" s="368"/>
      <c r="R125" s="372"/>
      <c r="S125" s="369" t="str">
        <f>IFERROR(VLOOKUP(TRANSHARI11_ROKOKMALAM[[#This Row],[PRODUK]],DATA_ROKOK[],13,FALSE),"")</f>
        <v/>
      </c>
      <c r="T125" s="374"/>
      <c r="U125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5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5" s="12"/>
      <c r="X125" s="384" t="str">
        <f>IFERROR(IF(TRANSHARI11_ROKOKMALAM[[#This Row],[NAMA REKENING]]="","",TRANSHARI11_ROKOKMALAM[[#This Row],[DEBIT]]),"")</f>
        <v/>
      </c>
      <c r="Y125" s="387"/>
    </row>
    <row r="126" spans="1:27">
      <c r="A126" s="367">
        <v>42</v>
      </c>
      <c r="B126" s="368"/>
      <c r="C126" s="372"/>
      <c r="D126" s="373" t="str">
        <f>IFERROR(VLOOKUP(TRANSHARI11_ROKOKPAGI[[#This Row],[PRODUK]],DATA_ROKOK[],13,FALSE),"")</f>
        <v/>
      </c>
      <c r="E126" s="374"/>
      <c r="F126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6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6" s="12"/>
      <c r="I126" s="386" t="str">
        <f>IFERROR(IF(TRANSHARI11_ROKOKPAGI[[#This Row],[NAMA REKENING]]="","",TRANSHARI11_ROKOKPAGI[[#This Row],[DEBIT]]),"")</f>
        <v/>
      </c>
      <c r="J126" s="387"/>
      <c r="O126" s="324"/>
      <c r="P126" s="367">
        <v>42</v>
      </c>
      <c r="Q126" s="368"/>
      <c r="R126" s="372"/>
      <c r="S126" s="373" t="str">
        <f>IFERROR(VLOOKUP(TRANSHARI11_ROKOKMALAM[[#This Row],[PRODUK]],DATA_ROKOK[],13,FALSE),"")</f>
        <v/>
      </c>
      <c r="T126" s="374"/>
      <c r="U126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6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6" s="12"/>
      <c r="X126" s="386" t="str">
        <f>IFERROR(IF(TRANSHARI11_ROKOKMALAM[[#This Row],[NAMA REKENING]]="","",TRANSHARI11_ROKOKMALAM[[#This Row],[DEBIT]]),"")</f>
        <v/>
      </c>
      <c r="Y126" s="387"/>
      <c r="Z126" s="302" t="s">
        <v>76</v>
      </c>
      <c r="AA126" s="316"/>
    </row>
    <row r="127" ht="17.25" spans="1:27">
      <c r="A127" s="367">
        <v>43</v>
      </c>
      <c r="B127" s="368"/>
      <c r="C127" s="372"/>
      <c r="D127" s="369" t="str">
        <f>IFERROR(VLOOKUP(TRANSHARI11_ROKOKPAGI[[#This Row],[PRODUK]],DATA_ROKOK[],13,FALSE),"")</f>
        <v/>
      </c>
      <c r="E127" s="374"/>
      <c r="F127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7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7" s="12"/>
      <c r="I127" s="384" t="str">
        <f>IFERROR(IF(TRANSHARI11_ROKOKPAGI[[#This Row],[NAMA REKENING]]="","",TRANSHARI11_ROKOKPAGI[[#This Row],[DEBIT]]),"")</f>
        <v/>
      </c>
      <c r="J127" s="387"/>
      <c r="O127" s="324"/>
      <c r="P127" s="367">
        <v>43</v>
      </c>
      <c r="Q127" s="368"/>
      <c r="R127" s="372"/>
      <c r="S127" s="369" t="str">
        <f>IFERROR(VLOOKUP(TRANSHARI11_ROKOKMALAM[[#This Row],[PRODUK]],DATA_ROKOK[],13,FALSE),"")</f>
        <v/>
      </c>
      <c r="T127" s="374"/>
      <c r="U127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7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7" s="12"/>
      <c r="X127" s="384" t="str">
        <f>IFERROR(IF(TRANSHARI11_ROKOKMALAM[[#This Row],[NAMA REKENING]]="","",TRANSHARI11_ROKOKMALAM[[#This Row],[DEBIT]]),"")</f>
        <v/>
      </c>
      <c r="Y127" s="387"/>
      <c r="Z127" s="306"/>
      <c r="AA127" s="321"/>
    </row>
    <row r="128" spans="1:27">
      <c r="A128" s="367">
        <v>44</v>
      </c>
      <c r="B128" s="368"/>
      <c r="C128" s="372"/>
      <c r="D128" s="373" t="str">
        <f>IFERROR(VLOOKUP(TRANSHARI11_ROKOKPAGI[[#This Row],[PRODUK]],DATA_ROKOK[],13,FALSE),"")</f>
        <v/>
      </c>
      <c r="E128" s="374"/>
      <c r="F128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8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8" s="12"/>
      <c r="I128" s="386" t="str">
        <f>IFERROR(IF(TRANSHARI11_ROKOKPAGI[[#This Row],[NAMA REKENING]]="","",TRANSHARI11_ROKOKPAGI[[#This Row],[DEBIT]]),"")</f>
        <v/>
      </c>
      <c r="J128" s="387"/>
      <c r="O128" s="324"/>
      <c r="P128" s="367">
        <v>44</v>
      </c>
      <c r="Q128" s="368"/>
      <c r="R128" s="372"/>
      <c r="S128" s="373" t="str">
        <f>IFERROR(VLOOKUP(TRANSHARI11_ROKOKMALAM[[#This Row],[PRODUK]],DATA_ROKOK[],13,FALSE),"")</f>
        <v/>
      </c>
      <c r="T128" s="374"/>
      <c r="U128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8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8" s="12"/>
      <c r="X128" s="386" t="str">
        <f>IFERROR(IF(TRANSHARI11_ROKOKMALAM[[#This Row],[NAMA REKENING]]="","",TRANSHARI11_ROKOKMALAM[[#This Row],[DEBIT]]),"")</f>
        <v/>
      </c>
      <c r="Y128" s="387"/>
      <c r="Z128" s="389">
        <f>U135+V135</f>
        <v>0</v>
      </c>
      <c r="AA128" s="390"/>
    </row>
    <row r="129" ht="17.25" spans="1:27">
      <c r="A129" s="367">
        <v>45</v>
      </c>
      <c r="B129" s="368"/>
      <c r="C129" s="372"/>
      <c r="D129" s="369" t="str">
        <f>IFERROR(VLOOKUP(TRANSHARI11_ROKOKPAGI[[#This Row],[PRODUK]],DATA_ROKOK[],13,FALSE),"")</f>
        <v/>
      </c>
      <c r="E129" s="374"/>
      <c r="F129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29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29" s="12"/>
      <c r="I129" s="384" t="str">
        <f>IFERROR(IF(TRANSHARI11_ROKOKPAGI[[#This Row],[NAMA REKENING]]="","",TRANSHARI11_ROKOKPAGI[[#This Row],[DEBIT]]),"")</f>
        <v/>
      </c>
      <c r="J129" s="387"/>
      <c r="O129" s="324"/>
      <c r="P129" s="367">
        <v>45</v>
      </c>
      <c r="Q129" s="368"/>
      <c r="R129" s="372"/>
      <c r="S129" s="369" t="str">
        <f>IFERROR(VLOOKUP(TRANSHARI11_ROKOKMALAM[[#This Row],[PRODUK]],DATA_ROKOK[],13,FALSE),"")</f>
        <v/>
      </c>
      <c r="T129" s="374"/>
      <c r="U129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29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29" s="12"/>
      <c r="X129" s="384" t="str">
        <f>IFERROR(IF(TRANSHARI11_ROKOKMALAM[[#This Row],[NAMA REKENING]]="","",TRANSHARI11_ROKOKMALAM[[#This Row],[DEBIT]]),"")</f>
        <v/>
      </c>
      <c r="Y129" s="387"/>
      <c r="Z129" s="391"/>
      <c r="AA129" s="392"/>
    </row>
    <row r="130" ht="17.25" spans="1:25">
      <c r="A130" s="367">
        <v>46</v>
      </c>
      <c r="B130" s="368"/>
      <c r="C130" s="372"/>
      <c r="D130" s="373" t="str">
        <f>IFERROR(VLOOKUP(TRANSHARI11_ROKOKPAGI[[#This Row],[PRODUK]],DATA_ROKOK[],13,FALSE),"")</f>
        <v/>
      </c>
      <c r="E130" s="374"/>
      <c r="F130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30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30" s="12"/>
      <c r="I130" s="386" t="str">
        <f>IFERROR(IF(TRANSHARI11_ROKOKPAGI[[#This Row],[NAMA REKENING]]="","",TRANSHARI11_ROKOKPAGI[[#This Row],[DEBIT]]),"")</f>
        <v/>
      </c>
      <c r="J130" s="387"/>
      <c r="O130" s="324"/>
      <c r="P130" s="367">
        <v>46</v>
      </c>
      <c r="Q130" s="368"/>
      <c r="R130" s="372"/>
      <c r="S130" s="373" t="str">
        <f>IFERROR(VLOOKUP(TRANSHARI11_ROKOKMALAM[[#This Row],[PRODUK]],DATA_ROKOK[],13,FALSE),"")</f>
        <v/>
      </c>
      <c r="T130" s="374"/>
      <c r="U130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30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30" s="12"/>
      <c r="X130" s="386" t="str">
        <f>IFERROR(IF(TRANSHARI11_ROKOKMALAM[[#This Row],[NAMA REKENING]]="","",TRANSHARI11_ROKOKMALAM[[#This Row],[DEBIT]]),"")</f>
        <v/>
      </c>
      <c r="Y130" s="387"/>
    </row>
    <row r="131" ht="14.45" customHeight="1" spans="1:27">
      <c r="A131" s="367">
        <v>47</v>
      </c>
      <c r="B131" s="368"/>
      <c r="C131" s="372"/>
      <c r="D131" s="369" t="str">
        <f>IFERROR(VLOOKUP(TRANSHARI11_ROKOKPAGI[[#This Row],[PRODUK]],DATA_ROKOK[],13,FALSE),"")</f>
        <v/>
      </c>
      <c r="E131" s="374"/>
      <c r="F131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31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31" s="12"/>
      <c r="I131" s="384" t="str">
        <f>IFERROR(IF(TRANSHARI11_ROKOKPAGI[[#This Row],[NAMA REKENING]]="","",TRANSHARI11_ROKOKPAGI[[#This Row],[DEBIT]]),"")</f>
        <v/>
      </c>
      <c r="J131" s="387"/>
      <c r="K131" s="302" t="s">
        <v>76</v>
      </c>
      <c r="L131" s="316"/>
      <c r="O131" s="324"/>
      <c r="P131" s="367">
        <v>47</v>
      </c>
      <c r="Q131" s="368"/>
      <c r="R131" s="372"/>
      <c r="S131" s="369" t="str">
        <f>IFERROR(VLOOKUP(TRANSHARI11_ROKOKMALAM[[#This Row],[PRODUK]],DATA_ROKOK[],13,FALSE),"")</f>
        <v/>
      </c>
      <c r="T131" s="374"/>
      <c r="U131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31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31" s="12"/>
      <c r="X131" s="384" t="str">
        <f>IFERROR(IF(TRANSHARI11_ROKOKMALAM[[#This Row],[NAMA REKENING]]="","",TRANSHARI11_ROKOKMALAM[[#This Row],[DEBIT]]),"")</f>
        <v/>
      </c>
      <c r="Y131" s="387"/>
      <c r="Z131" s="302" t="s">
        <v>77</v>
      </c>
      <c r="AA131" s="316"/>
    </row>
    <row r="132" ht="15" customHeight="1" spans="1:27">
      <c r="A132" s="367">
        <v>48</v>
      </c>
      <c r="B132" s="368"/>
      <c r="C132" s="372"/>
      <c r="D132" s="373" t="str">
        <f>IFERROR(VLOOKUP(TRANSHARI11_ROKOKPAGI[[#This Row],[PRODUK]],DATA_ROKOK[],13,FALSE),"")</f>
        <v/>
      </c>
      <c r="E132" s="374"/>
      <c r="F132" s="373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32" s="373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32" s="12"/>
      <c r="I132" s="386" t="str">
        <f>IFERROR(IF(TRANSHARI11_ROKOKPAGI[[#This Row],[NAMA REKENING]]="","",TRANSHARI11_ROKOKPAGI[[#This Row],[DEBIT]]),"")</f>
        <v/>
      </c>
      <c r="J132" s="387"/>
      <c r="K132" s="306"/>
      <c r="L132" s="321"/>
      <c r="O132" s="324"/>
      <c r="P132" s="367">
        <v>48</v>
      </c>
      <c r="Q132" s="368"/>
      <c r="R132" s="372"/>
      <c r="S132" s="373" t="str">
        <f>IFERROR(VLOOKUP(TRANSHARI11_ROKOKMALAM[[#This Row],[PRODUK]],DATA_ROKOK[],13,FALSE),"")</f>
        <v/>
      </c>
      <c r="T132" s="374"/>
      <c r="U132" s="373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32" s="373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32" s="12"/>
      <c r="X132" s="386" t="str">
        <f>IFERROR(IF(TRANSHARI11_ROKOKMALAM[[#This Row],[NAMA REKENING]]="","",TRANSHARI11_ROKOKMALAM[[#This Row],[DEBIT]]),"")</f>
        <v/>
      </c>
      <c r="Y132" s="387"/>
      <c r="Z132" s="306"/>
      <c r="AA132" s="321"/>
    </row>
    <row r="133" ht="14.45" customHeight="1" spans="1:27">
      <c r="A133" s="367">
        <v>49</v>
      </c>
      <c r="B133" s="368"/>
      <c r="C133" s="372"/>
      <c r="D133" s="369" t="str">
        <f>IFERROR(VLOOKUP(TRANSHARI11_ROKOKPAGI[[#This Row],[PRODUK]],DATA_ROKOK[],13,FALSE),"")</f>
        <v/>
      </c>
      <c r="E133" s="374"/>
      <c r="F133" s="369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33" s="369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33" s="12"/>
      <c r="I133" s="384" t="str">
        <f>IFERROR(IF(TRANSHARI11_ROKOKPAGI[[#This Row],[NAMA REKENING]]="","",TRANSHARI11_ROKOKPAGI[[#This Row],[DEBIT]]),"")</f>
        <v/>
      </c>
      <c r="J133" s="387"/>
      <c r="K133" s="389">
        <f>F135+G135</f>
        <v>0</v>
      </c>
      <c r="L133" s="390"/>
      <c r="O133" s="324"/>
      <c r="P133" s="367">
        <v>49</v>
      </c>
      <c r="Q133" s="368"/>
      <c r="R133" s="372"/>
      <c r="S133" s="369" t="str">
        <f>IFERROR(VLOOKUP(TRANSHARI11_ROKOKMALAM[[#This Row],[PRODUK]],DATA_ROKOK[],13,FALSE),"")</f>
        <v/>
      </c>
      <c r="T133" s="374"/>
      <c r="U133" s="369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33" s="369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33" s="12"/>
      <c r="X133" s="384" t="str">
        <f>IFERROR(IF(TRANSHARI11_ROKOKMALAM[[#This Row],[NAMA REKENING]]="","",TRANSHARI11_ROKOKMALAM[[#This Row],[DEBIT]]),"")</f>
        <v/>
      </c>
      <c r="Y133" s="387"/>
      <c r="Z133" s="400">
        <f>K133+Z128</f>
        <v>0</v>
      </c>
      <c r="AA133" s="401"/>
    </row>
    <row r="134" ht="15" customHeight="1" spans="1:27">
      <c r="A134" s="393">
        <v>50</v>
      </c>
      <c r="B134" s="368"/>
      <c r="C134" s="375"/>
      <c r="D134" s="394" t="str">
        <f>IFERROR(VLOOKUP(TRANSHARI11_ROKOKPAGI[[#This Row],[PRODUK]],DATA_ROKOK[],13,FALSE),"")</f>
        <v/>
      </c>
      <c r="E134" s="376"/>
      <c r="F134" s="394" t="str">
        <f>IFERROR(IF(TRANSHARI11_ROKOKPAGI[[#This Row],[NAMA PENGHUTANG]]="",((TRANSHARI11_ROKOKPAGI[[#This Row],[HARGA]]*TRANSHARI11_ROKOKPAGI[[#This Row],[QUANTITY]])+TRANSHARI11_ROKOKPAGI[[#This Row],[PRICE TOLERANCE]]),""),"")</f>
        <v/>
      </c>
      <c r="G134" s="394" t="str">
        <f>IFERROR(IF(TRANSHARI11_ROKOKPAGI[[#This Row],[NAMA PENGHUTANG]]="","",((TRANSHARI11_ROKOKPAGI[[#This Row],[HARGA]]*TRANSHARI11_ROKOKPAGI[[#This Row],[QUANTITY]])+TRANSHARI11_ROKOKPAGI[[#This Row],[PRICE TOLERANCE]])),"")</f>
        <v/>
      </c>
      <c r="H134" s="377"/>
      <c r="I134" s="399" t="str">
        <f>IFERROR(IF(TRANSHARI11_ROKOKPAGI[[#This Row],[NAMA REKENING]]="","",TRANSHARI11_ROKOKPAGI[[#This Row],[DEBIT]]),"")</f>
        <v/>
      </c>
      <c r="J134" s="388"/>
      <c r="K134" s="391"/>
      <c r="L134" s="392"/>
      <c r="O134" s="324"/>
      <c r="P134" s="393">
        <v>50</v>
      </c>
      <c r="Q134" s="368"/>
      <c r="R134" s="375"/>
      <c r="S134" s="394" t="str">
        <f>IFERROR(VLOOKUP(TRANSHARI11_ROKOKMALAM[[#This Row],[PRODUK]],DATA_ROKOK[],13,FALSE),"")</f>
        <v/>
      </c>
      <c r="T134" s="376"/>
      <c r="U134" s="394" t="str">
        <f>IFERROR(IF(TRANSHARI11_ROKOKMALAM[[#This Row],[NAMA PENGHUTANG]]="",((TRANSHARI11_ROKOKMALAM[[#This Row],[HARGA]]*TRANSHARI11_ROKOKMALAM[[#This Row],[QUANTITY]])+TRANSHARI11_ROKOKMALAM[[#This Row],[PRICE TOLERANCE]]),""),"")</f>
        <v/>
      </c>
      <c r="V134" s="394" t="str">
        <f>IFERROR(IF(TRANSHARI11_ROKOKMALAM[[#This Row],[NAMA PENGHUTANG]]="","",((TRANSHARI11_ROKOKMALAM[[#This Row],[HARGA]]*TRANSHARI11_ROKOKMALAM[[#This Row],[QUANTITY]])+TRANSHARI11_ROKOKMALAM[[#This Row],[PRICE TOLERANCE]])),"")</f>
        <v/>
      </c>
      <c r="W134" s="377"/>
      <c r="X134" s="399" t="str">
        <f>IFERROR(IF(TRANSHARI11_ROKOKMALAM[[#This Row],[NAMA REKENING]]="","",TRANSHARI11_ROKOKMALAM[[#This Row],[DEBIT]]),"")</f>
        <v/>
      </c>
      <c r="Y134" s="388"/>
      <c r="Z134" s="402"/>
      <c r="AA134" s="403"/>
    </row>
    <row r="135" spans="1:24">
      <c r="A135" s="302" t="s">
        <v>78</v>
      </c>
      <c r="B135" s="316"/>
      <c r="C135" s="395">
        <f>SUM(TRANSHARI11_ROKOKPAGI[QUANTITY])</f>
        <v>0</v>
      </c>
      <c r="E135" s="396">
        <f>SUM(TRANSHARI11_ROKOKPAGI[PRICE TOLERANCE])</f>
        <v>0</v>
      </c>
      <c r="F135" s="396">
        <f>SUM(TRANSHARI11_ROKOKPAGI[DEBIT])</f>
        <v>0</v>
      </c>
      <c r="G135" s="396">
        <f>SUM(TRANSHARI11_ROKOKPAGI[KREDIT])</f>
        <v>0</v>
      </c>
      <c r="I135" s="396">
        <f>SUM(TRANSHARI11_ROKOKPAGI[NOMINAL TRANSFER])</f>
        <v>0</v>
      </c>
      <c r="O135" s="324"/>
      <c r="P135" s="303" t="s">
        <v>78</v>
      </c>
      <c r="Q135" s="316"/>
      <c r="R135" s="395">
        <f>SUM(TRANSHARI11_ROKOKMALAM[QUANTITY])</f>
        <v>0</v>
      </c>
      <c r="T135" s="396">
        <f>SUM(TRANSHARI11_ROKOKMALAM[PRICE TOLERANCE])</f>
        <v>0</v>
      </c>
      <c r="U135" s="396">
        <f>SUM(TRANSHARI11_ROKOKMALAM[DEBIT])</f>
        <v>0</v>
      </c>
      <c r="V135" s="396">
        <f>SUM(TRANSHARI11_ROKOKMALAM[KREDIT])</f>
        <v>0</v>
      </c>
      <c r="X135" s="396">
        <f>SUM(TRANSHARI11_ROKOKMALAM[NOMINAL TRANSFER])</f>
        <v>0</v>
      </c>
    </row>
    <row r="136" ht="17.25" spans="1:24">
      <c r="A136" s="306"/>
      <c r="B136" s="321"/>
      <c r="C136" s="397"/>
      <c r="E136" s="397"/>
      <c r="F136" s="397"/>
      <c r="G136" s="397"/>
      <c r="I136" s="397"/>
      <c r="O136" s="324"/>
      <c r="P136" s="307"/>
      <c r="Q136" s="321"/>
      <c r="R136" s="397"/>
      <c r="T136" s="397"/>
      <c r="U136" s="397"/>
      <c r="V136" s="397"/>
      <c r="X136" s="397"/>
    </row>
    <row r="137" spans="15:15">
      <c r="O137" s="324"/>
    </row>
    <row r="138" ht="17.25" spans="15:15">
      <c r="O138" s="324"/>
    </row>
    <row r="139" spans="1:25">
      <c r="A139" s="300" t="str">
        <f>A25</f>
        <v>HARI 11 : PAGI</v>
      </c>
      <c r="B139" s="301"/>
      <c r="C139" s="302" t="s">
        <v>79</v>
      </c>
      <c r="D139" s="303"/>
      <c r="E139" s="303"/>
      <c r="F139" s="303"/>
      <c r="G139" s="303"/>
      <c r="H139" s="303"/>
      <c r="I139" s="303"/>
      <c r="J139" s="316"/>
      <c r="O139" s="324"/>
      <c r="P139" s="320" t="str">
        <f>P25</f>
        <v>HARI 11 : MALAM</v>
      </c>
      <c r="Q139" s="301"/>
      <c r="R139" s="302" t="s">
        <v>79</v>
      </c>
      <c r="S139" s="303"/>
      <c r="T139" s="303"/>
      <c r="U139" s="303"/>
      <c r="V139" s="303"/>
      <c r="W139" s="303"/>
      <c r="X139" s="303"/>
      <c r="Y139" s="316"/>
    </row>
    <row r="140" spans="1:25">
      <c r="A140" s="304"/>
      <c r="B140" s="305"/>
      <c r="C140" s="364"/>
      <c r="D140" s="162"/>
      <c r="E140" s="162"/>
      <c r="F140" s="162"/>
      <c r="G140" s="162"/>
      <c r="H140" s="162"/>
      <c r="I140" s="162"/>
      <c r="J140" s="382"/>
      <c r="O140" s="324"/>
      <c r="P140" s="325"/>
      <c r="Q140" s="305"/>
      <c r="R140" s="364"/>
      <c r="S140" s="162"/>
      <c r="T140" s="162"/>
      <c r="U140" s="162"/>
      <c r="V140" s="162"/>
      <c r="W140" s="162"/>
      <c r="X140" s="162"/>
      <c r="Y140" s="382"/>
    </row>
    <row r="141" spans="1:25">
      <c r="A141" s="365" t="s">
        <v>14</v>
      </c>
      <c r="B141" s="366" t="s">
        <v>66</v>
      </c>
      <c r="C141" s="366" t="s">
        <v>67</v>
      </c>
      <c r="D141" s="366" t="s">
        <v>68</v>
      </c>
      <c r="E141" s="366" t="s">
        <v>69</v>
      </c>
      <c r="F141" s="366" t="s">
        <v>16</v>
      </c>
      <c r="G141" s="366" t="s">
        <v>17</v>
      </c>
      <c r="H141" s="366" t="s">
        <v>18</v>
      </c>
      <c r="I141" s="366" t="s">
        <v>21</v>
      </c>
      <c r="J141" s="383" t="s">
        <v>22</v>
      </c>
      <c r="O141" s="324"/>
      <c r="P141" s="365" t="s">
        <v>14</v>
      </c>
      <c r="Q141" s="366" t="s">
        <v>66</v>
      </c>
      <c r="R141" s="366" t="s">
        <v>67</v>
      </c>
      <c r="S141" s="366" t="s">
        <v>68</v>
      </c>
      <c r="T141" s="366" t="s">
        <v>69</v>
      </c>
      <c r="U141" s="366" t="s">
        <v>16</v>
      </c>
      <c r="V141" s="366" t="s">
        <v>17</v>
      </c>
      <c r="W141" s="366" t="s">
        <v>18</v>
      </c>
      <c r="X141" s="366" t="s">
        <v>21</v>
      </c>
      <c r="Y141" s="383" t="s">
        <v>22</v>
      </c>
    </row>
    <row r="142" spans="1:25">
      <c r="A142" s="367">
        <v>1</v>
      </c>
      <c r="B142" s="368"/>
      <c r="C142" s="368"/>
      <c r="D142" s="369" t="str">
        <f>IFERROR(VLOOKUP(TRANSHARI11_SPVOUPAGI[[#This Row],[PRODUK]],DATA_SPVOU[],13,FALSE),"")</f>
        <v/>
      </c>
      <c r="E142" s="370"/>
      <c r="F142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2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2" s="371"/>
      <c r="I142" s="384" t="str">
        <f>IFERROR(IF(TRANSHARI11_SPVOUPAGI[[#This Row],[NAMA REKENING]]="","",TRANSHARI11_SPVOUPAGI[[#This Row],[DEBIT]]),"")</f>
        <v/>
      </c>
      <c r="J142" s="385"/>
      <c r="O142" s="324"/>
      <c r="P142" s="367">
        <v>1</v>
      </c>
      <c r="Q142" s="368"/>
      <c r="R142" s="368"/>
      <c r="S142" s="369" t="str">
        <f>IFERROR(VLOOKUP(TRANSHARI11_SPVOUMALAM[[#This Row],[PRODUK]],DATA_SPVOU[],13,FALSE),"")</f>
        <v/>
      </c>
      <c r="T142" s="370"/>
      <c r="U142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2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2" s="371"/>
      <c r="X142" s="384" t="str">
        <f>IFERROR(IF(TRANSHARI11_SPVOUMALAM[[#This Row],[NAMA REKENING]]="","",TRANSHARI11_SPVOUMALAM[[#This Row],[DEBIT]]),"")</f>
        <v/>
      </c>
      <c r="Y142" s="385"/>
    </row>
    <row r="143" spans="1:25">
      <c r="A143" s="367">
        <v>2</v>
      </c>
      <c r="B143" s="368"/>
      <c r="C143" s="372"/>
      <c r="D143" s="373" t="str">
        <f>IFERROR(VLOOKUP(TRANSHARI11_SPVOUPAGI[[#This Row],[PRODUK]],DATA_SPVOU[],13,FALSE),"")</f>
        <v/>
      </c>
      <c r="E143" s="374"/>
      <c r="F143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3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3" s="12"/>
      <c r="I143" s="386" t="str">
        <f>IFERROR(IF(TRANSHARI11_SPVOUPAGI[[#This Row],[NAMA REKENING]]="","",TRANSHARI11_SPVOUPAGI[[#This Row],[DEBIT]]),"")</f>
        <v/>
      </c>
      <c r="J143" s="387"/>
      <c r="O143" s="324"/>
      <c r="P143" s="367">
        <v>2</v>
      </c>
      <c r="Q143" s="368"/>
      <c r="R143" s="372"/>
      <c r="S143" s="373" t="str">
        <f>IFERROR(VLOOKUP(TRANSHARI11_SPVOUMALAM[[#This Row],[PRODUK]],DATA_SPVOU[],13,FALSE),"")</f>
        <v/>
      </c>
      <c r="T143" s="374"/>
      <c r="U143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3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3" s="12"/>
      <c r="X143" s="386" t="str">
        <f>IFERROR(IF(TRANSHARI11_SPVOUMALAM[[#This Row],[NAMA REKENING]]="","",TRANSHARI11_SPVOUMALAM[[#This Row],[DEBIT]]),"")</f>
        <v/>
      </c>
      <c r="Y143" s="387"/>
    </row>
    <row r="144" spans="1:25">
      <c r="A144" s="367">
        <v>3</v>
      </c>
      <c r="B144" s="368"/>
      <c r="C144" s="372"/>
      <c r="D144" s="369" t="str">
        <f>IFERROR(VLOOKUP(TRANSHARI11_SPVOUPAGI[[#This Row],[PRODUK]],DATA_SPVOU[],13,FALSE),"")</f>
        <v/>
      </c>
      <c r="E144" s="374"/>
      <c r="F144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4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4" s="12"/>
      <c r="I144" s="384" t="str">
        <f>IFERROR(IF(TRANSHARI11_SPVOUPAGI[[#This Row],[NAMA REKENING]]="","",TRANSHARI11_SPVOUPAGI[[#This Row],[DEBIT]]),"")</f>
        <v/>
      </c>
      <c r="J144" s="387"/>
      <c r="O144" s="324"/>
      <c r="P144" s="367">
        <v>3</v>
      </c>
      <c r="Q144" s="368"/>
      <c r="R144" s="372"/>
      <c r="S144" s="369" t="str">
        <f>IFERROR(VLOOKUP(TRANSHARI11_SPVOUMALAM[[#This Row],[PRODUK]],DATA_SPVOU[],13,FALSE),"")</f>
        <v/>
      </c>
      <c r="T144" s="374"/>
      <c r="U144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4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4" s="12"/>
      <c r="X144" s="384" t="str">
        <f>IFERROR(IF(TRANSHARI11_SPVOUMALAM[[#This Row],[NAMA REKENING]]="","",TRANSHARI11_SPVOUMALAM[[#This Row],[DEBIT]]),"")</f>
        <v/>
      </c>
      <c r="Y144" s="387"/>
    </row>
    <row r="145" spans="1:25">
      <c r="A145" s="367">
        <v>4</v>
      </c>
      <c r="B145" s="368"/>
      <c r="C145" s="372"/>
      <c r="D145" s="373" t="str">
        <f>IFERROR(VLOOKUP(TRANSHARI11_SPVOUPAGI[[#This Row],[PRODUK]],DATA_SPVOU[],13,FALSE),"")</f>
        <v/>
      </c>
      <c r="E145" s="374"/>
      <c r="F145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5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5" s="12"/>
      <c r="I145" s="386" t="str">
        <f>IFERROR(IF(TRANSHARI11_SPVOUPAGI[[#This Row],[NAMA REKENING]]="","",TRANSHARI11_SPVOUPAGI[[#This Row],[DEBIT]]),"")</f>
        <v/>
      </c>
      <c r="J145" s="387"/>
      <c r="O145" s="324"/>
      <c r="P145" s="367">
        <v>4</v>
      </c>
      <c r="Q145" s="368"/>
      <c r="R145" s="372"/>
      <c r="S145" s="373" t="str">
        <f>IFERROR(VLOOKUP(TRANSHARI11_SPVOUMALAM[[#This Row],[PRODUK]],DATA_SPVOU[],13,FALSE),"")</f>
        <v/>
      </c>
      <c r="T145" s="374"/>
      <c r="U145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5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5" s="12"/>
      <c r="X145" s="386" t="str">
        <f>IFERROR(IF(TRANSHARI11_SPVOUMALAM[[#This Row],[NAMA REKENING]]="","",TRANSHARI11_SPVOUMALAM[[#This Row],[DEBIT]]),"")</f>
        <v/>
      </c>
      <c r="Y145" s="387"/>
    </row>
    <row r="146" spans="1:25">
      <c r="A146" s="367">
        <v>5</v>
      </c>
      <c r="B146" s="368"/>
      <c r="C146" s="372"/>
      <c r="D146" s="369" t="str">
        <f>IFERROR(VLOOKUP(TRANSHARI11_SPVOUPAGI[[#This Row],[PRODUK]],DATA_SPVOU[],13,FALSE),"")</f>
        <v/>
      </c>
      <c r="E146" s="374"/>
      <c r="F146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6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6" s="12"/>
      <c r="I146" s="384" t="str">
        <f>IFERROR(IF(TRANSHARI11_SPVOUPAGI[[#This Row],[NAMA REKENING]]="","",TRANSHARI11_SPVOUPAGI[[#This Row],[DEBIT]]),"")</f>
        <v/>
      </c>
      <c r="J146" s="387"/>
      <c r="O146" s="324"/>
      <c r="P146" s="367">
        <v>5</v>
      </c>
      <c r="Q146" s="368"/>
      <c r="R146" s="372"/>
      <c r="S146" s="369" t="str">
        <f>IFERROR(VLOOKUP(TRANSHARI11_SPVOUMALAM[[#This Row],[PRODUK]],DATA_SPVOU[],13,FALSE),"")</f>
        <v/>
      </c>
      <c r="T146" s="374"/>
      <c r="U146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6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6" s="12"/>
      <c r="X146" s="384" t="str">
        <f>IFERROR(IF(TRANSHARI11_SPVOUMALAM[[#This Row],[NAMA REKENING]]="","",TRANSHARI11_SPVOUMALAM[[#This Row],[DEBIT]]),"")</f>
        <v/>
      </c>
      <c r="Y146" s="387"/>
    </row>
    <row r="147" spans="1:25">
      <c r="A147" s="367">
        <v>6</v>
      </c>
      <c r="B147" s="368"/>
      <c r="C147" s="372"/>
      <c r="D147" s="373" t="str">
        <f>IFERROR(VLOOKUP(TRANSHARI11_SPVOUPAGI[[#This Row],[PRODUK]],DATA_SPVOU[],13,FALSE),"")</f>
        <v/>
      </c>
      <c r="E147" s="374"/>
      <c r="F147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7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7" s="12"/>
      <c r="I147" s="386" t="str">
        <f>IFERROR(IF(TRANSHARI11_SPVOUPAGI[[#This Row],[NAMA REKENING]]="","",TRANSHARI11_SPVOUPAGI[[#This Row],[DEBIT]]),"")</f>
        <v/>
      </c>
      <c r="J147" s="387"/>
      <c r="O147" s="324"/>
      <c r="P147" s="367">
        <v>6</v>
      </c>
      <c r="Q147" s="368"/>
      <c r="R147" s="372"/>
      <c r="S147" s="373" t="str">
        <f>IFERROR(VLOOKUP(TRANSHARI11_SPVOUMALAM[[#This Row],[PRODUK]],DATA_SPVOU[],13,FALSE),"")</f>
        <v/>
      </c>
      <c r="T147" s="374"/>
      <c r="U147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7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7" s="12"/>
      <c r="X147" s="386" t="str">
        <f>IFERROR(IF(TRANSHARI11_SPVOUMALAM[[#This Row],[NAMA REKENING]]="","",TRANSHARI11_SPVOUMALAM[[#This Row],[DEBIT]]),"")</f>
        <v/>
      </c>
      <c r="Y147" s="387"/>
    </row>
    <row r="148" spans="1:25">
      <c r="A148" s="367">
        <v>7</v>
      </c>
      <c r="B148" s="368"/>
      <c r="C148" s="372"/>
      <c r="D148" s="369" t="str">
        <f>IFERROR(VLOOKUP(TRANSHARI11_SPVOUPAGI[[#This Row],[PRODUK]],DATA_SPVOU[],13,FALSE),"")</f>
        <v/>
      </c>
      <c r="E148" s="374"/>
      <c r="F148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8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8" s="12"/>
      <c r="I148" s="384" t="str">
        <f>IFERROR(IF(TRANSHARI11_SPVOUPAGI[[#This Row],[NAMA REKENING]]="","",TRANSHARI11_SPVOUPAGI[[#This Row],[DEBIT]]),"")</f>
        <v/>
      </c>
      <c r="J148" s="387"/>
      <c r="O148" s="324"/>
      <c r="P148" s="367">
        <v>7</v>
      </c>
      <c r="Q148" s="368"/>
      <c r="R148" s="372"/>
      <c r="S148" s="369" t="str">
        <f>IFERROR(VLOOKUP(TRANSHARI11_SPVOUMALAM[[#This Row],[PRODUK]],DATA_SPVOU[],13,FALSE),"")</f>
        <v/>
      </c>
      <c r="T148" s="374"/>
      <c r="U148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8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8" s="12"/>
      <c r="X148" s="384" t="str">
        <f>IFERROR(IF(TRANSHARI11_SPVOUMALAM[[#This Row],[NAMA REKENING]]="","",TRANSHARI11_SPVOUMALAM[[#This Row],[DEBIT]]),"")</f>
        <v/>
      </c>
      <c r="Y148" s="387"/>
    </row>
    <row r="149" spans="1:25">
      <c r="A149" s="367">
        <v>8</v>
      </c>
      <c r="B149" s="368"/>
      <c r="C149" s="372"/>
      <c r="D149" s="373" t="str">
        <f>IFERROR(VLOOKUP(TRANSHARI11_SPVOUPAGI[[#This Row],[PRODUK]],DATA_SPVOU[],13,FALSE),"")</f>
        <v/>
      </c>
      <c r="E149" s="374"/>
      <c r="F149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49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49" s="12"/>
      <c r="I149" s="386" t="str">
        <f>IFERROR(IF(TRANSHARI11_SPVOUPAGI[[#This Row],[NAMA REKENING]]="","",TRANSHARI11_SPVOUPAGI[[#This Row],[DEBIT]]),"")</f>
        <v/>
      </c>
      <c r="J149" s="387"/>
      <c r="O149" s="324"/>
      <c r="P149" s="367">
        <v>8</v>
      </c>
      <c r="Q149" s="368"/>
      <c r="R149" s="372"/>
      <c r="S149" s="373" t="str">
        <f>IFERROR(VLOOKUP(TRANSHARI11_SPVOUMALAM[[#This Row],[PRODUK]],DATA_SPVOU[],13,FALSE),"")</f>
        <v/>
      </c>
      <c r="T149" s="374"/>
      <c r="U149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49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49" s="12"/>
      <c r="X149" s="386" t="str">
        <f>IFERROR(IF(TRANSHARI11_SPVOUMALAM[[#This Row],[NAMA REKENING]]="","",TRANSHARI11_SPVOUMALAM[[#This Row],[DEBIT]]),"")</f>
        <v/>
      </c>
      <c r="Y149" s="387"/>
    </row>
    <row r="150" spans="1:25">
      <c r="A150" s="367">
        <v>9</v>
      </c>
      <c r="B150" s="368"/>
      <c r="C150" s="372"/>
      <c r="D150" s="369" t="str">
        <f>IFERROR(VLOOKUP(TRANSHARI11_SPVOUPAGI[[#This Row],[PRODUK]],DATA_SPVOU[],13,FALSE),"")</f>
        <v/>
      </c>
      <c r="E150" s="374"/>
      <c r="F150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0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0" s="12"/>
      <c r="I150" s="384" t="str">
        <f>IFERROR(IF(TRANSHARI11_SPVOUPAGI[[#This Row],[NAMA REKENING]]="","",TRANSHARI11_SPVOUPAGI[[#This Row],[DEBIT]]),"")</f>
        <v/>
      </c>
      <c r="J150" s="387"/>
      <c r="O150" s="324"/>
      <c r="P150" s="367">
        <v>9</v>
      </c>
      <c r="Q150" s="368"/>
      <c r="R150" s="372"/>
      <c r="S150" s="369" t="str">
        <f>IFERROR(VLOOKUP(TRANSHARI11_SPVOUMALAM[[#This Row],[PRODUK]],DATA_SPVOU[],13,FALSE),"")</f>
        <v/>
      </c>
      <c r="T150" s="374"/>
      <c r="U150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0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0" s="12"/>
      <c r="X150" s="384" t="str">
        <f>IFERROR(IF(TRANSHARI11_SPVOUMALAM[[#This Row],[NAMA REKENING]]="","",TRANSHARI11_SPVOUMALAM[[#This Row],[DEBIT]]),"")</f>
        <v/>
      </c>
      <c r="Y150" s="387"/>
    </row>
    <row r="151" spans="1:25">
      <c r="A151" s="367">
        <v>10</v>
      </c>
      <c r="B151" s="368"/>
      <c r="C151" s="372"/>
      <c r="D151" s="373" t="str">
        <f>IFERROR(VLOOKUP(TRANSHARI11_SPVOUPAGI[[#This Row],[PRODUK]],DATA_SPVOU[],13,FALSE),"")</f>
        <v/>
      </c>
      <c r="E151" s="374"/>
      <c r="F151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1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1" s="12"/>
      <c r="I151" s="386" t="str">
        <f>IFERROR(IF(TRANSHARI11_SPVOUPAGI[[#This Row],[NAMA REKENING]]="","",TRANSHARI11_SPVOUPAGI[[#This Row],[DEBIT]]),"")</f>
        <v/>
      </c>
      <c r="J151" s="387"/>
      <c r="O151" s="324"/>
      <c r="P151" s="367">
        <v>10</v>
      </c>
      <c r="Q151" s="368"/>
      <c r="R151" s="372"/>
      <c r="S151" s="373" t="str">
        <f>IFERROR(VLOOKUP(TRANSHARI11_SPVOUMALAM[[#This Row],[PRODUK]],DATA_SPVOU[],13,FALSE),"")</f>
        <v/>
      </c>
      <c r="T151" s="374"/>
      <c r="U151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1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1" s="12"/>
      <c r="X151" s="386" t="str">
        <f>IFERROR(IF(TRANSHARI11_SPVOUMALAM[[#This Row],[NAMA REKENING]]="","",TRANSHARI11_SPVOUMALAM[[#This Row],[DEBIT]]),"")</f>
        <v/>
      </c>
      <c r="Y151" s="387"/>
    </row>
    <row r="152" spans="1:25">
      <c r="A152" s="367">
        <v>11</v>
      </c>
      <c r="B152" s="368"/>
      <c r="C152" s="372"/>
      <c r="D152" s="369" t="str">
        <f>IFERROR(VLOOKUP(TRANSHARI11_SPVOUPAGI[[#This Row],[PRODUK]],DATA_SPVOU[],13,FALSE),"")</f>
        <v/>
      </c>
      <c r="E152" s="374"/>
      <c r="F152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2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2" s="12"/>
      <c r="I152" s="384" t="str">
        <f>IFERROR(IF(TRANSHARI11_SPVOUPAGI[[#This Row],[NAMA REKENING]]="","",TRANSHARI11_SPVOUPAGI[[#This Row],[DEBIT]]),"")</f>
        <v/>
      </c>
      <c r="J152" s="387"/>
      <c r="O152" s="324"/>
      <c r="P152" s="367">
        <v>11</v>
      </c>
      <c r="Q152" s="368"/>
      <c r="R152" s="372"/>
      <c r="S152" s="369" t="str">
        <f>IFERROR(VLOOKUP(TRANSHARI11_SPVOUMALAM[[#This Row],[PRODUK]],DATA_SPVOU[],13,FALSE),"")</f>
        <v/>
      </c>
      <c r="T152" s="374"/>
      <c r="U152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2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2" s="12"/>
      <c r="X152" s="384" t="str">
        <f>IFERROR(IF(TRANSHARI11_SPVOUMALAM[[#This Row],[NAMA REKENING]]="","",TRANSHARI11_SPVOUMALAM[[#This Row],[DEBIT]]),"")</f>
        <v/>
      </c>
      <c r="Y152" s="387"/>
    </row>
    <row r="153" spans="1:25">
      <c r="A153" s="367">
        <v>12</v>
      </c>
      <c r="B153" s="368"/>
      <c r="C153" s="372"/>
      <c r="D153" s="373" t="str">
        <f>IFERROR(VLOOKUP(TRANSHARI11_SPVOUPAGI[[#This Row],[PRODUK]],DATA_SPVOU[],13,FALSE),"")</f>
        <v/>
      </c>
      <c r="E153" s="374"/>
      <c r="F153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3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3" s="12"/>
      <c r="I153" s="386" t="str">
        <f>IFERROR(IF(TRANSHARI11_SPVOUPAGI[[#This Row],[NAMA REKENING]]="","",TRANSHARI11_SPVOUPAGI[[#This Row],[DEBIT]]),"")</f>
        <v/>
      </c>
      <c r="J153" s="387"/>
      <c r="O153" s="324"/>
      <c r="P153" s="367">
        <v>12</v>
      </c>
      <c r="Q153" s="368"/>
      <c r="R153" s="372"/>
      <c r="S153" s="373" t="str">
        <f>IFERROR(VLOOKUP(TRANSHARI11_SPVOUMALAM[[#This Row],[PRODUK]],DATA_SPVOU[],13,FALSE),"")</f>
        <v/>
      </c>
      <c r="T153" s="374"/>
      <c r="U153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3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3" s="12"/>
      <c r="X153" s="386" t="str">
        <f>IFERROR(IF(TRANSHARI11_SPVOUMALAM[[#This Row],[NAMA REKENING]]="","",TRANSHARI11_SPVOUMALAM[[#This Row],[DEBIT]]),"")</f>
        <v/>
      </c>
      <c r="Y153" s="387"/>
    </row>
    <row r="154" spans="1:25">
      <c r="A154" s="367">
        <v>13</v>
      </c>
      <c r="B154" s="368"/>
      <c r="C154" s="372"/>
      <c r="D154" s="369" t="str">
        <f>IFERROR(VLOOKUP(TRANSHARI11_SPVOUPAGI[[#This Row],[PRODUK]],DATA_SPVOU[],13,FALSE),"")</f>
        <v/>
      </c>
      <c r="E154" s="374"/>
      <c r="F154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4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4" s="12"/>
      <c r="I154" s="384" t="str">
        <f>IFERROR(IF(TRANSHARI11_SPVOUPAGI[[#This Row],[NAMA REKENING]]="","",TRANSHARI11_SPVOUPAGI[[#This Row],[DEBIT]]),"")</f>
        <v/>
      </c>
      <c r="J154" s="387"/>
      <c r="O154" s="324"/>
      <c r="P154" s="367">
        <v>13</v>
      </c>
      <c r="Q154" s="368"/>
      <c r="R154" s="372"/>
      <c r="S154" s="369" t="str">
        <f>IFERROR(VLOOKUP(TRANSHARI11_SPVOUMALAM[[#This Row],[PRODUK]],DATA_SPVOU[],13,FALSE),"")</f>
        <v/>
      </c>
      <c r="T154" s="374"/>
      <c r="U154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4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4" s="12"/>
      <c r="X154" s="384" t="str">
        <f>IFERROR(IF(TRANSHARI11_SPVOUMALAM[[#This Row],[NAMA REKENING]]="","",TRANSHARI11_SPVOUMALAM[[#This Row],[DEBIT]]),"")</f>
        <v/>
      </c>
      <c r="Y154" s="387"/>
    </row>
    <row r="155" spans="1:25">
      <c r="A155" s="367">
        <v>14</v>
      </c>
      <c r="B155" s="368"/>
      <c r="C155" s="372"/>
      <c r="D155" s="373" t="str">
        <f>IFERROR(VLOOKUP(TRANSHARI11_SPVOUPAGI[[#This Row],[PRODUK]],DATA_SPVOU[],13,FALSE),"")</f>
        <v/>
      </c>
      <c r="E155" s="374"/>
      <c r="F155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5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5" s="12"/>
      <c r="I155" s="386" t="str">
        <f>IFERROR(IF(TRANSHARI11_SPVOUPAGI[[#This Row],[NAMA REKENING]]="","",TRANSHARI11_SPVOUPAGI[[#This Row],[DEBIT]]),"")</f>
        <v/>
      </c>
      <c r="J155" s="387"/>
      <c r="O155" s="324"/>
      <c r="P155" s="367">
        <v>14</v>
      </c>
      <c r="Q155" s="368"/>
      <c r="R155" s="372"/>
      <c r="S155" s="373" t="str">
        <f>IFERROR(VLOOKUP(TRANSHARI11_SPVOUMALAM[[#This Row],[PRODUK]],DATA_SPVOU[],13,FALSE),"")</f>
        <v/>
      </c>
      <c r="T155" s="374"/>
      <c r="U155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5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5" s="12"/>
      <c r="X155" s="386" t="str">
        <f>IFERROR(IF(TRANSHARI11_SPVOUMALAM[[#This Row],[NAMA REKENING]]="","",TRANSHARI11_SPVOUMALAM[[#This Row],[DEBIT]]),"")</f>
        <v/>
      </c>
      <c r="Y155" s="387"/>
    </row>
    <row r="156" spans="1:25">
      <c r="A156" s="367">
        <v>15</v>
      </c>
      <c r="B156" s="368"/>
      <c r="C156" s="372"/>
      <c r="D156" s="369" t="str">
        <f>IFERROR(VLOOKUP(TRANSHARI11_SPVOUPAGI[[#This Row],[PRODUK]],DATA_SPVOU[],13,FALSE),"")</f>
        <v/>
      </c>
      <c r="E156" s="374"/>
      <c r="F156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6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6" s="12"/>
      <c r="I156" s="384" t="str">
        <f>IFERROR(IF(TRANSHARI11_SPVOUPAGI[[#This Row],[NAMA REKENING]]="","",TRANSHARI11_SPVOUPAGI[[#This Row],[DEBIT]]),"")</f>
        <v/>
      </c>
      <c r="J156" s="387"/>
      <c r="O156" s="324"/>
      <c r="P156" s="367">
        <v>15</v>
      </c>
      <c r="Q156" s="368"/>
      <c r="R156" s="372"/>
      <c r="S156" s="369" t="str">
        <f>IFERROR(VLOOKUP(TRANSHARI11_SPVOUMALAM[[#This Row],[PRODUK]],DATA_SPVOU[],13,FALSE),"")</f>
        <v/>
      </c>
      <c r="T156" s="374"/>
      <c r="U156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6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6" s="12"/>
      <c r="X156" s="384" t="str">
        <f>IFERROR(IF(TRANSHARI11_SPVOUMALAM[[#This Row],[NAMA REKENING]]="","",TRANSHARI11_SPVOUMALAM[[#This Row],[DEBIT]]),"")</f>
        <v/>
      </c>
      <c r="Y156" s="387"/>
    </row>
    <row r="157" spans="1:25">
      <c r="A157" s="367">
        <v>16</v>
      </c>
      <c r="B157" s="368"/>
      <c r="C157" s="372"/>
      <c r="D157" s="373" t="str">
        <f>IFERROR(VLOOKUP(TRANSHARI11_SPVOUPAGI[[#This Row],[PRODUK]],DATA_SPVOU[],13,FALSE),"")</f>
        <v/>
      </c>
      <c r="E157" s="374"/>
      <c r="F157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7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7" s="12"/>
      <c r="I157" s="386" t="str">
        <f>IFERROR(IF(TRANSHARI11_SPVOUPAGI[[#This Row],[NAMA REKENING]]="","",TRANSHARI11_SPVOUPAGI[[#This Row],[DEBIT]]),"")</f>
        <v/>
      </c>
      <c r="J157" s="387"/>
      <c r="O157" s="324"/>
      <c r="P157" s="367">
        <v>16</v>
      </c>
      <c r="Q157" s="368"/>
      <c r="R157" s="372"/>
      <c r="S157" s="373" t="str">
        <f>IFERROR(VLOOKUP(TRANSHARI11_SPVOUMALAM[[#This Row],[PRODUK]],DATA_SPVOU[],13,FALSE),"")</f>
        <v/>
      </c>
      <c r="T157" s="374"/>
      <c r="U157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7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7" s="12"/>
      <c r="X157" s="386" t="str">
        <f>IFERROR(IF(TRANSHARI11_SPVOUMALAM[[#This Row],[NAMA REKENING]]="","",TRANSHARI11_SPVOUMALAM[[#This Row],[DEBIT]]),"")</f>
        <v/>
      </c>
      <c r="Y157" s="387"/>
    </row>
    <row r="158" spans="1:25">
      <c r="A158" s="367">
        <v>17</v>
      </c>
      <c r="B158" s="368"/>
      <c r="C158" s="372"/>
      <c r="D158" s="369" t="str">
        <f>IFERROR(VLOOKUP(TRANSHARI11_SPVOUPAGI[[#This Row],[PRODUK]],DATA_SPVOU[],13,FALSE),"")</f>
        <v/>
      </c>
      <c r="E158" s="374"/>
      <c r="F158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8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8" s="12"/>
      <c r="I158" s="384" t="str">
        <f>IFERROR(IF(TRANSHARI11_SPVOUPAGI[[#This Row],[NAMA REKENING]]="","",TRANSHARI11_SPVOUPAGI[[#This Row],[DEBIT]]),"")</f>
        <v/>
      </c>
      <c r="J158" s="387"/>
      <c r="O158" s="324"/>
      <c r="P158" s="367">
        <v>17</v>
      </c>
      <c r="Q158" s="368"/>
      <c r="R158" s="372"/>
      <c r="S158" s="369" t="str">
        <f>IFERROR(VLOOKUP(TRANSHARI11_SPVOUMALAM[[#This Row],[PRODUK]],DATA_SPVOU[],13,FALSE),"")</f>
        <v/>
      </c>
      <c r="T158" s="374"/>
      <c r="U158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8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8" s="12"/>
      <c r="X158" s="384" t="str">
        <f>IFERROR(IF(TRANSHARI11_SPVOUMALAM[[#This Row],[NAMA REKENING]]="","",TRANSHARI11_SPVOUMALAM[[#This Row],[DEBIT]]),"")</f>
        <v/>
      </c>
      <c r="Y158" s="387"/>
    </row>
    <row r="159" spans="1:25">
      <c r="A159" s="367">
        <v>18</v>
      </c>
      <c r="B159" s="368"/>
      <c r="C159" s="372"/>
      <c r="D159" s="373" t="str">
        <f>IFERROR(VLOOKUP(TRANSHARI11_SPVOUPAGI[[#This Row],[PRODUK]],DATA_SPVOU[],13,FALSE),"")</f>
        <v/>
      </c>
      <c r="E159" s="374"/>
      <c r="F159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59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59" s="12"/>
      <c r="I159" s="386" t="str">
        <f>IFERROR(IF(TRANSHARI11_SPVOUPAGI[[#This Row],[NAMA REKENING]]="","",TRANSHARI11_SPVOUPAGI[[#This Row],[DEBIT]]),"")</f>
        <v/>
      </c>
      <c r="J159" s="387"/>
      <c r="O159" s="324"/>
      <c r="P159" s="367">
        <v>18</v>
      </c>
      <c r="Q159" s="368"/>
      <c r="R159" s="372"/>
      <c r="S159" s="373" t="str">
        <f>IFERROR(VLOOKUP(TRANSHARI11_SPVOUMALAM[[#This Row],[PRODUK]],DATA_SPVOU[],13,FALSE),"")</f>
        <v/>
      </c>
      <c r="T159" s="374"/>
      <c r="U159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59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59" s="12"/>
      <c r="X159" s="386" t="str">
        <f>IFERROR(IF(TRANSHARI11_SPVOUMALAM[[#This Row],[NAMA REKENING]]="","",TRANSHARI11_SPVOUMALAM[[#This Row],[DEBIT]]),"")</f>
        <v/>
      </c>
      <c r="Y159" s="387"/>
    </row>
    <row r="160" spans="1:25">
      <c r="A160" s="367">
        <v>19</v>
      </c>
      <c r="B160" s="368"/>
      <c r="C160" s="372"/>
      <c r="D160" s="369" t="str">
        <f>IFERROR(VLOOKUP(TRANSHARI11_SPVOUPAGI[[#This Row],[PRODUK]],DATA_SPVOU[],13,FALSE),"")</f>
        <v/>
      </c>
      <c r="E160" s="374"/>
      <c r="F160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0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0" s="12"/>
      <c r="I160" s="384" t="str">
        <f>IFERROR(IF(TRANSHARI11_SPVOUPAGI[[#This Row],[NAMA REKENING]]="","",TRANSHARI11_SPVOUPAGI[[#This Row],[DEBIT]]),"")</f>
        <v/>
      </c>
      <c r="J160" s="387"/>
      <c r="O160" s="324"/>
      <c r="P160" s="367">
        <v>19</v>
      </c>
      <c r="Q160" s="368"/>
      <c r="R160" s="372"/>
      <c r="S160" s="369" t="str">
        <f>IFERROR(VLOOKUP(TRANSHARI11_SPVOUMALAM[[#This Row],[PRODUK]],DATA_SPVOU[],13,FALSE),"")</f>
        <v/>
      </c>
      <c r="T160" s="374"/>
      <c r="U160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0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0" s="12"/>
      <c r="X160" s="384" t="str">
        <f>IFERROR(IF(TRANSHARI11_SPVOUMALAM[[#This Row],[NAMA REKENING]]="","",TRANSHARI11_SPVOUMALAM[[#This Row],[DEBIT]]),"")</f>
        <v/>
      </c>
      <c r="Y160" s="387"/>
    </row>
    <row r="161" spans="1:25">
      <c r="A161" s="367">
        <v>20</v>
      </c>
      <c r="B161" s="368"/>
      <c r="C161" s="372"/>
      <c r="D161" s="373" t="str">
        <f>IFERROR(VLOOKUP(TRANSHARI11_SPVOUPAGI[[#This Row],[PRODUK]],DATA_SPVOU[],13,FALSE),"")</f>
        <v/>
      </c>
      <c r="E161" s="374"/>
      <c r="F161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1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1" s="12"/>
      <c r="I161" s="386" t="str">
        <f>IFERROR(IF(TRANSHARI11_SPVOUPAGI[[#This Row],[NAMA REKENING]]="","",TRANSHARI11_SPVOUPAGI[[#This Row],[DEBIT]]),"")</f>
        <v/>
      </c>
      <c r="J161" s="387"/>
      <c r="O161" s="324"/>
      <c r="P161" s="367">
        <v>20</v>
      </c>
      <c r="Q161" s="368"/>
      <c r="R161" s="372"/>
      <c r="S161" s="373" t="str">
        <f>IFERROR(VLOOKUP(TRANSHARI11_SPVOUMALAM[[#This Row],[PRODUK]],DATA_SPVOU[],13,FALSE),"")</f>
        <v/>
      </c>
      <c r="T161" s="374"/>
      <c r="U161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1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1" s="12"/>
      <c r="X161" s="386" t="str">
        <f>IFERROR(IF(TRANSHARI11_SPVOUMALAM[[#This Row],[NAMA REKENING]]="","",TRANSHARI11_SPVOUMALAM[[#This Row],[DEBIT]]),"")</f>
        <v/>
      </c>
      <c r="Y161" s="387"/>
    </row>
    <row r="162" spans="1:25">
      <c r="A162" s="367">
        <v>21</v>
      </c>
      <c r="B162" s="368"/>
      <c r="C162" s="372"/>
      <c r="D162" s="369" t="str">
        <f>IFERROR(VLOOKUP(TRANSHARI11_SPVOUPAGI[[#This Row],[PRODUK]],DATA_SPVOU[],13,FALSE),"")</f>
        <v/>
      </c>
      <c r="E162" s="374"/>
      <c r="F162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2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2" s="12"/>
      <c r="I162" s="384" t="str">
        <f>IFERROR(IF(TRANSHARI11_SPVOUPAGI[[#This Row],[NAMA REKENING]]="","",TRANSHARI11_SPVOUPAGI[[#This Row],[DEBIT]]),"")</f>
        <v/>
      </c>
      <c r="J162" s="387"/>
      <c r="O162" s="324"/>
      <c r="P162" s="367">
        <v>21</v>
      </c>
      <c r="Q162" s="368"/>
      <c r="R162" s="372"/>
      <c r="S162" s="369" t="str">
        <f>IFERROR(VLOOKUP(TRANSHARI11_SPVOUMALAM[[#This Row],[PRODUK]],DATA_SPVOU[],13,FALSE),"")</f>
        <v/>
      </c>
      <c r="T162" s="374"/>
      <c r="U162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2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2" s="12"/>
      <c r="X162" s="384" t="str">
        <f>IFERROR(IF(TRANSHARI11_SPVOUMALAM[[#This Row],[NAMA REKENING]]="","",TRANSHARI11_SPVOUMALAM[[#This Row],[DEBIT]]),"")</f>
        <v/>
      </c>
      <c r="Y162" s="387"/>
    </row>
    <row r="163" spans="1:25">
      <c r="A163" s="367">
        <v>22</v>
      </c>
      <c r="B163" s="368"/>
      <c r="C163" s="372"/>
      <c r="D163" s="373" t="str">
        <f>IFERROR(VLOOKUP(TRANSHARI11_SPVOUPAGI[[#This Row],[PRODUK]],DATA_SPVOU[],13,FALSE),"")</f>
        <v/>
      </c>
      <c r="E163" s="374"/>
      <c r="F163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3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3" s="12"/>
      <c r="I163" s="386" t="str">
        <f>IFERROR(IF(TRANSHARI11_SPVOUPAGI[[#This Row],[NAMA REKENING]]="","",TRANSHARI11_SPVOUPAGI[[#This Row],[DEBIT]]),"")</f>
        <v/>
      </c>
      <c r="J163" s="387"/>
      <c r="O163" s="324"/>
      <c r="P163" s="367">
        <v>22</v>
      </c>
      <c r="Q163" s="368"/>
      <c r="R163" s="372"/>
      <c r="S163" s="373" t="str">
        <f>IFERROR(VLOOKUP(TRANSHARI11_SPVOUMALAM[[#This Row],[PRODUK]],DATA_SPVOU[],13,FALSE),"")</f>
        <v/>
      </c>
      <c r="T163" s="374"/>
      <c r="U163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3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3" s="12"/>
      <c r="X163" s="386" t="str">
        <f>IFERROR(IF(TRANSHARI11_SPVOUMALAM[[#This Row],[NAMA REKENING]]="","",TRANSHARI11_SPVOUMALAM[[#This Row],[DEBIT]]),"")</f>
        <v/>
      </c>
      <c r="Y163" s="387"/>
    </row>
    <row r="164" spans="1:25">
      <c r="A164" s="367">
        <v>23</v>
      </c>
      <c r="B164" s="368"/>
      <c r="C164" s="372"/>
      <c r="D164" s="369" t="str">
        <f>IFERROR(VLOOKUP(TRANSHARI11_SPVOUPAGI[[#This Row],[PRODUK]],DATA_SPVOU[],13,FALSE),"")</f>
        <v/>
      </c>
      <c r="E164" s="374"/>
      <c r="F164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4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4" s="12"/>
      <c r="I164" s="384" t="str">
        <f>IFERROR(IF(TRANSHARI11_SPVOUPAGI[[#This Row],[NAMA REKENING]]="","",TRANSHARI11_SPVOUPAGI[[#This Row],[DEBIT]]),"")</f>
        <v/>
      </c>
      <c r="J164" s="387"/>
      <c r="O164" s="324"/>
      <c r="P164" s="367">
        <v>23</v>
      </c>
      <c r="Q164" s="368"/>
      <c r="R164" s="372"/>
      <c r="S164" s="369" t="str">
        <f>IFERROR(VLOOKUP(TRANSHARI11_SPVOUMALAM[[#This Row],[PRODUK]],DATA_SPVOU[],13,FALSE),"")</f>
        <v/>
      </c>
      <c r="T164" s="374"/>
      <c r="U164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4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4" s="12"/>
      <c r="X164" s="384" t="str">
        <f>IFERROR(IF(TRANSHARI11_SPVOUMALAM[[#This Row],[NAMA REKENING]]="","",TRANSHARI11_SPVOUMALAM[[#This Row],[DEBIT]]),"")</f>
        <v/>
      </c>
      <c r="Y164" s="387"/>
    </row>
    <row r="165" spans="1:25">
      <c r="A165" s="367">
        <v>24</v>
      </c>
      <c r="B165" s="368"/>
      <c r="C165" s="372"/>
      <c r="D165" s="373" t="str">
        <f>IFERROR(VLOOKUP(TRANSHARI11_SPVOUPAGI[[#This Row],[PRODUK]],DATA_SPVOU[],13,FALSE),"")</f>
        <v/>
      </c>
      <c r="E165" s="374"/>
      <c r="F165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5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5" s="12"/>
      <c r="I165" s="386" t="str">
        <f>IFERROR(IF(TRANSHARI11_SPVOUPAGI[[#This Row],[NAMA REKENING]]="","",TRANSHARI11_SPVOUPAGI[[#This Row],[DEBIT]]),"")</f>
        <v/>
      </c>
      <c r="J165" s="387"/>
      <c r="O165" s="324"/>
      <c r="P165" s="367">
        <v>24</v>
      </c>
      <c r="Q165" s="368"/>
      <c r="R165" s="372"/>
      <c r="S165" s="373" t="str">
        <f>IFERROR(VLOOKUP(TRANSHARI11_SPVOUMALAM[[#This Row],[PRODUK]],DATA_SPVOU[],13,FALSE),"")</f>
        <v/>
      </c>
      <c r="T165" s="374"/>
      <c r="U165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5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5" s="12"/>
      <c r="X165" s="386" t="str">
        <f>IFERROR(IF(TRANSHARI11_SPVOUMALAM[[#This Row],[NAMA REKENING]]="","",TRANSHARI11_SPVOUMALAM[[#This Row],[DEBIT]]),"")</f>
        <v/>
      </c>
      <c r="Y165" s="387"/>
    </row>
    <row r="166" spans="1:25">
      <c r="A166" s="367">
        <v>25</v>
      </c>
      <c r="B166" s="368"/>
      <c r="C166" s="372"/>
      <c r="D166" s="369" t="str">
        <f>IFERROR(VLOOKUP(TRANSHARI11_SPVOUPAGI[[#This Row],[PRODUK]],DATA_SPVOU[],13,FALSE),"")</f>
        <v/>
      </c>
      <c r="E166" s="374"/>
      <c r="F166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6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6" s="12"/>
      <c r="I166" s="384" t="str">
        <f>IFERROR(IF(TRANSHARI11_SPVOUPAGI[[#This Row],[NAMA REKENING]]="","",TRANSHARI11_SPVOUPAGI[[#This Row],[DEBIT]]),"")</f>
        <v/>
      </c>
      <c r="J166" s="387"/>
      <c r="O166" s="324"/>
      <c r="P166" s="367">
        <v>25</v>
      </c>
      <c r="Q166" s="368"/>
      <c r="R166" s="372"/>
      <c r="S166" s="369" t="str">
        <f>IFERROR(VLOOKUP(TRANSHARI11_SPVOUMALAM[[#This Row],[PRODUK]],DATA_SPVOU[],13,FALSE),"")</f>
        <v/>
      </c>
      <c r="T166" s="374"/>
      <c r="U166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6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6" s="12"/>
      <c r="X166" s="384" t="str">
        <f>IFERROR(IF(TRANSHARI11_SPVOUMALAM[[#This Row],[NAMA REKENING]]="","",TRANSHARI11_SPVOUMALAM[[#This Row],[DEBIT]]),"")</f>
        <v/>
      </c>
      <c r="Y166" s="387"/>
    </row>
    <row r="167" spans="1:25">
      <c r="A167" s="367">
        <v>26</v>
      </c>
      <c r="B167" s="368"/>
      <c r="C167" s="375"/>
      <c r="D167" s="373" t="str">
        <f>IFERROR(VLOOKUP(TRANSHARI11_SPVOUPAGI[[#This Row],[PRODUK]],DATA_SPVOU[],13,FALSE),"")</f>
        <v/>
      </c>
      <c r="E167" s="376"/>
      <c r="F167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7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7" s="377"/>
      <c r="I167" s="386" t="str">
        <f>IFERROR(IF(TRANSHARI11_SPVOUPAGI[[#This Row],[NAMA REKENING]]="","",TRANSHARI11_SPVOUPAGI[[#This Row],[DEBIT]]),"")</f>
        <v/>
      </c>
      <c r="J167" s="388"/>
      <c r="O167" s="324"/>
      <c r="P167" s="367">
        <v>26</v>
      </c>
      <c r="Q167" s="368"/>
      <c r="R167" s="375"/>
      <c r="S167" s="373" t="str">
        <f>IFERROR(VLOOKUP(TRANSHARI11_SPVOUMALAM[[#This Row],[PRODUK]],DATA_SPVOU[],13,FALSE),"")</f>
        <v/>
      </c>
      <c r="T167" s="376"/>
      <c r="U167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7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7" s="377"/>
      <c r="X167" s="386" t="str">
        <f>IFERROR(IF(TRANSHARI11_SPVOUMALAM[[#This Row],[NAMA REKENING]]="","",TRANSHARI11_SPVOUMALAM[[#This Row],[DEBIT]]),"")</f>
        <v/>
      </c>
      <c r="Y167" s="388"/>
    </row>
    <row r="168" spans="1:25">
      <c r="A168" s="367">
        <v>27</v>
      </c>
      <c r="B168" s="368"/>
      <c r="C168" s="372"/>
      <c r="D168" s="369" t="str">
        <f>IFERROR(VLOOKUP(TRANSHARI11_SPVOUPAGI[[#This Row],[PRODUK]],DATA_SPVOU[],13,FALSE),"")</f>
        <v/>
      </c>
      <c r="E168" s="374"/>
      <c r="F168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8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8" s="12"/>
      <c r="I168" s="384" t="str">
        <f>IFERROR(IF(TRANSHARI11_SPVOUPAGI[[#This Row],[NAMA REKENING]]="","",TRANSHARI11_SPVOUPAGI[[#This Row],[DEBIT]]),"")</f>
        <v/>
      </c>
      <c r="J168" s="387"/>
      <c r="O168" s="324"/>
      <c r="P168" s="367">
        <v>27</v>
      </c>
      <c r="Q168" s="368"/>
      <c r="R168" s="372"/>
      <c r="S168" s="369" t="str">
        <f>IFERROR(VLOOKUP(TRANSHARI11_SPVOUMALAM[[#This Row],[PRODUK]],DATA_SPVOU[],13,FALSE),"")</f>
        <v/>
      </c>
      <c r="T168" s="374"/>
      <c r="U168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8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8" s="12"/>
      <c r="X168" s="384" t="str">
        <f>IFERROR(IF(TRANSHARI11_SPVOUMALAM[[#This Row],[NAMA REKENING]]="","",TRANSHARI11_SPVOUMALAM[[#This Row],[DEBIT]]),"")</f>
        <v/>
      </c>
      <c r="Y168" s="387"/>
    </row>
    <row r="169" spans="1:25">
      <c r="A169" s="367">
        <v>28</v>
      </c>
      <c r="B169" s="368"/>
      <c r="C169" s="372"/>
      <c r="D169" s="373" t="str">
        <f>IFERROR(VLOOKUP(TRANSHARI11_SPVOUPAGI[[#This Row],[PRODUK]],DATA_SPVOU[],13,FALSE),"")</f>
        <v/>
      </c>
      <c r="E169" s="374"/>
      <c r="F169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69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69" s="12"/>
      <c r="I169" s="386" t="str">
        <f>IFERROR(IF(TRANSHARI11_SPVOUPAGI[[#This Row],[NAMA REKENING]]="","",TRANSHARI11_SPVOUPAGI[[#This Row],[DEBIT]]),"")</f>
        <v/>
      </c>
      <c r="J169" s="387"/>
      <c r="O169" s="324"/>
      <c r="P169" s="367">
        <v>28</v>
      </c>
      <c r="Q169" s="368"/>
      <c r="R169" s="372"/>
      <c r="S169" s="373" t="str">
        <f>IFERROR(VLOOKUP(TRANSHARI11_SPVOUMALAM[[#This Row],[PRODUK]],DATA_SPVOU[],13,FALSE),"")</f>
        <v/>
      </c>
      <c r="T169" s="374"/>
      <c r="U169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69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69" s="12"/>
      <c r="X169" s="386" t="str">
        <f>IFERROR(IF(TRANSHARI11_SPVOUMALAM[[#This Row],[NAMA REKENING]]="","",TRANSHARI11_SPVOUMALAM[[#This Row],[DEBIT]]),"")</f>
        <v/>
      </c>
      <c r="Y169" s="387"/>
    </row>
    <row r="170" spans="1:25">
      <c r="A170" s="367">
        <v>29</v>
      </c>
      <c r="B170" s="368"/>
      <c r="C170" s="372"/>
      <c r="D170" s="369" t="str">
        <f>IFERROR(VLOOKUP(TRANSHARI11_SPVOUPAGI[[#This Row],[PRODUK]],DATA_SPVOU[],13,FALSE),"")</f>
        <v/>
      </c>
      <c r="E170" s="374"/>
      <c r="F170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0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0" s="12"/>
      <c r="I170" s="384" t="str">
        <f>IFERROR(IF(TRANSHARI11_SPVOUPAGI[[#This Row],[NAMA REKENING]]="","",TRANSHARI11_SPVOUPAGI[[#This Row],[DEBIT]]),"")</f>
        <v/>
      </c>
      <c r="J170" s="387"/>
      <c r="O170" s="324"/>
      <c r="P170" s="367">
        <v>29</v>
      </c>
      <c r="Q170" s="368"/>
      <c r="R170" s="372"/>
      <c r="S170" s="369" t="str">
        <f>IFERROR(VLOOKUP(TRANSHARI11_SPVOUMALAM[[#This Row],[PRODUK]],DATA_SPVOU[],13,FALSE),"")</f>
        <v/>
      </c>
      <c r="T170" s="374"/>
      <c r="U170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0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0" s="12"/>
      <c r="X170" s="384" t="str">
        <f>IFERROR(IF(TRANSHARI11_SPVOUMALAM[[#This Row],[NAMA REKENING]]="","",TRANSHARI11_SPVOUMALAM[[#This Row],[DEBIT]]),"")</f>
        <v/>
      </c>
      <c r="Y170" s="387"/>
    </row>
    <row r="171" spans="1:25">
      <c r="A171" s="367">
        <v>30</v>
      </c>
      <c r="B171" s="368"/>
      <c r="C171" s="372"/>
      <c r="D171" s="373" t="str">
        <f>IFERROR(VLOOKUP(TRANSHARI11_SPVOUPAGI[[#This Row],[PRODUK]],DATA_SPVOU[],13,FALSE),"")</f>
        <v/>
      </c>
      <c r="E171" s="374"/>
      <c r="F171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1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1" s="12"/>
      <c r="I171" s="386" t="str">
        <f>IFERROR(IF(TRANSHARI11_SPVOUPAGI[[#This Row],[NAMA REKENING]]="","",TRANSHARI11_SPVOUPAGI[[#This Row],[DEBIT]]),"")</f>
        <v/>
      </c>
      <c r="J171" s="387"/>
      <c r="O171" s="324"/>
      <c r="P171" s="367">
        <v>30</v>
      </c>
      <c r="Q171" s="368"/>
      <c r="R171" s="372"/>
      <c r="S171" s="373" t="str">
        <f>IFERROR(VLOOKUP(TRANSHARI11_SPVOUMALAM[[#This Row],[PRODUK]],DATA_SPVOU[],13,FALSE),"")</f>
        <v/>
      </c>
      <c r="T171" s="374"/>
      <c r="U171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1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1" s="12"/>
      <c r="X171" s="386" t="str">
        <f>IFERROR(IF(TRANSHARI11_SPVOUMALAM[[#This Row],[NAMA REKENING]]="","",TRANSHARI11_SPVOUMALAM[[#This Row],[DEBIT]]),"")</f>
        <v/>
      </c>
      <c r="Y171" s="387"/>
    </row>
    <row r="172" spans="1:25">
      <c r="A172" s="367">
        <v>31</v>
      </c>
      <c r="B172" s="368"/>
      <c r="C172" s="372"/>
      <c r="D172" s="369" t="str">
        <f>IFERROR(VLOOKUP(TRANSHARI11_SPVOUPAGI[[#This Row],[PRODUK]],DATA_SPVOU[],13,FALSE),"")</f>
        <v/>
      </c>
      <c r="E172" s="374"/>
      <c r="F172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2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2" s="12"/>
      <c r="I172" s="384" t="str">
        <f>IFERROR(IF(TRANSHARI11_SPVOUPAGI[[#This Row],[NAMA REKENING]]="","",TRANSHARI11_SPVOUPAGI[[#This Row],[DEBIT]]),"")</f>
        <v/>
      </c>
      <c r="J172" s="387"/>
      <c r="O172" s="324"/>
      <c r="P172" s="367">
        <v>31</v>
      </c>
      <c r="Q172" s="368"/>
      <c r="R172" s="372"/>
      <c r="S172" s="369" t="str">
        <f>IFERROR(VLOOKUP(TRANSHARI11_SPVOUMALAM[[#This Row],[PRODUK]],DATA_SPVOU[],13,FALSE),"")</f>
        <v/>
      </c>
      <c r="T172" s="374"/>
      <c r="U172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2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2" s="12"/>
      <c r="X172" s="384" t="str">
        <f>IFERROR(IF(TRANSHARI11_SPVOUMALAM[[#This Row],[NAMA REKENING]]="","",TRANSHARI11_SPVOUMALAM[[#This Row],[DEBIT]]),"")</f>
        <v/>
      </c>
      <c r="Y172" s="387"/>
    </row>
    <row r="173" spans="1:25">
      <c r="A173" s="367">
        <v>32</v>
      </c>
      <c r="B173" s="368"/>
      <c r="C173" s="372"/>
      <c r="D173" s="373" t="str">
        <f>IFERROR(VLOOKUP(TRANSHARI11_SPVOUPAGI[[#This Row],[PRODUK]],DATA_SPVOU[],13,FALSE),"")</f>
        <v/>
      </c>
      <c r="E173" s="374"/>
      <c r="F173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3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3" s="12"/>
      <c r="I173" s="386" t="str">
        <f>IFERROR(IF(TRANSHARI11_SPVOUPAGI[[#This Row],[NAMA REKENING]]="","",TRANSHARI11_SPVOUPAGI[[#This Row],[DEBIT]]),"")</f>
        <v/>
      </c>
      <c r="J173" s="387"/>
      <c r="O173" s="324"/>
      <c r="P173" s="367">
        <v>32</v>
      </c>
      <c r="Q173" s="368"/>
      <c r="R173" s="372"/>
      <c r="S173" s="373" t="str">
        <f>IFERROR(VLOOKUP(TRANSHARI11_SPVOUMALAM[[#This Row],[PRODUK]],DATA_SPVOU[],13,FALSE),"")</f>
        <v/>
      </c>
      <c r="T173" s="374"/>
      <c r="U173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3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3" s="12"/>
      <c r="X173" s="386" t="str">
        <f>IFERROR(IF(TRANSHARI11_SPVOUMALAM[[#This Row],[NAMA REKENING]]="","",TRANSHARI11_SPVOUMALAM[[#This Row],[DEBIT]]),"")</f>
        <v/>
      </c>
      <c r="Y173" s="387"/>
    </row>
    <row r="174" spans="1:25">
      <c r="A174" s="367">
        <v>33</v>
      </c>
      <c r="B174" s="368"/>
      <c r="C174" s="372"/>
      <c r="D174" s="369" t="str">
        <f>IFERROR(VLOOKUP(TRANSHARI11_SPVOUPAGI[[#This Row],[PRODUK]],DATA_SPVOU[],13,FALSE),"")</f>
        <v/>
      </c>
      <c r="E174" s="374"/>
      <c r="F174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4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4" s="12"/>
      <c r="I174" s="384" t="str">
        <f>IFERROR(IF(TRANSHARI11_SPVOUPAGI[[#This Row],[NAMA REKENING]]="","",TRANSHARI11_SPVOUPAGI[[#This Row],[DEBIT]]),"")</f>
        <v/>
      </c>
      <c r="J174" s="387"/>
      <c r="O174" s="324"/>
      <c r="P174" s="367">
        <v>33</v>
      </c>
      <c r="Q174" s="368"/>
      <c r="R174" s="372"/>
      <c r="S174" s="369" t="str">
        <f>IFERROR(VLOOKUP(TRANSHARI11_SPVOUMALAM[[#This Row],[PRODUK]],DATA_SPVOU[],13,FALSE),"")</f>
        <v/>
      </c>
      <c r="T174" s="374"/>
      <c r="U174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4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4" s="12"/>
      <c r="X174" s="384" t="str">
        <f>IFERROR(IF(TRANSHARI11_SPVOUMALAM[[#This Row],[NAMA REKENING]]="","",TRANSHARI11_SPVOUMALAM[[#This Row],[DEBIT]]),"")</f>
        <v/>
      </c>
      <c r="Y174" s="387"/>
    </row>
    <row r="175" spans="1:25">
      <c r="A175" s="367">
        <v>34</v>
      </c>
      <c r="B175" s="368"/>
      <c r="C175" s="372"/>
      <c r="D175" s="373" t="str">
        <f>IFERROR(VLOOKUP(TRANSHARI11_SPVOUPAGI[[#This Row],[PRODUK]],DATA_SPVOU[],13,FALSE),"")</f>
        <v/>
      </c>
      <c r="E175" s="374"/>
      <c r="F175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5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5" s="12"/>
      <c r="I175" s="386" t="str">
        <f>IFERROR(IF(TRANSHARI11_SPVOUPAGI[[#This Row],[NAMA REKENING]]="","",TRANSHARI11_SPVOUPAGI[[#This Row],[DEBIT]]),"")</f>
        <v/>
      </c>
      <c r="J175" s="387"/>
      <c r="O175" s="324"/>
      <c r="P175" s="367">
        <v>34</v>
      </c>
      <c r="Q175" s="368"/>
      <c r="R175" s="372"/>
      <c r="S175" s="373" t="str">
        <f>IFERROR(VLOOKUP(TRANSHARI11_SPVOUMALAM[[#This Row],[PRODUK]],DATA_SPVOU[],13,FALSE),"")</f>
        <v/>
      </c>
      <c r="T175" s="374"/>
      <c r="U175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5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5" s="12"/>
      <c r="X175" s="386" t="str">
        <f>IFERROR(IF(TRANSHARI11_SPVOUMALAM[[#This Row],[NAMA REKENING]]="","",TRANSHARI11_SPVOUMALAM[[#This Row],[DEBIT]]),"")</f>
        <v/>
      </c>
      <c r="Y175" s="387"/>
    </row>
    <row r="176" spans="1:25">
      <c r="A176" s="367">
        <v>35</v>
      </c>
      <c r="B176" s="368"/>
      <c r="C176" s="372"/>
      <c r="D176" s="369" t="str">
        <f>IFERROR(VLOOKUP(TRANSHARI11_SPVOUPAGI[[#This Row],[PRODUK]],DATA_SPVOU[],13,FALSE),"")</f>
        <v/>
      </c>
      <c r="E176" s="374"/>
      <c r="F176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6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6" s="12"/>
      <c r="I176" s="384" t="str">
        <f>IFERROR(IF(TRANSHARI11_SPVOUPAGI[[#This Row],[NAMA REKENING]]="","",TRANSHARI11_SPVOUPAGI[[#This Row],[DEBIT]]),"")</f>
        <v/>
      </c>
      <c r="J176" s="387"/>
      <c r="O176" s="324"/>
      <c r="P176" s="367">
        <v>35</v>
      </c>
      <c r="Q176" s="368"/>
      <c r="R176" s="372"/>
      <c r="S176" s="369" t="str">
        <f>IFERROR(VLOOKUP(TRANSHARI11_SPVOUMALAM[[#This Row],[PRODUK]],DATA_SPVOU[],13,FALSE),"")</f>
        <v/>
      </c>
      <c r="T176" s="374"/>
      <c r="U176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6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6" s="12"/>
      <c r="X176" s="384" t="str">
        <f>IFERROR(IF(TRANSHARI11_SPVOUMALAM[[#This Row],[NAMA REKENING]]="","",TRANSHARI11_SPVOUMALAM[[#This Row],[DEBIT]]),"")</f>
        <v/>
      </c>
      <c r="Y176" s="387"/>
    </row>
    <row r="177" spans="1:25">
      <c r="A177" s="367">
        <v>36</v>
      </c>
      <c r="B177" s="368"/>
      <c r="C177" s="372"/>
      <c r="D177" s="373" t="str">
        <f>IFERROR(VLOOKUP(TRANSHARI11_SPVOUPAGI[[#This Row],[PRODUK]],DATA_SPVOU[],13,FALSE),"")</f>
        <v/>
      </c>
      <c r="E177" s="374"/>
      <c r="F177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7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7" s="12"/>
      <c r="I177" s="386" t="str">
        <f>IFERROR(IF(TRANSHARI11_SPVOUPAGI[[#This Row],[NAMA REKENING]]="","",TRANSHARI11_SPVOUPAGI[[#This Row],[DEBIT]]),"")</f>
        <v/>
      </c>
      <c r="J177" s="387"/>
      <c r="O177" s="324"/>
      <c r="P177" s="367">
        <v>36</v>
      </c>
      <c r="Q177" s="368"/>
      <c r="R177" s="372"/>
      <c r="S177" s="373" t="str">
        <f>IFERROR(VLOOKUP(TRANSHARI11_SPVOUMALAM[[#This Row],[PRODUK]],DATA_SPVOU[],13,FALSE),"")</f>
        <v/>
      </c>
      <c r="T177" s="374"/>
      <c r="U177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7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7" s="12"/>
      <c r="X177" s="386" t="str">
        <f>IFERROR(IF(TRANSHARI11_SPVOUMALAM[[#This Row],[NAMA REKENING]]="","",TRANSHARI11_SPVOUMALAM[[#This Row],[DEBIT]]),"")</f>
        <v/>
      </c>
      <c r="Y177" s="387"/>
    </row>
    <row r="178" spans="1:25">
      <c r="A178" s="367">
        <v>37</v>
      </c>
      <c r="B178" s="368"/>
      <c r="C178" s="372"/>
      <c r="D178" s="369" t="str">
        <f>IFERROR(VLOOKUP(TRANSHARI11_SPVOUPAGI[[#This Row],[PRODUK]],DATA_SPVOU[],13,FALSE),"")</f>
        <v/>
      </c>
      <c r="E178" s="374"/>
      <c r="F178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8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8" s="12"/>
      <c r="I178" s="384" t="str">
        <f>IFERROR(IF(TRANSHARI11_SPVOUPAGI[[#This Row],[NAMA REKENING]]="","",TRANSHARI11_SPVOUPAGI[[#This Row],[DEBIT]]),"")</f>
        <v/>
      </c>
      <c r="J178" s="387"/>
      <c r="O178" s="324"/>
      <c r="P178" s="367">
        <v>37</v>
      </c>
      <c r="Q178" s="368"/>
      <c r="R178" s="372"/>
      <c r="S178" s="369" t="str">
        <f>IFERROR(VLOOKUP(TRANSHARI11_SPVOUMALAM[[#This Row],[PRODUK]],DATA_SPVOU[],13,FALSE),"")</f>
        <v/>
      </c>
      <c r="T178" s="374"/>
      <c r="U178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8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8" s="12"/>
      <c r="X178" s="384" t="str">
        <f>IFERROR(IF(TRANSHARI11_SPVOUMALAM[[#This Row],[NAMA REKENING]]="","",TRANSHARI11_SPVOUMALAM[[#This Row],[DEBIT]]),"")</f>
        <v/>
      </c>
      <c r="Y178" s="387"/>
    </row>
    <row r="179" spans="1:25">
      <c r="A179" s="367">
        <v>38</v>
      </c>
      <c r="B179" s="368"/>
      <c r="C179" s="372"/>
      <c r="D179" s="373" t="str">
        <f>IFERROR(VLOOKUP(TRANSHARI11_SPVOUPAGI[[#This Row],[PRODUK]],DATA_SPVOU[],13,FALSE),"")</f>
        <v/>
      </c>
      <c r="E179" s="374"/>
      <c r="F179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79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79" s="12"/>
      <c r="I179" s="386" t="str">
        <f>IFERROR(IF(TRANSHARI11_SPVOUPAGI[[#This Row],[NAMA REKENING]]="","",TRANSHARI11_SPVOUPAGI[[#This Row],[DEBIT]]),"")</f>
        <v/>
      </c>
      <c r="J179" s="387"/>
      <c r="O179" s="324"/>
      <c r="P179" s="367">
        <v>38</v>
      </c>
      <c r="Q179" s="368"/>
      <c r="R179" s="372"/>
      <c r="S179" s="373" t="str">
        <f>IFERROR(VLOOKUP(TRANSHARI11_SPVOUMALAM[[#This Row],[PRODUK]],DATA_SPVOU[],13,FALSE),"")</f>
        <v/>
      </c>
      <c r="T179" s="374"/>
      <c r="U179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79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79" s="12"/>
      <c r="X179" s="386" t="str">
        <f>IFERROR(IF(TRANSHARI11_SPVOUMALAM[[#This Row],[NAMA REKENING]]="","",TRANSHARI11_SPVOUMALAM[[#This Row],[DEBIT]]),"")</f>
        <v/>
      </c>
      <c r="Y179" s="387"/>
    </row>
    <row r="180" spans="1:25">
      <c r="A180" s="367">
        <v>39</v>
      </c>
      <c r="B180" s="368"/>
      <c r="C180" s="372"/>
      <c r="D180" s="369" t="str">
        <f>IFERROR(VLOOKUP(TRANSHARI11_SPVOUPAGI[[#This Row],[PRODUK]],DATA_SPVOU[],13,FALSE),"")</f>
        <v/>
      </c>
      <c r="E180" s="374"/>
      <c r="F180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0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0" s="12"/>
      <c r="I180" s="384" t="str">
        <f>IFERROR(IF(TRANSHARI11_SPVOUPAGI[[#This Row],[NAMA REKENING]]="","",TRANSHARI11_SPVOUPAGI[[#This Row],[DEBIT]]),"")</f>
        <v/>
      </c>
      <c r="J180" s="387"/>
      <c r="O180" s="324"/>
      <c r="P180" s="367">
        <v>39</v>
      </c>
      <c r="Q180" s="368"/>
      <c r="R180" s="372"/>
      <c r="S180" s="369" t="str">
        <f>IFERROR(VLOOKUP(TRANSHARI11_SPVOUMALAM[[#This Row],[PRODUK]],DATA_SPVOU[],13,FALSE),"")</f>
        <v/>
      </c>
      <c r="T180" s="374"/>
      <c r="U180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0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0" s="12"/>
      <c r="X180" s="384" t="str">
        <f>IFERROR(IF(TRANSHARI11_SPVOUMALAM[[#This Row],[NAMA REKENING]]="","",TRANSHARI11_SPVOUMALAM[[#This Row],[DEBIT]]),"")</f>
        <v/>
      </c>
      <c r="Y180" s="387"/>
    </row>
    <row r="181" spans="1:25">
      <c r="A181" s="367">
        <v>40</v>
      </c>
      <c r="B181" s="368"/>
      <c r="C181" s="372"/>
      <c r="D181" s="373" t="str">
        <f>IFERROR(VLOOKUP(TRANSHARI11_SPVOUPAGI[[#This Row],[PRODUK]],DATA_SPVOU[],13,FALSE),"")</f>
        <v/>
      </c>
      <c r="E181" s="374"/>
      <c r="F181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1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1" s="12"/>
      <c r="I181" s="386" t="str">
        <f>IFERROR(IF(TRANSHARI11_SPVOUPAGI[[#This Row],[NAMA REKENING]]="","",TRANSHARI11_SPVOUPAGI[[#This Row],[DEBIT]]),"")</f>
        <v/>
      </c>
      <c r="J181" s="387"/>
      <c r="O181" s="324"/>
      <c r="P181" s="367">
        <v>40</v>
      </c>
      <c r="Q181" s="368"/>
      <c r="R181" s="372"/>
      <c r="S181" s="373" t="str">
        <f>IFERROR(VLOOKUP(TRANSHARI11_SPVOUMALAM[[#This Row],[PRODUK]],DATA_SPVOU[],13,FALSE),"")</f>
        <v/>
      </c>
      <c r="T181" s="374"/>
      <c r="U181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1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1" s="12"/>
      <c r="X181" s="386" t="str">
        <f>IFERROR(IF(TRANSHARI11_SPVOUMALAM[[#This Row],[NAMA REKENING]]="","",TRANSHARI11_SPVOUMALAM[[#This Row],[DEBIT]]),"")</f>
        <v/>
      </c>
      <c r="Y181" s="387"/>
    </row>
    <row r="182" ht="17.25" spans="1:25">
      <c r="A182" s="367">
        <v>41</v>
      </c>
      <c r="B182" s="368"/>
      <c r="C182" s="372"/>
      <c r="D182" s="369" t="str">
        <f>IFERROR(VLOOKUP(TRANSHARI11_SPVOUPAGI[[#This Row],[PRODUK]],DATA_SPVOU[],13,FALSE),"")</f>
        <v/>
      </c>
      <c r="E182" s="374"/>
      <c r="F182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2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2" s="12"/>
      <c r="I182" s="384" t="str">
        <f>IFERROR(IF(TRANSHARI11_SPVOUPAGI[[#This Row],[NAMA REKENING]]="","",TRANSHARI11_SPVOUPAGI[[#This Row],[DEBIT]]),"")</f>
        <v/>
      </c>
      <c r="J182" s="387"/>
      <c r="O182" s="324"/>
      <c r="P182" s="367">
        <v>41</v>
      </c>
      <c r="Q182" s="368"/>
      <c r="R182" s="372"/>
      <c r="S182" s="369" t="str">
        <f>IFERROR(VLOOKUP(TRANSHARI11_SPVOUMALAM[[#This Row],[PRODUK]],DATA_SPVOU[],13,FALSE),"")</f>
        <v/>
      </c>
      <c r="T182" s="374"/>
      <c r="U182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2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2" s="12"/>
      <c r="X182" s="384" t="str">
        <f>IFERROR(IF(TRANSHARI11_SPVOUMALAM[[#This Row],[NAMA REKENING]]="","",TRANSHARI11_SPVOUMALAM[[#This Row],[DEBIT]]),"")</f>
        <v/>
      </c>
      <c r="Y182" s="387"/>
    </row>
    <row r="183" spans="1:27">
      <c r="A183" s="367">
        <v>42</v>
      </c>
      <c r="B183" s="368"/>
      <c r="C183" s="372"/>
      <c r="D183" s="373" t="str">
        <f>IFERROR(VLOOKUP(TRANSHARI11_SPVOUPAGI[[#This Row],[PRODUK]],DATA_SPVOU[],13,FALSE),"")</f>
        <v/>
      </c>
      <c r="E183" s="374"/>
      <c r="F183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3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3" s="12"/>
      <c r="I183" s="386" t="str">
        <f>IFERROR(IF(TRANSHARI11_SPVOUPAGI[[#This Row],[NAMA REKENING]]="","",TRANSHARI11_SPVOUPAGI[[#This Row],[DEBIT]]),"")</f>
        <v/>
      </c>
      <c r="J183" s="387"/>
      <c r="O183" s="324"/>
      <c r="P183" s="367">
        <v>42</v>
      </c>
      <c r="Q183" s="368"/>
      <c r="R183" s="372"/>
      <c r="S183" s="373" t="str">
        <f>IFERROR(VLOOKUP(TRANSHARI11_SPVOUMALAM[[#This Row],[PRODUK]],DATA_SPVOU[],13,FALSE),"")</f>
        <v/>
      </c>
      <c r="T183" s="374"/>
      <c r="U183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3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3" s="12"/>
      <c r="X183" s="386" t="str">
        <f>IFERROR(IF(TRANSHARI11_SPVOUMALAM[[#This Row],[NAMA REKENING]]="","",TRANSHARI11_SPVOUMALAM[[#This Row],[DEBIT]]),"")</f>
        <v/>
      </c>
      <c r="Y183" s="387"/>
      <c r="Z183" s="302" t="s">
        <v>91</v>
      </c>
      <c r="AA183" s="316"/>
    </row>
    <row r="184" ht="17.25" spans="1:27">
      <c r="A184" s="367">
        <v>43</v>
      </c>
      <c r="B184" s="368"/>
      <c r="C184" s="372"/>
      <c r="D184" s="369" t="str">
        <f>IFERROR(VLOOKUP(TRANSHARI11_SPVOUPAGI[[#This Row],[PRODUK]],DATA_SPVOU[],13,FALSE),"")</f>
        <v/>
      </c>
      <c r="E184" s="374"/>
      <c r="F184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4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4" s="12"/>
      <c r="I184" s="384" t="str">
        <f>IFERROR(IF(TRANSHARI11_SPVOUPAGI[[#This Row],[NAMA REKENING]]="","",TRANSHARI11_SPVOUPAGI[[#This Row],[DEBIT]]),"")</f>
        <v/>
      </c>
      <c r="J184" s="387"/>
      <c r="O184" s="324"/>
      <c r="P184" s="367">
        <v>43</v>
      </c>
      <c r="Q184" s="368"/>
      <c r="R184" s="372"/>
      <c r="S184" s="369" t="str">
        <f>IFERROR(VLOOKUP(TRANSHARI11_SPVOUMALAM[[#This Row],[PRODUK]],DATA_SPVOU[],13,FALSE),"")</f>
        <v/>
      </c>
      <c r="T184" s="374"/>
      <c r="U184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4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4" s="12"/>
      <c r="X184" s="384" t="str">
        <f>IFERROR(IF(TRANSHARI11_SPVOUMALAM[[#This Row],[NAMA REKENING]]="","",TRANSHARI11_SPVOUMALAM[[#This Row],[DEBIT]]),"")</f>
        <v/>
      </c>
      <c r="Y184" s="387"/>
      <c r="Z184" s="306"/>
      <c r="AA184" s="321"/>
    </row>
    <row r="185" spans="1:27">
      <c r="A185" s="367">
        <v>44</v>
      </c>
      <c r="B185" s="368"/>
      <c r="C185" s="372"/>
      <c r="D185" s="373" t="str">
        <f>IFERROR(VLOOKUP(TRANSHARI11_SPVOUPAGI[[#This Row],[PRODUK]],DATA_SPVOU[],13,FALSE),"")</f>
        <v/>
      </c>
      <c r="E185" s="374"/>
      <c r="F185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5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5" s="12"/>
      <c r="I185" s="386" t="str">
        <f>IFERROR(IF(TRANSHARI11_SPVOUPAGI[[#This Row],[NAMA REKENING]]="","",TRANSHARI11_SPVOUPAGI[[#This Row],[DEBIT]]),"")</f>
        <v/>
      </c>
      <c r="J185" s="387"/>
      <c r="O185" s="324"/>
      <c r="P185" s="367">
        <v>44</v>
      </c>
      <c r="Q185" s="368"/>
      <c r="R185" s="372"/>
      <c r="S185" s="373" t="str">
        <f>IFERROR(VLOOKUP(TRANSHARI11_SPVOUMALAM[[#This Row],[PRODUK]],DATA_SPVOU[],13,FALSE),"")</f>
        <v/>
      </c>
      <c r="T185" s="374"/>
      <c r="U185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5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5" s="12"/>
      <c r="X185" s="386" t="str">
        <f>IFERROR(IF(TRANSHARI11_SPVOUMALAM[[#This Row],[NAMA REKENING]]="","",TRANSHARI11_SPVOUMALAM[[#This Row],[DEBIT]]),"")</f>
        <v/>
      </c>
      <c r="Y185" s="387"/>
      <c r="Z185" s="389">
        <f>U192+V192</f>
        <v>0</v>
      </c>
      <c r="AA185" s="390"/>
    </row>
    <row r="186" ht="17.25" spans="1:27">
      <c r="A186" s="367">
        <v>45</v>
      </c>
      <c r="B186" s="368"/>
      <c r="C186" s="372"/>
      <c r="D186" s="369" t="str">
        <f>IFERROR(VLOOKUP(TRANSHARI11_SPVOUPAGI[[#This Row],[PRODUK]],DATA_SPVOU[],13,FALSE),"")</f>
        <v/>
      </c>
      <c r="E186" s="374"/>
      <c r="F186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6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6" s="12"/>
      <c r="I186" s="384" t="str">
        <f>IFERROR(IF(TRANSHARI11_SPVOUPAGI[[#This Row],[NAMA REKENING]]="","",TRANSHARI11_SPVOUPAGI[[#This Row],[DEBIT]]),"")</f>
        <v/>
      </c>
      <c r="J186" s="387"/>
      <c r="O186" s="324"/>
      <c r="P186" s="367">
        <v>45</v>
      </c>
      <c r="Q186" s="368"/>
      <c r="R186" s="372"/>
      <c r="S186" s="369" t="str">
        <f>IFERROR(VLOOKUP(TRANSHARI11_SPVOUMALAM[[#This Row],[PRODUK]],DATA_SPVOU[],13,FALSE),"")</f>
        <v/>
      </c>
      <c r="T186" s="374"/>
      <c r="U186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6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6" s="12"/>
      <c r="X186" s="384" t="str">
        <f>IFERROR(IF(TRANSHARI11_SPVOUMALAM[[#This Row],[NAMA REKENING]]="","",TRANSHARI11_SPVOUMALAM[[#This Row],[DEBIT]]),"")</f>
        <v/>
      </c>
      <c r="Y186" s="387"/>
      <c r="Z186" s="391"/>
      <c r="AA186" s="392"/>
    </row>
    <row r="187" ht="17.25" spans="1:25">
      <c r="A187" s="367">
        <v>46</v>
      </c>
      <c r="B187" s="368"/>
      <c r="C187" s="372"/>
      <c r="D187" s="373" t="str">
        <f>IFERROR(VLOOKUP(TRANSHARI11_SPVOUPAGI[[#This Row],[PRODUK]],DATA_SPVOU[],13,FALSE),"")</f>
        <v/>
      </c>
      <c r="E187" s="374"/>
      <c r="F187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7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7" s="12"/>
      <c r="I187" s="386" t="str">
        <f>IFERROR(IF(TRANSHARI11_SPVOUPAGI[[#This Row],[NAMA REKENING]]="","",TRANSHARI11_SPVOUPAGI[[#This Row],[DEBIT]]),"")</f>
        <v/>
      </c>
      <c r="J187" s="387"/>
      <c r="O187" s="324"/>
      <c r="P187" s="367">
        <v>46</v>
      </c>
      <c r="Q187" s="368"/>
      <c r="R187" s="372"/>
      <c r="S187" s="373" t="str">
        <f>IFERROR(VLOOKUP(TRANSHARI11_SPVOUMALAM[[#This Row],[PRODUK]],DATA_SPVOU[],13,FALSE),"")</f>
        <v/>
      </c>
      <c r="T187" s="374"/>
      <c r="U187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7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7" s="12"/>
      <c r="X187" s="386" t="str">
        <f>IFERROR(IF(TRANSHARI11_SPVOUMALAM[[#This Row],[NAMA REKENING]]="","",TRANSHARI11_SPVOUMALAM[[#This Row],[DEBIT]]),"")</f>
        <v/>
      </c>
      <c r="Y187" s="387"/>
    </row>
    <row r="188" spans="1:27">
      <c r="A188" s="367">
        <v>47</v>
      </c>
      <c r="B188" s="368"/>
      <c r="C188" s="372"/>
      <c r="D188" s="369" t="str">
        <f>IFERROR(VLOOKUP(TRANSHARI11_SPVOUPAGI[[#This Row],[PRODUK]],DATA_SPVOU[],13,FALSE),"")</f>
        <v/>
      </c>
      <c r="E188" s="374"/>
      <c r="F188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8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8" s="12"/>
      <c r="I188" s="384" t="str">
        <f>IFERROR(IF(TRANSHARI11_SPVOUPAGI[[#This Row],[NAMA REKENING]]="","",TRANSHARI11_SPVOUPAGI[[#This Row],[DEBIT]]),"")</f>
        <v/>
      </c>
      <c r="J188" s="387"/>
      <c r="K188" s="302" t="s">
        <v>91</v>
      </c>
      <c r="L188" s="316"/>
      <c r="O188" s="324"/>
      <c r="P188" s="367">
        <v>47</v>
      </c>
      <c r="Q188" s="368"/>
      <c r="R188" s="372"/>
      <c r="S188" s="369" t="str">
        <f>IFERROR(VLOOKUP(TRANSHARI11_SPVOUMALAM[[#This Row],[PRODUK]],DATA_SPVOU[],13,FALSE),"")</f>
        <v/>
      </c>
      <c r="T188" s="374"/>
      <c r="U188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8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8" s="12"/>
      <c r="X188" s="384" t="str">
        <f>IFERROR(IF(TRANSHARI11_SPVOUMALAM[[#This Row],[NAMA REKENING]]="","",TRANSHARI11_SPVOUMALAM[[#This Row],[DEBIT]]),"")</f>
        <v/>
      </c>
      <c r="Y188" s="387"/>
      <c r="Z188" s="302" t="s">
        <v>92</v>
      </c>
      <c r="AA188" s="316"/>
    </row>
    <row r="189" ht="17.25" spans="1:27">
      <c r="A189" s="367">
        <v>48</v>
      </c>
      <c r="B189" s="368"/>
      <c r="C189" s="372"/>
      <c r="D189" s="373" t="str">
        <f>IFERROR(VLOOKUP(TRANSHARI11_SPVOUPAGI[[#This Row],[PRODUK]],DATA_SPVOU[],13,FALSE),"")</f>
        <v/>
      </c>
      <c r="E189" s="374"/>
      <c r="F189" s="373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89" s="373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89" s="12"/>
      <c r="I189" s="386" t="str">
        <f>IFERROR(IF(TRANSHARI11_SPVOUPAGI[[#This Row],[NAMA REKENING]]="","",TRANSHARI11_SPVOUPAGI[[#This Row],[DEBIT]]),"")</f>
        <v/>
      </c>
      <c r="J189" s="387"/>
      <c r="K189" s="306"/>
      <c r="L189" s="321"/>
      <c r="O189" s="324"/>
      <c r="P189" s="367">
        <v>48</v>
      </c>
      <c r="Q189" s="368"/>
      <c r="R189" s="372"/>
      <c r="S189" s="373" t="str">
        <f>IFERROR(VLOOKUP(TRANSHARI11_SPVOUMALAM[[#This Row],[PRODUK]],DATA_SPVOU[],13,FALSE),"")</f>
        <v/>
      </c>
      <c r="T189" s="374"/>
      <c r="U189" s="373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89" s="373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89" s="12"/>
      <c r="X189" s="386" t="str">
        <f>IFERROR(IF(TRANSHARI11_SPVOUMALAM[[#This Row],[NAMA REKENING]]="","",TRANSHARI11_SPVOUMALAM[[#This Row],[DEBIT]]),"")</f>
        <v/>
      </c>
      <c r="Y189" s="387"/>
      <c r="Z189" s="306"/>
      <c r="AA189" s="321"/>
    </row>
    <row r="190" spans="1:27">
      <c r="A190" s="367">
        <v>49</v>
      </c>
      <c r="B190" s="368"/>
      <c r="C190" s="372"/>
      <c r="D190" s="369" t="str">
        <f>IFERROR(VLOOKUP(TRANSHARI11_SPVOUPAGI[[#This Row],[PRODUK]],DATA_SPVOU[],13,FALSE),"")</f>
        <v/>
      </c>
      <c r="E190" s="374"/>
      <c r="F190" s="369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90" s="369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90" s="12"/>
      <c r="I190" s="384" t="str">
        <f>IFERROR(IF(TRANSHARI11_SPVOUPAGI[[#This Row],[NAMA REKENING]]="","",TRANSHARI11_SPVOUPAGI[[#This Row],[DEBIT]]),"")</f>
        <v/>
      </c>
      <c r="J190" s="387"/>
      <c r="K190" s="389">
        <f>F192+G192</f>
        <v>0</v>
      </c>
      <c r="L190" s="390"/>
      <c r="O190" s="324"/>
      <c r="P190" s="367">
        <v>49</v>
      </c>
      <c r="Q190" s="368"/>
      <c r="R190" s="372"/>
      <c r="S190" s="369" t="str">
        <f>IFERROR(VLOOKUP(TRANSHARI11_SPVOUMALAM[[#This Row],[PRODUK]],DATA_SPVOU[],13,FALSE),"")</f>
        <v/>
      </c>
      <c r="T190" s="374"/>
      <c r="U190" s="369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90" s="369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90" s="12"/>
      <c r="X190" s="384" t="str">
        <f>IFERROR(IF(TRANSHARI11_SPVOUMALAM[[#This Row],[NAMA REKENING]]="","",TRANSHARI11_SPVOUMALAM[[#This Row],[DEBIT]]),"")</f>
        <v/>
      </c>
      <c r="Y190" s="387"/>
      <c r="Z190" s="400">
        <f>K190+Z185</f>
        <v>0</v>
      </c>
      <c r="AA190" s="401"/>
    </row>
    <row r="191" ht="17.25" spans="1:27">
      <c r="A191" s="393">
        <v>50</v>
      </c>
      <c r="B191" s="368"/>
      <c r="C191" s="375"/>
      <c r="D191" s="394" t="str">
        <f>IFERROR(VLOOKUP(TRANSHARI11_SPVOUPAGI[[#This Row],[PRODUK]],DATA_SPVOU[],13,FALSE),"")</f>
        <v/>
      </c>
      <c r="E191" s="376"/>
      <c r="F191" s="394" t="str">
        <f>IFERROR(IF(TRANSHARI11_SPVOUPAGI[[#This Row],[NAMA PENGHUTANG]]="",((TRANSHARI11_SPVOUPAGI[[#This Row],[HARGA]]*TRANSHARI11_SPVOUPAGI[[#This Row],[QUANTITY]])+TRANSHARI11_SPVOUPAGI[[#This Row],[PRICE TOLERANCE]]),""),"")</f>
        <v/>
      </c>
      <c r="G191" s="394" t="str">
        <f>IFERROR(IF(TRANSHARI11_SPVOUPAGI[[#This Row],[NAMA PENGHUTANG]]="","",((TRANSHARI11_SPVOUPAGI[[#This Row],[HARGA]]*TRANSHARI11_SPVOUPAGI[[#This Row],[QUANTITY]])+TRANSHARI11_SPVOUPAGI[[#This Row],[PRICE TOLERANCE]])),"")</f>
        <v/>
      </c>
      <c r="H191" s="377"/>
      <c r="I191" s="399" t="str">
        <f>IFERROR(IF(TRANSHARI11_SPVOUPAGI[[#This Row],[NAMA REKENING]]="","",TRANSHARI11_SPVOUPAGI[[#This Row],[DEBIT]]),"")</f>
        <v/>
      </c>
      <c r="J191" s="388"/>
      <c r="K191" s="391"/>
      <c r="L191" s="392"/>
      <c r="O191" s="324"/>
      <c r="P191" s="393">
        <v>50</v>
      </c>
      <c r="Q191" s="368"/>
      <c r="R191" s="375"/>
      <c r="S191" s="394" t="str">
        <f>IFERROR(VLOOKUP(TRANSHARI11_SPVOUMALAM[[#This Row],[PRODUK]],DATA_SPVOU[],13,FALSE),"")</f>
        <v/>
      </c>
      <c r="T191" s="376"/>
      <c r="U191" s="394" t="str">
        <f>IFERROR(IF(TRANSHARI11_SPVOUMALAM[[#This Row],[NAMA PENGHUTANG]]="",((TRANSHARI11_SPVOUMALAM[[#This Row],[HARGA]]*TRANSHARI11_SPVOUMALAM[[#This Row],[QUANTITY]])+TRANSHARI11_SPVOUMALAM[[#This Row],[PRICE TOLERANCE]]),""),"")</f>
        <v/>
      </c>
      <c r="V191" s="394" t="str">
        <f>IFERROR(IF(TRANSHARI11_SPVOUMALAM[[#This Row],[NAMA PENGHUTANG]]="","",((TRANSHARI11_SPVOUMALAM[[#This Row],[HARGA]]*TRANSHARI11_SPVOUMALAM[[#This Row],[QUANTITY]])+TRANSHARI11_SPVOUMALAM[[#This Row],[PRICE TOLERANCE]])),"")</f>
        <v/>
      </c>
      <c r="W191" s="377"/>
      <c r="X191" s="399" t="str">
        <f>IFERROR(IF(TRANSHARI11_SPVOUMALAM[[#This Row],[NAMA REKENING]]="","",TRANSHARI11_SPVOUMALAM[[#This Row],[DEBIT]]),"")</f>
        <v/>
      </c>
      <c r="Y191" s="388"/>
      <c r="Z191" s="402"/>
      <c r="AA191" s="403"/>
    </row>
    <row r="192" spans="1:24">
      <c r="A192" s="302" t="s">
        <v>78</v>
      </c>
      <c r="B192" s="316"/>
      <c r="C192" s="395">
        <f>SUM(TRANSHARI11_SPVOUPAGI[QUANTITY])</f>
        <v>0</v>
      </c>
      <c r="E192" s="398">
        <f>SUM(TRANSHARI11_SPVOUPAGI[PRICE TOLERANCE])</f>
        <v>0</v>
      </c>
      <c r="F192" s="396">
        <f>SUM(TRANSHARI11_SPVOUPAGI[DEBIT])</f>
        <v>0</v>
      </c>
      <c r="G192" s="396">
        <f>SUM(TRANSHARI11_SPVOUPAGI[KREDIT])</f>
        <v>0</v>
      </c>
      <c r="I192" s="396">
        <f>SUM(TRANSHARI11_SPVOUPAGI[NOMINAL TRANSFER])</f>
        <v>0</v>
      </c>
      <c r="O192" s="324"/>
      <c r="P192" s="303" t="s">
        <v>78</v>
      </c>
      <c r="Q192" s="316"/>
      <c r="R192" s="395">
        <f>SUM(TRANSHARI11_SPVOUMALAM[QUANTITY])</f>
        <v>0</v>
      </c>
      <c r="T192" s="398">
        <f>SUM(TRANSHARI11_SPVOUMALAM[PRICE TOLERANCE])</f>
        <v>0</v>
      </c>
      <c r="U192" s="396">
        <f>SUM(TRANSHARI11_SPVOUMALAM[DEBIT])</f>
        <v>0</v>
      </c>
      <c r="V192" s="396">
        <f>SUM(TRANSHARI11_SPVOUMALAM[KREDIT])</f>
        <v>0</v>
      </c>
      <c r="X192" s="396">
        <f>SUM(TRANSHARI11_SPVOUMALAM[NOMINAL TRANSFER])</f>
        <v>0</v>
      </c>
    </row>
    <row r="193" ht="17.25" spans="1:24">
      <c r="A193" s="306"/>
      <c r="B193" s="321"/>
      <c r="C193" s="397"/>
      <c r="E193" s="404"/>
      <c r="F193" s="397"/>
      <c r="G193" s="397"/>
      <c r="I193" s="397"/>
      <c r="O193" s="324"/>
      <c r="P193" s="307"/>
      <c r="Q193" s="321"/>
      <c r="R193" s="397"/>
      <c r="T193" s="404"/>
      <c r="U193" s="397"/>
      <c r="V193" s="397"/>
      <c r="X193" s="397"/>
    </row>
    <row r="194" spans="15:15">
      <c r="O194" s="324"/>
    </row>
    <row r="195" ht="17.25" spans="15:15">
      <c r="O195" s="324"/>
    </row>
    <row r="196" spans="1:25">
      <c r="A196" s="300" t="str">
        <f>A25</f>
        <v>HARI 11 : PAGI</v>
      </c>
      <c r="B196" s="301"/>
      <c r="C196" s="302" t="s">
        <v>93</v>
      </c>
      <c r="D196" s="303"/>
      <c r="E196" s="303"/>
      <c r="F196" s="303"/>
      <c r="G196" s="303"/>
      <c r="H196" s="303"/>
      <c r="I196" s="303"/>
      <c r="J196" s="316"/>
      <c r="O196" s="324"/>
      <c r="P196" s="320" t="str">
        <f>P25</f>
        <v>HARI 11 : MALAM</v>
      </c>
      <c r="Q196" s="301"/>
      <c r="R196" s="302" t="s">
        <v>93</v>
      </c>
      <c r="S196" s="303"/>
      <c r="T196" s="303"/>
      <c r="U196" s="303"/>
      <c r="V196" s="303"/>
      <c r="W196" s="303"/>
      <c r="X196" s="303"/>
      <c r="Y196" s="316"/>
    </row>
    <row r="197" spans="1:25">
      <c r="A197" s="304"/>
      <c r="B197" s="305"/>
      <c r="C197" s="364"/>
      <c r="D197" s="162"/>
      <c r="E197" s="162"/>
      <c r="F197" s="162"/>
      <c r="G197" s="162"/>
      <c r="H197" s="162"/>
      <c r="I197" s="162"/>
      <c r="J197" s="382"/>
      <c r="O197" s="324"/>
      <c r="P197" s="325"/>
      <c r="Q197" s="305"/>
      <c r="R197" s="364"/>
      <c r="S197" s="162"/>
      <c r="T197" s="162"/>
      <c r="U197" s="162"/>
      <c r="V197" s="162"/>
      <c r="W197" s="162"/>
      <c r="X197" s="162"/>
      <c r="Y197" s="382"/>
    </row>
    <row r="198" spans="1:25">
      <c r="A198" s="365" t="s">
        <v>14</v>
      </c>
      <c r="B198" s="366" t="s">
        <v>66</v>
      </c>
      <c r="C198" s="366" t="s">
        <v>67</v>
      </c>
      <c r="D198" s="366" t="s">
        <v>68</v>
      </c>
      <c r="E198" s="366" t="s">
        <v>69</v>
      </c>
      <c r="F198" s="366" t="s">
        <v>16</v>
      </c>
      <c r="G198" s="366" t="s">
        <v>17</v>
      </c>
      <c r="H198" s="366" t="s">
        <v>18</v>
      </c>
      <c r="I198" s="366" t="s">
        <v>21</v>
      </c>
      <c r="J198" s="383" t="s">
        <v>22</v>
      </c>
      <c r="O198" s="324"/>
      <c r="P198" s="365" t="s">
        <v>14</v>
      </c>
      <c r="Q198" s="366" t="s">
        <v>66</v>
      </c>
      <c r="R198" s="366" t="s">
        <v>67</v>
      </c>
      <c r="S198" s="366" t="s">
        <v>68</v>
      </c>
      <c r="T198" s="366" t="s">
        <v>69</v>
      </c>
      <c r="U198" s="366" t="s">
        <v>16</v>
      </c>
      <c r="V198" s="366" t="s">
        <v>17</v>
      </c>
      <c r="W198" s="366" t="s">
        <v>18</v>
      </c>
      <c r="X198" s="366" t="s">
        <v>21</v>
      </c>
      <c r="Y198" s="383" t="s">
        <v>22</v>
      </c>
    </row>
    <row r="199" spans="1:25">
      <c r="A199" s="367">
        <v>1</v>
      </c>
      <c r="B199" s="368"/>
      <c r="C199" s="368"/>
      <c r="D199" s="369" t="str">
        <f>IFERROR(VLOOKUP(TRANSHARI11_SOFTDRINKPAGI[[#This Row],[PRODUK]],DATA_SOFTDRINK[],13,FALSE),"")</f>
        <v/>
      </c>
      <c r="E199" s="370"/>
      <c r="F199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199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199" s="371"/>
      <c r="I199" s="384" t="str">
        <f>IFERROR(IF(TRANSHARI11_SOFTDRINKPAGI[[#This Row],[NAMA REKENING]]="","",TRANSHARI11_SOFTDRINKPAGI[[#This Row],[DEBIT]]),"")</f>
        <v/>
      </c>
      <c r="J199" s="385"/>
      <c r="O199" s="324"/>
      <c r="P199" s="367">
        <v>1</v>
      </c>
      <c r="Q199" s="368"/>
      <c r="R199" s="368"/>
      <c r="S199" s="369" t="str">
        <f>IFERROR(VLOOKUP(TRANSHARI11_SOFTDRINKMALAM[[#This Row],[PRODUK]],DATA_SOFTDRINK[],13,FALSE),"")</f>
        <v/>
      </c>
      <c r="T199" s="370"/>
      <c r="U199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199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199" s="371"/>
      <c r="X199" s="384" t="str">
        <f>IFERROR(IF(TRANSHARI11_SOFTDRINKMALAM[[#This Row],[NAMA REKENING]]="","",TRANSHARI11_SOFTDRINKMALAM[[#This Row],[DEBIT]]),"")</f>
        <v/>
      </c>
      <c r="Y199" s="385"/>
    </row>
    <row r="200" spans="1:25">
      <c r="A200" s="367">
        <v>2</v>
      </c>
      <c r="B200" s="368"/>
      <c r="C200" s="372"/>
      <c r="D200" s="373" t="str">
        <f>IFERROR(VLOOKUP(TRANSHARI11_SOFTDRINKPAGI[[#This Row],[PRODUK]],DATA_SOFTDRINK[],13,FALSE),"")</f>
        <v/>
      </c>
      <c r="E200" s="374"/>
      <c r="F200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0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0" s="12"/>
      <c r="I200" s="386" t="str">
        <f>IFERROR(IF(TRANSHARI11_SOFTDRINKPAGI[[#This Row],[NAMA REKENING]]="","",TRANSHARI11_SOFTDRINKPAGI[[#This Row],[DEBIT]]),"")</f>
        <v/>
      </c>
      <c r="J200" s="387"/>
      <c r="O200" s="324"/>
      <c r="P200" s="367">
        <v>2</v>
      </c>
      <c r="Q200" s="368"/>
      <c r="R200" s="372"/>
      <c r="S200" s="373" t="str">
        <f>IFERROR(VLOOKUP(TRANSHARI11_SOFTDRINKMALAM[[#This Row],[PRODUK]],DATA_SOFTDRINK[],13,FALSE),"")</f>
        <v/>
      </c>
      <c r="T200" s="374"/>
      <c r="U200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0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0" s="12"/>
      <c r="X200" s="386" t="str">
        <f>IFERROR(IF(TRANSHARI11_SOFTDRINKMALAM[[#This Row],[NAMA REKENING]]="","",TRANSHARI11_SOFTDRINKMALAM[[#This Row],[DEBIT]]),"")</f>
        <v/>
      </c>
      <c r="Y200" s="387"/>
    </row>
    <row r="201" spans="1:25">
      <c r="A201" s="367">
        <v>3</v>
      </c>
      <c r="B201" s="368"/>
      <c r="C201" s="372"/>
      <c r="D201" s="369" t="str">
        <f>IFERROR(VLOOKUP(TRANSHARI11_SOFTDRINKPAGI[[#This Row],[PRODUK]],DATA_SOFTDRINK[],13,FALSE),"")</f>
        <v/>
      </c>
      <c r="E201" s="374"/>
      <c r="F201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1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1" s="12"/>
      <c r="I201" s="384" t="str">
        <f>IFERROR(IF(TRANSHARI11_SOFTDRINKPAGI[[#This Row],[NAMA REKENING]]="","",TRANSHARI11_SOFTDRINKPAGI[[#This Row],[DEBIT]]),"")</f>
        <v/>
      </c>
      <c r="J201" s="387"/>
      <c r="O201" s="324"/>
      <c r="P201" s="367">
        <v>3</v>
      </c>
      <c r="Q201" s="368"/>
      <c r="R201" s="372"/>
      <c r="S201" s="369" t="str">
        <f>IFERROR(VLOOKUP(TRANSHARI11_SOFTDRINKMALAM[[#This Row],[PRODUK]],DATA_SOFTDRINK[],13,FALSE),"")</f>
        <v/>
      </c>
      <c r="T201" s="374"/>
      <c r="U201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1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1" s="12"/>
      <c r="X201" s="384" t="str">
        <f>IFERROR(IF(TRANSHARI11_SOFTDRINKMALAM[[#This Row],[NAMA REKENING]]="","",TRANSHARI11_SOFTDRINKMALAM[[#This Row],[DEBIT]]),"")</f>
        <v/>
      </c>
      <c r="Y201" s="387"/>
    </row>
    <row r="202" spans="1:25">
      <c r="A202" s="367">
        <v>4</v>
      </c>
      <c r="B202" s="368"/>
      <c r="C202" s="372"/>
      <c r="D202" s="373" t="str">
        <f>IFERROR(VLOOKUP(TRANSHARI11_SOFTDRINKPAGI[[#This Row],[PRODUK]],DATA_SOFTDRINK[],13,FALSE),"")</f>
        <v/>
      </c>
      <c r="E202" s="374"/>
      <c r="F202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2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2" s="12"/>
      <c r="I202" s="386" t="str">
        <f>IFERROR(IF(TRANSHARI11_SOFTDRINKPAGI[[#This Row],[NAMA REKENING]]="","",TRANSHARI11_SOFTDRINKPAGI[[#This Row],[DEBIT]]),"")</f>
        <v/>
      </c>
      <c r="J202" s="387"/>
      <c r="O202" s="324"/>
      <c r="P202" s="367">
        <v>4</v>
      </c>
      <c r="Q202" s="368"/>
      <c r="R202" s="372"/>
      <c r="S202" s="373" t="str">
        <f>IFERROR(VLOOKUP(TRANSHARI11_SOFTDRINKMALAM[[#This Row],[PRODUK]],DATA_SOFTDRINK[],13,FALSE),"")</f>
        <v/>
      </c>
      <c r="T202" s="374"/>
      <c r="U202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2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2" s="12"/>
      <c r="X202" s="386" t="str">
        <f>IFERROR(IF(TRANSHARI11_SOFTDRINKMALAM[[#This Row],[NAMA REKENING]]="","",TRANSHARI11_SOFTDRINKMALAM[[#This Row],[DEBIT]]),"")</f>
        <v/>
      </c>
      <c r="Y202" s="387"/>
    </row>
    <row r="203" spans="1:25">
      <c r="A203" s="367">
        <v>5</v>
      </c>
      <c r="B203" s="368"/>
      <c r="C203" s="372"/>
      <c r="D203" s="369" t="str">
        <f>IFERROR(VLOOKUP(TRANSHARI11_SOFTDRINKPAGI[[#This Row],[PRODUK]],DATA_SOFTDRINK[],13,FALSE),"")</f>
        <v/>
      </c>
      <c r="E203" s="374"/>
      <c r="F203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3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3" s="12"/>
      <c r="I203" s="384" t="str">
        <f>IFERROR(IF(TRANSHARI11_SOFTDRINKPAGI[[#This Row],[NAMA REKENING]]="","",TRANSHARI11_SOFTDRINKPAGI[[#This Row],[DEBIT]]),"")</f>
        <v/>
      </c>
      <c r="J203" s="387"/>
      <c r="O203" s="324"/>
      <c r="P203" s="367">
        <v>5</v>
      </c>
      <c r="Q203" s="368"/>
      <c r="R203" s="372"/>
      <c r="S203" s="369" t="str">
        <f>IFERROR(VLOOKUP(TRANSHARI11_SOFTDRINKMALAM[[#This Row],[PRODUK]],DATA_SOFTDRINK[],13,FALSE),"")</f>
        <v/>
      </c>
      <c r="T203" s="374"/>
      <c r="U203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3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3" s="12"/>
      <c r="X203" s="384" t="str">
        <f>IFERROR(IF(TRANSHARI11_SOFTDRINKMALAM[[#This Row],[NAMA REKENING]]="","",TRANSHARI11_SOFTDRINKMALAM[[#This Row],[DEBIT]]),"")</f>
        <v/>
      </c>
      <c r="Y203" s="387"/>
    </row>
    <row r="204" spans="1:25">
      <c r="A204" s="367">
        <v>6</v>
      </c>
      <c r="B204" s="368"/>
      <c r="C204" s="372"/>
      <c r="D204" s="373" t="str">
        <f>IFERROR(VLOOKUP(TRANSHARI11_SOFTDRINKPAGI[[#This Row],[PRODUK]],DATA_SOFTDRINK[],13,FALSE),"")</f>
        <v/>
      </c>
      <c r="E204" s="374"/>
      <c r="F204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4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4" s="12"/>
      <c r="I204" s="386" t="str">
        <f>IFERROR(IF(TRANSHARI11_SOFTDRINKPAGI[[#This Row],[NAMA REKENING]]="","",TRANSHARI11_SOFTDRINKPAGI[[#This Row],[DEBIT]]),"")</f>
        <v/>
      </c>
      <c r="J204" s="387"/>
      <c r="O204" s="324"/>
      <c r="P204" s="367">
        <v>6</v>
      </c>
      <c r="Q204" s="368"/>
      <c r="R204" s="372"/>
      <c r="S204" s="373" t="str">
        <f>IFERROR(VLOOKUP(TRANSHARI11_SOFTDRINKMALAM[[#This Row],[PRODUK]],DATA_SOFTDRINK[],13,FALSE),"")</f>
        <v/>
      </c>
      <c r="T204" s="374"/>
      <c r="U204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4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4" s="12"/>
      <c r="X204" s="386" t="str">
        <f>IFERROR(IF(TRANSHARI11_SOFTDRINKMALAM[[#This Row],[NAMA REKENING]]="","",TRANSHARI11_SOFTDRINKMALAM[[#This Row],[DEBIT]]),"")</f>
        <v/>
      </c>
      <c r="Y204" s="387"/>
    </row>
    <row r="205" spans="1:25">
      <c r="A205" s="367">
        <v>7</v>
      </c>
      <c r="B205" s="368"/>
      <c r="C205" s="372"/>
      <c r="D205" s="369" t="str">
        <f>IFERROR(VLOOKUP(TRANSHARI11_SOFTDRINKPAGI[[#This Row],[PRODUK]],DATA_SOFTDRINK[],13,FALSE),"")</f>
        <v/>
      </c>
      <c r="E205" s="374"/>
      <c r="F205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5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5" s="12"/>
      <c r="I205" s="384" t="str">
        <f>IFERROR(IF(TRANSHARI11_SOFTDRINKPAGI[[#This Row],[NAMA REKENING]]="","",TRANSHARI11_SOFTDRINKPAGI[[#This Row],[DEBIT]]),"")</f>
        <v/>
      </c>
      <c r="J205" s="387"/>
      <c r="O205" s="324"/>
      <c r="P205" s="367">
        <v>7</v>
      </c>
      <c r="Q205" s="368"/>
      <c r="R205" s="372"/>
      <c r="S205" s="369" t="str">
        <f>IFERROR(VLOOKUP(TRANSHARI11_SOFTDRINKMALAM[[#This Row],[PRODUK]],DATA_SOFTDRINK[],13,FALSE),"")</f>
        <v/>
      </c>
      <c r="T205" s="374"/>
      <c r="U205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5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5" s="12"/>
      <c r="X205" s="384" t="str">
        <f>IFERROR(IF(TRANSHARI11_SOFTDRINKMALAM[[#This Row],[NAMA REKENING]]="","",TRANSHARI11_SOFTDRINKMALAM[[#This Row],[DEBIT]]),"")</f>
        <v/>
      </c>
      <c r="Y205" s="387"/>
    </row>
    <row r="206" spans="1:25">
      <c r="A206" s="367">
        <v>8</v>
      </c>
      <c r="B206" s="368"/>
      <c r="C206" s="372"/>
      <c r="D206" s="373" t="str">
        <f>IFERROR(VLOOKUP(TRANSHARI11_SOFTDRINKPAGI[[#This Row],[PRODUK]],DATA_SOFTDRINK[],13,FALSE),"")</f>
        <v/>
      </c>
      <c r="E206" s="374"/>
      <c r="F206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6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6" s="12"/>
      <c r="I206" s="386" t="str">
        <f>IFERROR(IF(TRANSHARI11_SOFTDRINKPAGI[[#This Row],[NAMA REKENING]]="","",TRANSHARI11_SOFTDRINKPAGI[[#This Row],[DEBIT]]),"")</f>
        <v/>
      </c>
      <c r="J206" s="387"/>
      <c r="O206" s="324"/>
      <c r="P206" s="367">
        <v>8</v>
      </c>
      <c r="Q206" s="368"/>
      <c r="R206" s="372"/>
      <c r="S206" s="373" t="str">
        <f>IFERROR(VLOOKUP(TRANSHARI11_SOFTDRINKMALAM[[#This Row],[PRODUK]],DATA_SOFTDRINK[],13,FALSE),"")</f>
        <v/>
      </c>
      <c r="T206" s="374"/>
      <c r="U206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6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6" s="12"/>
      <c r="X206" s="386" t="str">
        <f>IFERROR(IF(TRANSHARI11_SOFTDRINKMALAM[[#This Row],[NAMA REKENING]]="","",TRANSHARI11_SOFTDRINKMALAM[[#This Row],[DEBIT]]),"")</f>
        <v/>
      </c>
      <c r="Y206" s="387"/>
    </row>
    <row r="207" spans="1:25">
      <c r="A207" s="367">
        <v>9</v>
      </c>
      <c r="B207" s="368"/>
      <c r="C207" s="372"/>
      <c r="D207" s="369" t="str">
        <f>IFERROR(VLOOKUP(TRANSHARI11_SOFTDRINKPAGI[[#This Row],[PRODUK]],DATA_SOFTDRINK[],13,FALSE),"")</f>
        <v/>
      </c>
      <c r="E207" s="374"/>
      <c r="F207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7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7" s="12"/>
      <c r="I207" s="384" t="str">
        <f>IFERROR(IF(TRANSHARI11_SOFTDRINKPAGI[[#This Row],[NAMA REKENING]]="","",TRANSHARI11_SOFTDRINKPAGI[[#This Row],[DEBIT]]),"")</f>
        <v/>
      </c>
      <c r="J207" s="387"/>
      <c r="O207" s="324"/>
      <c r="P207" s="367">
        <v>9</v>
      </c>
      <c r="Q207" s="368"/>
      <c r="R207" s="372"/>
      <c r="S207" s="369" t="str">
        <f>IFERROR(VLOOKUP(TRANSHARI11_SOFTDRINKMALAM[[#This Row],[PRODUK]],DATA_SOFTDRINK[],13,FALSE),"")</f>
        <v/>
      </c>
      <c r="T207" s="374"/>
      <c r="U207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7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7" s="12"/>
      <c r="X207" s="384" t="str">
        <f>IFERROR(IF(TRANSHARI11_SOFTDRINKMALAM[[#This Row],[NAMA REKENING]]="","",TRANSHARI11_SOFTDRINKMALAM[[#This Row],[DEBIT]]),"")</f>
        <v/>
      </c>
      <c r="Y207" s="387"/>
    </row>
    <row r="208" spans="1:25">
      <c r="A208" s="367">
        <v>10</v>
      </c>
      <c r="B208" s="368"/>
      <c r="C208" s="372"/>
      <c r="D208" s="373" t="str">
        <f>IFERROR(VLOOKUP(TRANSHARI11_SOFTDRINKPAGI[[#This Row],[PRODUK]],DATA_SOFTDRINK[],13,FALSE),"")</f>
        <v/>
      </c>
      <c r="E208" s="374"/>
      <c r="F208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8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8" s="12"/>
      <c r="I208" s="386" t="str">
        <f>IFERROR(IF(TRANSHARI11_SOFTDRINKPAGI[[#This Row],[NAMA REKENING]]="","",TRANSHARI11_SOFTDRINKPAGI[[#This Row],[DEBIT]]),"")</f>
        <v/>
      </c>
      <c r="J208" s="387"/>
      <c r="O208" s="324"/>
      <c r="P208" s="367">
        <v>10</v>
      </c>
      <c r="Q208" s="368"/>
      <c r="R208" s="372"/>
      <c r="S208" s="373" t="str">
        <f>IFERROR(VLOOKUP(TRANSHARI11_SOFTDRINKMALAM[[#This Row],[PRODUK]],DATA_SOFTDRINK[],13,FALSE),"")</f>
        <v/>
      </c>
      <c r="T208" s="374"/>
      <c r="U208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8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8" s="12"/>
      <c r="X208" s="386" t="str">
        <f>IFERROR(IF(TRANSHARI11_SOFTDRINKMALAM[[#This Row],[NAMA REKENING]]="","",TRANSHARI11_SOFTDRINKMALAM[[#This Row],[DEBIT]]),"")</f>
        <v/>
      </c>
      <c r="Y208" s="387"/>
    </row>
    <row r="209" spans="1:25">
      <c r="A209" s="367">
        <v>11</v>
      </c>
      <c r="B209" s="368"/>
      <c r="C209" s="372"/>
      <c r="D209" s="369" t="str">
        <f>IFERROR(VLOOKUP(TRANSHARI11_SOFTDRINKPAGI[[#This Row],[PRODUK]],DATA_SOFTDRINK[],13,FALSE),"")</f>
        <v/>
      </c>
      <c r="E209" s="374"/>
      <c r="F209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09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09" s="12"/>
      <c r="I209" s="384" t="str">
        <f>IFERROR(IF(TRANSHARI11_SOFTDRINKPAGI[[#This Row],[NAMA REKENING]]="","",TRANSHARI11_SOFTDRINKPAGI[[#This Row],[DEBIT]]),"")</f>
        <v/>
      </c>
      <c r="J209" s="387"/>
      <c r="O209" s="324"/>
      <c r="P209" s="367">
        <v>11</v>
      </c>
      <c r="Q209" s="368"/>
      <c r="R209" s="372"/>
      <c r="S209" s="369" t="str">
        <f>IFERROR(VLOOKUP(TRANSHARI11_SOFTDRINKMALAM[[#This Row],[PRODUK]],DATA_SOFTDRINK[],13,FALSE),"")</f>
        <v/>
      </c>
      <c r="T209" s="374"/>
      <c r="U209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09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09" s="12"/>
      <c r="X209" s="384" t="str">
        <f>IFERROR(IF(TRANSHARI11_SOFTDRINKMALAM[[#This Row],[NAMA REKENING]]="","",TRANSHARI11_SOFTDRINKMALAM[[#This Row],[DEBIT]]),"")</f>
        <v/>
      </c>
      <c r="Y209" s="387"/>
    </row>
    <row r="210" spans="1:25">
      <c r="A210" s="367">
        <v>12</v>
      </c>
      <c r="B210" s="368"/>
      <c r="C210" s="372"/>
      <c r="D210" s="373" t="str">
        <f>IFERROR(VLOOKUP(TRANSHARI11_SOFTDRINKPAGI[[#This Row],[PRODUK]],DATA_SOFTDRINK[],13,FALSE),"")</f>
        <v/>
      </c>
      <c r="E210" s="374"/>
      <c r="F210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0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0" s="12"/>
      <c r="I210" s="386" t="str">
        <f>IFERROR(IF(TRANSHARI11_SOFTDRINKPAGI[[#This Row],[NAMA REKENING]]="","",TRANSHARI11_SOFTDRINKPAGI[[#This Row],[DEBIT]]),"")</f>
        <v/>
      </c>
      <c r="J210" s="387"/>
      <c r="O210" s="324"/>
      <c r="P210" s="367">
        <v>12</v>
      </c>
      <c r="Q210" s="368"/>
      <c r="R210" s="372"/>
      <c r="S210" s="373" t="str">
        <f>IFERROR(VLOOKUP(TRANSHARI11_SOFTDRINKMALAM[[#This Row],[PRODUK]],DATA_SOFTDRINK[],13,FALSE),"")</f>
        <v/>
      </c>
      <c r="T210" s="374"/>
      <c r="U210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0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0" s="12"/>
      <c r="X210" s="386" t="str">
        <f>IFERROR(IF(TRANSHARI11_SOFTDRINKMALAM[[#This Row],[NAMA REKENING]]="","",TRANSHARI11_SOFTDRINKMALAM[[#This Row],[DEBIT]]),"")</f>
        <v/>
      </c>
      <c r="Y210" s="387"/>
    </row>
    <row r="211" spans="1:25">
      <c r="A211" s="367">
        <v>13</v>
      </c>
      <c r="B211" s="368"/>
      <c r="C211" s="372"/>
      <c r="D211" s="369" t="str">
        <f>IFERROR(VLOOKUP(TRANSHARI11_SOFTDRINKPAGI[[#This Row],[PRODUK]],DATA_SOFTDRINK[],13,FALSE),"")</f>
        <v/>
      </c>
      <c r="E211" s="374"/>
      <c r="F211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1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1" s="12"/>
      <c r="I211" s="384" t="str">
        <f>IFERROR(IF(TRANSHARI11_SOFTDRINKPAGI[[#This Row],[NAMA REKENING]]="","",TRANSHARI11_SOFTDRINKPAGI[[#This Row],[DEBIT]]),"")</f>
        <v/>
      </c>
      <c r="J211" s="387"/>
      <c r="O211" s="324"/>
      <c r="P211" s="367">
        <v>13</v>
      </c>
      <c r="Q211" s="368"/>
      <c r="R211" s="372"/>
      <c r="S211" s="369" t="str">
        <f>IFERROR(VLOOKUP(TRANSHARI11_SOFTDRINKMALAM[[#This Row],[PRODUK]],DATA_SOFTDRINK[],13,FALSE),"")</f>
        <v/>
      </c>
      <c r="T211" s="374"/>
      <c r="U211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1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1" s="12"/>
      <c r="X211" s="384" t="str">
        <f>IFERROR(IF(TRANSHARI11_SOFTDRINKMALAM[[#This Row],[NAMA REKENING]]="","",TRANSHARI11_SOFTDRINKMALAM[[#This Row],[DEBIT]]),"")</f>
        <v/>
      </c>
      <c r="Y211" s="387"/>
    </row>
    <row r="212" spans="1:25">
      <c r="A212" s="367">
        <v>14</v>
      </c>
      <c r="B212" s="368"/>
      <c r="C212" s="372"/>
      <c r="D212" s="373" t="str">
        <f>IFERROR(VLOOKUP(TRANSHARI11_SOFTDRINKPAGI[[#This Row],[PRODUK]],DATA_SOFTDRINK[],13,FALSE),"")</f>
        <v/>
      </c>
      <c r="E212" s="374"/>
      <c r="F212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2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2" s="12"/>
      <c r="I212" s="386" t="str">
        <f>IFERROR(IF(TRANSHARI11_SOFTDRINKPAGI[[#This Row],[NAMA REKENING]]="","",TRANSHARI11_SOFTDRINKPAGI[[#This Row],[DEBIT]]),"")</f>
        <v/>
      </c>
      <c r="J212" s="387"/>
      <c r="O212" s="324"/>
      <c r="P212" s="367">
        <v>14</v>
      </c>
      <c r="Q212" s="368"/>
      <c r="R212" s="372"/>
      <c r="S212" s="373" t="str">
        <f>IFERROR(VLOOKUP(TRANSHARI11_SOFTDRINKMALAM[[#This Row],[PRODUK]],DATA_SOFTDRINK[],13,FALSE),"")</f>
        <v/>
      </c>
      <c r="T212" s="374"/>
      <c r="U212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2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2" s="12"/>
      <c r="X212" s="386" t="str">
        <f>IFERROR(IF(TRANSHARI11_SOFTDRINKMALAM[[#This Row],[NAMA REKENING]]="","",TRANSHARI11_SOFTDRINKMALAM[[#This Row],[DEBIT]]),"")</f>
        <v/>
      </c>
      <c r="Y212" s="387"/>
    </row>
    <row r="213" spans="1:25">
      <c r="A213" s="367">
        <v>15</v>
      </c>
      <c r="B213" s="368"/>
      <c r="C213" s="372"/>
      <c r="D213" s="369" t="str">
        <f>IFERROR(VLOOKUP(TRANSHARI11_SOFTDRINKPAGI[[#This Row],[PRODUK]],DATA_SOFTDRINK[],13,FALSE),"")</f>
        <v/>
      </c>
      <c r="E213" s="374"/>
      <c r="F213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3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3" s="12"/>
      <c r="I213" s="384" t="str">
        <f>IFERROR(IF(TRANSHARI11_SOFTDRINKPAGI[[#This Row],[NAMA REKENING]]="","",TRANSHARI11_SOFTDRINKPAGI[[#This Row],[DEBIT]]),"")</f>
        <v/>
      </c>
      <c r="J213" s="387"/>
      <c r="O213" s="324"/>
      <c r="P213" s="367">
        <v>15</v>
      </c>
      <c r="Q213" s="368"/>
      <c r="R213" s="372"/>
      <c r="S213" s="369" t="str">
        <f>IFERROR(VLOOKUP(TRANSHARI11_SOFTDRINKMALAM[[#This Row],[PRODUK]],DATA_SOFTDRINK[],13,FALSE),"")</f>
        <v/>
      </c>
      <c r="T213" s="374"/>
      <c r="U213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3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3" s="12"/>
      <c r="X213" s="384" t="str">
        <f>IFERROR(IF(TRANSHARI11_SOFTDRINKMALAM[[#This Row],[NAMA REKENING]]="","",TRANSHARI11_SOFTDRINKMALAM[[#This Row],[DEBIT]]),"")</f>
        <v/>
      </c>
      <c r="Y213" s="387"/>
    </row>
    <row r="214" spans="1:25">
      <c r="A214" s="367">
        <v>16</v>
      </c>
      <c r="B214" s="368"/>
      <c r="C214" s="372"/>
      <c r="D214" s="373" t="str">
        <f>IFERROR(VLOOKUP(TRANSHARI11_SOFTDRINKPAGI[[#This Row],[PRODUK]],DATA_SOFTDRINK[],13,FALSE),"")</f>
        <v/>
      </c>
      <c r="E214" s="374"/>
      <c r="F214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4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4" s="12"/>
      <c r="I214" s="386" t="str">
        <f>IFERROR(IF(TRANSHARI11_SOFTDRINKPAGI[[#This Row],[NAMA REKENING]]="","",TRANSHARI11_SOFTDRINKPAGI[[#This Row],[DEBIT]]),"")</f>
        <v/>
      </c>
      <c r="J214" s="387"/>
      <c r="O214" s="324"/>
      <c r="P214" s="367">
        <v>16</v>
      </c>
      <c r="Q214" s="368"/>
      <c r="R214" s="372"/>
      <c r="S214" s="373" t="str">
        <f>IFERROR(VLOOKUP(TRANSHARI11_SOFTDRINKMALAM[[#This Row],[PRODUK]],DATA_SOFTDRINK[],13,FALSE),"")</f>
        <v/>
      </c>
      <c r="T214" s="374"/>
      <c r="U214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4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4" s="12"/>
      <c r="X214" s="386" t="str">
        <f>IFERROR(IF(TRANSHARI11_SOFTDRINKMALAM[[#This Row],[NAMA REKENING]]="","",TRANSHARI11_SOFTDRINKMALAM[[#This Row],[DEBIT]]),"")</f>
        <v/>
      </c>
      <c r="Y214" s="387"/>
    </row>
    <row r="215" spans="1:25">
      <c r="A215" s="367">
        <v>17</v>
      </c>
      <c r="B215" s="368"/>
      <c r="C215" s="372"/>
      <c r="D215" s="369" t="str">
        <f>IFERROR(VLOOKUP(TRANSHARI11_SOFTDRINKPAGI[[#This Row],[PRODUK]],DATA_SOFTDRINK[],13,FALSE),"")</f>
        <v/>
      </c>
      <c r="E215" s="374"/>
      <c r="F215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5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5" s="12"/>
      <c r="I215" s="384" t="str">
        <f>IFERROR(IF(TRANSHARI11_SOFTDRINKPAGI[[#This Row],[NAMA REKENING]]="","",TRANSHARI11_SOFTDRINKPAGI[[#This Row],[DEBIT]]),"")</f>
        <v/>
      </c>
      <c r="J215" s="387"/>
      <c r="O215" s="324"/>
      <c r="P215" s="367">
        <v>17</v>
      </c>
      <c r="Q215" s="368"/>
      <c r="R215" s="372"/>
      <c r="S215" s="369" t="str">
        <f>IFERROR(VLOOKUP(TRANSHARI11_SOFTDRINKMALAM[[#This Row],[PRODUK]],DATA_SOFTDRINK[],13,FALSE),"")</f>
        <v/>
      </c>
      <c r="T215" s="374"/>
      <c r="U215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5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5" s="12"/>
      <c r="X215" s="384" t="str">
        <f>IFERROR(IF(TRANSHARI11_SOFTDRINKMALAM[[#This Row],[NAMA REKENING]]="","",TRANSHARI11_SOFTDRINKMALAM[[#This Row],[DEBIT]]),"")</f>
        <v/>
      </c>
      <c r="Y215" s="387"/>
    </row>
    <row r="216" spans="1:25">
      <c r="A216" s="367">
        <v>18</v>
      </c>
      <c r="B216" s="368"/>
      <c r="C216" s="372"/>
      <c r="D216" s="373" t="str">
        <f>IFERROR(VLOOKUP(TRANSHARI11_SOFTDRINKPAGI[[#This Row],[PRODUK]],DATA_SOFTDRINK[],13,FALSE),"")</f>
        <v/>
      </c>
      <c r="E216" s="374"/>
      <c r="F216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6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6" s="12"/>
      <c r="I216" s="386" t="str">
        <f>IFERROR(IF(TRANSHARI11_SOFTDRINKPAGI[[#This Row],[NAMA REKENING]]="","",TRANSHARI11_SOFTDRINKPAGI[[#This Row],[DEBIT]]),"")</f>
        <v/>
      </c>
      <c r="J216" s="387"/>
      <c r="O216" s="324"/>
      <c r="P216" s="367">
        <v>18</v>
      </c>
      <c r="Q216" s="368"/>
      <c r="R216" s="372"/>
      <c r="S216" s="373" t="str">
        <f>IFERROR(VLOOKUP(TRANSHARI11_SOFTDRINKMALAM[[#This Row],[PRODUK]],DATA_SOFTDRINK[],13,FALSE),"")</f>
        <v/>
      </c>
      <c r="T216" s="374"/>
      <c r="U216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6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6" s="12"/>
      <c r="X216" s="386" t="str">
        <f>IFERROR(IF(TRANSHARI11_SOFTDRINKMALAM[[#This Row],[NAMA REKENING]]="","",TRANSHARI11_SOFTDRINKMALAM[[#This Row],[DEBIT]]),"")</f>
        <v/>
      </c>
      <c r="Y216" s="387"/>
    </row>
    <row r="217" spans="1:25">
      <c r="A217" s="367">
        <v>19</v>
      </c>
      <c r="B217" s="368"/>
      <c r="C217" s="372"/>
      <c r="D217" s="369" t="str">
        <f>IFERROR(VLOOKUP(TRANSHARI11_SOFTDRINKPAGI[[#This Row],[PRODUK]],DATA_SOFTDRINK[],13,FALSE),"")</f>
        <v/>
      </c>
      <c r="E217" s="374"/>
      <c r="F217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7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7" s="12"/>
      <c r="I217" s="384" t="str">
        <f>IFERROR(IF(TRANSHARI11_SOFTDRINKPAGI[[#This Row],[NAMA REKENING]]="","",TRANSHARI11_SOFTDRINKPAGI[[#This Row],[DEBIT]]),"")</f>
        <v/>
      </c>
      <c r="J217" s="387"/>
      <c r="O217" s="324"/>
      <c r="P217" s="367">
        <v>19</v>
      </c>
      <c r="Q217" s="368"/>
      <c r="R217" s="372"/>
      <c r="S217" s="369" t="str">
        <f>IFERROR(VLOOKUP(TRANSHARI11_SOFTDRINKMALAM[[#This Row],[PRODUK]],DATA_SOFTDRINK[],13,FALSE),"")</f>
        <v/>
      </c>
      <c r="T217" s="374"/>
      <c r="U217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7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7" s="12"/>
      <c r="X217" s="384" t="str">
        <f>IFERROR(IF(TRANSHARI11_SOFTDRINKMALAM[[#This Row],[NAMA REKENING]]="","",TRANSHARI11_SOFTDRINKMALAM[[#This Row],[DEBIT]]),"")</f>
        <v/>
      </c>
      <c r="Y217" s="387"/>
    </row>
    <row r="218" spans="1:25">
      <c r="A218" s="367">
        <v>20</v>
      </c>
      <c r="B218" s="368"/>
      <c r="C218" s="372"/>
      <c r="D218" s="373" t="str">
        <f>IFERROR(VLOOKUP(TRANSHARI11_SOFTDRINKPAGI[[#This Row],[PRODUK]],DATA_SOFTDRINK[],13,FALSE),"")</f>
        <v/>
      </c>
      <c r="E218" s="374"/>
      <c r="F218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8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8" s="12"/>
      <c r="I218" s="386" t="str">
        <f>IFERROR(IF(TRANSHARI11_SOFTDRINKPAGI[[#This Row],[NAMA REKENING]]="","",TRANSHARI11_SOFTDRINKPAGI[[#This Row],[DEBIT]]),"")</f>
        <v/>
      </c>
      <c r="J218" s="387"/>
      <c r="O218" s="324"/>
      <c r="P218" s="367">
        <v>20</v>
      </c>
      <c r="Q218" s="368"/>
      <c r="R218" s="372"/>
      <c r="S218" s="373" t="str">
        <f>IFERROR(VLOOKUP(TRANSHARI11_SOFTDRINKMALAM[[#This Row],[PRODUK]],DATA_SOFTDRINK[],13,FALSE),"")</f>
        <v/>
      </c>
      <c r="T218" s="374"/>
      <c r="U218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8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8" s="12"/>
      <c r="X218" s="386" t="str">
        <f>IFERROR(IF(TRANSHARI11_SOFTDRINKMALAM[[#This Row],[NAMA REKENING]]="","",TRANSHARI11_SOFTDRINKMALAM[[#This Row],[DEBIT]]),"")</f>
        <v/>
      </c>
      <c r="Y218" s="387"/>
    </row>
    <row r="219" spans="1:25">
      <c r="A219" s="367">
        <v>21</v>
      </c>
      <c r="B219" s="368"/>
      <c r="C219" s="372"/>
      <c r="D219" s="369" t="str">
        <f>IFERROR(VLOOKUP(TRANSHARI11_SOFTDRINKPAGI[[#This Row],[PRODUK]],DATA_SOFTDRINK[],13,FALSE),"")</f>
        <v/>
      </c>
      <c r="E219" s="374"/>
      <c r="F219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19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19" s="12"/>
      <c r="I219" s="384" t="str">
        <f>IFERROR(IF(TRANSHARI11_SOFTDRINKPAGI[[#This Row],[NAMA REKENING]]="","",TRANSHARI11_SOFTDRINKPAGI[[#This Row],[DEBIT]]),"")</f>
        <v/>
      </c>
      <c r="J219" s="387"/>
      <c r="O219" s="324"/>
      <c r="P219" s="367">
        <v>21</v>
      </c>
      <c r="Q219" s="368"/>
      <c r="R219" s="372"/>
      <c r="S219" s="369" t="str">
        <f>IFERROR(VLOOKUP(TRANSHARI11_SOFTDRINKMALAM[[#This Row],[PRODUK]],DATA_SOFTDRINK[],13,FALSE),"")</f>
        <v/>
      </c>
      <c r="T219" s="374"/>
      <c r="U219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19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19" s="12"/>
      <c r="X219" s="384" t="str">
        <f>IFERROR(IF(TRANSHARI11_SOFTDRINKMALAM[[#This Row],[NAMA REKENING]]="","",TRANSHARI11_SOFTDRINKMALAM[[#This Row],[DEBIT]]),"")</f>
        <v/>
      </c>
      <c r="Y219" s="387"/>
    </row>
    <row r="220" spans="1:25">
      <c r="A220" s="367">
        <v>22</v>
      </c>
      <c r="B220" s="368"/>
      <c r="C220" s="372"/>
      <c r="D220" s="373" t="str">
        <f>IFERROR(VLOOKUP(TRANSHARI11_SOFTDRINKPAGI[[#This Row],[PRODUK]],DATA_SOFTDRINK[],13,FALSE),"")</f>
        <v/>
      </c>
      <c r="E220" s="374"/>
      <c r="F220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0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0" s="12"/>
      <c r="I220" s="386" t="str">
        <f>IFERROR(IF(TRANSHARI11_SOFTDRINKPAGI[[#This Row],[NAMA REKENING]]="","",TRANSHARI11_SOFTDRINKPAGI[[#This Row],[DEBIT]]),"")</f>
        <v/>
      </c>
      <c r="J220" s="387"/>
      <c r="O220" s="324"/>
      <c r="P220" s="367">
        <v>22</v>
      </c>
      <c r="Q220" s="368"/>
      <c r="R220" s="372"/>
      <c r="S220" s="373" t="str">
        <f>IFERROR(VLOOKUP(TRANSHARI11_SOFTDRINKMALAM[[#This Row],[PRODUK]],DATA_SOFTDRINK[],13,FALSE),"")</f>
        <v/>
      </c>
      <c r="T220" s="374"/>
      <c r="U220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0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0" s="12"/>
      <c r="X220" s="386" t="str">
        <f>IFERROR(IF(TRANSHARI11_SOFTDRINKMALAM[[#This Row],[NAMA REKENING]]="","",TRANSHARI11_SOFTDRINKMALAM[[#This Row],[DEBIT]]),"")</f>
        <v/>
      </c>
      <c r="Y220" s="387"/>
    </row>
    <row r="221" spans="1:25">
      <c r="A221" s="367">
        <v>23</v>
      </c>
      <c r="B221" s="368"/>
      <c r="C221" s="372"/>
      <c r="D221" s="369" t="str">
        <f>IFERROR(VLOOKUP(TRANSHARI11_SOFTDRINKPAGI[[#This Row],[PRODUK]],DATA_SOFTDRINK[],13,FALSE),"")</f>
        <v/>
      </c>
      <c r="E221" s="374"/>
      <c r="F221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1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1" s="12"/>
      <c r="I221" s="384" t="str">
        <f>IFERROR(IF(TRANSHARI11_SOFTDRINKPAGI[[#This Row],[NAMA REKENING]]="","",TRANSHARI11_SOFTDRINKPAGI[[#This Row],[DEBIT]]),"")</f>
        <v/>
      </c>
      <c r="J221" s="387"/>
      <c r="O221" s="324"/>
      <c r="P221" s="367">
        <v>23</v>
      </c>
      <c r="Q221" s="368"/>
      <c r="R221" s="372"/>
      <c r="S221" s="369" t="str">
        <f>IFERROR(VLOOKUP(TRANSHARI11_SOFTDRINKMALAM[[#This Row],[PRODUK]],DATA_SOFTDRINK[],13,FALSE),"")</f>
        <v/>
      </c>
      <c r="T221" s="374"/>
      <c r="U221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1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1" s="12"/>
      <c r="X221" s="384" t="str">
        <f>IFERROR(IF(TRANSHARI11_SOFTDRINKMALAM[[#This Row],[NAMA REKENING]]="","",TRANSHARI11_SOFTDRINKMALAM[[#This Row],[DEBIT]]),"")</f>
        <v/>
      </c>
      <c r="Y221" s="387"/>
    </row>
    <row r="222" spans="1:25">
      <c r="A222" s="367">
        <v>24</v>
      </c>
      <c r="B222" s="368"/>
      <c r="C222" s="372"/>
      <c r="D222" s="373" t="str">
        <f>IFERROR(VLOOKUP(TRANSHARI11_SOFTDRINKPAGI[[#This Row],[PRODUK]],DATA_SOFTDRINK[],13,FALSE),"")</f>
        <v/>
      </c>
      <c r="E222" s="374"/>
      <c r="F222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2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2" s="12"/>
      <c r="I222" s="386" t="str">
        <f>IFERROR(IF(TRANSHARI11_SOFTDRINKPAGI[[#This Row],[NAMA REKENING]]="","",TRANSHARI11_SOFTDRINKPAGI[[#This Row],[DEBIT]]),"")</f>
        <v/>
      </c>
      <c r="J222" s="387"/>
      <c r="O222" s="324"/>
      <c r="P222" s="367">
        <v>24</v>
      </c>
      <c r="Q222" s="368"/>
      <c r="R222" s="372"/>
      <c r="S222" s="373" t="str">
        <f>IFERROR(VLOOKUP(TRANSHARI11_SOFTDRINKMALAM[[#This Row],[PRODUK]],DATA_SOFTDRINK[],13,FALSE),"")</f>
        <v/>
      </c>
      <c r="T222" s="374"/>
      <c r="U222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2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2" s="12"/>
      <c r="X222" s="386" t="str">
        <f>IFERROR(IF(TRANSHARI11_SOFTDRINKMALAM[[#This Row],[NAMA REKENING]]="","",TRANSHARI11_SOFTDRINKMALAM[[#This Row],[DEBIT]]),"")</f>
        <v/>
      </c>
      <c r="Y222" s="387"/>
    </row>
    <row r="223" spans="1:25">
      <c r="A223" s="367">
        <v>25</v>
      </c>
      <c r="B223" s="368"/>
      <c r="C223" s="372"/>
      <c r="D223" s="369" t="str">
        <f>IFERROR(VLOOKUP(TRANSHARI11_SOFTDRINKPAGI[[#This Row],[PRODUK]],DATA_SOFTDRINK[],13,FALSE),"")</f>
        <v/>
      </c>
      <c r="E223" s="374"/>
      <c r="F223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3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3" s="12"/>
      <c r="I223" s="384" t="str">
        <f>IFERROR(IF(TRANSHARI11_SOFTDRINKPAGI[[#This Row],[NAMA REKENING]]="","",TRANSHARI11_SOFTDRINKPAGI[[#This Row],[DEBIT]]),"")</f>
        <v/>
      </c>
      <c r="J223" s="387"/>
      <c r="O223" s="324"/>
      <c r="P223" s="367">
        <v>25</v>
      </c>
      <c r="Q223" s="368"/>
      <c r="R223" s="372"/>
      <c r="S223" s="369" t="str">
        <f>IFERROR(VLOOKUP(TRANSHARI11_SOFTDRINKMALAM[[#This Row],[PRODUK]],DATA_SOFTDRINK[],13,FALSE),"")</f>
        <v/>
      </c>
      <c r="T223" s="374"/>
      <c r="U223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3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3" s="12"/>
      <c r="X223" s="384" t="str">
        <f>IFERROR(IF(TRANSHARI11_SOFTDRINKMALAM[[#This Row],[NAMA REKENING]]="","",TRANSHARI11_SOFTDRINKMALAM[[#This Row],[DEBIT]]),"")</f>
        <v/>
      </c>
      <c r="Y223" s="387"/>
    </row>
    <row r="224" spans="1:25">
      <c r="A224" s="367">
        <v>26</v>
      </c>
      <c r="B224" s="368"/>
      <c r="C224" s="375"/>
      <c r="D224" s="373" t="str">
        <f>IFERROR(VLOOKUP(TRANSHARI11_SOFTDRINKPAGI[[#This Row],[PRODUK]],DATA_SOFTDRINK[],13,FALSE),"")</f>
        <v/>
      </c>
      <c r="E224" s="376"/>
      <c r="F224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4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4" s="377"/>
      <c r="I224" s="386" t="str">
        <f>IFERROR(IF(TRANSHARI11_SOFTDRINKPAGI[[#This Row],[NAMA REKENING]]="","",TRANSHARI11_SOFTDRINKPAGI[[#This Row],[DEBIT]]),"")</f>
        <v/>
      </c>
      <c r="J224" s="388"/>
      <c r="O224" s="324"/>
      <c r="P224" s="367">
        <v>26</v>
      </c>
      <c r="Q224" s="368"/>
      <c r="R224" s="375"/>
      <c r="S224" s="373" t="str">
        <f>IFERROR(VLOOKUP(TRANSHARI11_SOFTDRINKMALAM[[#This Row],[PRODUK]],DATA_SOFTDRINK[],13,FALSE),"")</f>
        <v/>
      </c>
      <c r="T224" s="376"/>
      <c r="U224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4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4" s="377"/>
      <c r="X224" s="386" t="str">
        <f>IFERROR(IF(TRANSHARI11_SOFTDRINKMALAM[[#This Row],[NAMA REKENING]]="","",TRANSHARI11_SOFTDRINKMALAM[[#This Row],[DEBIT]]),"")</f>
        <v/>
      </c>
      <c r="Y224" s="388"/>
    </row>
    <row r="225" spans="1:25">
      <c r="A225" s="367">
        <v>27</v>
      </c>
      <c r="B225" s="368"/>
      <c r="C225" s="372"/>
      <c r="D225" s="369" t="str">
        <f>IFERROR(VLOOKUP(TRANSHARI11_SOFTDRINKPAGI[[#This Row],[PRODUK]],DATA_SOFTDRINK[],13,FALSE),"")</f>
        <v/>
      </c>
      <c r="E225" s="374"/>
      <c r="F225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5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5" s="12"/>
      <c r="I225" s="384" t="str">
        <f>IFERROR(IF(TRANSHARI11_SOFTDRINKPAGI[[#This Row],[NAMA REKENING]]="","",TRANSHARI11_SOFTDRINKPAGI[[#This Row],[DEBIT]]),"")</f>
        <v/>
      </c>
      <c r="J225" s="387"/>
      <c r="O225" s="324"/>
      <c r="P225" s="367">
        <v>27</v>
      </c>
      <c r="Q225" s="368"/>
      <c r="R225" s="372"/>
      <c r="S225" s="369" t="str">
        <f>IFERROR(VLOOKUP(TRANSHARI11_SOFTDRINKMALAM[[#This Row],[PRODUK]],DATA_SOFTDRINK[],13,FALSE),"")</f>
        <v/>
      </c>
      <c r="T225" s="374"/>
      <c r="U225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5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5" s="12"/>
      <c r="X225" s="384" t="str">
        <f>IFERROR(IF(TRANSHARI11_SOFTDRINKMALAM[[#This Row],[NAMA REKENING]]="","",TRANSHARI11_SOFTDRINKMALAM[[#This Row],[DEBIT]]),"")</f>
        <v/>
      </c>
      <c r="Y225" s="387"/>
    </row>
    <row r="226" spans="1:25">
      <c r="A226" s="367">
        <v>28</v>
      </c>
      <c r="B226" s="368"/>
      <c r="C226" s="372"/>
      <c r="D226" s="373" t="str">
        <f>IFERROR(VLOOKUP(TRANSHARI11_SOFTDRINKPAGI[[#This Row],[PRODUK]],DATA_SOFTDRINK[],13,FALSE),"")</f>
        <v/>
      </c>
      <c r="E226" s="374"/>
      <c r="F226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6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6" s="12"/>
      <c r="I226" s="386" t="str">
        <f>IFERROR(IF(TRANSHARI11_SOFTDRINKPAGI[[#This Row],[NAMA REKENING]]="","",TRANSHARI11_SOFTDRINKPAGI[[#This Row],[DEBIT]]),"")</f>
        <v/>
      </c>
      <c r="J226" s="387"/>
      <c r="O226" s="324"/>
      <c r="P226" s="367">
        <v>28</v>
      </c>
      <c r="Q226" s="368"/>
      <c r="R226" s="372"/>
      <c r="S226" s="373" t="str">
        <f>IFERROR(VLOOKUP(TRANSHARI11_SOFTDRINKMALAM[[#This Row],[PRODUK]],DATA_SOFTDRINK[],13,FALSE),"")</f>
        <v/>
      </c>
      <c r="T226" s="374"/>
      <c r="U226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6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6" s="12"/>
      <c r="X226" s="386" t="str">
        <f>IFERROR(IF(TRANSHARI11_SOFTDRINKMALAM[[#This Row],[NAMA REKENING]]="","",TRANSHARI11_SOFTDRINKMALAM[[#This Row],[DEBIT]]),"")</f>
        <v/>
      </c>
      <c r="Y226" s="387"/>
    </row>
    <row r="227" spans="1:25">
      <c r="A227" s="367">
        <v>29</v>
      </c>
      <c r="B227" s="368"/>
      <c r="C227" s="372"/>
      <c r="D227" s="369" t="str">
        <f>IFERROR(VLOOKUP(TRANSHARI11_SOFTDRINKPAGI[[#This Row],[PRODUK]],DATA_SOFTDRINK[],13,FALSE),"")</f>
        <v/>
      </c>
      <c r="E227" s="374"/>
      <c r="F227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7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7" s="12"/>
      <c r="I227" s="384" t="str">
        <f>IFERROR(IF(TRANSHARI11_SOFTDRINKPAGI[[#This Row],[NAMA REKENING]]="","",TRANSHARI11_SOFTDRINKPAGI[[#This Row],[DEBIT]]),"")</f>
        <v/>
      </c>
      <c r="J227" s="387"/>
      <c r="O227" s="324"/>
      <c r="P227" s="367">
        <v>29</v>
      </c>
      <c r="Q227" s="368"/>
      <c r="R227" s="372"/>
      <c r="S227" s="369" t="str">
        <f>IFERROR(VLOOKUP(TRANSHARI11_SOFTDRINKMALAM[[#This Row],[PRODUK]],DATA_SOFTDRINK[],13,FALSE),"")</f>
        <v/>
      </c>
      <c r="T227" s="374"/>
      <c r="U227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7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7" s="12"/>
      <c r="X227" s="384" t="str">
        <f>IFERROR(IF(TRANSHARI11_SOFTDRINKMALAM[[#This Row],[NAMA REKENING]]="","",TRANSHARI11_SOFTDRINKMALAM[[#This Row],[DEBIT]]),"")</f>
        <v/>
      </c>
      <c r="Y227" s="387"/>
    </row>
    <row r="228" spans="1:25">
      <c r="A228" s="367">
        <v>30</v>
      </c>
      <c r="B228" s="368"/>
      <c r="C228" s="372"/>
      <c r="D228" s="373" t="str">
        <f>IFERROR(VLOOKUP(TRANSHARI11_SOFTDRINKPAGI[[#This Row],[PRODUK]],DATA_SOFTDRINK[],13,FALSE),"")</f>
        <v/>
      </c>
      <c r="E228" s="374"/>
      <c r="F228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8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8" s="12"/>
      <c r="I228" s="386" t="str">
        <f>IFERROR(IF(TRANSHARI11_SOFTDRINKPAGI[[#This Row],[NAMA REKENING]]="","",TRANSHARI11_SOFTDRINKPAGI[[#This Row],[DEBIT]]),"")</f>
        <v/>
      </c>
      <c r="J228" s="387"/>
      <c r="O228" s="324"/>
      <c r="P228" s="367">
        <v>30</v>
      </c>
      <c r="Q228" s="368"/>
      <c r="R228" s="372"/>
      <c r="S228" s="373" t="str">
        <f>IFERROR(VLOOKUP(TRANSHARI11_SOFTDRINKMALAM[[#This Row],[PRODUK]],DATA_SOFTDRINK[],13,FALSE),"")</f>
        <v/>
      </c>
      <c r="T228" s="374"/>
      <c r="U228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8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8" s="12"/>
      <c r="X228" s="386" t="str">
        <f>IFERROR(IF(TRANSHARI11_SOFTDRINKMALAM[[#This Row],[NAMA REKENING]]="","",TRANSHARI11_SOFTDRINKMALAM[[#This Row],[DEBIT]]),"")</f>
        <v/>
      </c>
      <c r="Y228" s="387"/>
    </row>
    <row r="229" spans="1:25">
      <c r="A229" s="367">
        <v>31</v>
      </c>
      <c r="B229" s="368"/>
      <c r="C229" s="372"/>
      <c r="D229" s="369" t="str">
        <f>IFERROR(VLOOKUP(TRANSHARI11_SOFTDRINKPAGI[[#This Row],[PRODUK]],DATA_SOFTDRINK[],13,FALSE),"")</f>
        <v/>
      </c>
      <c r="E229" s="374"/>
      <c r="F229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29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29" s="12"/>
      <c r="I229" s="384" t="str">
        <f>IFERROR(IF(TRANSHARI11_SOFTDRINKPAGI[[#This Row],[NAMA REKENING]]="","",TRANSHARI11_SOFTDRINKPAGI[[#This Row],[DEBIT]]),"")</f>
        <v/>
      </c>
      <c r="J229" s="387"/>
      <c r="O229" s="324"/>
      <c r="P229" s="367">
        <v>31</v>
      </c>
      <c r="Q229" s="368"/>
      <c r="R229" s="372"/>
      <c r="S229" s="369" t="str">
        <f>IFERROR(VLOOKUP(TRANSHARI11_SOFTDRINKMALAM[[#This Row],[PRODUK]],DATA_SOFTDRINK[],13,FALSE),"")</f>
        <v/>
      </c>
      <c r="T229" s="374"/>
      <c r="U229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29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29" s="12"/>
      <c r="X229" s="384" t="str">
        <f>IFERROR(IF(TRANSHARI11_SOFTDRINKMALAM[[#This Row],[NAMA REKENING]]="","",TRANSHARI11_SOFTDRINKMALAM[[#This Row],[DEBIT]]),"")</f>
        <v/>
      </c>
      <c r="Y229" s="387"/>
    </row>
    <row r="230" spans="1:25">
      <c r="A230" s="367">
        <v>32</v>
      </c>
      <c r="B230" s="368"/>
      <c r="C230" s="372"/>
      <c r="D230" s="373" t="str">
        <f>IFERROR(VLOOKUP(TRANSHARI11_SOFTDRINKPAGI[[#This Row],[PRODUK]],DATA_SOFTDRINK[],13,FALSE),"")</f>
        <v/>
      </c>
      <c r="E230" s="374"/>
      <c r="F230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0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0" s="12"/>
      <c r="I230" s="386" t="str">
        <f>IFERROR(IF(TRANSHARI11_SOFTDRINKPAGI[[#This Row],[NAMA REKENING]]="","",TRANSHARI11_SOFTDRINKPAGI[[#This Row],[DEBIT]]),"")</f>
        <v/>
      </c>
      <c r="J230" s="387"/>
      <c r="O230" s="324"/>
      <c r="P230" s="367">
        <v>32</v>
      </c>
      <c r="Q230" s="368"/>
      <c r="R230" s="372"/>
      <c r="S230" s="373" t="str">
        <f>IFERROR(VLOOKUP(TRANSHARI11_SOFTDRINKMALAM[[#This Row],[PRODUK]],DATA_SOFTDRINK[],13,FALSE),"")</f>
        <v/>
      </c>
      <c r="T230" s="374"/>
      <c r="U230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0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0" s="12"/>
      <c r="X230" s="386" t="str">
        <f>IFERROR(IF(TRANSHARI11_SOFTDRINKMALAM[[#This Row],[NAMA REKENING]]="","",TRANSHARI11_SOFTDRINKMALAM[[#This Row],[DEBIT]]),"")</f>
        <v/>
      </c>
      <c r="Y230" s="387"/>
    </row>
    <row r="231" spans="1:25">
      <c r="A231" s="367">
        <v>33</v>
      </c>
      <c r="B231" s="368"/>
      <c r="C231" s="372"/>
      <c r="D231" s="369" t="str">
        <f>IFERROR(VLOOKUP(TRANSHARI11_SOFTDRINKPAGI[[#This Row],[PRODUK]],DATA_SOFTDRINK[],13,FALSE),"")</f>
        <v/>
      </c>
      <c r="E231" s="374"/>
      <c r="F231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1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1" s="12"/>
      <c r="I231" s="384" t="str">
        <f>IFERROR(IF(TRANSHARI11_SOFTDRINKPAGI[[#This Row],[NAMA REKENING]]="","",TRANSHARI11_SOFTDRINKPAGI[[#This Row],[DEBIT]]),"")</f>
        <v/>
      </c>
      <c r="J231" s="387"/>
      <c r="O231" s="324"/>
      <c r="P231" s="367">
        <v>33</v>
      </c>
      <c r="Q231" s="368"/>
      <c r="R231" s="372"/>
      <c r="S231" s="369" t="str">
        <f>IFERROR(VLOOKUP(TRANSHARI11_SOFTDRINKMALAM[[#This Row],[PRODUK]],DATA_SOFTDRINK[],13,FALSE),"")</f>
        <v/>
      </c>
      <c r="T231" s="374"/>
      <c r="U231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1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1" s="12"/>
      <c r="X231" s="384" t="str">
        <f>IFERROR(IF(TRANSHARI11_SOFTDRINKMALAM[[#This Row],[NAMA REKENING]]="","",TRANSHARI11_SOFTDRINKMALAM[[#This Row],[DEBIT]]),"")</f>
        <v/>
      </c>
      <c r="Y231" s="387"/>
    </row>
    <row r="232" spans="1:25">
      <c r="A232" s="367">
        <v>34</v>
      </c>
      <c r="B232" s="368"/>
      <c r="C232" s="372"/>
      <c r="D232" s="373" t="str">
        <f>IFERROR(VLOOKUP(TRANSHARI11_SOFTDRINKPAGI[[#This Row],[PRODUK]],DATA_SOFTDRINK[],13,FALSE),"")</f>
        <v/>
      </c>
      <c r="E232" s="374"/>
      <c r="F232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2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2" s="12"/>
      <c r="I232" s="386" t="str">
        <f>IFERROR(IF(TRANSHARI11_SOFTDRINKPAGI[[#This Row],[NAMA REKENING]]="","",TRANSHARI11_SOFTDRINKPAGI[[#This Row],[DEBIT]]),"")</f>
        <v/>
      </c>
      <c r="J232" s="387"/>
      <c r="O232" s="324"/>
      <c r="P232" s="367">
        <v>34</v>
      </c>
      <c r="Q232" s="368"/>
      <c r="R232" s="372"/>
      <c r="S232" s="373" t="str">
        <f>IFERROR(VLOOKUP(TRANSHARI11_SOFTDRINKMALAM[[#This Row],[PRODUK]],DATA_SOFTDRINK[],13,FALSE),"")</f>
        <v/>
      </c>
      <c r="T232" s="374"/>
      <c r="U232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2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2" s="12"/>
      <c r="X232" s="386" t="str">
        <f>IFERROR(IF(TRANSHARI11_SOFTDRINKMALAM[[#This Row],[NAMA REKENING]]="","",TRANSHARI11_SOFTDRINKMALAM[[#This Row],[DEBIT]]),"")</f>
        <v/>
      </c>
      <c r="Y232" s="387"/>
    </row>
    <row r="233" spans="1:25">
      <c r="A233" s="367">
        <v>35</v>
      </c>
      <c r="B233" s="368"/>
      <c r="C233" s="372"/>
      <c r="D233" s="369" t="str">
        <f>IFERROR(VLOOKUP(TRANSHARI11_SOFTDRINKPAGI[[#This Row],[PRODUK]],DATA_SOFTDRINK[],13,FALSE),"")</f>
        <v/>
      </c>
      <c r="E233" s="374"/>
      <c r="F233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3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3" s="12"/>
      <c r="I233" s="384" t="str">
        <f>IFERROR(IF(TRANSHARI11_SOFTDRINKPAGI[[#This Row],[NAMA REKENING]]="","",TRANSHARI11_SOFTDRINKPAGI[[#This Row],[DEBIT]]),"")</f>
        <v/>
      </c>
      <c r="J233" s="387"/>
      <c r="O233" s="324"/>
      <c r="P233" s="367">
        <v>35</v>
      </c>
      <c r="Q233" s="368"/>
      <c r="R233" s="372"/>
      <c r="S233" s="369" t="str">
        <f>IFERROR(VLOOKUP(TRANSHARI11_SOFTDRINKMALAM[[#This Row],[PRODUK]],DATA_SOFTDRINK[],13,FALSE),"")</f>
        <v/>
      </c>
      <c r="T233" s="374"/>
      <c r="U233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3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3" s="12"/>
      <c r="X233" s="384" t="str">
        <f>IFERROR(IF(TRANSHARI11_SOFTDRINKMALAM[[#This Row],[NAMA REKENING]]="","",TRANSHARI11_SOFTDRINKMALAM[[#This Row],[DEBIT]]),"")</f>
        <v/>
      </c>
      <c r="Y233" s="387"/>
    </row>
    <row r="234" spans="1:25">
      <c r="A234" s="367">
        <v>36</v>
      </c>
      <c r="B234" s="368"/>
      <c r="C234" s="372"/>
      <c r="D234" s="373" t="str">
        <f>IFERROR(VLOOKUP(TRANSHARI11_SOFTDRINKPAGI[[#This Row],[PRODUK]],DATA_SOFTDRINK[],13,FALSE),"")</f>
        <v/>
      </c>
      <c r="E234" s="374"/>
      <c r="F234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4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4" s="12"/>
      <c r="I234" s="386" t="str">
        <f>IFERROR(IF(TRANSHARI11_SOFTDRINKPAGI[[#This Row],[NAMA REKENING]]="","",TRANSHARI11_SOFTDRINKPAGI[[#This Row],[DEBIT]]),"")</f>
        <v/>
      </c>
      <c r="J234" s="387"/>
      <c r="O234" s="324"/>
      <c r="P234" s="367">
        <v>36</v>
      </c>
      <c r="Q234" s="368"/>
      <c r="R234" s="372"/>
      <c r="S234" s="373" t="str">
        <f>IFERROR(VLOOKUP(TRANSHARI11_SOFTDRINKMALAM[[#This Row],[PRODUK]],DATA_SOFTDRINK[],13,FALSE),"")</f>
        <v/>
      </c>
      <c r="T234" s="374"/>
      <c r="U234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4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4" s="12"/>
      <c r="X234" s="386" t="str">
        <f>IFERROR(IF(TRANSHARI11_SOFTDRINKMALAM[[#This Row],[NAMA REKENING]]="","",TRANSHARI11_SOFTDRINKMALAM[[#This Row],[DEBIT]]),"")</f>
        <v/>
      </c>
      <c r="Y234" s="387"/>
    </row>
    <row r="235" spans="1:25">
      <c r="A235" s="367">
        <v>37</v>
      </c>
      <c r="B235" s="368"/>
      <c r="C235" s="372"/>
      <c r="D235" s="369" t="str">
        <f>IFERROR(VLOOKUP(TRANSHARI11_SOFTDRINKPAGI[[#This Row],[PRODUK]],DATA_SOFTDRINK[],13,FALSE),"")</f>
        <v/>
      </c>
      <c r="E235" s="374"/>
      <c r="F235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5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5" s="12"/>
      <c r="I235" s="384" t="str">
        <f>IFERROR(IF(TRANSHARI11_SOFTDRINKPAGI[[#This Row],[NAMA REKENING]]="","",TRANSHARI11_SOFTDRINKPAGI[[#This Row],[DEBIT]]),"")</f>
        <v/>
      </c>
      <c r="J235" s="387"/>
      <c r="O235" s="324"/>
      <c r="P235" s="367">
        <v>37</v>
      </c>
      <c r="Q235" s="368"/>
      <c r="R235" s="372"/>
      <c r="S235" s="369" t="str">
        <f>IFERROR(VLOOKUP(TRANSHARI11_SOFTDRINKMALAM[[#This Row],[PRODUK]],DATA_SOFTDRINK[],13,FALSE),"")</f>
        <v/>
      </c>
      <c r="T235" s="374"/>
      <c r="U235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5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5" s="12"/>
      <c r="X235" s="384" t="str">
        <f>IFERROR(IF(TRANSHARI11_SOFTDRINKMALAM[[#This Row],[NAMA REKENING]]="","",TRANSHARI11_SOFTDRINKMALAM[[#This Row],[DEBIT]]),"")</f>
        <v/>
      </c>
      <c r="Y235" s="387"/>
    </row>
    <row r="236" spans="1:25">
      <c r="A236" s="367">
        <v>38</v>
      </c>
      <c r="B236" s="368"/>
      <c r="C236" s="372"/>
      <c r="D236" s="373" t="str">
        <f>IFERROR(VLOOKUP(TRANSHARI11_SOFTDRINKPAGI[[#This Row],[PRODUK]],DATA_SOFTDRINK[],13,FALSE),"")</f>
        <v/>
      </c>
      <c r="E236" s="374"/>
      <c r="F236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6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6" s="12"/>
      <c r="I236" s="386" t="str">
        <f>IFERROR(IF(TRANSHARI11_SOFTDRINKPAGI[[#This Row],[NAMA REKENING]]="","",TRANSHARI11_SOFTDRINKPAGI[[#This Row],[DEBIT]]),"")</f>
        <v/>
      </c>
      <c r="J236" s="387"/>
      <c r="O236" s="324"/>
      <c r="P236" s="367">
        <v>38</v>
      </c>
      <c r="Q236" s="368"/>
      <c r="R236" s="372"/>
      <c r="S236" s="373" t="str">
        <f>IFERROR(VLOOKUP(TRANSHARI11_SOFTDRINKMALAM[[#This Row],[PRODUK]],DATA_SOFTDRINK[],13,FALSE),"")</f>
        <v/>
      </c>
      <c r="T236" s="374"/>
      <c r="U236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6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6" s="12"/>
      <c r="X236" s="386" t="str">
        <f>IFERROR(IF(TRANSHARI11_SOFTDRINKMALAM[[#This Row],[NAMA REKENING]]="","",TRANSHARI11_SOFTDRINKMALAM[[#This Row],[DEBIT]]),"")</f>
        <v/>
      </c>
      <c r="Y236" s="387"/>
    </row>
    <row r="237" spans="1:25">
      <c r="A237" s="367">
        <v>39</v>
      </c>
      <c r="B237" s="368"/>
      <c r="C237" s="372"/>
      <c r="D237" s="369" t="str">
        <f>IFERROR(VLOOKUP(TRANSHARI11_SOFTDRINKPAGI[[#This Row],[PRODUK]],DATA_SOFTDRINK[],13,FALSE),"")</f>
        <v/>
      </c>
      <c r="E237" s="374"/>
      <c r="F237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7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7" s="12"/>
      <c r="I237" s="384" t="str">
        <f>IFERROR(IF(TRANSHARI11_SOFTDRINKPAGI[[#This Row],[NAMA REKENING]]="","",TRANSHARI11_SOFTDRINKPAGI[[#This Row],[DEBIT]]),"")</f>
        <v/>
      </c>
      <c r="J237" s="387"/>
      <c r="O237" s="324"/>
      <c r="P237" s="367">
        <v>39</v>
      </c>
      <c r="Q237" s="368"/>
      <c r="R237" s="372"/>
      <c r="S237" s="369" t="str">
        <f>IFERROR(VLOOKUP(TRANSHARI11_SOFTDRINKMALAM[[#This Row],[PRODUK]],DATA_SOFTDRINK[],13,FALSE),"")</f>
        <v/>
      </c>
      <c r="T237" s="374"/>
      <c r="U237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7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7" s="12"/>
      <c r="X237" s="384" t="str">
        <f>IFERROR(IF(TRANSHARI11_SOFTDRINKMALAM[[#This Row],[NAMA REKENING]]="","",TRANSHARI11_SOFTDRINKMALAM[[#This Row],[DEBIT]]),"")</f>
        <v/>
      </c>
      <c r="Y237" s="387"/>
    </row>
    <row r="238" spans="1:25">
      <c r="A238" s="367">
        <v>40</v>
      </c>
      <c r="B238" s="368"/>
      <c r="C238" s="372"/>
      <c r="D238" s="373" t="str">
        <f>IFERROR(VLOOKUP(TRANSHARI11_SOFTDRINKPAGI[[#This Row],[PRODUK]],DATA_SOFTDRINK[],13,FALSE),"")</f>
        <v/>
      </c>
      <c r="E238" s="374"/>
      <c r="F238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8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8" s="12"/>
      <c r="I238" s="386" t="str">
        <f>IFERROR(IF(TRANSHARI11_SOFTDRINKPAGI[[#This Row],[NAMA REKENING]]="","",TRANSHARI11_SOFTDRINKPAGI[[#This Row],[DEBIT]]),"")</f>
        <v/>
      </c>
      <c r="J238" s="387"/>
      <c r="O238" s="324"/>
      <c r="P238" s="367">
        <v>40</v>
      </c>
      <c r="Q238" s="368"/>
      <c r="R238" s="372"/>
      <c r="S238" s="373" t="str">
        <f>IFERROR(VLOOKUP(TRANSHARI11_SOFTDRINKMALAM[[#This Row],[PRODUK]],DATA_SOFTDRINK[],13,FALSE),"")</f>
        <v/>
      </c>
      <c r="T238" s="374"/>
      <c r="U238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8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8" s="12"/>
      <c r="X238" s="386" t="str">
        <f>IFERROR(IF(TRANSHARI11_SOFTDRINKMALAM[[#This Row],[NAMA REKENING]]="","",TRANSHARI11_SOFTDRINKMALAM[[#This Row],[DEBIT]]),"")</f>
        <v/>
      </c>
      <c r="Y238" s="387"/>
    </row>
    <row r="239" ht="17.25" spans="1:25">
      <c r="A239" s="367">
        <v>41</v>
      </c>
      <c r="B239" s="368"/>
      <c r="C239" s="372"/>
      <c r="D239" s="369" t="str">
        <f>IFERROR(VLOOKUP(TRANSHARI11_SOFTDRINKPAGI[[#This Row],[PRODUK]],DATA_SOFTDRINK[],13,FALSE),"")</f>
        <v/>
      </c>
      <c r="E239" s="374"/>
      <c r="F239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39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39" s="12"/>
      <c r="I239" s="384" t="str">
        <f>IFERROR(IF(TRANSHARI11_SOFTDRINKPAGI[[#This Row],[NAMA REKENING]]="","",TRANSHARI11_SOFTDRINKPAGI[[#This Row],[DEBIT]]),"")</f>
        <v/>
      </c>
      <c r="J239" s="387"/>
      <c r="O239" s="324"/>
      <c r="P239" s="367">
        <v>41</v>
      </c>
      <c r="Q239" s="368"/>
      <c r="R239" s="372"/>
      <c r="S239" s="369" t="str">
        <f>IFERROR(VLOOKUP(TRANSHARI11_SOFTDRINKMALAM[[#This Row],[PRODUK]],DATA_SOFTDRINK[],13,FALSE),"")</f>
        <v/>
      </c>
      <c r="T239" s="374"/>
      <c r="U239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39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39" s="12"/>
      <c r="X239" s="384" t="str">
        <f>IFERROR(IF(TRANSHARI11_SOFTDRINKMALAM[[#This Row],[NAMA REKENING]]="","",TRANSHARI11_SOFTDRINKMALAM[[#This Row],[DEBIT]]),"")</f>
        <v/>
      </c>
      <c r="Y239" s="387"/>
    </row>
    <row r="240" spans="1:27">
      <c r="A240" s="367">
        <v>42</v>
      </c>
      <c r="B240" s="368"/>
      <c r="C240" s="372"/>
      <c r="D240" s="373" t="str">
        <f>IFERROR(VLOOKUP(TRANSHARI11_SOFTDRINKPAGI[[#This Row],[PRODUK]],DATA_SOFTDRINK[],13,FALSE),"")</f>
        <v/>
      </c>
      <c r="E240" s="374"/>
      <c r="F240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0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0" s="12"/>
      <c r="I240" s="386" t="str">
        <f>IFERROR(IF(TRANSHARI11_SOFTDRINKPAGI[[#This Row],[NAMA REKENING]]="","",TRANSHARI11_SOFTDRINKPAGI[[#This Row],[DEBIT]]),"")</f>
        <v/>
      </c>
      <c r="J240" s="387"/>
      <c r="O240" s="324"/>
      <c r="P240" s="367">
        <v>42</v>
      </c>
      <c r="Q240" s="368"/>
      <c r="R240" s="372"/>
      <c r="S240" s="373" t="str">
        <f>IFERROR(VLOOKUP(TRANSHARI11_SOFTDRINKMALAM[[#This Row],[PRODUK]],DATA_SOFTDRINK[],13,FALSE),"")</f>
        <v/>
      </c>
      <c r="T240" s="374"/>
      <c r="U240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0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0" s="12"/>
      <c r="X240" s="386" t="str">
        <f>IFERROR(IF(TRANSHARI11_SOFTDRINKMALAM[[#This Row],[NAMA REKENING]]="","",TRANSHARI11_SOFTDRINKMALAM[[#This Row],[DEBIT]]),"")</f>
        <v/>
      </c>
      <c r="Y240" s="387"/>
      <c r="Z240" s="302" t="s">
        <v>99</v>
      </c>
      <c r="AA240" s="316"/>
    </row>
    <row r="241" ht="17.25" spans="1:27">
      <c r="A241" s="367">
        <v>43</v>
      </c>
      <c r="B241" s="368"/>
      <c r="C241" s="372"/>
      <c r="D241" s="369" t="str">
        <f>IFERROR(VLOOKUP(TRANSHARI11_SOFTDRINKPAGI[[#This Row],[PRODUK]],DATA_SOFTDRINK[],13,FALSE),"")</f>
        <v/>
      </c>
      <c r="E241" s="374"/>
      <c r="F241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1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1" s="12"/>
      <c r="I241" s="384" t="str">
        <f>IFERROR(IF(TRANSHARI11_SOFTDRINKPAGI[[#This Row],[NAMA REKENING]]="","",TRANSHARI11_SOFTDRINKPAGI[[#This Row],[DEBIT]]),"")</f>
        <v/>
      </c>
      <c r="J241" s="387"/>
      <c r="O241" s="324"/>
      <c r="P241" s="367">
        <v>43</v>
      </c>
      <c r="Q241" s="368"/>
      <c r="R241" s="372"/>
      <c r="S241" s="369" t="str">
        <f>IFERROR(VLOOKUP(TRANSHARI11_SOFTDRINKMALAM[[#This Row],[PRODUK]],DATA_SOFTDRINK[],13,FALSE),"")</f>
        <v/>
      </c>
      <c r="T241" s="374"/>
      <c r="U241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1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1" s="12"/>
      <c r="X241" s="384" t="str">
        <f>IFERROR(IF(TRANSHARI11_SOFTDRINKMALAM[[#This Row],[NAMA REKENING]]="","",TRANSHARI11_SOFTDRINKMALAM[[#This Row],[DEBIT]]),"")</f>
        <v/>
      </c>
      <c r="Y241" s="387"/>
      <c r="Z241" s="306"/>
      <c r="AA241" s="321"/>
    </row>
    <row r="242" spans="1:27">
      <c r="A242" s="367">
        <v>44</v>
      </c>
      <c r="B242" s="368"/>
      <c r="C242" s="372"/>
      <c r="D242" s="373" t="str">
        <f>IFERROR(VLOOKUP(TRANSHARI11_SOFTDRINKPAGI[[#This Row],[PRODUK]],DATA_SOFTDRINK[],13,FALSE),"")</f>
        <v/>
      </c>
      <c r="E242" s="374"/>
      <c r="F242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2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2" s="12"/>
      <c r="I242" s="386" t="str">
        <f>IFERROR(IF(TRANSHARI11_SOFTDRINKPAGI[[#This Row],[NAMA REKENING]]="","",TRANSHARI11_SOFTDRINKPAGI[[#This Row],[DEBIT]]),"")</f>
        <v/>
      </c>
      <c r="J242" s="387"/>
      <c r="O242" s="324"/>
      <c r="P242" s="367">
        <v>44</v>
      </c>
      <c r="Q242" s="368"/>
      <c r="R242" s="372"/>
      <c r="S242" s="373" t="str">
        <f>IFERROR(VLOOKUP(TRANSHARI11_SOFTDRINKMALAM[[#This Row],[PRODUK]],DATA_SOFTDRINK[],13,FALSE),"")</f>
        <v/>
      </c>
      <c r="T242" s="374"/>
      <c r="U242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2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2" s="12"/>
      <c r="X242" s="386" t="str">
        <f>IFERROR(IF(TRANSHARI11_SOFTDRINKMALAM[[#This Row],[NAMA REKENING]]="","",TRANSHARI11_SOFTDRINKMALAM[[#This Row],[DEBIT]]),"")</f>
        <v/>
      </c>
      <c r="Y242" s="387"/>
      <c r="Z242" s="389">
        <f>U249+V249</f>
        <v>0</v>
      </c>
      <c r="AA242" s="390"/>
    </row>
    <row r="243" ht="17.25" spans="1:27">
      <c r="A243" s="367">
        <v>45</v>
      </c>
      <c r="B243" s="368"/>
      <c r="C243" s="372"/>
      <c r="D243" s="369" t="str">
        <f>IFERROR(VLOOKUP(TRANSHARI11_SOFTDRINKPAGI[[#This Row],[PRODUK]],DATA_SOFTDRINK[],13,FALSE),"")</f>
        <v/>
      </c>
      <c r="E243" s="374"/>
      <c r="F243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3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3" s="12"/>
      <c r="I243" s="384" t="str">
        <f>IFERROR(IF(TRANSHARI11_SOFTDRINKPAGI[[#This Row],[NAMA REKENING]]="","",TRANSHARI11_SOFTDRINKPAGI[[#This Row],[DEBIT]]),"")</f>
        <v/>
      </c>
      <c r="J243" s="387"/>
      <c r="O243" s="324"/>
      <c r="P243" s="367">
        <v>45</v>
      </c>
      <c r="Q243" s="368"/>
      <c r="R243" s="372"/>
      <c r="S243" s="369" t="str">
        <f>IFERROR(VLOOKUP(TRANSHARI11_SOFTDRINKMALAM[[#This Row],[PRODUK]],DATA_SOFTDRINK[],13,FALSE),"")</f>
        <v/>
      </c>
      <c r="T243" s="374"/>
      <c r="U243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3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3" s="12"/>
      <c r="X243" s="384" t="str">
        <f>IFERROR(IF(TRANSHARI11_SOFTDRINKMALAM[[#This Row],[NAMA REKENING]]="","",TRANSHARI11_SOFTDRINKMALAM[[#This Row],[DEBIT]]),"")</f>
        <v/>
      </c>
      <c r="Y243" s="387"/>
      <c r="Z243" s="391"/>
      <c r="AA243" s="392"/>
    </row>
    <row r="244" ht="17.25" spans="1:25">
      <c r="A244" s="367">
        <v>46</v>
      </c>
      <c r="B244" s="368"/>
      <c r="C244" s="372"/>
      <c r="D244" s="373" t="str">
        <f>IFERROR(VLOOKUP(TRANSHARI11_SOFTDRINKPAGI[[#This Row],[PRODUK]],DATA_SOFTDRINK[],13,FALSE),"")</f>
        <v/>
      </c>
      <c r="E244" s="374"/>
      <c r="F244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4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4" s="12"/>
      <c r="I244" s="386" t="str">
        <f>IFERROR(IF(TRANSHARI11_SOFTDRINKPAGI[[#This Row],[NAMA REKENING]]="","",TRANSHARI11_SOFTDRINKPAGI[[#This Row],[DEBIT]]),"")</f>
        <v/>
      </c>
      <c r="J244" s="387"/>
      <c r="O244" s="324"/>
      <c r="P244" s="367">
        <v>46</v>
      </c>
      <c r="Q244" s="368"/>
      <c r="R244" s="372"/>
      <c r="S244" s="373" t="str">
        <f>IFERROR(VLOOKUP(TRANSHARI11_SOFTDRINKMALAM[[#This Row],[PRODUK]],DATA_SOFTDRINK[],13,FALSE),"")</f>
        <v/>
      </c>
      <c r="T244" s="374"/>
      <c r="U244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4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4" s="12"/>
      <c r="X244" s="386" t="str">
        <f>IFERROR(IF(TRANSHARI11_SOFTDRINKMALAM[[#This Row],[NAMA REKENING]]="","",TRANSHARI11_SOFTDRINKMALAM[[#This Row],[DEBIT]]),"")</f>
        <v/>
      </c>
      <c r="Y244" s="387"/>
    </row>
    <row r="245" spans="1:27">
      <c r="A245" s="367">
        <v>47</v>
      </c>
      <c r="B245" s="368"/>
      <c r="C245" s="372"/>
      <c r="D245" s="369" t="str">
        <f>IFERROR(VLOOKUP(TRANSHARI11_SOFTDRINKPAGI[[#This Row],[PRODUK]],DATA_SOFTDRINK[],13,FALSE),"")</f>
        <v/>
      </c>
      <c r="E245" s="374"/>
      <c r="F245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5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5" s="12"/>
      <c r="I245" s="384" t="str">
        <f>IFERROR(IF(TRANSHARI11_SOFTDRINKPAGI[[#This Row],[NAMA REKENING]]="","",TRANSHARI11_SOFTDRINKPAGI[[#This Row],[DEBIT]]),"")</f>
        <v/>
      </c>
      <c r="J245" s="387"/>
      <c r="K245" s="302" t="s">
        <v>99</v>
      </c>
      <c r="L245" s="316"/>
      <c r="O245" s="324"/>
      <c r="P245" s="367">
        <v>47</v>
      </c>
      <c r="Q245" s="368"/>
      <c r="R245" s="372"/>
      <c r="S245" s="369" t="str">
        <f>IFERROR(VLOOKUP(TRANSHARI11_SOFTDRINKMALAM[[#This Row],[PRODUK]],DATA_SOFTDRINK[],13,FALSE),"")</f>
        <v/>
      </c>
      <c r="T245" s="374"/>
      <c r="U245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5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5" s="12"/>
      <c r="X245" s="384" t="str">
        <f>IFERROR(IF(TRANSHARI11_SOFTDRINKMALAM[[#This Row],[NAMA REKENING]]="","",TRANSHARI11_SOFTDRINKMALAM[[#This Row],[DEBIT]]),"")</f>
        <v/>
      </c>
      <c r="Y245" s="387"/>
      <c r="Z245" s="302" t="s">
        <v>100</v>
      </c>
      <c r="AA245" s="316"/>
    </row>
    <row r="246" ht="17.25" spans="1:27">
      <c r="A246" s="367">
        <v>48</v>
      </c>
      <c r="B246" s="368"/>
      <c r="C246" s="372"/>
      <c r="D246" s="373" t="str">
        <f>IFERROR(VLOOKUP(TRANSHARI11_SOFTDRINKPAGI[[#This Row],[PRODUK]],DATA_SOFTDRINK[],13,FALSE),"")</f>
        <v/>
      </c>
      <c r="E246" s="374"/>
      <c r="F246" s="373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6" s="373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6" s="12"/>
      <c r="I246" s="386" t="str">
        <f>IFERROR(IF(TRANSHARI11_SOFTDRINKPAGI[[#This Row],[NAMA REKENING]]="","",TRANSHARI11_SOFTDRINKPAGI[[#This Row],[DEBIT]]),"")</f>
        <v/>
      </c>
      <c r="J246" s="387"/>
      <c r="K246" s="306"/>
      <c r="L246" s="321"/>
      <c r="O246" s="324"/>
      <c r="P246" s="367">
        <v>48</v>
      </c>
      <c r="Q246" s="368"/>
      <c r="R246" s="372"/>
      <c r="S246" s="373" t="str">
        <f>IFERROR(VLOOKUP(TRANSHARI11_SOFTDRINKMALAM[[#This Row],[PRODUK]],DATA_SOFTDRINK[],13,FALSE),"")</f>
        <v/>
      </c>
      <c r="T246" s="374"/>
      <c r="U246" s="373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6" s="373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6" s="12"/>
      <c r="X246" s="386" t="str">
        <f>IFERROR(IF(TRANSHARI11_SOFTDRINKMALAM[[#This Row],[NAMA REKENING]]="","",TRANSHARI11_SOFTDRINKMALAM[[#This Row],[DEBIT]]),"")</f>
        <v/>
      </c>
      <c r="Y246" s="387"/>
      <c r="Z246" s="306"/>
      <c r="AA246" s="321"/>
    </row>
    <row r="247" spans="1:27">
      <c r="A247" s="367">
        <v>49</v>
      </c>
      <c r="B247" s="368"/>
      <c r="C247" s="372"/>
      <c r="D247" s="369" t="str">
        <f>IFERROR(VLOOKUP(TRANSHARI11_SOFTDRINKPAGI[[#This Row],[PRODUK]],DATA_SOFTDRINK[],13,FALSE),"")</f>
        <v/>
      </c>
      <c r="E247" s="374"/>
      <c r="F247" s="369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7" s="369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7" s="12"/>
      <c r="I247" s="384" t="str">
        <f>IFERROR(IF(TRANSHARI11_SOFTDRINKPAGI[[#This Row],[NAMA REKENING]]="","",TRANSHARI11_SOFTDRINKPAGI[[#This Row],[DEBIT]]),"")</f>
        <v/>
      </c>
      <c r="J247" s="387"/>
      <c r="K247" s="389">
        <f>F249+G249</f>
        <v>0</v>
      </c>
      <c r="L247" s="390"/>
      <c r="O247" s="324"/>
      <c r="P247" s="367">
        <v>49</v>
      </c>
      <c r="Q247" s="368"/>
      <c r="R247" s="372"/>
      <c r="S247" s="369" t="str">
        <f>IFERROR(VLOOKUP(TRANSHARI11_SOFTDRINKMALAM[[#This Row],[PRODUK]],DATA_SOFTDRINK[],13,FALSE),"")</f>
        <v/>
      </c>
      <c r="T247" s="374"/>
      <c r="U247" s="369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7" s="369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7" s="12"/>
      <c r="X247" s="384" t="str">
        <f>IFERROR(IF(TRANSHARI11_SOFTDRINKMALAM[[#This Row],[NAMA REKENING]]="","",TRANSHARI11_SOFTDRINKMALAM[[#This Row],[DEBIT]]),"")</f>
        <v/>
      </c>
      <c r="Y247" s="387"/>
      <c r="Z247" s="400">
        <f>K247+Z242</f>
        <v>0</v>
      </c>
      <c r="AA247" s="401"/>
    </row>
    <row r="248" ht="17.25" spans="1:27">
      <c r="A248" s="393">
        <v>50</v>
      </c>
      <c r="B248" s="368"/>
      <c r="C248" s="375"/>
      <c r="D248" s="394" t="str">
        <f>IFERROR(VLOOKUP(TRANSHARI11_SOFTDRINKPAGI[[#This Row],[PRODUK]],DATA_SOFTDRINK[],13,FALSE),"")</f>
        <v/>
      </c>
      <c r="E248" s="376"/>
      <c r="F248" s="394" t="str">
        <f>IFERROR(IF(TRANSHARI11_SOFTDRINKPAGI[[#This Row],[NAMA PENGHUTANG]]="",((TRANSHARI11_SOFTDRINKPAGI[[#This Row],[HARGA]]*TRANSHARI11_SOFTDRINKPAGI[[#This Row],[QUANTITY]])+TRANSHARI11_SOFTDRINKPAGI[[#This Row],[PRICE TOLERANCE]]),""),"")</f>
        <v/>
      </c>
      <c r="G248" s="394" t="str">
        <f>IFERROR(IF(TRANSHARI11_SOFTDRINKPAGI[[#This Row],[NAMA PENGHUTANG]]="","",((TRANSHARI11_SOFTDRINKPAGI[[#This Row],[HARGA]]*TRANSHARI11_SOFTDRINKPAGI[[#This Row],[QUANTITY]])+TRANSHARI11_SOFTDRINKPAGI[[#This Row],[PRICE TOLERANCE]])),"")</f>
        <v/>
      </c>
      <c r="H248" s="377"/>
      <c r="I248" s="399" t="str">
        <f>IFERROR(IF(TRANSHARI11_SOFTDRINKPAGI[[#This Row],[NAMA REKENING]]="","",TRANSHARI11_SOFTDRINKPAGI[[#This Row],[DEBIT]]),"")</f>
        <v/>
      </c>
      <c r="J248" s="388"/>
      <c r="K248" s="391"/>
      <c r="L248" s="392"/>
      <c r="O248" s="324"/>
      <c r="P248" s="393">
        <v>50</v>
      </c>
      <c r="Q248" s="368"/>
      <c r="R248" s="375"/>
      <c r="S248" s="394" t="str">
        <f>IFERROR(VLOOKUP(TRANSHARI11_SOFTDRINKMALAM[[#This Row],[PRODUK]],DATA_SOFTDRINK[],13,FALSE),"")</f>
        <v/>
      </c>
      <c r="T248" s="376"/>
      <c r="U248" s="394" t="str">
        <f>IFERROR(IF(TRANSHARI11_SOFTDRINKMALAM[[#This Row],[NAMA PENGHUTANG]]="",((TRANSHARI11_SOFTDRINKMALAM[[#This Row],[HARGA]]*TRANSHARI11_SOFTDRINKMALAM[[#This Row],[QUANTITY]])+TRANSHARI11_SOFTDRINKMALAM[[#This Row],[PRICE TOLERANCE]]),""),"")</f>
        <v/>
      </c>
      <c r="V248" s="394" t="str">
        <f>IFERROR(IF(TRANSHARI11_SOFTDRINKMALAM[[#This Row],[NAMA PENGHUTANG]]="","",((TRANSHARI11_SOFTDRINKMALAM[[#This Row],[HARGA]]*TRANSHARI11_SOFTDRINKMALAM[[#This Row],[QUANTITY]])+TRANSHARI11_SOFTDRINKMALAM[[#This Row],[PRICE TOLERANCE]])),"")</f>
        <v/>
      </c>
      <c r="W248" s="377"/>
      <c r="X248" s="399" t="str">
        <f>IFERROR(IF(TRANSHARI11_SOFTDRINKMALAM[[#This Row],[NAMA REKENING]]="","",TRANSHARI11_SOFTDRINKMALAM[[#This Row],[DEBIT]]),"")</f>
        <v/>
      </c>
      <c r="Y248" s="388"/>
      <c r="Z248" s="402"/>
      <c r="AA248" s="403"/>
    </row>
    <row r="249" spans="1:24">
      <c r="A249" s="302" t="s">
        <v>78</v>
      </c>
      <c r="B249" s="316"/>
      <c r="C249" s="395">
        <f>SUM(TRANSHARI11_SOFTDRINKPAGI[QUANTITY])</f>
        <v>0</v>
      </c>
      <c r="E249" s="398">
        <f>SUM(TRANSHARI11_SOFTDRINKPAGI[PRICE TOLERANCE])</f>
        <v>0</v>
      </c>
      <c r="F249" s="396">
        <f>SUM(TRANSHARI11_SOFTDRINKPAGI[DEBIT])</f>
        <v>0</v>
      </c>
      <c r="G249" s="396">
        <f>SUM(TRANSHARI11_SOFTDRINKPAGI[KREDIT])</f>
        <v>0</v>
      </c>
      <c r="I249" s="396">
        <f>SUM(TRANSHARI11_SOFTDRINKPAGI[NOMINAL TRANSFER])</f>
        <v>0</v>
      </c>
      <c r="O249" s="324"/>
      <c r="P249" s="303" t="s">
        <v>78</v>
      </c>
      <c r="Q249" s="316"/>
      <c r="R249" s="395">
        <f>SUM(TRANSHARI11_SOFTDRINKMALAM[QUANTITY])</f>
        <v>0</v>
      </c>
      <c r="T249" s="398">
        <f>SUM(TRANSHARI11_SOFTDRINKMALAM[PRICE TOLERANCE])</f>
        <v>0</v>
      </c>
      <c r="U249" s="396">
        <f>SUM(TRANSHARI11_SOFTDRINKMALAM[DEBIT])</f>
        <v>0</v>
      </c>
      <c r="V249" s="396">
        <f>SUM(TRANSHARI11_SOFTDRINKMALAM[KREDIT])</f>
        <v>0</v>
      </c>
      <c r="X249" s="396">
        <f>SUM(TRANSHARI11_SOFTDRINKMALAM[NOMINAL TRANSFER])</f>
        <v>0</v>
      </c>
    </row>
    <row r="250" ht="17.25" spans="1:24">
      <c r="A250" s="306"/>
      <c r="B250" s="321"/>
      <c r="C250" s="397"/>
      <c r="E250" s="404"/>
      <c r="F250" s="397"/>
      <c r="G250" s="397"/>
      <c r="I250" s="397"/>
      <c r="O250" s="324"/>
      <c r="P250" s="307"/>
      <c r="Q250" s="321"/>
      <c r="R250" s="397"/>
      <c r="T250" s="404"/>
      <c r="U250" s="397"/>
      <c r="V250" s="397"/>
      <c r="X250" s="397"/>
    </row>
    <row r="251" spans="15:15">
      <c r="O251" s="324"/>
    </row>
    <row r="252" ht="17.25" spans="15:15">
      <c r="O252" s="324"/>
    </row>
    <row r="253" spans="1:25">
      <c r="A253" s="300" t="str">
        <f>A25</f>
        <v>HARI 11 : PAGI</v>
      </c>
      <c r="B253" s="301"/>
      <c r="C253" s="302" t="s">
        <v>101</v>
      </c>
      <c r="D253" s="303"/>
      <c r="E253" s="303"/>
      <c r="F253" s="303"/>
      <c r="G253" s="303"/>
      <c r="H253" s="303"/>
      <c r="I253" s="303"/>
      <c r="J253" s="316"/>
      <c r="O253" s="324"/>
      <c r="P253" s="320" t="str">
        <f>P25</f>
        <v>HARI 11 : MALAM</v>
      </c>
      <c r="Q253" s="301"/>
      <c r="R253" s="302" t="s">
        <v>101</v>
      </c>
      <c r="S253" s="303"/>
      <c r="T253" s="303"/>
      <c r="U253" s="303"/>
      <c r="V253" s="303"/>
      <c r="W253" s="303"/>
      <c r="X253" s="303"/>
      <c r="Y253" s="316"/>
    </row>
    <row r="254" spans="1:25">
      <c r="A254" s="304"/>
      <c r="B254" s="305"/>
      <c r="C254" s="364"/>
      <c r="D254" s="162"/>
      <c r="E254" s="162"/>
      <c r="F254" s="162"/>
      <c r="G254" s="162"/>
      <c r="H254" s="162"/>
      <c r="I254" s="162"/>
      <c r="J254" s="382"/>
      <c r="O254" s="324"/>
      <c r="P254" s="325"/>
      <c r="Q254" s="305"/>
      <c r="R254" s="364"/>
      <c r="S254" s="162"/>
      <c r="T254" s="162"/>
      <c r="U254" s="162"/>
      <c r="V254" s="162"/>
      <c r="W254" s="162"/>
      <c r="X254" s="162"/>
      <c r="Y254" s="382"/>
    </row>
    <row r="255" spans="1:25">
      <c r="A255" s="365" t="s">
        <v>14</v>
      </c>
      <c r="B255" s="366" t="s">
        <v>66</v>
      </c>
      <c r="C255" s="366" t="s">
        <v>67</v>
      </c>
      <c r="D255" s="366" t="s">
        <v>68</v>
      </c>
      <c r="E255" s="366" t="s">
        <v>69</v>
      </c>
      <c r="F255" s="366" t="s">
        <v>16</v>
      </c>
      <c r="G255" s="366" t="s">
        <v>17</v>
      </c>
      <c r="H255" s="366" t="s">
        <v>18</v>
      </c>
      <c r="I255" s="366" t="s">
        <v>21</v>
      </c>
      <c r="J255" s="383" t="s">
        <v>22</v>
      </c>
      <c r="O255" s="324"/>
      <c r="P255" s="365" t="s">
        <v>14</v>
      </c>
      <c r="Q255" s="366" t="s">
        <v>66</v>
      </c>
      <c r="R255" s="366" t="s">
        <v>67</v>
      </c>
      <c r="S255" s="366" t="s">
        <v>68</v>
      </c>
      <c r="T255" s="366" t="s">
        <v>69</v>
      </c>
      <c r="U255" s="366" t="s">
        <v>16</v>
      </c>
      <c r="V255" s="366" t="s">
        <v>17</v>
      </c>
      <c r="W255" s="366" t="s">
        <v>18</v>
      </c>
      <c r="X255" s="366" t="s">
        <v>21</v>
      </c>
      <c r="Y255" s="383" t="s">
        <v>22</v>
      </c>
    </row>
    <row r="256" spans="1:25">
      <c r="A256" s="367">
        <v>1</v>
      </c>
      <c r="B256" s="368"/>
      <c r="C256" s="368"/>
      <c r="D256" s="369" t="str">
        <f>IFERROR(VLOOKUP(TRANSHARI11_ICECREAMPAGI[[#This Row],[PRODUK]],DATA_ICECREAM[],13,FALSE),"")</f>
        <v/>
      </c>
      <c r="E256" s="370"/>
      <c r="F256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56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56" s="371"/>
      <c r="I256" s="384" t="str">
        <f>IFERROR(IF(TRANSHARI11_ICECREAMPAGI[[#This Row],[NAMA REKENING]]="","",TRANSHARI11_ICECREAMPAGI[[#This Row],[DEBIT]]),"")</f>
        <v/>
      </c>
      <c r="J256" s="385"/>
      <c r="O256" s="324"/>
      <c r="P256" s="367">
        <v>1</v>
      </c>
      <c r="Q256" s="368"/>
      <c r="R256" s="368"/>
      <c r="S256" s="369" t="str">
        <f>IFERROR(VLOOKUP(TRANSHARI11_ICECREAMMALAM[[#This Row],[PRODUK]],DATA_ICECREAM[],13,FALSE),"")</f>
        <v/>
      </c>
      <c r="T256" s="370"/>
      <c r="U256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56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56" s="371"/>
      <c r="X256" s="384" t="str">
        <f>IFERROR(IF(TRANSHARI11_ICECREAMMALAM[[#This Row],[NAMA REKENING]]="","",TRANSHARI11_ICECREAMMALAM[[#This Row],[DEBIT]]),"")</f>
        <v/>
      </c>
      <c r="Y256" s="385"/>
    </row>
    <row r="257" spans="1:25">
      <c r="A257" s="367">
        <v>2</v>
      </c>
      <c r="B257" s="368"/>
      <c r="C257" s="372"/>
      <c r="D257" s="373" t="str">
        <f>IFERROR(VLOOKUP(TRANSHARI11_ICECREAMPAGI[[#This Row],[PRODUK]],DATA_ICECREAM[],13,FALSE),"")</f>
        <v/>
      </c>
      <c r="E257" s="374"/>
      <c r="F257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57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57" s="12"/>
      <c r="I257" s="386" t="str">
        <f>IFERROR(IF(TRANSHARI11_ICECREAMPAGI[[#This Row],[NAMA REKENING]]="","",TRANSHARI11_ICECREAMPAGI[[#This Row],[DEBIT]]),"")</f>
        <v/>
      </c>
      <c r="J257" s="387"/>
      <c r="O257" s="324"/>
      <c r="P257" s="367">
        <v>2</v>
      </c>
      <c r="Q257" s="368"/>
      <c r="R257" s="372"/>
      <c r="S257" s="373" t="str">
        <f>IFERROR(VLOOKUP(TRANSHARI11_ICECREAMMALAM[[#This Row],[PRODUK]],DATA_ICECREAM[],13,FALSE),"")</f>
        <v/>
      </c>
      <c r="T257" s="374"/>
      <c r="U257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57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57" s="12"/>
      <c r="X257" s="386" t="str">
        <f>IFERROR(IF(TRANSHARI11_ICECREAMMALAM[[#This Row],[NAMA REKENING]]="","",TRANSHARI11_ICECREAMMALAM[[#This Row],[DEBIT]]),"")</f>
        <v/>
      </c>
      <c r="Y257" s="387"/>
    </row>
    <row r="258" spans="1:25">
      <c r="A258" s="367">
        <v>3</v>
      </c>
      <c r="B258" s="368"/>
      <c r="C258" s="372"/>
      <c r="D258" s="369" t="str">
        <f>IFERROR(VLOOKUP(TRANSHARI11_ICECREAMPAGI[[#This Row],[PRODUK]],DATA_ICECREAM[],13,FALSE),"")</f>
        <v/>
      </c>
      <c r="E258" s="374"/>
      <c r="F258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58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58" s="12"/>
      <c r="I258" s="384" t="str">
        <f>IFERROR(IF(TRANSHARI11_ICECREAMPAGI[[#This Row],[NAMA REKENING]]="","",TRANSHARI11_ICECREAMPAGI[[#This Row],[DEBIT]]),"")</f>
        <v/>
      </c>
      <c r="J258" s="387"/>
      <c r="O258" s="324"/>
      <c r="P258" s="367">
        <v>3</v>
      </c>
      <c r="Q258" s="368"/>
      <c r="R258" s="372"/>
      <c r="S258" s="369" t="str">
        <f>IFERROR(VLOOKUP(TRANSHARI11_ICECREAMMALAM[[#This Row],[PRODUK]],DATA_ICECREAM[],13,FALSE),"")</f>
        <v/>
      </c>
      <c r="T258" s="374"/>
      <c r="U258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58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58" s="12"/>
      <c r="X258" s="384" t="str">
        <f>IFERROR(IF(TRANSHARI11_ICECREAMMALAM[[#This Row],[NAMA REKENING]]="","",TRANSHARI11_ICECREAMMALAM[[#This Row],[DEBIT]]),"")</f>
        <v/>
      </c>
      <c r="Y258" s="387"/>
    </row>
    <row r="259" spans="1:25">
      <c r="A259" s="367">
        <v>4</v>
      </c>
      <c r="B259" s="368"/>
      <c r="C259" s="372"/>
      <c r="D259" s="373" t="str">
        <f>IFERROR(VLOOKUP(TRANSHARI11_ICECREAMPAGI[[#This Row],[PRODUK]],DATA_ICECREAM[],13,FALSE),"")</f>
        <v/>
      </c>
      <c r="E259" s="374"/>
      <c r="F259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59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59" s="12"/>
      <c r="I259" s="386" t="str">
        <f>IFERROR(IF(TRANSHARI11_ICECREAMPAGI[[#This Row],[NAMA REKENING]]="","",TRANSHARI11_ICECREAMPAGI[[#This Row],[DEBIT]]),"")</f>
        <v/>
      </c>
      <c r="J259" s="387"/>
      <c r="O259" s="324"/>
      <c r="P259" s="367">
        <v>4</v>
      </c>
      <c r="Q259" s="368"/>
      <c r="R259" s="372"/>
      <c r="S259" s="373" t="str">
        <f>IFERROR(VLOOKUP(TRANSHARI11_ICECREAMMALAM[[#This Row],[PRODUK]],DATA_ICECREAM[],13,FALSE),"")</f>
        <v/>
      </c>
      <c r="T259" s="374"/>
      <c r="U259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59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59" s="12"/>
      <c r="X259" s="386" t="str">
        <f>IFERROR(IF(TRANSHARI11_ICECREAMMALAM[[#This Row],[NAMA REKENING]]="","",TRANSHARI11_ICECREAMMALAM[[#This Row],[DEBIT]]),"")</f>
        <v/>
      </c>
      <c r="Y259" s="387"/>
    </row>
    <row r="260" spans="1:25">
      <c r="A260" s="367">
        <v>5</v>
      </c>
      <c r="B260" s="368"/>
      <c r="C260" s="372"/>
      <c r="D260" s="369" t="str">
        <f>IFERROR(VLOOKUP(TRANSHARI11_ICECREAMPAGI[[#This Row],[PRODUK]],DATA_ICECREAM[],13,FALSE),"")</f>
        <v/>
      </c>
      <c r="E260" s="374"/>
      <c r="F260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0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0" s="12"/>
      <c r="I260" s="384" t="str">
        <f>IFERROR(IF(TRANSHARI11_ICECREAMPAGI[[#This Row],[NAMA REKENING]]="","",TRANSHARI11_ICECREAMPAGI[[#This Row],[DEBIT]]),"")</f>
        <v/>
      </c>
      <c r="J260" s="387"/>
      <c r="O260" s="324"/>
      <c r="P260" s="367">
        <v>5</v>
      </c>
      <c r="Q260" s="368"/>
      <c r="R260" s="372"/>
      <c r="S260" s="369" t="str">
        <f>IFERROR(VLOOKUP(TRANSHARI11_ICECREAMMALAM[[#This Row],[PRODUK]],DATA_ICECREAM[],13,FALSE),"")</f>
        <v/>
      </c>
      <c r="T260" s="374"/>
      <c r="U260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0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0" s="12"/>
      <c r="X260" s="384" t="str">
        <f>IFERROR(IF(TRANSHARI11_ICECREAMMALAM[[#This Row],[NAMA REKENING]]="","",TRANSHARI11_ICECREAMMALAM[[#This Row],[DEBIT]]),"")</f>
        <v/>
      </c>
      <c r="Y260" s="387"/>
    </row>
    <row r="261" spans="1:25">
      <c r="A261" s="367">
        <v>6</v>
      </c>
      <c r="B261" s="368"/>
      <c r="C261" s="372"/>
      <c r="D261" s="373" t="str">
        <f>IFERROR(VLOOKUP(TRANSHARI11_ICECREAMPAGI[[#This Row],[PRODUK]],DATA_ICECREAM[],13,FALSE),"")</f>
        <v/>
      </c>
      <c r="E261" s="374"/>
      <c r="F261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1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1" s="12"/>
      <c r="I261" s="386" t="str">
        <f>IFERROR(IF(TRANSHARI11_ICECREAMPAGI[[#This Row],[NAMA REKENING]]="","",TRANSHARI11_ICECREAMPAGI[[#This Row],[DEBIT]]),"")</f>
        <v/>
      </c>
      <c r="J261" s="387"/>
      <c r="O261" s="324"/>
      <c r="P261" s="367">
        <v>6</v>
      </c>
      <c r="Q261" s="368"/>
      <c r="R261" s="372"/>
      <c r="S261" s="373" t="str">
        <f>IFERROR(VLOOKUP(TRANSHARI11_ICECREAMMALAM[[#This Row],[PRODUK]],DATA_ICECREAM[],13,FALSE),"")</f>
        <v/>
      </c>
      <c r="T261" s="374"/>
      <c r="U261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1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1" s="12"/>
      <c r="X261" s="386" t="str">
        <f>IFERROR(IF(TRANSHARI11_ICECREAMMALAM[[#This Row],[NAMA REKENING]]="","",TRANSHARI11_ICECREAMMALAM[[#This Row],[DEBIT]]),"")</f>
        <v/>
      </c>
      <c r="Y261" s="387"/>
    </row>
    <row r="262" spans="1:25">
      <c r="A262" s="367">
        <v>7</v>
      </c>
      <c r="B262" s="368"/>
      <c r="C262" s="372"/>
      <c r="D262" s="369" t="str">
        <f>IFERROR(VLOOKUP(TRANSHARI11_ICECREAMPAGI[[#This Row],[PRODUK]],DATA_ICECREAM[],13,FALSE),"")</f>
        <v/>
      </c>
      <c r="E262" s="374"/>
      <c r="F262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2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2" s="12"/>
      <c r="I262" s="384" t="str">
        <f>IFERROR(IF(TRANSHARI11_ICECREAMPAGI[[#This Row],[NAMA REKENING]]="","",TRANSHARI11_ICECREAMPAGI[[#This Row],[DEBIT]]),"")</f>
        <v/>
      </c>
      <c r="J262" s="387"/>
      <c r="O262" s="324"/>
      <c r="P262" s="367">
        <v>7</v>
      </c>
      <c r="Q262" s="368"/>
      <c r="R262" s="372"/>
      <c r="S262" s="369" t="str">
        <f>IFERROR(VLOOKUP(TRANSHARI11_ICECREAMMALAM[[#This Row],[PRODUK]],DATA_ICECREAM[],13,FALSE),"")</f>
        <v/>
      </c>
      <c r="T262" s="374"/>
      <c r="U262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2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2" s="12"/>
      <c r="X262" s="384" t="str">
        <f>IFERROR(IF(TRANSHARI11_ICECREAMMALAM[[#This Row],[NAMA REKENING]]="","",TRANSHARI11_ICECREAMMALAM[[#This Row],[DEBIT]]),"")</f>
        <v/>
      </c>
      <c r="Y262" s="387"/>
    </row>
    <row r="263" spans="1:25">
      <c r="A263" s="367">
        <v>8</v>
      </c>
      <c r="B263" s="368"/>
      <c r="C263" s="372"/>
      <c r="D263" s="373" t="str">
        <f>IFERROR(VLOOKUP(TRANSHARI11_ICECREAMPAGI[[#This Row],[PRODUK]],DATA_ICECREAM[],13,FALSE),"")</f>
        <v/>
      </c>
      <c r="E263" s="374"/>
      <c r="F263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3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3" s="12"/>
      <c r="I263" s="386" t="str">
        <f>IFERROR(IF(TRANSHARI11_ICECREAMPAGI[[#This Row],[NAMA REKENING]]="","",TRANSHARI11_ICECREAMPAGI[[#This Row],[DEBIT]]),"")</f>
        <v/>
      </c>
      <c r="J263" s="387"/>
      <c r="O263" s="324"/>
      <c r="P263" s="367">
        <v>8</v>
      </c>
      <c r="Q263" s="368"/>
      <c r="R263" s="372"/>
      <c r="S263" s="373" t="str">
        <f>IFERROR(VLOOKUP(TRANSHARI11_ICECREAMMALAM[[#This Row],[PRODUK]],DATA_ICECREAM[],13,FALSE),"")</f>
        <v/>
      </c>
      <c r="T263" s="374"/>
      <c r="U263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3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3" s="12"/>
      <c r="X263" s="386" t="str">
        <f>IFERROR(IF(TRANSHARI11_ICECREAMMALAM[[#This Row],[NAMA REKENING]]="","",TRANSHARI11_ICECREAMMALAM[[#This Row],[DEBIT]]),"")</f>
        <v/>
      </c>
      <c r="Y263" s="387"/>
    </row>
    <row r="264" spans="1:25">
      <c r="A264" s="367">
        <v>9</v>
      </c>
      <c r="B264" s="368"/>
      <c r="C264" s="372"/>
      <c r="D264" s="369" t="str">
        <f>IFERROR(VLOOKUP(TRANSHARI11_ICECREAMPAGI[[#This Row],[PRODUK]],DATA_ICECREAM[],13,FALSE),"")</f>
        <v/>
      </c>
      <c r="E264" s="374"/>
      <c r="F264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4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4" s="12"/>
      <c r="I264" s="384" t="str">
        <f>IFERROR(IF(TRANSHARI11_ICECREAMPAGI[[#This Row],[NAMA REKENING]]="","",TRANSHARI11_ICECREAMPAGI[[#This Row],[DEBIT]]),"")</f>
        <v/>
      </c>
      <c r="J264" s="387"/>
      <c r="O264" s="324"/>
      <c r="P264" s="367">
        <v>9</v>
      </c>
      <c r="Q264" s="368"/>
      <c r="R264" s="372"/>
      <c r="S264" s="369" t="str">
        <f>IFERROR(VLOOKUP(TRANSHARI11_ICECREAMMALAM[[#This Row],[PRODUK]],DATA_ICECREAM[],13,FALSE),"")</f>
        <v/>
      </c>
      <c r="T264" s="374"/>
      <c r="U264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4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4" s="12"/>
      <c r="X264" s="384" t="str">
        <f>IFERROR(IF(TRANSHARI11_ICECREAMMALAM[[#This Row],[NAMA REKENING]]="","",TRANSHARI11_ICECREAMMALAM[[#This Row],[DEBIT]]),"")</f>
        <v/>
      </c>
      <c r="Y264" s="387"/>
    </row>
    <row r="265" spans="1:25">
      <c r="A265" s="367">
        <v>10</v>
      </c>
      <c r="B265" s="368"/>
      <c r="C265" s="372"/>
      <c r="D265" s="373" t="str">
        <f>IFERROR(VLOOKUP(TRANSHARI11_ICECREAMPAGI[[#This Row],[PRODUK]],DATA_ICECREAM[],13,FALSE),"")</f>
        <v/>
      </c>
      <c r="E265" s="374"/>
      <c r="F265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5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5" s="12"/>
      <c r="I265" s="386" t="str">
        <f>IFERROR(IF(TRANSHARI11_ICECREAMPAGI[[#This Row],[NAMA REKENING]]="","",TRANSHARI11_ICECREAMPAGI[[#This Row],[DEBIT]]),"")</f>
        <v/>
      </c>
      <c r="J265" s="387"/>
      <c r="O265" s="324"/>
      <c r="P265" s="367">
        <v>10</v>
      </c>
      <c r="Q265" s="368"/>
      <c r="R265" s="372"/>
      <c r="S265" s="373" t="str">
        <f>IFERROR(VLOOKUP(TRANSHARI11_ICECREAMMALAM[[#This Row],[PRODUK]],DATA_ICECREAM[],13,FALSE),"")</f>
        <v/>
      </c>
      <c r="T265" s="374"/>
      <c r="U265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5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5" s="12"/>
      <c r="X265" s="386" t="str">
        <f>IFERROR(IF(TRANSHARI11_ICECREAMMALAM[[#This Row],[NAMA REKENING]]="","",TRANSHARI11_ICECREAMMALAM[[#This Row],[DEBIT]]),"")</f>
        <v/>
      </c>
      <c r="Y265" s="387"/>
    </row>
    <row r="266" spans="1:25">
      <c r="A266" s="367">
        <v>11</v>
      </c>
      <c r="B266" s="368"/>
      <c r="C266" s="372"/>
      <c r="D266" s="369" t="str">
        <f>IFERROR(VLOOKUP(TRANSHARI11_ICECREAMPAGI[[#This Row],[PRODUK]],DATA_ICECREAM[],13,FALSE),"")</f>
        <v/>
      </c>
      <c r="E266" s="374"/>
      <c r="F266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6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6" s="12"/>
      <c r="I266" s="384" t="str">
        <f>IFERROR(IF(TRANSHARI11_ICECREAMPAGI[[#This Row],[NAMA REKENING]]="","",TRANSHARI11_ICECREAMPAGI[[#This Row],[DEBIT]]),"")</f>
        <v/>
      </c>
      <c r="J266" s="387"/>
      <c r="O266" s="324"/>
      <c r="P266" s="367">
        <v>11</v>
      </c>
      <c r="Q266" s="368"/>
      <c r="R266" s="372"/>
      <c r="S266" s="369" t="str">
        <f>IFERROR(VLOOKUP(TRANSHARI11_ICECREAMMALAM[[#This Row],[PRODUK]],DATA_ICECREAM[],13,FALSE),"")</f>
        <v/>
      </c>
      <c r="T266" s="374"/>
      <c r="U266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6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6" s="12"/>
      <c r="X266" s="384" t="str">
        <f>IFERROR(IF(TRANSHARI11_ICECREAMMALAM[[#This Row],[NAMA REKENING]]="","",TRANSHARI11_ICECREAMMALAM[[#This Row],[DEBIT]]),"")</f>
        <v/>
      </c>
      <c r="Y266" s="387"/>
    </row>
    <row r="267" spans="1:25">
      <c r="A267" s="367">
        <v>12</v>
      </c>
      <c r="B267" s="368"/>
      <c r="C267" s="372"/>
      <c r="D267" s="373" t="str">
        <f>IFERROR(VLOOKUP(TRANSHARI11_ICECREAMPAGI[[#This Row],[PRODUK]],DATA_ICECREAM[],13,FALSE),"")</f>
        <v/>
      </c>
      <c r="E267" s="374"/>
      <c r="F267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7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7" s="12"/>
      <c r="I267" s="386" t="str">
        <f>IFERROR(IF(TRANSHARI11_ICECREAMPAGI[[#This Row],[NAMA REKENING]]="","",TRANSHARI11_ICECREAMPAGI[[#This Row],[DEBIT]]),"")</f>
        <v/>
      </c>
      <c r="J267" s="387"/>
      <c r="O267" s="324"/>
      <c r="P267" s="367">
        <v>12</v>
      </c>
      <c r="Q267" s="368"/>
      <c r="R267" s="372"/>
      <c r="S267" s="373" t="str">
        <f>IFERROR(VLOOKUP(TRANSHARI11_ICECREAMMALAM[[#This Row],[PRODUK]],DATA_ICECREAM[],13,FALSE),"")</f>
        <v/>
      </c>
      <c r="T267" s="374"/>
      <c r="U267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7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7" s="12"/>
      <c r="X267" s="386" t="str">
        <f>IFERROR(IF(TRANSHARI11_ICECREAMMALAM[[#This Row],[NAMA REKENING]]="","",TRANSHARI11_ICECREAMMALAM[[#This Row],[DEBIT]]),"")</f>
        <v/>
      </c>
      <c r="Y267" s="387"/>
    </row>
    <row r="268" spans="1:25">
      <c r="A268" s="367">
        <v>13</v>
      </c>
      <c r="B268" s="368"/>
      <c r="C268" s="372"/>
      <c r="D268" s="369" t="str">
        <f>IFERROR(VLOOKUP(TRANSHARI11_ICECREAMPAGI[[#This Row],[PRODUK]],DATA_ICECREAM[],13,FALSE),"")</f>
        <v/>
      </c>
      <c r="E268" s="374"/>
      <c r="F268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8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8" s="12"/>
      <c r="I268" s="384" t="str">
        <f>IFERROR(IF(TRANSHARI11_ICECREAMPAGI[[#This Row],[NAMA REKENING]]="","",TRANSHARI11_ICECREAMPAGI[[#This Row],[DEBIT]]),"")</f>
        <v/>
      </c>
      <c r="J268" s="387"/>
      <c r="O268" s="324"/>
      <c r="P268" s="367">
        <v>13</v>
      </c>
      <c r="Q268" s="368"/>
      <c r="R268" s="372"/>
      <c r="S268" s="369" t="str">
        <f>IFERROR(VLOOKUP(TRANSHARI11_ICECREAMMALAM[[#This Row],[PRODUK]],DATA_ICECREAM[],13,FALSE),"")</f>
        <v/>
      </c>
      <c r="T268" s="374"/>
      <c r="U268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8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8" s="12"/>
      <c r="X268" s="384" t="str">
        <f>IFERROR(IF(TRANSHARI11_ICECREAMMALAM[[#This Row],[NAMA REKENING]]="","",TRANSHARI11_ICECREAMMALAM[[#This Row],[DEBIT]]),"")</f>
        <v/>
      </c>
      <c r="Y268" s="387"/>
    </row>
    <row r="269" spans="1:25">
      <c r="A269" s="367">
        <v>14</v>
      </c>
      <c r="B269" s="368"/>
      <c r="C269" s="372"/>
      <c r="D269" s="373" t="str">
        <f>IFERROR(VLOOKUP(TRANSHARI11_ICECREAMPAGI[[#This Row],[PRODUK]],DATA_ICECREAM[],13,FALSE),"")</f>
        <v/>
      </c>
      <c r="E269" s="374"/>
      <c r="F269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69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69" s="12"/>
      <c r="I269" s="386" t="str">
        <f>IFERROR(IF(TRANSHARI11_ICECREAMPAGI[[#This Row],[NAMA REKENING]]="","",TRANSHARI11_ICECREAMPAGI[[#This Row],[DEBIT]]),"")</f>
        <v/>
      </c>
      <c r="J269" s="387"/>
      <c r="O269" s="324"/>
      <c r="P269" s="367">
        <v>14</v>
      </c>
      <c r="Q269" s="368"/>
      <c r="R269" s="372"/>
      <c r="S269" s="373" t="str">
        <f>IFERROR(VLOOKUP(TRANSHARI11_ICECREAMMALAM[[#This Row],[PRODUK]],DATA_ICECREAM[],13,FALSE),"")</f>
        <v/>
      </c>
      <c r="T269" s="374"/>
      <c r="U269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69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69" s="12"/>
      <c r="X269" s="386" t="str">
        <f>IFERROR(IF(TRANSHARI11_ICECREAMMALAM[[#This Row],[NAMA REKENING]]="","",TRANSHARI11_ICECREAMMALAM[[#This Row],[DEBIT]]),"")</f>
        <v/>
      </c>
      <c r="Y269" s="387"/>
    </row>
    <row r="270" spans="1:25">
      <c r="A270" s="367">
        <v>15</v>
      </c>
      <c r="B270" s="368"/>
      <c r="C270" s="372"/>
      <c r="D270" s="369" t="str">
        <f>IFERROR(VLOOKUP(TRANSHARI11_ICECREAMPAGI[[#This Row],[PRODUK]],DATA_ICECREAM[],13,FALSE),"")</f>
        <v/>
      </c>
      <c r="E270" s="374"/>
      <c r="F270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0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0" s="12"/>
      <c r="I270" s="384" t="str">
        <f>IFERROR(IF(TRANSHARI11_ICECREAMPAGI[[#This Row],[NAMA REKENING]]="","",TRANSHARI11_ICECREAMPAGI[[#This Row],[DEBIT]]),"")</f>
        <v/>
      </c>
      <c r="J270" s="387"/>
      <c r="O270" s="324"/>
      <c r="P270" s="367">
        <v>15</v>
      </c>
      <c r="Q270" s="368"/>
      <c r="R270" s="372"/>
      <c r="S270" s="369" t="str">
        <f>IFERROR(VLOOKUP(TRANSHARI11_ICECREAMMALAM[[#This Row],[PRODUK]],DATA_ICECREAM[],13,FALSE),"")</f>
        <v/>
      </c>
      <c r="T270" s="374"/>
      <c r="U270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0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0" s="12"/>
      <c r="X270" s="384" t="str">
        <f>IFERROR(IF(TRANSHARI11_ICECREAMMALAM[[#This Row],[NAMA REKENING]]="","",TRANSHARI11_ICECREAMMALAM[[#This Row],[DEBIT]]),"")</f>
        <v/>
      </c>
      <c r="Y270" s="387"/>
    </row>
    <row r="271" spans="1:25">
      <c r="A271" s="367">
        <v>16</v>
      </c>
      <c r="B271" s="368"/>
      <c r="C271" s="372"/>
      <c r="D271" s="373" t="str">
        <f>IFERROR(VLOOKUP(TRANSHARI11_ICECREAMPAGI[[#This Row],[PRODUK]],DATA_ICECREAM[],13,FALSE),"")</f>
        <v/>
      </c>
      <c r="E271" s="374"/>
      <c r="F271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1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1" s="12"/>
      <c r="I271" s="386" t="str">
        <f>IFERROR(IF(TRANSHARI11_ICECREAMPAGI[[#This Row],[NAMA REKENING]]="","",TRANSHARI11_ICECREAMPAGI[[#This Row],[DEBIT]]),"")</f>
        <v/>
      </c>
      <c r="J271" s="387"/>
      <c r="O271" s="324"/>
      <c r="P271" s="367">
        <v>16</v>
      </c>
      <c r="Q271" s="368"/>
      <c r="R271" s="372"/>
      <c r="S271" s="373" t="str">
        <f>IFERROR(VLOOKUP(TRANSHARI11_ICECREAMMALAM[[#This Row],[PRODUK]],DATA_ICECREAM[],13,FALSE),"")</f>
        <v/>
      </c>
      <c r="T271" s="374"/>
      <c r="U271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1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1" s="12"/>
      <c r="X271" s="386" t="str">
        <f>IFERROR(IF(TRANSHARI11_ICECREAMMALAM[[#This Row],[NAMA REKENING]]="","",TRANSHARI11_ICECREAMMALAM[[#This Row],[DEBIT]]),"")</f>
        <v/>
      </c>
      <c r="Y271" s="387"/>
    </row>
    <row r="272" spans="1:25">
      <c r="A272" s="367">
        <v>17</v>
      </c>
      <c r="B272" s="368"/>
      <c r="C272" s="372"/>
      <c r="D272" s="369" t="str">
        <f>IFERROR(VLOOKUP(TRANSHARI11_ICECREAMPAGI[[#This Row],[PRODUK]],DATA_ICECREAM[],13,FALSE),"")</f>
        <v/>
      </c>
      <c r="E272" s="374"/>
      <c r="F272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2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2" s="12"/>
      <c r="I272" s="384" t="str">
        <f>IFERROR(IF(TRANSHARI11_ICECREAMPAGI[[#This Row],[NAMA REKENING]]="","",TRANSHARI11_ICECREAMPAGI[[#This Row],[DEBIT]]),"")</f>
        <v/>
      </c>
      <c r="J272" s="387"/>
      <c r="O272" s="324"/>
      <c r="P272" s="367">
        <v>17</v>
      </c>
      <c r="Q272" s="368"/>
      <c r="R272" s="372"/>
      <c r="S272" s="369" t="str">
        <f>IFERROR(VLOOKUP(TRANSHARI11_ICECREAMMALAM[[#This Row],[PRODUK]],DATA_ICECREAM[],13,FALSE),"")</f>
        <v/>
      </c>
      <c r="T272" s="374"/>
      <c r="U272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2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2" s="12"/>
      <c r="X272" s="384" t="str">
        <f>IFERROR(IF(TRANSHARI11_ICECREAMMALAM[[#This Row],[NAMA REKENING]]="","",TRANSHARI11_ICECREAMMALAM[[#This Row],[DEBIT]]),"")</f>
        <v/>
      </c>
      <c r="Y272" s="387"/>
    </row>
    <row r="273" spans="1:25">
      <c r="A273" s="367">
        <v>18</v>
      </c>
      <c r="B273" s="368"/>
      <c r="C273" s="372"/>
      <c r="D273" s="373" t="str">
        <f>IFERROR(VLOOKUP(TRANSHARI11_ICECREAMPAGI[[#This Row],[PRODUK]],DATA_ICECREAM[],13,FALSE),"")</f>
        <v/>
      </c>
      <c r="E273" s="374"/>
      <c r="F273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3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3" s="12"/>
      <c r="I273" s="386" t="str">
        <f>IFERROR(IF(TRANSHARI11_ICECREAMPAGI[[#This Row],[NAMA REKENING]]="","",TRANSHARI11_ICECREAMPAGI[[#This Row],[DEBIT]]),"")</f>
        <v/>
      </c>
      <c r="J273" s="387"/>
      <c r="O273" s="324"/>
      <c r="P273" s="367">
        <v>18</v>
      </c>
      <c r="Q273" s="368"/>
      <c r="R273" s="372"/>
      <c r="S273" s="373" t="str">
        <f>IFERROR(VLOOKUP(TRANSHARI11_ICECREAMMALAM[[#This Row],[PRODUK]],DATA_ICECREAM[],13,FALSE),"")</f>
        <v/>
      </c>
      <c r="T273" s="374"/>
      <c r="U273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3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3" s="12"/>
      <c r="X273" s="386" t="str">
        <f>IFERROR(IF(TRANSHARI11_ICECREAMMALAM[[#This Row],[NAMA REKENING]]="","",TRANSHARI11_ICECREAMMALAM[[#This Row],[DEBIT]]),"")</f>
        <v/>
      </c>
      <c r="Y273" s="387"/>
    </row>
    <row r="274" spans="1:25">
      <c r="A274" s="367">
        <v>19</v>
      </c>
      <c r="B274" s="368"/>
      <c r="C274" s="372"/>
      <c r="D274" s="369" t="str">
        <f>IFERROR(VLOOKUP(TRANSHARI11_ICECREAMPAGI[[#This Row],[PRODUK]],DATA_ICECREAM[],13,FALSE),"")</f>
        <v/>
      </c>
      <c r="E274" s="374"/>
      <c r="F274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4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4" s="12"/>
      <c r="I274" s="384" t="str">
        <f>IFERROR(IF(TRANSHARI11_ICECREAMPAGI[[#This Row],[NAMA REKENING]]="","",TRANSHARI11_ICECREAMPAGI[[#This Row],[DEBIT]]),"")</f>
        <v/>
      </c>
      <c r="J274" s="387"/>
      <c r="O274" s="324"/>
      <c r="P274" s="367">
        <v>19</v>
      </c>
      <c r="Q274" s="368"/>
      <c r="R274" s="372"/>
      <c r="S274" s="369" t="str">
        <f>IFERROR(VLOOKUP(TRANSHARI11_ICECREAMMALAM[[#This Row],[PRODUK]],DATA_ICECREAM[],13,FALSE),"")</f>
        <v/>
      </c>
      <c r="T274" s="374"/>
      <c r="U274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4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4" s="12"/>
      <c r="X274" s="384" t="str">
        <f>IFERROR(IF(TRANSHARI11_ICECREAMMALAM[[#This Row],[NAMA REKENING]]="","",TRANSHARI11_ICECREAMMALAM[[#This Row],[DEBIT]]),"")</f>
        <v/>
      </c>
      <c r="Y274" s="387"/>
    </row>
    <row r="275" spans="1:25">
      <c r="A275" s="367">
        <v>20</v>
      </c>
      <c r="B275" s="368"/>
      <c r="C275" s="372"/>
      <c r="D275" s="373" t="str">
        <f>IFERROR(VLOOKUP(TRANSHARI11_ICECREAMPAGI[[#This Row],[PRODUK]],DATA_ICECREAM[],13,FALSE),"")</f>
        <v/>
      </c>
      <c r="E275" s="374"/>
      <c r="F275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5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5" s="12"/>
      <c r="I275" s="386" t="str">
        <f>IFERROR(IF(TRANSHARI11_ICECREAMPAGI[[#This Row],[NAMA REKENING]]="","",TRANSHARI11_ICECREAMPAGI[[#This Row],[DEBIT]]),"")</f>
        <v/>
      </c>
      <c r="J275" s="387"/>
      <c r="O275" s="324"/>
      <c r="P275" s="367">
        <v>20</v>
      </c>
      <c r="Q275" s="368"/>
      <c r="R275" s="372"/>
      <c r="S275" s="373" t="str">
        <f>IFERROR(VLOOKUP(TRANSHARI11_ICECREAMMALAM[[#This Row],[PRODUK]],DATA_ICECREAM[],13,FALSE),"")</f>
        <v/>
      </c>
      <c r="T275" s="374"/>
      <c r="U275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5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5" s="12"/>
      <c r="X275" s="386" t="str">
        <f>IFERROR(IF(TRANSHARI11_ICECREAMMALAM[[#This Row],[NAMA REKENING]]="","",TRANSHARI11_ICECREAMMALAM[[#This Row],[DEBIT]]),"")</f>
        <v/>
      </c>
      <c r="Y275" s="387"/>
    </row>
    <row r="276" spans="1:25">
      <c r="A276" s="367">
        <v>21</v>
      </c>
      <c r="B276" s="368"/>
      <c r="C276" s="372"/>
      <c r="D276" s="369" t="str">
        <f>IFERROR(VLOOKUP(TRANSHARI11_ICECREAMPAGI[[#This Row],[PRODUK]],DATA_ICECREAM[],13,FALSE),"")</f>
        <v/>
      </c>
      <c r="E276" s="374"/>
      <c r="F276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6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6" s="12"/>
      <c r="I276" s="384" t="str">
        <f>IFERROR(IF(TRANSHARI11_ICECREAMPAGI[[#This Row],[NAMA REKENING]]="","",TRANSHARI11_ICECREAMPAGI[[#This Row],[DEBIT]]),"")</f>
        <v/>
      </c>
      <c r="J276" s="387"/>
      <c r="O276" s="324"/>
      <c r="P276" s="367">
        <v>21</v>
      </c>
      <c r="Q276" s="368"/>
      <c r="R276" s="372"/>
      <c r="S276" s="369" t="str">
        <f>IFERROR(VLOOKUP(TRANSHARI11_ICECREAMMALAM[[#This Row],[PRODUK]],DATA_ICECREAM[],13,FALSE),"")</f>
        <v/>
      </c>
      <c r="T276" s="374"/>
      <c r="U276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6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6" s="12"/>
      <c r="X276" s="384" t="str">
        <f>IFERROR(IF(TRANSHARI11_ICECREAMMALAM[[#This Row],[NAMA REKENING]]="","",TRANSHARI11_ICECREAMMALAM[[#This Row],[DEBIT]]),"")</f>
        <v/>
      </c>
      <c r="Y276" s="387"/>
    </row>
    <row r="277" spans="1:25">
      <c r="A277" s="367">
        <v>22</v>
      </c>
      <c r="B277" s="368"/>
      <c r="C277" s="372"/>
      <c r="D277" s="373" t="str">
        <f>IFERROR(VLOOKUP(TRANSHARI11_ICECREAMPAGI[[#This Row],[PRODUK]],DATA_ICECREAM[],13,FALSE),"")</f>
        <v/>
      </c>
      <c r="E277" s="374"/>
      <c r="F277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7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7" s="12"/>
      <c r="I277" s="386" t="str">
        <f>IFERROR(IF(TRANSHARI11_ICECREAMPAGI[[#This Row],[NAMA REKENING]]="","",TRANSHARI11_ICECREAMPAGI[[#This Row],[DEBIT]]),"")</f>
        <v/>
      </c>
      <c r="J277" s="387"/>
      <c r="O277" s="324"/>
      <c r="P277" s="367">
        <v>22</v>
      </c>
      <c r="Q277" s="368"/>
      <c r="R277" s="372"/>
      <c r="S277" s="373" t="str">
        <f>IFERROR(VLOOKUP(TRANSHARI11_ICECREAMMALAM[[#This Row],[PRODUK]],DATA_ICECREAM[],13,FALSE),"")</f>
        <v/>
      </c>
      <c r="T277" s="374"/>
      <c r="U277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7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7" s="12"/>
      <c r="X277" s="386" t="str">
        <f>IFERROR(IF(TRANSHARI11_ICECREAMMALAM[[#This Row],[NAMA REKENING]]="","",TRANSHARI11_ICECREAMMALAM[[#This Row],[DEBIT]]),"")</f>
        <v/>
      </c>
      <c r="Y277" s="387"/>
    </row>
    <row r="278" spans="1:25">
      <c r="A278" s="367">
        <v>23</v>
      </c>
      <c r="B278" s="368"/>
      <c r="C278" s="372"/>
      <c r="D278" s="369" t="str">
        <f>IFERROR(VLOOKUP(TRANSHARI11_ICECREAMPAGI[[#This Row],[PRODUK]],DATA_ICECREAM[],13,FALSE),"")</f>
        <v/>
      </c>
      <c r="E278" s="374"/>
      <c r="F278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8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8" s="12"/>
      <c r="I278" s="384" t="str">
        <f>IFERROR(IF(TRANSHARI11_ICECREAMPAGI[[#This Row],[NAMA REKENING]]="","",TRANSHARI11_ICECREAMPAGI[[#This Row],[DEBIT]]),"")</f>
        <v/>
      </c>
      <c r="J278" s="387"/>
      <c r="O278" s="324"/>
      <c r="P278" s="367">
        <v>23</v>
      </c>
      <c r="Q278" s="368"/>
      <c r="R278" s="372"/>
      <c r="S278" s="369" t="str">
        <f>IFERROR(VLOOKUP(TRANSHARI11_ICECREAMMALAM[[#This Row],[PRODUK]],DATA_ICECREAM[],13,FALSE),"")</f>
        <v/>
      </c>
      <c r="T278" s="374"/>
      <c r="U278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8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8" s="12"/>
      <c r="X278" s="384" t="str">
        <f>IFERROR(IF(TRANSHARI11_ICECREAMMALAM[[#This Row],[NAMA REKENING]]="","",TRANSHARI11_ICECREAMMALAM[[#This Row],[DEBIT]]),"")</f>
        <v/>
      </c>
      <c r="Y278" s="387"/>
    </row>
    <row r="279" spans="1:25">
      <c r="A279" s="367">
        <v>24</v>
      </c>
      <c r="B279" s="368"/>
      <c r="C279" s="372"/>
      <c r="D279" s="373" t="str">
        <f>IFERROR(VLOOKUP(TRANSHARI11_ICECREAMPAGI[[#This Row],[PRODUK]],DATA_ICECREAM[],13,FALSE),"")</f>
        <v/>
      </c>
      <c r="E279" s="374"/>
      <c r="F279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79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79" s="12"/>
      <c r="I279" s="386" t="str">
        <f>IFERROR(IF(TRANSHARI11_ICECREAMPAGI[[#This Row],[NAMA REKENING]]="","",TRANSHARI11_ICECREAMPAGI[[#This Row],[DEBIT]]),"")</f>
        <v/>
      </c>
      <c r="J279" s="387"/>
      <c r="O279" s="324"/>
      <c r="P279" s="367">
        <v>24</v>
      </c>
      <c r="Q279" s="368"/>
      <c r="R279" s="372"/>
      <c r="S279" s="373" t="str">
        <f>IFERROR(VLOOKUP(TRANSHARI11_ICECREAMMALAM[[#This Row],[PRODUK]],DATA_ICECREAM[],13,FALSE),"")</f>
        <v/>
      </c>
      <c r="T279" s="374"/>
      <c r="U279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79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79" s="12"/>
      <c r="X279" s="386" t="str">
        <f>IFERROR(IF(TRANSHARI11_ICECREAMMALAM[[#This Row],[NAMA REKENING]]="","",TRANSHARI11_ICECREAMMALAM[[#This Row],[DEBIT]]),"")</f>
        <v/>
      </c>
      <c r="Y279" s="387"/>
    </row>
    <row r="280" spans="1:25">
      <c r="A280" s="367">
        <v>25</v>
      </c>
      <c r="B280" s="368"/>
      <c r="C280" s="372"/>
      <c r="D280" s="369" t="str">
        <f>IFERROR(VLOOKUP(TRANSHARI11_ICECREAMPAGI[[#This Row],[PRODUK]],DATA_ICECREAM[],13,FALSE),"")</f>
        <v/>
      </c>
      <c r="E280" s="374"/>
      <c r="F280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0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0" s="12"/>
      <c r="I280" s="384" t="str">
        <f>IFERROR(IF(TRANSHARI11_ICECREAMPAGI[[#This Row],[NAMA REKENING]]="","",TRANSHARI11_ICECREAMPAGI[[#This Row],[DEBIT]]),"")</f>
        <v/>
      </c>
      <c r="J280" s="387"/>
      <c r="O280" s="324"/>
      <c r="P280" s="367">
        <v>25</v>
      </c>
      <c r="Q280" s="368"/>
      <c r="R280" s="372"/>
      <c r="S280" s="369" t="str">
        <f>IFERROR(VLOOKUP(TRANSHARI11_ICECREAMMALAM[[#This Row],[PRODUK]],DATA_ICECREAM[],13,FALSE),"")</f>
        <v/>
      </c>
      <c r="T280" s="374"/>
      <c r="U280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0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0" s="12"/>
      <c r="X280" s="384" t="str">
        <f>IFERROR(IF(TRANSHARI11_ICECREAMMALAM[[#This Row],[NAMA REKENING]]="","",TRANSHARI11_ICECREAMMALAM[[#This Row],[DEBIT]]),"")</f>
        <v/>
      </c>
      <c r="Y280" s="387"/>
    </row>
    <row r="281" spans="1:25">
      <c r="A281" s="367">
        <v>26</v>
      </c>
      <c r="B281" s="368"/>
      <c r="C281" s="375"/>
      <c r="D281" s="373" t="str">
        <f>IFERROR(VLOOKUP(TRANSHARI11_ICECREAMPAGI[[#This Row],[PRODUK]],DATA_ICECREAM[],13,FALSE),"")</f>
        <v/>
      </c>
      <c r="E281" s="376"/>
      <c r="F281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1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1" s="377"/>
      <c r="I281" s="386" t="str">
        <f>IFERROR(IF(TRANSHARI11_ICECREAMPAGI[[#This Row],[NAMA REKENING]]="","",TRANSHARI11_ICECREAMPAGI[[#This Row],[DEBIT]]),"")</f>
        <v/>
      </c>
      <c r="J281" s="388"/>
      <c r="O281" s="324"/>
      <c r="P281" s="367">
        <v>26</v>
      </c>
      <c r="Q281" s="368"/>
      <c r="R281" s="375"/>
      <c r="S281" s="373" t="str">
        <f>IFERROR(VLOOKUP(TRANSHARI11_ICECREAMMALAM[[#This Row],[PRODUK]],DATA_ICECREAM[],13,FALSE),"")</f>
        <v/>
      </c>
      <c r="T281" s="376"/>
      <c r="U281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1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1" s="377"/>
      <c r="X281" s="386" t="str">
        <f>IFERROR(IF(TRANSHARI11_ICECREAMMALAM[[#This Row],[NAMA REKENING]]="","",TRANSHARI11_ICECREAMMALAM[[#This Row],[DEBIT]]),"")</f>
        <v/>
      </c>
      <c r="Y281" s="388"/>
    </row>
    <row r="282" spans="1:25">
      <c r="A282" s="367">
        <v>27</v>
      </c>
      <c r="B282" s="368"/>
      <c r="C282" s="372"/>
      <c r="D282" s="369" t="str">
        <f>IFERROR(VLOOKUP(TRANSHARI11_ICECREAMPAGI[[#This Row],[PRODUK]],DATA_ICECREAM[],13,FALSE),"")</f>
        <v/>
      </c>
      <c r="E282" s="374"/>
      <c r="F282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2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2" s="12"/>
      <c r="I282" s="384" t="str">
        <f>IFERROR(IF(TRANSHARI11_ICECREAMPAGI[[#This Row],[NAMA REKENING]]="","",TRANSHARI11_ICECREAMPAGI[[#This Row],[DEBIT]]),"")</f>
        <v/>
      </c>
      <c r="J282" s="387"/>
      <c r="O282" s="324"/>
      <c r="P282" s="367">
        <v>27</v>
      </c>
      <c r="Q282" s="368"/>
      <c r="R282" s="372"/>
      <c r="S282" s="369" t="str">
        <f>IFERROR(VLOOKUP(TRANSHARI11_ICECREAMMALAM[[#This Row],[PRODUK]],DATA_ICECREAM[],13,FALSE),"")</f>
        <v/>
      </c>
      <c r="T282" s="374"/>
      <c r="U282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2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2" s="12"/>
      <c r="X282" s="384" t="str">
        <f>IFERROR(IF(TRANSHARI11_ICECREAMMALAM[[#This Row],[NAMA REKENING]]="","",TRANSHARI11_ICECREAMMALAM[[#This Row],[DEBIT]]),"")</f>
        <v/>
      </c>
      <c r="Y282" s="387"/>
    </row>
    <row r="283" spans="1:25">
      <c r="A283" s="367">
        <v>28</v>
      </c>
      <c r="B283" s="368"/>
      <c r="C283" s="372"/>
      <c r="D283" s="373" t="str">
        <f>IFERROR(VLOOKUP(TRANSHARI11_ICECREAMPAGI[[#This Row],[PRODUK]],DATA_ICECREAM[],13,FALSE),"")</f>
        <v/>
      </c>
      <c r="E283" s="374"/>
      <c r="F283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3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3" s="12"/>
      <c r="I283" s="386" t="str">
        <f>IFERROR(IF(TRANSHARI11_ICECREAMPAGI[[#This Row],[NAMA REKENING]]="","",TRANSHARI11_ICECREAMPAGI[[#This Row],[DEBIT]]),"")</f>
        <v/>
      </c>
      <c r="J283" s="387"/>
      <c r="O283" s="324"/>
      <c r="P283" s="367">
        <v>28</v>
      </c>
      <c r="Q283" s="368"/>
      <c r="R283" s="372"/>
      <c r="S283" s="373" t="str">
        <f>IFERROR(VLOOKUP(TRANSHARI11_ICECREAMMALAM[[#This Row],[PRODUK]],DATA_ICECREAM[],13,FALSE),"")</f>
        <v/>
      </c>
      <c r="T283" s="374"/>
      <c r="U283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3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3" s="12"/>
      <c r="X283" s="386" t="str">
        <f>IFERROR(IF(TRANSHARI11_ICECREAMMALAM[[#This Row],[NAMA REKENING]]="","",TRANSHARI11_ICECREAMMALAM[[#This Row],[DEBIT]]),"")</f>
        <v/>
      </c>
      <c r="Y283" s="387"/>
    </row>
    <row r="284" spans="1:25">
      <c r="A284" s="367">
        <v>29</v>
      </c>
      <c r="B284" s="368"/>
      <c r="C284" s="372"/>
      <c r="D284" s="369" t="str">
        <f>IFERROR(VLOOKUP(TRANSHARI11_ICECREAMPAGI[[#This Row],[PRODUK]],DATA_ICECREAM[],13,FALSE),"")</f>
        <v/>
      </c>
      <c r="E284" s="374"/>
      <c r="F284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4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4" s="12"/>
      <c r="I284" s="384" t="str">
        <f>IFERROR(IF(TRANSHARI11_ICECREAMPAGI[[#This Row],[NAMA REKENING]]="","",TRANSHARI11_ICECREAMPAGI[[#This Row],[DEBIT]]),"")</f>
        <v/>
      </c>
      <c r="J284" s="387"/>
      <c r="O284" s="324"/>
      <c r="P284" s="367">
        <v>29</v>
      </c>
      <c r="Q284" s="368"/>
      <c r="R284" s="372"/>
      <c r="S284" s="369" t="str">
        <f>IFERROR(VLOOKUP(TRANSHARI11_ICECREAMMALAM[[#This Row],[PRODUK]],DATA_ICECREAM[],13,FALSE),"")</f>
        <v/>
      </c>
      <c r="T284" s="374"/>
      <c r="U284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4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4" s="12"/>
      <c r="X284" s="384" t="str">
        <f>IFERROR(IF(TRANSHARI11_ICECREAMMALAM[[#This Row],[NAMA REKENING]]="","",TRANSHARI11_ICECREAMMALAM[[#This Row],[DEBIT]]),"")</f>
        <v/>
      </c>
      <c r="Y284" s="387"/>
    </row>
    <row r="285" spans="1:25">
      <c r="A285" s="367">
        <v>30</v>
      </c>
      <c r="B285" s="368"/>
      <c r="C285" s="372"/>
      <c r="D285" s="373" t="str">
        <f>IFERROR(VLOOKUP(TRANSHARI11_ICECREAMPAGI[[#This Row],[PRODUK]],DATA_ICECREAM[],13,FALSE),"")</f>
        <v/>
      </c>
      <c r="E285" s="374"/>
      <c r="F285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5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5" s="12"/>
      <c r="I285" s="386" t="str">
        <f>IFERROR(IF(TRANSHARI11_ICECREAMPAGI[[#This Row],[NAMA REKENING]]="","",TRANSHARI11_ICECREAMPAGI[[#This Row],[DEBIT]]),"")</f>
        <v/>
      </c>
      <c r="J285" s="387"/>
      <c r="O285" s="324"/>
      <c r="P285" s="367">
        <v>30</v>
      </c>
      <c r="Q285" s="368"/>
      <c r="R285" s="372"/>
      <c r="S285" s="373" t="str">
        <f>IFERROR(VLOOKUP(TRANSHARI11_ICECREAMMALAM[[#This Row],[PRODUK]],DATA_ICECREAM[],13,FALSE),"")</f>
        <v/>
      </c>
      <c r="T285" s="374"/>
      <c r="U285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5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5" s="12"/>
      <c r="X285" s="386" t="str">
        <f>IFERROR(IF(TRANSHARI11_ICECREAMMALAM[[#This Row],[NAMA REKENING]]="","",TRANSHARI11_ICECREAMMALAM[[#This Row],[DEBIT]]),"")</f>
        <v/>
      </c>
      <c r="Y285" s="387"/>
    </row>
    <row r="286" spans="1:25">
      <c r="A286" s="367">
        <v>31</v>
      </c>
      <c r="B286" s="368"/>
      <c r="C286" s="372"/>
      <c r="D286" s="369" t="str">
        <f>IFERROR(VLOOKUP(TRANSHARI11_ICECREAMPAGI[[#This Row],[PRODUK]],DATA_ICECREAM[],13,FALSE),"")</f>
        <v/>
      </c>
      <c r="E286" s="374"/>
      <c r="F286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6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6" s="12"/>
      <c r="I286" s="384" t="str">
        <f>IFERROR(IF(TRANSHARI11_ICECREAMPAGI[[#This Row],[NAMA REKENING]]="","",TRANSHARI11_ICECREAMPAGI[[#This Row],[DEBIT]]),"")</f>
        <v/>
      </c>
      <c r="J286" s="387"/>
      <c r="O286" s="324"/>
      <c r="P286" s="367">
        <v>31</v>
      </c>
      <c r="Q286" s="368"/>
      <c r="R286" s="372"/>
      <c r="S286" s="369" t="str">
        <f>IFERROR(VLOOKUP(TRANSHARI11_ICECREAMMALAM[[#This Row],[PRODUK]],DATA_ICECREAM[],13,FALSE),"")</f>
        <v/>
      </c>
      <c r="T286" s="374"/>
      <c r="U286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6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6" s="12"/>
      <c r="X286" s="384" t="str">
        <f>IFERROR(IF(TRANSHARI11_ICECREAMMALAM[[#This Row],[NAMA REKENING]]="","",TRANSHARI11_ICECREAMMALAM[[#This Row],[DEBIT]]),"")</f>
        <v/>
      </c>
      <c r="Y286" s="387"/>
    </row>
    <row r="287" spans="1:25">
      <c r="A287" s="367">
        <v>32</v>
      </c>
      <c r="B287" s="368"/>
      <c r="C287" s="372"/>
      <c r="D287" s="373" t="str">
        <f>IFERROR(VLOOKUP(TRANSHARI11_ICECREAMPAGI[[#This Row],[PRODUK]],DATA_ICECREAM[],13,FALSE),"")</f>
        <v/>
      </c>
      <c r="E287" s="374"/>
      <c r="F287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7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7" s="12"/>
      <c r="I287" s="386" t="str">
        <f>IFERROR(IF(TRANSHARI11_ICECREAMPAGI[[#This Row],[NAMA REKENING]]="","",TRANSHARI11_ICECREAMPAGI[[#This Row],[DEBIT]]),"")</f>
        <v/>
      </c>
      <c r="J287" s="387"/>
      <c r="O287" s="324"/>
      <c r="P287" s="367">
        <v>32</v>
      </c>
      <c r="Q287" s="368"/>
      <c r="R287" s="372"/>
      <c r="S287" s="373" t="str">
        <f>IFERROR(VLOOKUP(TRANSHARI11_ICECREAMMALAM[[#This Row],[PRODUK]],DATA_ICECREAM[],13,FALSE),"")</f>
        <v/>
      </c>
      <c r="T287" s="374"/>
      <c r="U287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7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7" s="12"/>
      <c r="X287" s="386" t="str">
        <f>IFERROR(IF(TRANSHARI11_ICECREAMMALAM[[#This Row],[NAMA REKENING]]="","",TRANSHARI11_ICECREAMMALAM[[#This Row],[DEBIT]]),"")</f>
        <v/>
      </c>
      <c r="Y287" s="387"/>
    </row>
    <row r="288" spans="1:25">
      <c r="A288" s="367">
        <v>33</v>
      </c>
      <c r="B288" s="368"/>
      <c r="C288" s="372"/>
      <c r="D288" s="369" t="str">
        <f>IFERROR(VLOOKUP(TRANSHARI11_ICECREAMPAGI[[#This Row],[PRODUK]],DATA_ICECREAM[],13,FALSE),"")</f>
        <v/>
      </c>
      <c r="E288" s="374"/>
      <c r="F288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8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8" s="12"/>
      <c r="I288" s="384" t="str">
        <f>IFERROR(IF(TRANSHARI11_ICECREAMPAGI[[#This Row],[NAMA REKENING]]="","",TRANSHARI11_ICECREAMPAGI[[#This Row],[DEBIT]]),"")</f>
        <v/>
      </c>
      <c r="J288" s="387"/>
      <c r="O288" s="324"/>
      <c r="P288" s="367">
        <v>33</v>
      </c>
      <c r="Q288" s="368"/>
      <c r="R288" s="372"/>
      <c r="S288" s="369" t="str">
        <f>IFERROR(VLOOKUP(TRANSHARI11_ICECREAMMALAM[[#This Row],[PRODUK]],DATA_ICECREAM[],13,FALSE),"")</f>
        <v/>
      </c>
      <c r="T288" s="374"/>
      <c r="U288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8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8" s="12"/>
      <c r="X288" s="384" t="str">
        <f>IFERROR(IF(TRANSHARI11_ICECREAMMALAM[[#This Row],[NAMA REKENING]]="","",TRANSHARI11_ICECREAMMALAM[[#This Row],[DEBIT]]),"")</f>
        <v/>
      </c>
      <c r="Y288" s="387"/>
    </row>
    <row r="289" spans="1:25">
      <c r="A289" s="367">
        <v>34</v>
      </c>
      <c r="B289" s="368"/>
      <c r="C289" s="372"/>
      <c r="D289" s="373" t="str">
        <f>IFERROR(VLOOKUP(TRANSHARI11_ICECREAMPAGI[[#This Row],[PRODUK]],DATA_ICECREAM[],13,FALSE),"")</f>
        <v/>
      </c>
      <c r="E289" s="374"/>
      <c r="F289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89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89" s="12"/>
      <c r="I289" s="386" t="str">
        <f>IFERROR(IF(TRANSHARI11_ICECREAMPAGI[[#This Row],[NAMA REKENING]]="","",TRANSHARI11_ICECREAMPAGI[[#This Row],[DEBIT]]),"")</f>
        <v/>
      </c>
      <c r="J289" s="387"/>
      <c r="O289" s="324"/>
      <c r="P289" s="367">
        <v>34</v>
      </c>
      <c r="Q289" s="368"/>
      <c r="R289" s="372"/>
      <c r="S289" s="373" t="str">
        <f>IFERROR(VLOOKUP(TRANSHARI11_ICECREAMMALAM[[#This Row],[PRODUK]],DATA_ICECREAM[],13,FALSE),"")</f>
        <v/>
      </c>
      <c r="T289" s="374"/>
      <c r="U289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89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89" s="12"/>
      <c r="X289" s="386" t="str">
        <f>IFERROR(IF(TRANSHARI11_ICECREAMMALAM[[#This Row],[NAMA REKENING]]="","",TRANSHARI11_ICECREAMMALAM[[#This Row],[DEBIT]]),"")</f>
        <v/>
      </c>
      <c r="Y289" s="387"/>
    </row>
    <row r="290" spans="1:25">
      <c r="A290" s="367">
        <v>35</v>
      </c>
      <c r="B290" s="368"/>
      <c r="C290" s="372"/>
      <c r="D290" s="369" t="str">
        <f>IFERROR(VLOOKUP(TRANSHARI11_ICECREAMPAGI[[#This Row],[PRODUK]],DATA_ICECREAM[],13,FALSE),"")</f>
        <v/>
      </c>
      <c r="E290" s="374"/>
      <c r="F290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0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0" s="12"/>
      <c r="I290" s="384" t="str">
        <f>IFERROR(IF(TRANSHARI11_ICECREAMPAGI[[#This Row],[NAMA REKENING]]="","",TRANSHARI11_ICECREAMPAGI[[#This Row],[DEBIT]]),"")</f>
        <v/>
      </c>
      <c r="J290" s="387"/>
      <c r="O290" s="324"/>
      <c r="P290" s="367">
        <v>35</v>
      </c>
      <c r="Q290" s="368"/>
      <c r="R290" s="372"/>
      <c r="S290" s="369" t="str">
        <f>IFERROR(VLOOKUP(TRANSHARI11_ICECREAMMALAM[[#This Row],[PRODUK]],DATA_ICECREAM[],13,FALSE),"")</f>
        <v/>
      </c>
      <c r="T290" s="374"/>
      <c r="U290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0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0" s="12"/>
      <c r="X290" s="384" t="str">
        <f>IFERROR(IF(TRANSHARI11_ICECREAMMALAM[[#This Row],[NAMA REKENING]]="","",TRANSHARI11_ICECREAMMALAM[[#This Row],[DEBIT]]),"")</f>
        <v/>
      </c>
      <c r="Y290" s="387"/>
    </row>
    <row r="291" spans="1:25">
      <c r="A291" s="367">
        <v>36</v>
      </c>
      <c r="B291" s="368"/>
      <c r="C291" s="372"/>
      <c r="D291" s="373" t="str">
        <f>IFERROR(VLOOKUP(TRANSHARI11_ICECREAMPAGI[[#This Row],[PRODUK]],DATA_ICECREAM[],13,FALSE),"")</f>
        <v/>
      </c>
      <c r="E291" s="374"/>
      <c r="F291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1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1" s="12"/>
      <c r="I291" s="386" t="str">
        <f>IFERROR(IF(TRANSHARI11_ICECREAMPAGI[[#This Row],[NAMA REKENING]]="","",TRANSHARI11_ICECREAMPAGI[[#This Row],[DEBIT]]),"")</f>
        <v/>
      </c>
      <c r="J291" s="387"/>
      <c r="O291" s="324"/>
      <c r="P291" s="367">
        <v>36</v>
      </c>
      <c r="Q291" s="368"/>
      <c r="R291" s="372"/>
      <c r="S291" s="373" t="str">
        <f>IFERROR(VLOOKUP(TRANSHARI11_ICECREAMMALAM[[#This Row],[PRODUK]],DATA_ICECREAM[],13,FALSE),"")</f>
        <v/>
      </c>
      <c r="T291" s="374"/>
      <c r="U291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1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1" s="12"/>
      <c r="X291" s="386" t="str">
        <f>IFERROR(IF(TRANSHARI11_ICECREAMMALAM[[#This Row],[NAMA REKENING]]="","",TRANSHARI11_ICECREAMMALAM[[#This Row],[DEBIT]]),"")</f>
        <v/>
      </c>
      <c r="Y291" s="387"/>
    </row>
    <row r="292" spans="1:25">
      <c r="A292" s="367">
        <v>37</v>
      </c>
      <c r="B292" s="368"/>
      <c r="C292" s="372"/>
      <c r="D292" s="369" t="str">
        <f>IFERROR(VLOOKUP(TRANSHARI11_ICECREAMPAGI[[#This Row],[PRODUK]],DATA_ICECREAM[],13,FALSE),"")</f>
        <v/>
      </c>
      <c r="E292" s="374"/>
      <c r="F292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2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2" s="12"/>
      <c r="I292" s="384" t="str">
        <f>IFERROR(IF(TRANSHARI11_ICECREAMPAGI[[#This Row],[NAMA REKENING]]="","",TRANSHARI11_ICECREAMPAGI[[#This Row],[DEBIT]]),"")</f>
        <v/>
      </c>
      <c r="J292" s="387"/>
      <c r="O292" s="324"/>
      <c r="P292" s="367">
        <v>37</v>
      </c>
      <c r="Q292" s="368"/>
      <c r="R292" s="372"/>
      <c r="S292" s="369" t="str">
        <f>IFERROR(VLOOKUP(TRANSHARI11_ICECREAMMALAM[[#This Row],[PRODUK]],DATA_ICECREAM[],13,FALSE),"")</f>
        <v/>
      </c>
      <c r="T292" s="374"/>
      <c r="U292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2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2" s="12"/>
      <c r="X292" s="384" t="str">
        <f>IFERROR(IF(TRANSHARI11_ICECREAMMALAM[[#This Row],[NAMA REKENING]]="","",TRANSHARI11_ICECREAMMALAM[[#This Row],[DEBIT]]),"")</f>
        <v/>
      </c>
      <c r="Y292" s="387"/>
    </row>
    <row r="293" spans="1:25">
      <c r="A293" s="367">
        <v>38</v>
      </c>
      <c r="B293" s="368"/>
      <c r="C293" s="372"/>
      <c r="D293" s="373" t="str">
        <f>IFERROR(VLOOKUP(TRANSHARI11_ICECREAMPAGI[[#This Row],[PRODUK]],DATA_ICECREAM[],13,FALSE),"")</f>
        <v/>
      </c>
      <c r="E293" s="374"/>
      <c r="F293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3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3" s="12"/>
      <c r="I293" s="386" t="str">
        <f>IFERROR(IF(TRANSHARI11_ICECREAMPAGI[[#This Row],[NAMA REKENING]]="","",TRANSHARI11_ICECREAMPAGI[[#This Row],[DEBIT]]),"")</f>
        <v/>
      </c>
      <c r="J293" s="387"/>
      <c r="O293" s="324"/>
      <c r="P293" s="367">
        <v>38</v>
      </c>
      <c r="Q293" s="368"/>
      <c r="R293" s="372"/>
      <c r="S293" s="373" t="str">
        <f>IFERROR(VLOOKUP(TRANSHARI11_ICECREAMMALAM[[#This Row],[PRODUK]],DATA_ICECREAM[],13,FALSE),"")</f>
        <v/>
      </c>
      <c r="T293" s="374"/>
      <c r="U293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3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3" s="12"/>
      <c r="X293" s="386" t="str">
        <f>IFERROR(IF(TRANSHARI11_ICECREAMMALAM[[#This Row],[NAMA REKENING]]="","",TRANSHARI11_ICECREAMMALAM[[#This Row],[DEBIT]]),"")</f>
        <v/>
      </c>
      <c r="Y293" s="387"/>
    </row>
    <row r="294" spans="1:25">
      <c r="A294" s="367">
        <v>39</v>
      </c>
      <c r="B294" s="368"/>
      <c r="C294" s="372"/>
      <c r="D294" s="369" t="str">
        <f>IFERROR(VLOOKUP(TRANSHARI11_ICECREAMPAGI[[#This Row],[PRODUK]],DATA_ICECREAM[],13,FALSE),"")</f>
        <v/>
      </c>
      <c r="E294" s="374"/>
      <c r="F294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4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4" s="12"/>
      <c r="I294" s="384" t="str">
        <f>IFERROR(IF(TRANSHARI11_ICECREAMPAGI[[#This Row],[NAMA REKENING]]="","",TRANSHARI11_ICECREAMPAGI[[#This Row],[DEBIT]]),"")</f>
        <v/>
      </c>
      <c r="J294" s="387"/>
      <c r="O294" s="324"/>
      <c r="P294" s="367">
        <v>39</v>
      </c>
      <c r="Q294" s="368"/>
      <c r="R294" s="372"/>
      <c r="S294" s="369" t="str">
        <f>IFERROR(VLOOKUP(TRANSHARI11_ICECREAMMALAM[[#This Row],[PRODUK]],DATA_ICECREAM[],13,FALSE),"")</f>
        <v/>
      </c>
      <c r="T294" s="374"/>
      <c r="U294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4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4" s="12"/>
      <c r="X294" s="384" t="str">
        <f>IFERROR(IF(TRANSHARI11_ICECREAMMALAM[[#This Row],[NAMA REKENING]]="","",TRANSHARI11_ICECREAMMALAM[[#This Row],[DEBIT]]),"")</f>
        <v/>
      </c>
      <c r="Y294" s="387"/>
    </row>
    <row r="295" spans="1:25">
      <c r="A295" s="367">
        <v>40</v>
      </c>
      <c r="B295" s="368"/>
      <c r="C295" s="372"/>
      <c r="D295" s="373" t="str">
        <f>IFERROR(VLOOKUP(TRANSHARI11_ICECREAMPAGI[[#This Row],[PRODUK]],DATA_ICECREAM[],13,FALSE),"")</f>
        <v/>
      </c>
      <c r="E295" s="374"/>
      <c r="F295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5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5" s="12"/>
      <c r="I295" s="386" t="str">
        <f>IFERROR(IF(TRANSHARI11_ICECREAMPAGI[[#This Row],[NAMA REKENING]]="","",TRANSHARI11_ICECREAMPAGI[[#This Row],[DEBIT]]),"")</f>
        <v/>
      </c>
      <c r="J295" s="387"/>
      <c r="O295" s="324"/>
      <c r="P295" s="367">
        <v>40</v>
      </c>
      <c r="Q295" s="368"/>
      <c r="R295" s="372"/>
      <c r="S295" s="373" t="str">
        <f>IFERROR(VLOOKUP(TRANSHARI11_ICECREAMMALAM[[#This Row],[PRODUK]],DATA_ICECREAM[],13,FALSE),"")</f>
        <v/>
      </c>
      <c r="T295" s="374"/>
      <c r="U295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5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5" s="12"/>
      <c r="X295" s="386" t="str">
        <f>IFERROR(IF(TRANSHARI11_ICECREAMMALAM[[#This Row],[NAMA REKENING]]="","",TRANSHARI11_ICECREAMMALAM[[#This Row],[DEBIT]]),"")</f>
        <v/>
      </c>
      <c r="Y295" s="387"/>
    </row>
    <row r="296" ht="17.25" spans="1:25">
      <c r="A296" s="367">
        <v>41</v>
      </c>
      <c r="B296" s="368"/>
      <c r="C296" s="372"/>
      <c r="D296" s="369" t="str">
        <f>IFERROR(VLOOKUP(TRANSHARI11_ICECREAMPAGI[[#This Row],[PRODUK]],DATA_ICECREAM[],13,FALSE),"")</f>
        <v/>
      </c>
      <c r="E296" s="374"/>
      <c r="F296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6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6" s="12"/>
      <c r="I296" s="384" t="str">
        <f>IFERROR(IF(TRANSHARI11_ICECREAMPAGI[[#This Row],[NAMA REKENING]]="","",TRANSHARI11_ICECREAMPAGI[[#This Row],[DEBIT]]),"")</f>
        <v/>
      </c>
      <c r="J296" s="387"/>
      <c r="O296" s="324"/>
      <c r="P296" s="367">
        <v>41</v>
      </c>
      <c r="Q296" s="368"/>
      <c r="R296" s="372"/>
      <c r="S296" s="369" t="str">
        <f>IFERROR(VLOOKUP(TRANSHARI11_ICECREAMMALAM[[#This Row],[PRODUK]],DATA_ICECREAM[],13,FALSE),"")</f>
        <v/>
      </c>
      <c r="T296" s="374"/>
      <c r="U296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6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6" s="12"/>
      <c r="X296" s="384" t="str">
        <f>IFERROR(IF(TRANSHARI11_ICECREAMMALAM[[#This Row],[NAMA REKENING]]="","",TRANSHARI11_ICECREAMMALAM[[#This Row],[DEBIT]]),"")</f>
        <v/>
      </c>
      <c r="Y296" s="387"/>
    </row>
    <row r="297" spans="1:27">
      <c r="A297" s="367">
        <v>42</v>
      </c>
      <c r="B297" s="368"/>
      <c r="C297" s="372"/>
      <c r="D297" s="373" t="str">
        <f>IFERROR(VLOOKUP(TRANSHARI11_ICECREAMPAGI[[#This Row],[PRODUK]],DATA_ICECREAM[],13,FALSE),"")</f>
        <v/>
      </c>
      <c r="E297" s="374"/>
      <c r="F297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7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7" s="12"/>
      <c r="I297" s="386" t="str">
        <f>IFERROR(IF(TRANSHARI11_ICECREAMPAGI[[#This Row],[NAMA REKENING]]="","",TRANSHARI11_ICECREAMPAGI[[#This Row],[DEBIT]]),"")</f>
        <v/>
      </c>
      <c r="J297" s="387"/>
      <c r="O297" s="324"/>
      <c r="P297" s="367">
        <v>42</v>
      </c>
      <c r="Q297" s="368"/>
      <c r="R297" s="372"/>
      <c r="S297" s="373" t="str">
        <f>IFERROR(VLOOKUP(TRANSHARI11_ICECREAMMALAM[[#This Row],[PRODUK]],DATA_ICECREAM[],13,FALSE),"")</f>
        <v/>
      </c>
      <c r="T297" s="374"/>
      <c r="U297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7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7" s="12"/>
      <c r="X297" s="386" t="str">
        <f>IFERROR(IF(TRANSHARI11_ICECREAMMALAM[[#This Row],[NAMA REKENING]]="","",TRANSHARI11_ICECREAMMALAM[[#This Row],[DEBIT]]),"")</f>
        <v/>
      </c>
      <c r="Y297" s="387"/>
      <c r="Z297" s="302" t="s">
        <v>108</v>
      </c>
      <c r="AA297" s="316"/>
    </row>
    <row r="298" ht="17.25" spans="1:27">
      <c r="A298" s="367">
        <v>43</v>
      </c>
      <c r="B298" s="368"/>
      <c r="C298" s="372"/>
      <c r="D298" s="369" t="str">
        <f>IFERROR(VLOOKUP(TRANSHARI11_ICECREAMPAGI[[#This Row],[PRODUK]],DATA_ICECREAM[],13,FALSE),"")</f>
        <v/>
      </c>
      <c r="E298" s="374"/>
      <c r="F298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8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8" s="12"/>
      <c r="I298" s="384" t="str">
        <f>IFERROR(IF(TRANSHARI11_ICECREAMPAGI[[#This Row],[NAMA REKENING]]="","",TRANSHARI11_ICECREAMPAGI[[#This Row],[DEBIT]]),"")</f>
        <v/>
      </c>
      <c r="J298" s="387"/>
      <c r="O298" s="324"/>
      <c r="P298" s="367">
        <v>43</v>
      </c>
      <c r="Q298" s="368"/>
      <c r="R298" s="372"/>
      <c r="S298" s="369" t="str">
        <f>IFERROR(VLOOKUP(TRANSHARI11_ICECREAMMALAM[[#This Row],[PRODUK]],DATA_ICECREAM[],13,FALSE),"")</f>
        <v/>
      </c>
      <c r="T298" s="374"/>
      <c r="U298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8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8" s="12"/>
      <c r="X298" s="384" t="str">
        <f>IFERROR(IF(TRANSHARI11_ICECREAMMALAM[[#This Row],[NAMA REKENING]]="","",TRANSHARI11_ICECREAMMALAM[[#This Row],[DEBIT]]),"")</f>
        <v/>
      </c>
      <c r="Y298" s="387"/>
      <c r="Z298" s="306"/>
      <c r="AA298" s="321"/>
    </row>
    <row r="299" spans="1:27">
      <c r="A299" s="367">
        <v>44</v>
      </c>
      <c r="B299" s="368"/>
      <c r="C299" s="372"/>
      <c r="D299" s="373" t="str">
        <f>IFERROR(VLOOKUP(TRANSHARI11_ICECREAMPAGI[[#This Row],[PRODUK]],DATA_ICECREAM[],13,FALSE),"")</f>
        <v/>
      </c>
      <c r="E299" s="374"/>
      <c r="F299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299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299" s="12"/>
      <c r="I299" s="386" t="str">
        <f>IFERROR(IF(TRANSHARI11_ICECREAMPAGI[[#This Row],[NAMA REKENING]]="","",TRANSHARI11_ICECREAMPAGI[[#This Row],[DEBIT]]),"")</f>
        <v/>
      </c>
      <c r="J299" s="387"/>
      <c r="O299" s="324"/>
      <c r="P299" s="367">
        <v>44</v>
      </c>
      <c r="Q299" s="368"/>
      <c r="R299" s="372"/>
      <c r="S299" s="373" t="str">
        <f>IFERROR(VLOOKUP(TRANSHARI11_ICECREAMMALAM[[#This Row],[PRODUK]],DATA_ICECREAM[],13,FALSE),"")</f>
        <v/>
      </c>
      <c r="T299" s="374"/>
      <c r="U299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299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299" s="12"/>
      <c r="X299" s="386" t="str">
        <f>IFERROR(IF(TRANSHARI11_ICECREAMMALAM[[#This Row],[NAMA REKENING]]="","",TRANSHARI11_ICECREAMMALAM[[#This Row],[DEBIT]]),"")</f>
        <v/>
      </c>
      <c r="Y299" s="387"/>
      <c r="Z299" s="389">
        <f>U306+V306</f>
        <v>0</v>
      </c>
      <c r="AA299" s="390"/>
    </row>
    <row r="300" ht="17.25" spans="1:27">
      <c r="A300" s="367">
        <v>45</v>
      </c>
      <c r="B300" s="368"/>
      <c r="C300" s="372"/>
      <c r="D300" s="369" t="str">
        <f>IFERROR(VLOOKUP(TRANSHARI11_ICECREAMPAGI[[#This Row],[PRODUK]],DATA_ICECREAM[],13,FALSE),"")</f>
        <v/>
      </c>
      <c r="E300" s="374"/>
      <c r="F300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300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300" s="12"/>
      <c r="I300" s="384" t="str">
        <f>IFERROR(IF(TRANSHARI11_ICECREAMPAGI[[#This Row],[NAMA REKENING]]="","",TRANSHARI11_ICECREAMPAGI[[#This Row],[DEBIT]]),"")</f>
        <v/>
      </c>
      <c r="J300" s="387"/>
      <c r="O300" s="324"/>
      <c r="P300" s="367">
        <v>45</v>
      </c>
      <c r="Q300" s="368"/>
      <c r="R300" s="372"/>
      <c r="S300" s="369" t="str">
        <f>IFERROR(VLOOKUP(TRANSHARI11_ICECREAMMALAM[[#This Row],[PRODUK]],DATA_ICECREAM[],13,FALSE),"")</f>
        <v/>
      </c>
      <c r="T300" s="374"/>
      <c r="U300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300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300" s="12"/>
      <c r="X300" s="384" t="str">
        <f>IFERROR(IF(TRANSHARI11_ICECREAMMALAM[[#This Row],[NAMA REKENING]]="","",TRANSHARI11_ICECREAMMALAM[[#This Row],[DEBIT]]),"")</f>
        <v/>
      </c>
      <c r="Y300" s="387"/>
      <c r="Z300" s="391"/>
      <c r="AA300" s="392"/>
    </row>
    <row r="301" ht="17.25" spans="1:25">
      <c r="A301" s="367">
        <v>46</v>
      </c>
      <c r="B301" s="368"/>
      <c r="C301" s="372"/>
      <c r="D301" s="373" t="str">
        <f>IFERROR(VLOOKUP(TRANSHARI11_ICECREAMPAGI[[#This Row],[PRODUK]],DATA_ICECREAM[],13,FALSE),"")</f>
        <v/>
      </c>
      <c r="E301" s="374"/>
      <c r="F301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301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301" s="12"/>
      <c r="I301" s="386" t="str">
        <f>IFERROR(IF(TRANSHARI11_ICECREAMPAGI[[#This Row],[NAMA REKENING]]="","",TRANSHARI11_ICECREAMPAGI[[#This Row],[DEBIT]]),"")</f>
        <v/>
      </c>
      <c r="J301" s="387"/>
      <c r="O301" s="324"/>
      <c r="P301" s="367">
        <v>46</v>
      </c>
      <c r="Q301" s="368"/>
      <c r="R301" s="372"/>
      <c r="S301" s="373" t="str">
        <f>IFERROR(VLOOKUP(TRANSHARI11_ICECREAMMALAM[[#This Row],[PRODUK]],DATA_ICECREAM[],13,FALSE),"")</f>
        <v/>
      </c>
      <c r="T301" s="374"/>
      <c r="U301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301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301" s="12"/>
      <c r="X301" s="386" t="str">
        <f>IFERROR(IF(TRANSHARI11_ICECREAMMALAM[[#This Row],[NAMA REKENING]]="","",TRANSHARI11_ICECREAMMALAM[[#This Row],[DEBIT]]),"")</f>
        <v/>
      </c>
      <c r="Y301" s="387"/>
    </row>
    <row r="302" spans="1:27">
      <c r="A302" s="367">
        <v>47</v>
      </c>
      <c r="B302" s="368"/>
      <c r="C302" s="372"/>
      <c r="D302" s="369" t="str">
        <f>IFERROR(VLOOKUP(TRANSHARI11_ICECREAMPAGI[[#This Row],[PRODUK]],DATA_ICECREAM[],13,FALSE),"")</f>
        <v/>
      </c>
      <c r="E302" s="374"/>
      <c r="F302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302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302" s="12"/>
      <c r="I302" s="384" t="str">
        <f>IFERROR(IF(TRANSHARI11_ICECREAMPAGI[[#This Row],[NAMA REKENING]]="","",TRANSHARI11_ICECREAMPAGI[[#This Row],[DEBIT]]),"")</f>
        <v/>
      </c>
      <c r="J302" s="387"/>
      <c r="K302" s="302" t="s">
        <v>108</v>
      </c>
      <c r="L302" s="316"/>
      <c r="O302" s="324"/>
      <c r="P302" s="367">
        <v>47</v>
      </c>
      <c r="Q302" s="368"/>
      <c r="R302" s="372"/>
      <c r="S302" s="369" t="str">
        <f>IFERROR(VLOOKUP(TRANSHARI11_ICECREAMMALAM[[#This Row],[PRODUK]],DATA_ICECREAM[],13,FALSE),"")</f>
        <v/>
      </c>
      <c r="T302" s="374"/>
      <c r="U302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302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302" s="12"/>
      <c r="X302" s="384" t="str">
        <f>IFERROR(IF(TRANSHARI11_ICECREAMMALAM[[#This Row],[NAMA REKENING]]="","",TRANSHARI11_ICECREAMMALAM[[#This Row],[DEBIT]]),"")</f>
        <v/>
      </c>
      <c r="Y302" s="387"/>
      <c r="Z302" s="302" t="s">
        <v>109</v>
      </c>
      <c r="AA302" s="316"/>
    </row>
    <row r="303" ht="17.25" spans="1:27">
      <c r="A303" s="367">
        <v>48</v>
      </c>
      <c r="B303" s="368"/>
      <c r="C303" s="372"/>
      <c r="D303" s="373" t="str">
        <f>IFERROR(VLOOKUP(TRANSHARI11_ICECREAMPAGI[[#This Row],[PRODUK]],DATA_ICECREAM[],13,FALSE),"")</f>
        <v/>
      </c>
      <c r="E303" s="374"/>
      <c r="F303" s="373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303" s="373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303" s="12"/>
      <c r="I303" s="386" t="str">
        <f>IFERROR(IF(TRANSHARI11_ICECREAMPAGI[[#This Row],[NAMA REKENING]]="","",TRANSHARI11_ICECREAMPAGI[[#This Row],[DEBIT]]),"")</f>
        <v/>
      </c>
      <c r="J303" s="387"/>
      <c r="K303" s="306"/>
      <c r="L303" s="321"/>
      <c r="O303" s="324"/>
      <c r="P303" s="367">
        <v>48</v>
      </c>
      <c r="Q303" s="368"/>
      <c r="R303" s="372"/>
      <c r="S303" s="373" t="str">
        <f>IFERROR(VLOOKUP(TRANSHARI11_ICECREAMMALAM[[#This Row],[PRODUK]],DATA_ICECREAM[],13,FALSE),"")</f>
        <v/>
      </c>
      <c r="T303" s="374"/>
      <c r="U303" s="373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303" s="373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303" s="12"/>
      <c r="X303" s="386" t="str">
        <f>IFERROR(IF(TRANSHARI11_ICECREAMMALAM[[#This Row],[NAMA REKENING]]="","",TRANSHARI11_ICECREAMMALAM[[#This Row],[DEBIT]]),"")</f>
        <v/>
      </c>
      <c r="Y303" s="387"/>
      <c r="Z303" s="306"/>
      <c r="AA303" s="321"/>
    </row>
    <row r="304" spans="1:27">
      <c r="A304" s="367">
        <v>49</v>
      </c>
      <c r="B304" s="368"/>
      <c r="C304" s="372"/>
      <c r="D304" s="369" t="str">
        <f>IFERROR(VLOOKUP(TRANSHARI11_ICECREAMPAGI[[#This Row],[PRODUK]],DATA_ICECREAM[],13,FALSE),"")</f>
        <v/>
      </c>
      <c r="E304" s="374"/>
      <c r="F304" s="369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304" s="369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304" s="12"/>
      <c r="I304" s="384" t="str">
        <f>IFERROR(IF(TRANSHARI11_ICECREAMPAGI[[#This Row],[NAMA REKENING]]="","",TRANSHARI11_ICECREAMPAGI[[#This Row],[DEBIT]]),"")</f>
        <v/>
      </c>
      <c r="J304" s="387"/>
      <c r="K304" s="389">
        <f>F306+G306</f>
        <v>0</v>
      </c>
      <c r="L304" s="390"/>
      <c r="O304" s="324"/>
      <c r="P304" s="367">
        <v>49</v>
      </c>
      <c r="Q304" s="368"/>
      <c r="R304" s="372"/>
      <c r="S304" s="369" t="str">
        <f>IFERROR(VLOOKUP(TRANSHARI11_ICECREAMMALAM[[#This Row],[PRODUK]],DATA_ICECREAM[],13,FALSE),"")</f>
        <v/>
      </c>
      <c r="T304" s="374"/>
      <c r="U304" s="369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304" s="369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304" s="12"/>
      <c r="X304" s="384" t="str">
        <f>IFERROR(IF(TRANSHARI11_ICECREAMMALAM[[#This Row],[NAMA REKENING]]="","",TRANSHARI11_ICECREAMMALAM[[#This Row],[DEBIT]]),"")</f>
        <v/>
      </c>
      <c r="Y304" s="387"/>
      <c r="Z304" s="400">
        <f>K304+Z299</f>
        <v>0</v>
      </c>
      <c r="AA304" s="401"/>
    </row>
    <row r="305" ht="17.25" spans="1:27">
      <c r="A305" s="393">
        <v>50</v>
      </c>
      <c r="B305" s="368"/>
      <c r="C305" s="375"/>
      <c r="D305" s="394" t="str">
        <f>IFERROR(VLOOKUP(TRANSHARI11_ICECREAMPAGI[[#This Row],[PRODUK]],DATA_ICECREAM[],13,FALSE),"")</f>
        <v/>
      </c>
      <c r="E305" s="376"/>
      <c r="F305" s="394" t="str">
        <f>IFERROR(IF(TRANSHARI11_ICECREAMPAGI[[#This Row],[NAMA PENGHUTANG]]="",((TRANSHARI11_ICECREAMPAGI[[#This Row],[HARGA]]*TRANSHARI11_ICECREAMPAGI[[#This Row],[QUANTITY]])+TRANSHARI11_ICECREAMPAGI[[#This Row],[PRICE TOLERANCE]]),""),"")</f>
        <v/>
      </c>
      <c r="G305" s="394" t="str">
        <f>IFERROR(IF(TRANSHARI11_ICECREAMPAGI[[#This Row],[NAMA PENGHUTANG]]="","",((TRANSHARI11_ICECREAMPAGI[[#This Row],[HARGA]]*TRANSHARI11_ICECREAMPAGI[[#This Row],[QUANTITY]])+TRANSHARI11_ICECREAMPAGI[[#This Row],[PRICE TOLERANCE]])),"")</f>
        <v/>
      </c>
      <c r="H305" s="377"/>
      <c r="I305" s="399" t="str">
        <f>IFERROR(IF(TRANSHARI11_ICECREAMPAGI[[#This Row],[NAMA REKENING]]="","",TRANSHARI11_ICECREAMPAGI[[#This Row],[DEBIT]]),"")</f>
        <v/>
      </c>
      <c r="J305" s="388"/>
      <c r="K305" s="391"/>
      <c r="L305" s="392"/>
      <c r="O305" s="324"/>
      <c r="P305" s="393">
        <v>50</v>
      </c>
      <c r="Q305" s="368"/>
      <c r="R305" s="375"/>
      <c r="S305" s="394" t="str">
        <f>IFERROR(VLOOKUP(TRANSHARI11_ICECREAMMALAM[[#This Row],[PRODUK]],DATA_ICECREAM[],13,FALSE),"")</f>
        <v/>
      </c>
      <c r="T305" s="376"/>
      <c r="U305" s="394" t="str">
        <f>IFERROR(IF(TRANSHARI11_ICECREAMMALAM[[#This Row],[NAMA PENGHUTANG]]="",((TRANSHARI11_ICECREAMMALAM[[#This Row],[HARGA]]*TRANSHARI11_ICECREAMMALAM[[#This Row],[QUANTITY]])+TRANSHARI11_ICECREAMMALAM[[#This Row],[PRICE TOLERANCE]]),""),"")</f>
        <v/>
      </c>
      <c r="V305" s="394" t="str">
        <f>IFERROR(IF(TRANSHARI11_ICECREAMMALAM[[#This Row],[NAMA PENGHUTANG]]="","",((TRANSHARI11_ICECREAMMALAM[[#This Row],[HARGA]]*TRANSHARI11_ICECREAMMALAM[[#This Row],[QUANTITY]])+TRANSHARI11_ICECREAMMALAM[[#This Row],[PRICE TOLERANCE]])),"")</f>
        <v/>
      </c>
      <c r="W305" s="377"/>
      <c r="X305" s="399" t="str">
        <f>IFERROR(IF(TRANSHARI11_ICECREAMMALAM[[#This Row],[NAMA REKENING]]="","",TRANSHARI11_ICECREAMMALAM[[#This Row],[DEBIT]]),"")</f>
        <v/>
      </c>
      <c r="Y305" s="388"/>
      <c r="Z305" s="402"/>
      <c r="AA305" s="403"/>
    </row>
    <row r="306" spans="1:24">
      <c r="A306" s="302" t="s">
        <v>78</v>
      </c>
      <c r="B306" s="316"/>
      <c r="C306" s="395">
        <f>SUM(TRANSHARI11_ICECREAMPAGI[QUANTITY])</f>
        <v>0</v>
      </c>
      <c r="E306" s="398">
        <f>SUM(TRANSHARI11_ICECREAMPAGI[PRICE TOLERANCE])</f>
        <v>0</v>
      </c>
      <c r="F306" s="396">
        <f>SUM(TRANSHARI11_ICECREAMPAGI[DEBIT])</f>
        <v>0</v>
      </c>
      <c r="G306" s="396">
        <f>SUM(TRANSHARI11_ICECREAMPAGI[KREDIT])</f>
        <v>0</v>
      </c>
      <c r="I306" s="396">
        <f>SUM(TRANSHARI11_ICECREAMPAGI[NOMINAL TRANSFER])</f>
        <v>0</v>
      </c>
      <c r="O306" s="324"/>
      <c r="P306" s="303" t="s">
        <v>78</v>
      </c>
      <c r="Q306" s="316"/>
      <c r="R306" s="395">
        <f>SUM(TRANSHARI11_ICECREAMMALAM[QUANTITY])</f>
        <v>0</v>
      </c>
      <c r="T306" s="398">
        <f>SUM(TRANSHARI11_ICECREAMMALAM[PRICE TOLERANCE])</f>
        <v>0</v>
      </c>
      <c r="U306" s="396">
        <f>SUM(TRANSHARI11_ICECREAMMALAM[DEBIT])</f>
        <v>0</v>
      </c>
      <c r="V306" s="396">
        <f>SUM(TRANSHARI11_ICECREAMMALAM[KREDIT])</f>
        <v>0</v>
      </c>
      <c r="X306" s="396">
        <f>SUM(TRANSHARI11_ICECREAMMALAM[NOMINAL TRANSFER])</f>
        <v>0</v>
      </c>
    </row>
    <row r="307" ht="17.25" spans="1:24">
      <c r="A307" s="306"/>
      <c r="B307" s="321"/>
      <c r="C307" s="397"/>
      <c r="E307" s="404"/>
      <c r="F307" s="397"/>
      <c r="G307" s="397"/>
      <c r="I307" s="397"/>
      <c r="O307" s="324"/>
      <c r="P307" s="307"/>
      <c r="Q307" s="321"/>
      <c r="R307" s="397"/>
      <c r="T307" s="404"/>
      <c r="U307" s="397"/>
      <c r="V307" s="397"/>
      <c r="X307" s="397"/>
    </row>
    <row r="308" spans="15:15">
      <c r="O308" s="324"/>
    </row>
    <row r="309" ht="17.25" spans="15:15">
      <c r="O309" s="324"/>
    </row>
    <row r="310" spans="1:25">
      <c r="A310" s="300" t="str">
        <f>A25</f>
        <v>HARI 11 : PAGI</v>
      </c>
      <c r="B310" s="301"/>
      <c r="C310" s="302" t="s">
        <v>110</v>
      </c>
      <c r="D310" s="303"/>
      <c r="E310" s="303"/>
      <c r="F310" s="303"/>
      <c r="G310" s="303"/>
      <c r="H310" s="303"/>
      <c r="I310" s="303"/>
      <c r="J310" s="316"/>
      <c r="O310" s="324"/>
      <c r="P310" s="320" t="str">
        <f>P25</f>
        <v>HARI 11 : MALAM</v>
      </c>
      <c r="Q310" s="301"/>
      <c r="R310" s="302" t="s">
        <v>110</v>
      </c>
      <c r="S310" s="303"/>
      <c r="T310" s="303"/>
      <c r="U310" s="303"/>
      <c r="V310" s="303"/>
      <c r="W310" s="303"/>
      <c r="X310" s="303"/>
      <c r="Y310" s="316"/>
    </row>
    <row r="311" spans="1:25">
      <c r="A311" s="304"/>
      <c r="B311" s="305"/>
      <c r="C311" s="364"/>
      <c r="D311" s="162"/>
      <c r="E311" s="162"/>
      <c r="F311" s="162"/>
      <c r="G311" s="162"/>
      <c r="H311" s="162"/>
      <c r="I311" s="162"/>
      <c r="J311" s="382"/>
      <c r="O311" s="324"/>
      <c r="P311" s="325"/>
      <c r="Q311" s="305"/>
      <c r="R311" s="364"/>
      <c r="S311" s="162"/>
      <c r="T311" s="162"/>
      <c r="U311" s="162"/>
      <c r="V311" s="162"/>
      <c r="W311" s="162"/>
      <c r="X311" s="162"/>
      <c r="Y311" s="382"/>
    </row>
    <row r="312" spans="1:25">
      <c r="A312" s="365" t="s">
        <v>14</v>
      </c>
      <c r="B312" s="366" t="s">
        <v>66</v>
      </c>
      <c r="C312" s="366" t="s">
        <v>67</v>
      </c>
      <c r="D312" s="366" t="s">
        <v>68</v>
      </c>
      <c r="E312" s="366" t="s">
        <v>69</v>
      </c>
      <c r="F312" s="366" t="s">
        <v>16</v>
      </c>
      <c r="G312" s="366" t="s">
        <v>17</v>
      </c>
      <c r="H312" s="366" t="s">
        <v>18</v>
      </c>
      <c r="I312" s="366" t="s">
        <v>21</v>
      </c>
      <c r="J312" s="383" t="s">
        <v>22</v>
      </c>
      <c r="O312" s="324"/>
      <c r="P312" s="365" t="s">
        <v>14</v>
      </c>
      <c r="Q312" s="366" t="s">
        <v>66</v>
      </c>
      <c r="R312" s="366" t="s">
        <v>67</v>
      </c>
      <c r="S312" s="366" t="s">
        <v>68</v>
      </c>
      <c r="T312" s="366" t="s">
        <v>69</v>
      </c>
      <c r="U312" s="366" t="s">
        <v>16</v>
      </c>
      <c r="V312" s="366" t="s">
        <v>17</v>
      </c>
      <c r="W312" s="366" t="s">
        <v>18</v>
      </c>
      <c r="X312" s="366" t="s">
        <v>21</v>
      </c>
      <c r="Y312" s="383" t="s">
        <v>22</v>
      </c>
    </row>
    <row r="313" spans="1:25">
      <c r="A313" s="367">
        <v>1</v>
      </c>
      <c r="B313" s="368"/>
      <c r="C313" s="368"/>
      <c r="D313" s="369" t="str">
        <f>IFERROR(VLOOKUP(TRANSHARI11_ACCPAGI[[#This Row],[PRODUK]],DATA_ACC[],13,FALSE),"")</f>
        <v/>
      </c>
      <c r="E313" s="370"/>
      <c r="F313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13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13" s="371"/>
      <c r="I313" s="384" t="str">
        <f>IFERROR(IF(TRANSHARI11_ACCPAGI[[#This Row],[NAMA REKENING]]="","",TRANSHARI11_ACCPAGI[[#This Row],[DEBIT]]),"")</f>
        <v/>
      </c>
      <c r="J313" s="385"/>
      <c r="O313" s="324"/>
      <c r="P313" s="367">
        <v>1</v>
      </c>
      <c r="Q313" s="368"/>
      <c r="R313" s="368"/>
      <c r="S313" s="369" t="str">
        <f>IFERROR(VLOOKUP(TRANSHARI11_ACCMALAM[[#This Row],[PRODUK]],DATA_ACC[],13,FALSE),"")</f>
        <v/>
      </c>
      <c r="T313" s="370"/>
      <c r="U313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13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13" s="371"/>
      <c r="X313" s="384" t="str">
        <f>IFERROR(IF(TRANSHARI11_ACCMALAM[[#This Row],[NAMA REKENING]]="","",TRANSHARI11_ACCMALAM[[#This Row],[DEBIT]]),"")</f>
        <v/>
      </c>
      <c r="Y313" s="385"/>
    </row>
    <row r="314" spans="1:25">
      <c r="A314" s="367">
        <v>2</v>
      </c>
      <c r="B314" s="368"/>
      <c r="C314" s="372"/>
      <c r="D314" s="373" t="str">
        <f>IFERROR(VLOOKUP(TRANSHARI11_ACCPAGI[[#This Row],[PRODUK]],DATA_ACC[],13,FALSE),"")</f>
        <v/>
      </c>
      <c r="E314" s="374"/>
      <c r="F314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14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14" s="12"/>
      <c r="I314" s="386" t="str">
        <f>IFERROR(IF(TRANSHARI11_ACCPAGI[[#This Row],[NAMA REKENING]]="","",TRANSHARI11_ACCPAGI[[#This Row],[DEBIT]]),"")</f>
        <v/>
      </c>
      <c r="J314" s="387"/>
      <c r="O314" s="324"/>
      <c r="P314" s="367">
        <v>2</v>
      </c>
      <c r="Q314" s="368"/>
      <c r="R314" s="372"/>
      <c r="S314" s="373" t="str">
        <f>IFERROR(VLOOKUP(TRANSHARI11_ACCMALAM[[#This Row],[PRODUK]],DATA_ACC[],13,FALSE),"")</f>
        <v/>
      </c>
      <c r="T314" s="374"/>
      <c r="U314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14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14" s="12"/>
      <c r="X314" s="386" t="str">
        <f>IFERROR(IF(TRANSHARI11_ACCMALAM[[#This Row],[NAMA REKENING]]="","",TRANSHARI11_ACCMALAM[[#This Row],[DEBIT]]),"")</f>
        <v/>
      </c>
      <c r="Y314" s="387"/>
    </row>
    <row r="315" spans="1:25">
      <c r="A315" s="367">
        <v>3</v>
      </c>
      <c r="B315" s="368"/>
      <c r="C315" s="372"/>
      <c r="D315" s="369" t="str">
        <f>IFERROR(VLOOKUP(TRANSHARI11_ACCPAGI[[#This Row],[PRODUK]],DATA_ACC[],13,FALSE),"")</f>
        <v/>
      </c>
      <c r="E315" s="374"/>
      <c r="F315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15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15" s="12"/>
      <c r="I315" s="384" t="str">
        <f>IFERROR(IF(TRANSHARI11_ACCPAGI[[#This Row],[NAMA REKENING]]="","",TRANSHARI11_ACCPAGI[[#This Row],[DEBIT]]),"")</f>
        <v/>
      </c>
      <c r="J315" s="387"/>
      <c r="O315" s="324"/>
      <c r="P315" s="367">
        <v>3</v>
      </c>
      <c r="Q315" s="368"/>
      <c r="R315" s="372"/>
      <c r="S315" s="369" t="str">
        <f>IFERROR(VLOOKUP(TRANSHARI11_ACCMALAM[[#This Row],[PRODUK]],DATA_ACC[],13,FALSE),"")</f>
        <v/>
      </c>
      <c r="T315" s="374"/>
      <c r="U315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15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15" s="12"/>
      <c r="X315" s="384" t="str">
        <f>IFERROR(IF(TRANSHARI11_ACCMALAM[[#This Row],[NAMA REKENING]]="","",TRANSHARI11_ACCMALAM[[#This Row],[DEBIT]]),"")</f>
        <v/>
      </c>
      <c r="Y315" s="387"/>
    </row>
    <row r="316" spans="1:25">
      <c r="A316" s="367">
        <v>4</v>
      </c>
      <c r="B316" s="368"/>
      <c r="C316" s="372"/>
      <c r="D316" s="373" t="str">
        <f>IFERROR(VLOOKUP(TRANSHARI11_ACCPAGI[[#This Row],[PRODUK]],DATA_ACC[],13,FALSE),"")</f>
        <v/>
      </c>
      <c r="E316" s="374"/>
      <c r="F316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16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16" s="12"/>
      <c r="I316" s="386" t="str">
        <f>IFERROR(IF(TRANSHARI11_ACCPAGI[[#This Row],[NAMA REKENING]]="","",TRANSHARI11_ACCPAGI[[#This Row],[DEBIT]]),"")</f>
        <v/>
      </c>
      <c r="J316" s="387"/>
      <c r="O316" s="324"/>
      <c r="P316" s="367">
        <v>4</v>
      </c>
      <c r="Q316" s="368"/>
      <c r="R316" s="372"/>
      <c r="S316" s="373" t="str">
        <f>IFERROR(VLOOKUP(TRANSHARI11_ACCMALAM[[#This Row],[PRODUK]],DATA_ACC[],13,FALSE),"")</f>
        <v/>
      </c>
      <c r="T316" s="374"/>
      <c r="U316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16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16" s="12"/>
      <c r="X316" s="386" t="str">
        <f>IFERROR(IF(TRANSHARI11_ACCMALAM[[#This Row],[NAMA REKENING]]="","",TRANSHARI11_ACCMALAM[[#This Row],[DEBIT]]),"")</f>
        <v/>
      </c>
      <c r="Y316" s="387"/>
    </row>
    <row r="317" spans="1:25">
      <c r="A317" s="367">
        <v>5</v>
      </c>
      <c r="B317" s="368"/>
      <c r="C317" s="372"/>
      <c r="D317" s="369" t="str">
        <f>IFERROR(VLOOKUP(TRANSHARI11_ACCPAGI[[#This Row],[PRODUK]],DATA_ACC[],13,FALSE),"")</f>
        <v/>
      </c>
      <c r="E317" s="374"/>
      <c r="F317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17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17" s="12"/>
      <c r="I317" s="384" t="str">
        <f>IFERROR(IF(TRANSHARI11_ACCPAGI[[#This Row],[NAMA REKENING]]="","",TRANSHARI11_ACCPAGI[[#This Row],[DEBIT]]),"")</f>
        <v/>
      </c>
      <c r="J317" s="387"/>
      <c r="O317" s="324"/>
      <c r="P317" s="367">
        <v>5</v>
      </c>
      <c r="Q317" s="368"/>
      <c r="R317" s="372"/>
      <c r="S317" s="369" t="str">
        <f>IFERROR(VLOOKUP(TRANSHARI11_ACCMALAM[[#This Row],[PRODUK]],DATA_ACC[],13,FALSE),"")</f>
        <v/>
      </c>
      <c r="T317" s="374"/>
      <c r="U317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17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17" s="12"/>
      <c r="X317" s="384" t="str">
        <f>IFERROR(IF(TRANSHARI11_ACCMALAM[[#This Row],[NAMA REKENING]]="","",TRANSHARI11_ACCMALAM[[#This Row],[DEBIT]]),"")</f>
        <v/>
      </c>
      <c r="Y317" s="387"/>
    </row>
    <row r="318" spans="1:25">
      <c r="A318" s="367">
        <v>6</v>
      </c>
      <c r="B318" s="368"/>
      <c r="C318" s="372"/>
      <c r="D318" s="373" t="str">
        <f>IFERROR(VLOOKUP(TRANSHARI11_ACCPAGI[[#This Row],[PRODUK]],DATA_ACC[],13,FALSE),"")</f>
        <v/>
      </c>
      <c r="E318" s="374"/>
      <c r="F318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18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18" s="12"/>
      <c r="I318" s="386" t="str">
        <f>IFERROR(IF(TRANSHARI11_ACCPAGI[[#This Row],[NAMA REKENING]]="","",TRANSHARI11_ACCPAGI[[#This Row],[DEBIT]]),"")</f>
        <v/>
      </c>
      <c r="J318" s="387"/>
      <c r="O318" s="324"/>
      <c r="P318" s="367">
        <v>6</v>
      </c>
      <c r="Q318" s="368"/>
      <c r="R318" s="372"/>
      <c r="S318" s="373" t="str">
        <f>IFERROR(VLOOKUP(TRANSHARI11_ACCMALAM[[#This Row],[PRODUK]],DATA_ACC[],13,FALSE),"")</f>
        <v/>
      </c>
      <c r="T318" s="374"/>
      <c r="U318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18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18" s="12"/>
      <c r="X318" s="386" t="str">
        <f>IFERROR(IF(TRANSHARI11_ACCMALAM[[#This Row],[NAMA REKENING]]="","",TRANSHARI11_ACCMALAM[[#This Row],[DEBIT]]),"")</f>
        <v/>
      </c>
      <c r="Y318" s="387"/>
    </row>
    <row r="319" spans="1:25">
      <c r="A319" s="367">
        <v>7</v>
      </c>
      <c r="B319" s="368"/>
      <c r="C319" s="372"/>
      <c r="D319" s="369" t="str">
        <f>IFERROR(VLOOKUP(TRANSHARI11_ACCPAGI[[#This Row],[PRODUK]],DATA_ACC[],13,FALSE),"")</f>
        <v/>
      </c>
      <c r="E319" s="374"/>
      <c r="F319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19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19" s="12"/>
      <c r="I319" s="384" t="str">
        <f>IFERROR(IF(TRANSHARI11_ACCPAGI[[#This Row],[NAMA REKENING]]="","",TRANSHARI11_ACCPAGI[[#This Row],[DEBIT]]),"")</f>
        <v/>
      </c>
      <c r="J319" s="387"/>
      <c r="O319" s="324"/>
      <c r="P319" s="367">
        <v>7</v>
      </c>
      <c r="Q319" s="368"/>
      <c r="R319" s="372"/>
      <c r="S319" s="369" t="str">
        <f>IFERROR(VLOOKUP(TRANSHARI11_ACCMALAM[[#This Row],[PRODUK]],DATA_ACC[],13,FALSE),"")</f>
        <v/>
      </c>
      <c r="T319" s="374"/>
      <c r="U319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19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19" s="12"/>
      <c r="X319" s="384" t="str">
        <f>IFERROR(IF(TRANSHARI11_ACCMALAM[[#This Row],[NAMA REKENING]]="","",TRANSHARI11_ACCMALAM[[#This Row],[DEBIT]]),"")</f>
        <v/>
      </c>
      <c r="Y319" s="387"/>
    </row>
    <row r="320" spans="1:25">
      <c r="A320" s="367">
        <v>8</v>
      </c>
      <c r="B320" s="368"/>
      <c r="C320" s="372"/>
      <c r="D320" s="373" t="str">
        <f>IFERROR(VLOOKUP(TRANSHARI11_ACCPAGI[[#This Row],[PRODUK]],DATA_ACC[],13,FALSE),"")</f>
        <v/>
      </c>
      <c r="E320" s="374"/>
      <c r="F320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20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20" s="12"/>
      <c r="I320" s="386" t="str">
        <f>IFERROR(IF(TRANSHARI11_ACCPAGI[[#This Row],[NAMA REKENING]]="","",TRANSHARI11_ACCPAGI[[#This Row],[DEBIT]]),"")</f>
        <v/>
      </c>
      <c r="J320" s="387"/>
      <c r="O320" s="324"/>
      <c r="P320" s="367">
        <v>8</v>
      </c>
      <c r="Q320" s="368"/>
      <c r="R320" s="372"/>
      <c r="S320" s="373" t="str">
        <f>IFERROR(VLOOKUP(TRANSHARI11_ACCMALAM[[#This Row],[PRODUK]],DATA_ACC[],13,FALSE),"")</f>
        <v/>
      </c>
      <c r="T320" s="374"/>
      <c r="U320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0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0" s="12"/>
      <c r="X320" s="386" t="str">
        <f>IFERROR(IF(TRANSHARI11_ACCMALAM[[#This Row],[NAMA REKENING]]="","",TRANSHARI11_ACCMALAM[[#This Row],[DEBIT]]),"")</f>
        <v/>
      </c>
      <c r="Y320" s="387"/>
    </row>
    <row r="321" spans="1:25">
      <c r="A321" s="367">
        <v>9</v>
      </c>
      <c r="B321" s="368"/>
      <c r="C321" s="372"/>
      <c r="D321" s="369" t="str">
        <f>IFERROR(VLOOKUP(TRANSHARI11_ACCPAGI[[#This Row],[PRODUK]],DATA_ACC[],13,FALSE),"")</f>
        <v/>
      </c>
      <c r="E321" s="374"/>
      <c r="F321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21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21" s="12"/>
      <c r="I321" s="384" t="str">
        <f>IFERROR(IF(TRANSHARI11_ACCPAGI[[#This Row],[NAMA REKENING]]="","",TRANSHARI11_ACCPAGI[[#This Row],[DEBIT]]),"")</f>
        <v/>
      </c>
      <c r="J321" s="387"/>
      <c r="O321" s="324"/>
      <c r="P321" s="367">
        <v>9</v>
      </c>
      <c r="Q321" s="368"/>
      <c r="R321" s="372"/>
      <c r="S321" s="369" t="str">
        <f>IFERROR(VLOOKUP(TRANSHARI11_ACCMALAM[[#This Row],[PRODUK]],DATA_ACC[],13,FALSE),"")</f>
        <v/>
      </c>
      <c r="T321" s="374"/>
      <c r="U321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1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1" s="12"/>
      <c r="X321" s="384" t="str">
        <f>IFERROR(IF(TRANSHARI11_ACCMALAM[[#This Row],[NAMA REKENING]]="","",TRANSHARI11_ACCMALAM[[#This Row],[DEBIT]]),"")</f>
        <v/>
      </c>
      <c r="Y321" s="387"/>
    </row>
    <row r="322" spans="1:25">
      <c r="A322" s="367">
        <v>10</v>
      </c>
      <c r="B322" s="368"/>
      <c r="C322" s="372"/>
      <c r="D322" s="373" t="str">
        <f>IFERROR(VLOOKUP(TRANSHARI11_ACCPAGI[[#This Row],[PRODUK]],DATA_ACC[],13,FALSE),"")</f>
        <v/>
      </c>
      <c r="E322" s="374"/>
      <c r="F322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22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22" s="12"/>
      <c r="I322" s="386" t="str">
        <f>IFERROR(IF(TRANSHARI11_ACCPAGI[[#This Row],[NAMA REKENING]]="","",TRANSHARI11_ACCPAGI[[#This Row],[DEBIT]]),"")</f>
        <v/>
      </c>
      <c r="J322" s="387"/>
      <c r="O322" s="324"/>
      <c r="P322" s="367">
        <v>10</v>
      </c>
      <c r="Q322" s="368"/>
      <c r="R322" s="372"/>
      <c r="S322" s="373" t="str">
        <f>IFERROR(VLOOKUP(TRANSHARI11_ACCMALAM[[#This Row],[PRODUK]],DATA_ACC[],13,FALSE),"")</f>
        <v/>
      </c>
      <c r="T322" s="374"/>
      <c r="U322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2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2" s="12"/>
      <c r="X322" s="386" t="str">
        <f>IFERROR(IF(TRANSHARI11_ACCMALAM[[#This Row],[NAMA REKENING]]="","",TRANSHARI11_ACCMALAM[[#This Row],[DEBIT]]),"")</f>
        <v/>
      </c>
      <c r="Y322" s="387"/>
    </row>
    <row r="323" spans="1:25">
      <c r="A323" s="367">
        <v>11</v>
      </c>
      <c r="B323" s="368"/>
      <c r="C323" s="372"/>
      <c r="D323" s="369" t="str">
        <f>IFERROR(VLOOKUP(TRANSHARI11_ACCPAGI[[#This Row],[PRODUK]],DATA_ACC[],13,FALSE),"")</f>
        <v/>
      </c>
      <c r="E323" s="374"/>
      <c r="F323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23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23" s="12"/>
      <c r="I323" s="384" t="str">
        <f>IFERROR(IF(TRANSHARI11_ACCPAGI[[#This Row],[NAMA REKENING]]="","",TRANSHARI11_ACCPAGI[[#This Row],[DEBIT]]),"")</f>
        <v/>
      </c>
      <c r="J323" s="387"/>
      <c r="O323" s="324"/>
      <c r="P323" s="367">
        <v>11</v>
      </c>
      <c r="Q323" s="368"/>
      <c r="R323" s="372"/>
      <c r="S323" s="369" t="str">
        <f>IFERROR(VLOOKUP(TRANSHARI11_ACCMALAM[[#This Row],[PRODUK]],DATA_ACC[],13,FALSE),"")</f>
        <v/>
      </c>
      <c r="T323" s="374"/>
      <c r="U323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3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3" s="12"/>
      <c r="X323" s="384" t="str">
        <f>IFERROR(IF(TRANSHARI11_ACCMALAM[[#This Row],[NAMA REKENING]]="","",TRANSHARI11_ACCMALAM[[#This Row],[DEBIT]]),"")</f>
        <v/>
      </c>
      <c r="Y323" s="387"/>
    </row>
    <row r="324" spans="1:25">
      <c r="A324" s="367">
        <v>12</v>
      </c>
      <c r="B324" s="368"/>
      <c r="C324" s="372"/>
      <c r="D324" s="373" t="str">
        <f>IFERROR(VLOOKUP(TRANSHARI11_ACCPAGI[[#This Row],[PRODUK]],DATA_ACC[],13,FALSE),"")</f>
        <v/>
      </c>
      <c r="E324" s="374"/>
      <c r="F324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24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24" s="12"/>
      <c r="I324" s="386" t="str">
        <f>IFERROR(IF(TRANSHARI11_ACCPAGI[[#This Row],[NAMA REKENING]]="","",TRANSHARI11_ACCPAGI[[#This Row],[DEBIT]]),"")</f>
        <v/>
      </c>
      <c r="J324" s="387"/>
      <c r="O324" s="324"/>
      <c r="P324" s="367">
        <v>12</v>
      </c>
      <c r="Q324" s="368"/>
      <c r="R324" s="372"/>
      <c r="S324" s="373" t="str">
        <f>IFERROR(VLOOKUP(TRANSHARI11_ACCMALAM[[#This Row],[PRODUK]],DATA_ACC[],13,FALSE),"")</f>
        <v/>
      </c>
      <c r="T324" s="374"/>
      <c r="U324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4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4" s="12"/>
      <c r="X324" s="386" t="str">
        <f>IFERROR(IF(TRANSHARI11_ACCMALAM[[#This Row],[NAMA REKENING]]="","",TRANSHARI11_ACCMALAM[[#This Row],[DEBIT]]),"")</f>
        <v/>
      </c>
      <c r="Y324" s="387"/>
    </row>
    <row r="325" spans="1:25">
      <c r="A325" s="367">
        <v>13</v>
      </c>
      <c r="B325" s="368"/>
      <c r="C325" s="372"/>
      <c r="D325" s="369" t="str">
        <f>IFERROR(VLOOKUP(TRANSHARI11_ACCPAGI[[#This Row],[PRODUK]],DATA_ACC[],13,FALSE),"")</f>
        <v/>
      </c>
      <c r="E325" s="374"/>
      <c r="F325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25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25" s="12"/>
      <c r="I325" s="384" t="str">
        <f>IFERROR(IF(TRANSHARI11_ACCPAGI[[#This Row],[NAMA REKENING]]="","",TRANSHARI11_ACCPAGI[[#This Row],[DEBIT]]),"")</f>
        <v/>
      </c>
      <c r="J325" s="387"/>
      <c r="O325" s="324"/>
      <c r="P325" s="367">
        <v>13</v>
      </c>
      <c r="Q325" s="368"/>
      <c r="R325" s="372"/>
      <c r="S325" s="369" t="str">
        <f>IFERROR(VLOOKUP(TRANSHARI11_ACCMALAM[[#This Row],[PRODUK]],DATA_ACC[],13,FALSE),"")</f>
        <v/>
      </c>
      <c r="T325" s="374"/>
      <c r="U325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5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5" s="12"/>
      <c r="X325" s="384" t="str">
        <f>IFERROR(IF(TRANSHARI11_ACCMALAM[[#This Row],[NAMA REKENING]]="","",TRANSHARI11_ACCMALAM[[#This Row],[DEBIT]]),"")</f>
        <v/>
      </c>
      <c r="Y325" s="387"/>
    </row>
    <row r="326" spans="1:25">
      <c r="A326" s="367">
        <v>14</v>
      </c>
      <c r="B326" s="368"/>
      <c r="C326" s="372"/>
      <c r="D326" s="373" t="str">
        <f>IFERROR(VLOOKUP(TRANSHARI11_ACCPAGI[[#This Row],[PRODUK]],DATA_ACC[],13,FALSE),"")</f>
        <v/>
      </c>
      <c r="E326" s="374"/>
      <c r="F326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26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26" s="12"/>
      <c r="I326" s="386" t="str">
        <f>IFERROR(IF(TRANSHARI11_ACCPAGI[[#This Row],[NAMA REKENING]]="","",TRANSHARI11_ACCPAGI[[#This Row],[DEBIT]]),"")</f>
        <v/>
      </c>
      <c r="J326" s="387"/>
      <c r="O326" s="324"/>
      <c r="P326" s="367">
        <v>14</v>
      </c>
      <c r="Q326" s="368"/>
      <c r="R326" s="372"/>
      <c r="S326" s="373" t="str">
        <f>IFERROR(VLOOKUP(TRANSHARI11_ACCMALAM[[#This Row],[PRODUK]],DATA_ACC[],13,FALSE),"")</f>
        <v/>
      </c>
      <c r="T326" s="374"/>
      <c r="U326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6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6" s="12"/>
      <c r="X326" s="386" t="str">
        <f>IFERROR(IF(TRANSHARI11_ACCMALAM[[#This Row],[NAMA REKENING]]="","",TRANSHARI11_ACCMALAM[[#This Row],[DEBIT]]),"")</f>
        <v/>
      </c>
      <c r="Y326" s="387"/>
    </row>
    <row r="327" spans="1:25">
      <c r="A327" s="367">
        <v>15</v>
      </c>
      <c r="B327" s="368"/>
      <c r="C327" s="372"/>
      <c r="D327" s="369" t="str">
        <f>IFERROR(VLOOKUP(TRANSHARI11_ACCPAGI[[#This Row],[PRODUK]],DATA_ACC[],13,FALSE),"")</f>
        <v/>
      </c>
      <c r="E327" s="374"/>
      <c r="F327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27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27" s="12"/>
      <c r="I327" s="384" t="str">
        <f>IFERROR(IF(TRANSHARI11_ACCPAGI[[#This Row],[NAMA REKENING]]="","",TRANSHARI11_ACCPAGI[[#This Row],[DEBIT]]),"")</f>
        <v/>
      </c>
      <c r="J327" s="387"/>
      <c r="O327" s="324"/>
      <c r="P327" s="367">
        <v>15</v>
      </c>
      <c r="Q327" s="368"/>
      <c r="R327" s="372"/>
      <c r="S327" s="369" t="str">
        <f>IFERROR(VLOOKUP(TRANSHARI11_ACCMALAM[[#This Row],[PRODUK]],DATA_ACC[],13,FALSE),"")</f>
        <v/>
      </c>
      <c r="T327" s="374"/>
      <c r="U327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7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7" s="12"/>
      <c r="X327" s="384" t="str">
        <f>IFERROR(IF(TRANSHARI11_ACCMALAM[[#This Row],[NAMA REKENING]]="","",TRANSHARI11_ACCMALAM[[#This Row],[DEBIT]]),"")</f>
        <v/>
      </c>
      <c r="Y327" s="387"/>
    </row>
    <row r="328" spans="1:25">
      <c r="A328" s="367">
        <v>16</v>
      </c>
      <c r="B328" s="368"/>
      <c r="C328" s="372"/>
      <c r="D328" s="373" t="str">
        <f>IFERROR(VLOOKUP(TRANSHARI11_ACCPAGI[[#This Row],[PRODUK]],DATA_ACC[],13,FALSE),"")</f>
        <v/>
      </c>
      <c r="E328" s="374"/>
      <c r="F328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28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28" s="12"/>
      <c r="I328" s="386" t="str">
        <f>IFERROR(IF(TRANSHARI11_ACCPAGI[[#This Row],[NAMA REKENING]]="","",TRANSHARI11_ACCPAGI[[#This Row],[DEBIT]]),"")</f>
        <v/>
      </c>
      <c r="J328" s="387"/>
      <c r="O328" s="324"/>
      <c r="P328" s="367">
        <v>16</v>
      </c>
      <c r="Q328" s="368"/>
      <c r="R328" s="372"/>
      <c r="S328" s="373" t="str">
        <f>IFERROR(VLOOKUP(TRANSHARI11_ACCMALAM[[#This Row],[PRODUK]],DATA_ACC[],13,FALSE),"")</f>
        <v/>
      </c>
      <c r="T328" s="374"/>
      <c r="U328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8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8" s="12"/>
      <c r="X328" s="386" t="str">
        <f>IFERROR(IF(TRANSHARI11_ACCMALAM[[#This Row],[NAMA REKENING]]="","",TRANSHARI11_ACCMALAM[[#This Row],[DEBIT]]),"")</f>
        <v/>
      </c>
      <c r="Y328" s="387"/>
    </row>
    <row r="329" spans="1:25">
      <c r="A329" s="367">
        <v>17</v>
      </c>
      <c r="B329" s="368"/>
      <c r="C329" s="372"/>
      <c r="D329" s="369" t="str">
        <f>IFERROR(VLOOKUP(TRANSHARI11_ACCPAGI[[#This Row],[PRODUK]],DATA_ACC[],13,FALSE),"")</f>
        <v/>
      </c>
      <c r="E329" s="374"/>
      <c r="F329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29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29" s="12"/>
      <c r="I329" s="384" t="str">
        <f>IFERROR(IF(TRANSHARI11_ACCPAGI[[#This Row],[NAMA REKENING]]="","",TRANSHARI11_ACCPAGI[[#This Row],[DEBIT]]),"")</f>
        <v/>
      </c>
      <c r="J329" s="387"/>
      <c r="O329" s="324"/>
      <c r="P329" s="367">
        <v>17</v>
      </c>
      <c r="Q329" s="368"/>
      <c r="R329" s="372"/>
      <c r="S329" s="369" t="str">
        <f>IFERROR(VLOOKUP(TRANSHARI11_ACCMALAM[[#This Row],[PRODUK]],DATA_ACC[],13,FALSE),"")</f>
        <v/>
      </c>
      <c r="T329" s="374"/>
      <c r="U329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29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29" s="12"/>
      <c r="X329" s="384" t="str">
        <f>IFERROR(IF(TRANSHARI11_ACCMALAM[[#This Row],[NAMA REKENING]]="","",TRANSHARI11_ACCMALAM[[#This Row],[DEBIT]]),"")</f>
        <v/>
      </c>
      <c r="Y329" s="387"/>
    </row>
    <row r="330" spans="1:25">
      <c r="A330" s="367">
        <v>18</v>
      </c>
      <c r="B330" s="368"/>
      <c r="C330" s="372"/>
      <c r="D330" s="373" t="str">
        <f>IFERROR(VLOOKUP(TRANSHARI11_ACCPAGI[[#This Row],[PRODUK]],DATA_ACC[],13,FALSE),"")</f>
        <v/>
      </c>
      <c r="E330" s="374"/>
      <c r="F330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30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30" s="12"/>
      <c r="I330" s="386" t="str">
        <f>IFERROR(IF(TRANSHARI11_ACCPAGI[[#This Row],[NAMA REKENING]]="","",TRANSHARI11_ACCPAGI[[#This Row],[DEBIT]]),"")</f>
        <v/>
      </c>
      <c r="J330" s="387"/>
      <c r="O330" s="324"/>
      <c r="P330" s="367">
        <v>18</v>
      </c>
      <c r="Q330" s="368"/>
      <c r="R330" s="372"/>
      <c r="S330" s="373" t="str">
        <f>IFERROR(VLOOKUP(TRANSHARI11_ACCMALAM[[#This Row],[PRODUK]],DATA_ACC[],13,FALSE),"")</f>
        <v/>
      </c>
      <c r="T330" s="374"/>
      <c r="U330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0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0" s="12"/>
      <c r="X330" s="386" t="str">
        <f>IFERROR(IF(TRANSHARI11_ACCMALAM[[#This Row],[NAMA REKENING]]="","",TRANSHARI11_ACCMALAM[[#This Row],[DEBIT]]),"")</f>
        <v/>
      </c>
      <c r="Y330" s="387"/>
    </row>
    <row r="331" spans="1:25">
      <c r="A331" s="367">
        <v>19</v>
      </c>
      <c r="B331" s="368"/>
      <c r="C331" s="372"/>
      <c r="D331" s="369" t="str">
        <f>IFERROR(VLOOKUP(TRANSHARI11_ACCPAGI[[#This Row],[PRODUK]],DATA_ACC[],13,FALSE),"")</f>
        <v/>
      </c>
      <c r="E331" s="374"/>
      <c r="F331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31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31" s="12"/>
      <c r="I331" s="384" t="str">
        <f>IFERROR(IF(TRANSHARI11_ACCPAGI[[#This Row],[NAMA REKENING]]="","",TRANSHARI11_ACCPAGI[[#This Row],[DEBIT]]),"")</f>
        <v/>
      </c>
      <c r="J331" s="387"/>
      <c r="O331" s="324"/>
      <c r="P331" s="367">
        <v>19</v>
      </c>
      <c r="Q331" s="368"/>
      <c r="R331" s="372"/>
      <c r="S331" s="369" t="str">
        <f>IFERROR(VLOOKUP(TRANSHARI11_ACCMALAM[[#This Row],[PRODUK]],DATA_ACC[],13,FALSE),"")</f>
        <v/>
      </c>
      <c r="T331" s="374"/>
      <c r="U331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1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1" s="12"/>
      <c r="X331" s="384" t="str">
        <f>IFERROR(IF(TRANSHARI11_ACCMALAM[[#This Row],[NAMA REKENING]]="","",TRANSHARI11_ACCMALAM[[#This Row],[DEBIT]]),"")</f>
        <v/>
      </c>
      <c r="Y331" s="387"/>
    </row>
    <row r="332" spans="1:25">
      <c r="A332" s="367">
        <v>20</v>
      </c>
      <c r="B332" s="368"/>
      <c r="C332" s="372"/>
      <c r="D332" s="373" t="str">
        <f>IFERROR(VLOOKUP(TRANSHARI11_ACCPAGI[[#This Row],[PRODUK]],DATA_ACC[],13,FALSE),"")</f>
        <v/>
      </c>
      <c r="E332" s="374"/>
      <c r="F332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32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32" s="12"/>
      <c r="I332" s="386" t="str">
        <f>IFERROR(IF(TRANSHARI11_ACCPAGI[[#This Row],[NAMA REKENING]]="","",TRANSHARI11_ACCPAGI[[#This Row],[DEBIT]]),"")</f>
        <v/>
      </c>
      <c r="J332" s="387"/>
      <c r="O332" s="324"/>
      <c r="P332" s="367">
        <v>20</v>
      </c>
      <c r="Q332" s="368"/>
      <c r="R332" s="372"/>
      <c r="S332" s="373" t="str">
        <f>IFERROR(VLOOKUP(TRANSHARI11_ACCMALAM[[#This Row],[PRODUK]],DATA_ACC[],13,FALSE),"")</f>
        <v/>
      </c>
      <c r="T332" s="374"/>
      <c r="U332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2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2" s="12"/>
      <c r="X332" s="386" t="str">
        <f>IFERROR(IF(TRANSHARI11_ACCMALAM[[#This Row],[NAMA REKENING]]="","",TRANSHARI11_ACCMALAM[[#This Row],[DEBIT]]),"")</f>
        <v/>
      </c>
      <c r="Y332" s="387"/>
    </row>
    <row r="333" ht="17.25" spans="1:25">
      <c r="A333" s="367">
        <v>21</v>
      </c>
      <c r="B333" s="368"/>
      <c r="C333" s="372"/>
      <c r="D333" s="369" t="str">
        <f>IFERROR(VLOOKUP(TRANSHARI11_ACCPAGI[[#This Row],[PRODUK]],DATA_ACC[],13,FALSE),"")</f>
        <v/>
      </c>
      <c r="E333" s="374"/>
      <c r="F333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33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33" s="12"/>
      <c r="I333" s="384" t="str">
        <f>IFERROR(IF(TRANSHARI11_ACCPAGI[[#This Row],[NAMA REKENING]]="","",TRANSHARI11_ACCPAGI[[#This Row],[DEBIT]]),"")</f>
        <v/>
      </c>
      <c r="J333" s="387"/>
      <c r="O333" s="324"/>
      <c r="P333" s="367">
        <v>21</v>
      </c>
      <c r="Q333" s="368"/>
      <c r="R333" s="372"/>
      <c r="S333" s="369" t="str">
        <f>IFERROR(VLOOKUP(TRANSHARI11_ACCMALAM[[#This Row],[PRODUK]],DATA_ACC[],13,FALSE),"")</f>
        <v/>
      </c>
      <c r="T333" s="374"/>
      <c r="U333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3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3" s="12"/>
      <c r="X333" s="384" t="str">
        <f>IFERROR(IF(TRANSHARI11_ACCMALAM[[#This Row],[NAMA REKENING]]="","",TRANSHARI11_ACCMALAM[[#This Row],[DEBIT]]),"")</f>
        <v/>
      </c>
      <c r="Y333" s="387"/>
    </row>
    <row r="334" spans="1:27">
      <c r="A334" s="367">
        <v>22</v>
      </c>
      <c r="B334" s="368"/>
      <c r="C334" s="372"/>
      <c r="D334" s="373" t="str">
        <f>IFERROR(VLOOKUP(TRANSHARI11_ACCPAGI[[#This Row],[PRODUK]],DATA_ACC[],13,FALSE),"")</f>
        <v/>
      </c>
      <c r="E334" s="374"/>
      <c r="F334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34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34" s="12"/>
      <c r="I334" s="386" t="str">
        <f>IFERROR(IF(TRANSHARI11_ACCPAGI[[#This Row],[NAMA REKENING]]="","",TRANSHARI11_ACCPAGI[[#This Row],[DEBIT]]),"")</f>
        <v/>
      </c>
      <c r="J334" s="387"/>
      <c r="O334" s="324"/>
      <c r="P334" s="367">
        <v>22</v>
      </c>
      <c r="Q334" s="368"/>
      <c r="R334" s="372"/>
      <c r="S334" s="373" t="str">
        <f>IFERROR(VLOOKUP(TRANSHARI11_ACCMALAM[[#This Row],[PRODUK]],DATA_ACC[],13,FALSE),"")</f>
        <v/>
      </c>
      <c r="T334" s="374"/>
      <c r="U334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4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4" s="12"/>
      <c r="X334" s="386" t="str">
        <f>IFERROR(IF(TRANSHARI11_ACCMALAM[[#This Row],[NAMA REKENING]]="","",TRANSHARI11_ACCMALAM[[#This Row],[DEBIT]]),"")</f>
        <v/>
      </c>
      <c r="Y334" s="387"/>
      <c r="Z334" s="302" t="s">
        <v>114</v>
      </c>
      <c r="AA334" s="316"/>
    </row>
    <row r="335" ht="17.25" spans="1:27">
      <c r="A335" s="367">
        <v>23</v>
      </c>
      <c r="B335" s="368"/>
      <c r="C335" s="372"/>
      <c r="D335" s="369" t="str">
        <f>IFERROR(VLOOKUP(TRANSHARI11_ACCPAGI[[#This Row],[PRODUK]],DATA_ACC[],13,FALSE),"")</f>
        <v/>
      </c>
      <c r="E335" s="374"/>
      <c r="F335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35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35" s="12"/>
      <c r="I335" s="384" t="str">
        <f>IFERROR(IF(TRANSHARI11_ACCPAGI[[#This Row],[NAMA REKENING]]="","",TRANSHARI11_ACCPAGI[[#This Row],[DEBIT]]),"")</f>
        <v/>
      </c>
      <c r="J335" s="387"/>
      <c r="O335" s="324"/>
      <c r="P335" s="367">
        <v>23</v>
      </c>
      <c r="Q335" s="368"/>
      <c r="R335" s="372"/>
      <c r="S335" s="369" t="str">
        <f>IFERROR(VLOOKUP(TRANSHARI11_ACCMALAM[[#This Row],[PRODUK]],DATA_ACC[],13,FALSE),"")</f>
        <v/>
      </c>
      <c r="T335" s="374"/>
      <c r="U335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5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5" s="12"/>
      <c r="X335" s="384" t="str">
        <f>IFERROR(IF(TRANSHARI11_ACCMALAM[[#This Row],[NAMA REKENING]]="","",TRANSHARI11_ACCMALAM[[#This Row],[DEBIT]]),"")</f>
        <v/>
      </c>
      <c r="Y335" s="387"/>
      <c r="Z335" s="306"/>
      <c r="AA335" s="321"/>
    </row>
    <row r="336" spans="1:27">
      <c r="A336" s="367">
        <v>24</v>
      </c>
      <c r="B336" s="368"/>
      <c r="C336" s="372"/>
      <c r="D336" s="373" t="str">
        <f>IFERROR(VLOOKUP(TRANSHARI11_ACCPAGI[[#This Row],[PRODUK]],DATA_ACC[],13,FALSE),"")</f>
        <v/>
      </c>
      <c r="E336" s="374"/>
      <c r="F336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36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36" s="12"/>
      <c r="I336" s="386" t="str">
        <f>IFERROR(IF(TRANSHARI11_ACCPAGI[[#This Row],[NAMA REKENING]]="","",TRANSHARI11_ACCPAGI[[#This Row],[DEBIT]]),"")</f>
        <v/>
      </c>
      <c r="J336" s="387"/>
      <c r="O336" s="324"/>
      <c r="P336" s="367">
        <v>24</v>
      </c>
      <c r="Q336" s="368"/>
      <c r="R336" s="372"/>
      <c r="S336" s="373" t="str">
        <f>IFERROR(VLOOKUP(TRANSHARI11_ACCMALAM[[#This Row],[PRODUK]],DATA_ACC[],13,FALSE),"")</f>
        <v/>
      </c>
      <c r="T336" s="374"/>
      <c r="U336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6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6" s="12"/>
      <c r="X336" s="386" t="str">
        <f>IFERROR(IF(TRANSHARI11_ACCMALAM[[#This Row],[NAMA REKENING]]="","",TRANSHARI11_ACCMALAM[[#This Row],[DEBIT]]),"")</f>
        <v/>
      </c>
      <c r="Y336" s="387"/>
      <c r="Z336" s="389">
        <f>U343+V343</f>
        <v>0</v>
      </c>
      <c r="AA336" s="390"/>
    </row>
    <row r="337" ht="17.25" spans="1:27">
      <c r="A337" s="367">
        <v>25</v>
      </c>
      <c r="B337" s="368"/>
      <c r="C337" s="372"/>
      <c r="D337" s="369" t="str">
        <f>IFERROR(VLOOKUP(TRANSHARI11_ACCPAGI[[#This Row],[PRODUK]],DATA_ACC[],13,FALSE),"")</f>
        <v/>
      </c>
      <c r="E337" s="374"/>
      <c r="F337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37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37" s="12"/>
      <c r="I337" s="384" t="str">
        <f>IFERROR(IF(TRANSHARI11_ACCPAGI[[#This Row],[NAMA REKENING]]="","",TRANSHARI11_ACCPAGI[[#This Row],[DEBIT]]),"")</f>
        <v/>
      </c>
      <c r="J337" s="387"/>
      <c r="O337" s="324"/>
      <c r="P337" s="367">
        <v>25</v>
      </c>
      <c r="Q337" s="368"/>
      <c r="R337" s="372"/>
      <c r="S337" s="369" t="str">
        <f>IFERROR(VLOOKUP(TRANSHARI11_ACCMALAM[[#This Row],[PRODUK]],DATA_ACC[],13,FALSE),"")</f>
        <v/>
      </c>
      <c r="T337" s="374"/>
      <c r="U337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7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7" s="12"/>
      <c r="X337" s="384" t="str">
        <f>IFERROR(IF(TRANSHARI11_ACCMALAM[[#This Row],[NAMA REKENING]]="","",TRANSHARI11_ACCMALAM[[#This Row],[DEBIT]]),"")</f>
        <v/>
      </c>
      <c r="Y337" s="387"/>
      <c r="Z337" s="391"/>
      <c r="AA337" s="392"/>
    </row>
    <row r="338" ht="17.25" spans="1:25">
      <c r="A338" s="367">
        <v>26</v>
      </c>
      <c r="B338" s="368"/>
      <c r="C338" s="375"/>
      <c r="D338" s="373" t="str">
        <f>IFERROR(VLOOKUP(TRANSHARI11_ACCPAGI[[#This Row],[PRODUK]],DATA_ACC[],13,FALSE),"")</f>
        <v/>
      </c>
      <c r="E338" s="376"/>
      <c r="F338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38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38" s="377"/>
      <c r="I338" s="386" t="str">
        <f>IFERROR(IF(TRANSHARI11_ACCPAGI[[#This Row],[NAMA REKENING]]="","",TRANSHARI11_ACCPAGI[[#This Row],[DEBIT]]),"")</f>
        <v/>
      </c>
      <c r="J338" s="388"/>
      <c r="O338" s="324"/>
      <c r="P338" s="367">
        <v>26</v>
      </c>
      <c r="Q338" s="368"/>
      <c r="R338" s="375"/>
      <c r="S338" s="373" t="str">
        <f>IFERROR(VLOOKUP(TRANSHARI11_ACCMALAM[[#This Row],[PRODUK]],DATA_ACC[],13,FALSE),"")</f>
        <v/>
      </c>
      <c r="T338" s="376"/>
      <c r="U338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8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8" s="377"/>
      <c r="X338" s="386" t="str">
        <f>IFERROR(IF(TRANSHARI11_ACCMALAM[[#This Row],[NAMA REKENING]]="","",TRANSHARI11_ACCMALAM[[#This Row],[DEBIT]]),"")</f>
        <v/>
      </c>
      <c r="Y338" s="388"/>
    </row>
    <row r="339" spans="1:27">
      <c r="A339" s="367">
        <v>27</v>
      </c>
      <c r="B339" s="368"/>
      <c r="C339" s="372"/>
      <c r="D339" s="369" t="str">
        <f>IFERROR(VLOOKUP(TRANSHARI11_ACCPAGI[[#This Row],[PRODUK]],DATA_ACC[],13,FALSE),"")</f>
        <v/>
      </c>
      <c r="E339" s="374"/>
      <c r="F339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39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39" s="12"/>
      <c r="I339" s="384" t="str">
        <f>IFERROR(IF(TRANSHARI11_ACCPAGI[[#This Row],[NAMA REKENING]]="","",TRANSHARI11_ACCPAGI[[#This Row],[DEBIT]]),"")</f>
        <v/>
      </c>
      <c r="J339" s="387"/>
      <c r="K339" s="302" t="s">
        <v>114</v>
      </c>
      <c r="L339" s="316"/>
      <c r="O339" s="324"/>
      <c r="P339" s="367">
        <v>27</v>
      </c>
      <c r="Q339" s="368"/>
      <c r="R339" s="372"/>
      <c r="S339" s="369" t="str">
        <f>IFERROR(VLOOKUP(TRANSHARI11_ACCMALAM[[#This Row],[PRODUK]],DATA_ACC[],13,FALSE),"")</f>
        <v/>
      </c>
      <c r="T339" s="374"/>
      <c r="U339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39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39" s="12"/>
      <c r="X339" s="384" t="str">
        <f>IFERROR(IF(TRANSHARI11_ACCMALAM[[#This Row],[NAMA REKENING]]="","",TRANSHARI11_ACCMALAM[[#This Row],[DEBIT]]),"")</f>
        <v/>
      </c>
      <c r="Y339" s="387"/>
      <c r="Z339" s="302" t="s">
        <v>115</v>
      </c>
      <c r="AA339" s="316"/>
    </row>
    <row r="340" ht="17.25" spans="1:27">
      <c r="A340" s="367">
        <v>28</v>
      </c>
      <c r="B340" s="368"/>
      <c r="C340" s="372"/>
      <c r="D340" s="373" t="str">
        <f>IFERROR(VLOOKUP(TRANSHARI11_ACCPAGI[[#This Row],[PRODUK]],DATA_ACC[],13,FALSE),"")</f>
        <v/>
      </c>
      <c r="E340" s="374"/>
      <c r="F340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40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40" s="12"/>
      <c r="I340" s="386" t="str">
        <f>IFERROR(IF(TRANSHARI11_ACCPAGI[[#This Row],[NAMA REKENING]]="","",TRANSHARI11_ACCPAGI[[#This Row],[DEBIT]]),"")</f>
        <v/>
      </c>
      <c r="J340" s="387"/>
      <c r="K340" s="306"/>
      <c r="L340" s="321"/>
      <c r="O340" s="324"/>
      <c r="P340" s="367">
        <v>28</v>
      </c>
      <c r="Q340" s="368"/>
      <c r="R340" s="372"/>
      <c r="S340" s="373" t="str">
        <f>IFERROR(VLOOKUP(TRANSHARI11_ACCMALAM[[#This Row],[PRODUK]],DATA_ACC[],13,FALSE),"")</f>
        <v/>
      </c>
      <c r="T340" s="374"/>
      <c r="U340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40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40" s="12"/>
      <c r="X340" s="386" t="str">
        <f>IFERROR(IF(TRANSHARI11_ACCMALAM[[#This Row],[NAMA REKENING]]="","",TRANSHARI11_ACCMALAM[[#This Row],[DEBIT]]),"")</f>
        <v/>
      </c>
      <c r="Y340" s="387"/>
      <c r="Z340" s="306"/>
      <c r="AA340" s="321"/>
    </row>
    <row r="341" spans="1:27">
      <c r="A341" s="367">
        <v>29</v>
      </c>
      <c r="B341" s="368"/>
      <c r="C341" s="372"/>
      <c r="D341" s="369" t="str">
        <f>IFERROR(VLOOKUP(TRANSHARI11_ACCPAGI[[#This Row],[PRODUK]],DATA_ACC[],13,FALSE),"")</f>
        <v/>
      </c>
      <c r="E341" s="374"/>
      <c r="F341" s="369" t="str">
        <f>IFERROR(IF(TRANSHARI11_ACCPAGI[[#This Row],[NAMA PENGHUTANG]]="",((TRANSHARI11_ACCPAGI[[#This Row],[HARGA]]*TRANSHARI11_ACCPAGI[[#This Row],[QUANTITY]])+TRANSHARI11_ACCPAGI[[#This Row],[PRICE TOLERANCE]]),""),"")</f>
        <v/>
      </c>
      <c r="G341" s="369" t="str">
        <f>IFERROR(IF(TRANSHARI11_ACCPAGI[[#This Row],[NAMA PENGHUTANG]]="","",((TRANSHARI11_ACCPAGI[[#This Row],[HARGA]]*TRANSHARI11_ACCPAGI[[#This Row],[QUANTITY]])+TRANSHARI11_ACCPAGI[[#This Row],[PRICE TOLERANCE]])),"")</f>
        <v/>
      </c>
      <c r="H341" s="12"/>
      <c r="I341" s="384" t="str">
        <f>IFERROR(IF(TRANSHARI11_ACCPAGI[[#This Row],[NAMA REKENING]]="","",TRANSHARI11_ACCPAGI[[#This Row],[DEBIT]]),"")</f>
        <v/>
      </c>
      <c r="J341" s="387"/>
      <c r="K341" s="389">
        <f>F343+G343</f>
        <v>0</v>
      </c>
      <c r="L341" s="390"/>
      <c r="O341" s="324"/>
      <c r="P341" s="367">
        <v>29</v>
      </c>
      <c r="Q341" s="368"/>
      <c r="R341" s="372"/>
      <c r="S341" s="369" t="str">
        <f>IFERROR(VLOOKUP(TRANSHARI11_ACCMALAM[[#This Row],[PRODUK]],DATA_ACC[],13,FALSE),"")</f>
        <v/>
      </c>
      <c r="T341" s="374"/>
      <c r="U341" s="369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41" s="369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41" s="12"/>
      <c r="X341" s="384" t="str">
        <f>IFERROR(IF(TRANSHARI11_ACCMALAM[[#This Row],[NAMA REKENING]]="","",TRANSHARI11_ACCMALAM[[#This Row],[DEBIT]]),"")</f>
        <v/>
      </c>
      <c r="Y341" s="387"/>
      <c r="Z341" s="400">
        <f>K341+Z336</f>
        <v>0</v>
      </c>
      <c r="AA341" s="401"/>
    </row>
    <row r="342" ht="17.25" spans="1:27">
      <c r="A342" s="367">
        <v>30</v>
      </c>
      <c r="B342" s="368"/>
      <c r="C342" s="372"/>
      <c r="D342" s="373" t="str">
        <f>IFERROR(VLOOKUP(TRANSHARI11_ACCPAGI[[#This Row],[PRODUK]],DATA_ACC[],13,FALSE),"")</f>
        <v/>
      </c>
      <c r="E342" s="374"/>
      <c r="F342" s="373" t="str">
        <f>IFERROR(IF(TRANSHARI11_ACCPAGI[[#This Row],[NAMA PENGHUTANG]]="",((TRANSHARI11_ACCPAGI[[#This Row],[HARGA]]*TRANSHARI11_ACCPAGI[[#This Row],[QUANTITY]])+TRANSHARI11_ACCPAGI[[#This Row],[PRICE TOLERANCE]]),""),"")</f>
        <v/>
      </c>
      <c r="G342" s="373" t="str">
        <f>IFERROR(IF(TRANSHARI11_ACCPAGI[[#This Row],[NAMA PENGHUTANG]]="","",((TRANSHARI11_ACCPAGI[[#This Row],[HARGA]]*TRANSHARI11_ACCPAGI[[#This Row],[QUANTITY]])+TRANSHARI11_ACCPAGI[[#This Row],[PRICE TOLERANCE]])),"")</f>
        <v/>
      </c>
      <c r="H342" s="12"/>
      <c r="I342" s="386" t="str">
        <f>IFERROR(IF(TRANSHARI11_ACCPAGI[[#This Row],[NAMA REKENING]]="","",TRANSHARI11_ACCPAGI[[#This Row],[DEBIT]]),"")</f>
        <v/>
      </c>
      <c r="J342" s="387"/>
      <c r="K342" s="391"/>
      <c r="L342" s="392"/>
      <c r="O342" s="324"/>
      <c r="P342" s="367">
        <v>30</v>
      </c>
      <c r="Q342" s="368"/>
      <c r="R342" s="372"/>
      <c r="S342" s="373" t="str">
        <f>IFERROR(VLOOKUP(TRANSHARI11_ACCMALAM[[#This Row],[PRODUK]],DATA_ACC[],13,FALSE),"")</f>
        <v/>
      </c>
      <c r="T342" s="374"/>
      <c r="U342" s="373" t="str">
        <f>IFERROR(IF(TRANSHARI11_ACCMALAM[[#This Row],[NAMA PENGHUTANG]]="",((TRANSHARI11_ACCMALAM[[#This Row],[HARGA]]*TRANSHARI11_ACCMALAM[[#This Row],[QUANTITY]])+TRANSHARI11_ACCMALAM[[#This Row],[PRICE TOLERANCE]]),""),"")</f>
        <v/>
      </c>
      <c r="V342" s="373" t="str">
        <f>IFERROR(IF(TRANSHARI11_ACCMALAM[[#This Row],[NAMA PENGHUTANG]]="","",((TRANSHARI11_ACCMALAM[[#This Row],[HARGA]]*TRANSHARI11_ACCMALAM[[#This Row],[QUANTITY]])+TRANSHARI11_ACCMALAM[[#This Row],[PRICE TOLERANCE]])),"")</f>
        <v/>
      </c>
      <c r="W342" s="12"/>
      <c r="X342" s="386" t="str">
        <f>IFERROR(IF(TRANSHARI11_ACCMALAM[[#This Row],[NAMA REKENING]]="","",TRANSHARI11_ACCMALAM[[#This Row],[DEBIT]]),"")</f>
        <v/>
      </c>
      <c r="Y342" s="387"/>
      <c r="Z342" s="402"/>
      <c r="AA342" s="403"/>
    </row>
    <row r="343" spans="1:24">
      <c r="A343" s="302" t="s">
        <v>78</v>
      </c>
      <c r="B343" s="316"/>
      <c r="C343" s="395">
        <f>SUM(TRANSHARI11_ACCPAGI[QUANTITY])</f>
        <v>0</v>
      </c>
      <c r="E343" s="398">
        <f>SUM(TRANSHARI11_ACCPAGI[PRICE TOLERANCE])</f>
        <v>0</v>
      </c>
      <c r="F343" s="396">
        <f>SUM(TRANSHARI11_ACCPAGI[DEBIT])</f>
        <v>0</v>
      </c>
      <c r="G343" s="396">
        <f>SUM(TRANSHARI11_ACCPAGI[KREDIT])</f>
        <v>0</v>
      </c>
      <c r="I343" s="396">
        <f>SUM(TRANSHARI11_ACCPAGI[NOMINAL TRANSFER])</f>
        <v>0</v>
      </c>
      <c r="O343" s="324"/>
      <c r="P343" s="303" t="s">
        <v>78</v>
      </c>
      <c r="Q343" s="316"/>
      <c r="R343" s="395">
        <f>SUM(TRANSHARI11_ACCMALAM[QUANTITY])</f>
        <v>0</v>
      </c>
      <c r="T343" s="398">
        <f>SUM(TRANSHARI11_ACCMALAM[PRICE TOLERANCE])</f>
        <v>0</v>
      </c>
      <c r="U343" s="396">
        <f>SUM(TRANSHARI11_ACCMALAM[DEBIT])</f>
        <v>0</v>
      </c>
      <c r="V343" s="396">
        <f>SUM(TRANSHARI11_ACCMALAM[KREDIT])</f>
        <v>0</v>
      </c>
      <c r="X343" s="396">
        <f>SUM(TRANSHARI11_ACCMALAM[NOMINAL TRANSFER])</f>
        <v>0</v>
      </c>
    </row>
    <row r="344" ht="17.25" spans="1:24">
      <c r="A344" s="306"/>
      <c r="B344" s="321"/>
      <c r="C344" s="397"/>
      <c r="E344" s="404"/>
      <c r="F344" s="397"/>
      <c r="G344" s="397"/>
      <c r="I344" s="397"/>
      <c r="O344" s="324"/>
      <c r="P344" s="307"/>
      <c r="Q344" s="321"/>
      <c r="R344" s="397"/>
      <c r="T344" s="404"/>
      <c r="U344" s="397"/>
      <c r="V344" s="397"/>
      <c r="X344" s="397"/>
    </row>
    <row r="345" spans="15:15">
      <c r="O345" s="324"/>
    </row>
    <row r="346" ht="17.25" spans="15:15">
      <c r="O346" s="324"/>
    </row>
    <row r="347" spans="1:25">
      <c r="A347" s="300" t="str">
        <f>A25</f>
        <v>HARI 11 : PAGI</v>
      </c>
      <c r="B347" s="301"/>
      <c r="C347" s="302" t="s">
        <v>116</v>
      </c>
      <c r="D347" s="303"/>
      <c r="E347" s="303"/>
      <c r="F347" s="303"/>
      <c r="G347" s="303"/>
      <c r="H347" s="303"/>
      <c r="I347" s="303"/>
      <c r="J347" s="316"/>
      <c r="O347" s="324"/>
      <c r="P347" s="320" t="str">
        <f>P25</f>
        <v>HARI 11 : MALAM</v>
      </c>
      <c r="Q347" s="301"/>
      <c r="R347" s="302" t="s">
        <v>116</v>
      </c>
      <c r="S347" s="303"/>
      <c r="T347" s="303"/>
      <c r="U347" s="303"/>
      <c r="V347" s="303"/>
      <c r="W347" s="303"/>
      <c r="X347" s="303"/>
      <c r="Y347" s="316"/>
    </row>
    <row r="348" spans="1:25">
      <c r="A348" s="304"/>
      <c r="B348" s="305"/>
      <c r="C348" s="364"/>
      <c r="D348" s="162"/>
      <c r="E348" s="162"/>
      <c r="F348" s="162"/>
      <c r="G348" s="162"/>
      <c r="H348" s="162"/>
      <c r="I348" s="162"/>
      <c r="J348" s="382"/>
      <c r="O348" s="324"/>
      <c r="P348" s="325"/>
      <c r="Q348" s="305"/>
      <c r="R348" s="364"/>
      <c r="S348" s="162"/>
      <c r="T348" s="162"/>
      <c r="U348" s="162"/>
      <c r="V348" s="162"/>
      <c r="W348" s="162"/>
      <c r="X348" s="162"/>
      <c r="Y348" s="382"/>
    </row>
    <row r="349" spans="1:25">
      <c r="A349" s="365" t="s">
        <v>14</v>
      </c>
      <c r="B349" s="366" t="s">
        <v>66</v>
      </c>
      <c r="C349" s="366" t="s">
        <v>67</v>
      </c>
      <c r="D349" s="366" t="s">
        <v>68</v>
      </c>
      <c r="E349" s="366" t="s">
        <v>69</v>
      </c>
      <c r="F349" s="366" t="s">
        <v>16</v>
      </c>
      <c r="G349" s="366" t="s">
        <v>17</v>
      </c>
      <c r="H349" s="366" t="s">
        <v>18</v>
      </c>
      <c r="I349" s="366" t="s">
        <v>21</v>
      </c>
      <c r="J349" s="383" t="s">
        <v>22</v>
      </c>
      <c r="O349" s="324"/>
      <c r="P349" s="365" t="s">
        <v>14</v>
      </c>
      <c r="Q349" s="366" t="s">
        <v>66</v>
      </c>
      <c r="R349" s="366" t="s">
        <v>67</v>
      </c>
      <c r="S349" s="366" t="s">
        <v>68</v>
      </c>
      <c r="T349" s="366" t="s">
        <v>69</v>
      </c>
      <c r="U349" s="366" t="s">
        <v>16</v>
      </c>
      <c r="V349" s="366" t="s">
        <v>17</v>
      </c>
      <c r="W349" s="366" t="s">
        <v>18</v>
      </c>
      <c r="X349" s="366" t="s">
        <v>21</v>
      </c>
      <c r="Y349" s="383" t="s">
        <v>22</v>
      </c>
    </row>
    <row r="350" spans="1:25">
      <c r="A350" s="367">
        <v>1</v>
      </c>
      <c r="B350" s="368"/>
      <c r="C350" s="368"/>
      <c r="D350" s="369" t="str">
        <f>IFERROR(VLOOKUP(TRANSHARI11_HYDROPAGI[[#This Row],[PRODUK]],DATA_HYDRO[],13,FALSE),"")</f>
        <v/>
      </c>
      <c r="E350" s="370"/>
      <c r="F350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0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0" s="371"/>
      <c r="I350" s="384" t="str">
        <f>IFERROR(IF(TRANSHARI11_HYDROPAGI[[#This Row],[NAMA REKENING]]="","",TRANSHARI11_HYDROPAGI[[#This Row],[DEBIT]]),"")</f>
        <v/>
      </c>
      <c r="J350" s="385"/>
      <c r="O350" s="324"/>
      <c r="P350" s="367">
        <v>1</v>
      </c>
      <c r="Q350" s="368"/>
      <c r="R350" s="368"/>
      <c r="S350" s="369" t="str">
        <f>IFERROR(VLOOKUP(TRANSHARI11_HYDROMALAM[[#This Row],[PRODUK]],DATA_HYDRO[],13,FALSE),"")</f>
        <v/>
      </c>
      <c r="T350" s="370"/>
      <c r="U350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0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0" s="371"/>
      <c r="X350" s="384" t="str">
        <f>IFERROR(IF(TRANSHARI11_HYDROMALAM[[#This Row],[NAMA REKENING]]="","",TRANSHARI11_HYDROMALAM[[#This Row],[DEBIT]]),"")</f>
        <v/>
      </c>
      <c r="Y350" s="385"/>
    </row>
    <row r="351" spans="1:25">
      <c r="A351" s="367">
        <v>2</v>
      </c>
      <c r="B351" s="368"/>
      <c r="C351" s="372"/>
      <c r="D351" s="373" t="str">
        <f>IFERROR(VLOOKUP(TRANSHARI11_HYDROPAGI[[#This Row],[PRODUK]],DATA_HYDRO[],13,FALSE),"")</f>
        <v/>
      </c>
      <c r="E351" s="374"/>
      <c r="F351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1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1" s="12"/>
      <c r="I351" s="386" t="str">
        <f>IFERROR(IF(TRANSHARI11_HYDROPAGI[[#This Row],[NAMA REKENING]]="","",TRANSHARI11_HYDROPAGI[[#This Row],[DEBIT]]),"")</f>
        <v/>
      </c>
      <c r="J351" s="387"/>
      <c r="O351" s="324"/>
      <c r="P351" s="367">
        <v>2</v>
      </c>
      <c r="Q351" s="368"/>
      <c r="R351" s="372"/>
      <c r="S351" s="373" t="str">
        <f>IFERROR(VLOOKUP(TRANSHARI11_HYDROMALAM[[#This Row],[PRODUK]],DATA_HYDRO[],13,FALSE),"")</f>
        <v/>
      </c>
      <c r="T351" s="374"/>
      <c r="U351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1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1" s="12"/>
      <c r="X351" s="386" t="str">
        <f>IFERROR(IF(TRANSHARI11_HYDROMALAM[[#This Row],[NAMA REKENING]]="","",TRANSHARI11_HYDROMALAM[[#This Row],[DEBIT]]),"")</f>
        <v/>
      </c>
      <c r="Y351" s="387"/>
    </row>
    <row r="352" spans="1:25">
      <c r="A352" s="367">
        <v>3</v>
      </c>
      <c r="B352" s="368"/>
      <c r="C352" s="372"/>
      <c r="D352" s="369" t="str">
        <f>IFERROR(VLOOKUP(TRANSHARI11_HYDROPAGI[[#This Row],[PRODUK]],DATA_HYDRO[],13,FALSE),"")</f>
        <v/>
      </c>
      <c r="E352" s="374"/>
      <c r="F352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2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2" s="12"/>
      <c r="I352" s="384" t="str">
        <f>IFERROR(IF(TRANSHARI11_HYDROPAGI[[#This Row],[NAMA REKENING]]="","",TRANSHARI11_HYDROPAGI[[#This Row],[DEBIT]]),"")</f>
        <v/>
      </c>
      <c r="J352" s="387"/>
      <c r="O352" s="324"/>
      <c r="P352" s="367">
        <v>3</v>
      </c>
      <c r="Q352" s="368"/>
      <c r="R352" s="372"/>
      <c r="S352" s="369" t="str">
        <f>IFERROR(VLOOKUP(TRANSHARI11_HYDROMALAM[[#This Row],[PRODUK]],DATA_HYDRO[],13,FALSE),"")</f>
        <v/>
      </c>
      <c r="T352" s="374"/>
      <c r="U352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2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2" s="12"/>
      <c r="X352" s="384" t="str">
        <f>IFERROR(IF(TRANSHARI11_HYDROMALAM[[#This Row],[NAMA REKENING]]="","",TRANSHARI11_HYDROMALAM[[#This Row],[DEBIT]]),"")</f>
        <v/>
      </c>
      <c r="Y352" s="387"/>
    </row>
    <row r="353" spans="1:25">
      <c r="A353" s="367">
        <v>4</v>
      </c>
      <c r="B353" s="368"/>
      <c r="C353" s="372"/>
      <c r="D353" s="373" t="str">
        <f>IFERROR(VLOOKUP(TRANSHARI11_HYDROPAGI[[#This Row],[PRODUK]],DATA_HYDRO[],13,FALSE),"")</f>
        <v/>
      </c>
      <c r="E353" s="374"/>
      <c r="F353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3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3" s="12"/>
      <c r="I353" s="386" t="str">
        <f>IFERROR(IF(TRANSHARI11_HYDROPAGI[[#This Row],[NAMA REKENING]]="","",TRANSHARI11_HYDROPAGI[[#This Row],[DEBIT]]),"")</f>
        <v/>
      </c>
      <c r="J353" s="387"/>
      <c r="O353" s="324"/>
      <c r="P353" s="367">
        <v>4</v>
      </c>
      <c r="Q353" s="368"/>
      <c r="R353" s="372"/>
      <c r="S353" s="373" t="str">
        <f>IFERROR(VLOOKUP(TRANSHARI11_HYDROMALAM[[#This Row],[PRODUK]],DATA_HYDRO[],13,FALSE),"")</f>
        <v/>
      </c>
      <c r="T353" s="374"/>
      <c r="U353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3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3" s="12"/>
      <c r="X353" s="386" t="str">
        <f>IFERROR(IF(TRANSHARI11_HYDROMALAM[[#This Row],[NAMA REKENING]]="","",TRANSHARI11_HYDROMALAM[[#This Row],[DEBIT]]),"")</f>
        <v/>
      </c>
      <c r="Y353" s="387"/>
    </row>
    <row r="354" spans="1:25">
      <c r="A354" s="367">
        <v>5</v>
      </c>
      <c r="B354" s="368"/>
      <c r="C354" s="372"/>
      <c r="D354" s="369" t="str">
        <f>IFERROR(VLOOKUP(TRANSHARI11_HYDROPAGI[[#This Row],[PRODUK]],DATA_HYDRO[],13,FALSE),"")</f>
        <v/>
      </c>
      <c r="E354" s="374"/>
      <c r="F354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4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4" s="12"/>
      <c r="I354" s="384" t="str">
        <f>IFERROR(IF(TRANSHARI11_HYDROPAGI[[#This Row],[NAMA REKENING]]="","",TRANSHARI11_HYDROPAGI[[#This Row],[DEBIT]]),"")</f>
        <v/>
      </c>
      <c r="J354" s="387"/>
      <c r="O354" s="324"/>
      <c r="P354" s="367">
        <v>5</v>
      </c>
      <c r="Q354" s="368"/>
      <c r="R354" s="372"/>
      <c r="S354" s="369" t="str">
        <f>IFERROR(VLOOKUP(TRANSHARI11_HYDROMALAM[[#This Row],[PRODUK]],DATA_HYDRO[],13,FALSE),"")</f>
        <v/>
      </c>
      <c r="T354" s="374"/>
      <c r="U354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4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4" s="12"/>
      <c r="X354" s="384" t="str">
        <f>IFERROR(IF(TRANSHARI11_HYDROMALAM[[#This Row],[NAMA REKENING]]="","",TRANSHARI11_HYDROMALAM[[#This Row],[DEBIT]]),"")</f>
        <v/>
      </c>
      <c r="Y354" s="387"/>
    </row>
    <row r="355" spans="1:25">
      <c r="A355" s="367">
        <v>6</v>
      </c>
      <c r="B355" s="368"/>
      <c r="C355" s="372"/>
      <c r="D355" s="373" t="str">
        <f>IFERROR(VLOOKUP(TRANSHARI11_HYDROPAGI[[#This Row],[PRODUK]],DATA_HYDRO[],13,FALSE),"")</f>
        <v/>
      </c>
      <c r="E355" s="374"/>
      <c r="F355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5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5" s="12"/>
      <c r="I355" s="386" t="str">
        <f>IFERROR(IF(TRANSHARI11_HYDROPAGI[[#This Row],[NAMA REKENING]]="","",TRANSHARI11_HYDROPAGI[[#This Row],[DEBIT]]),"")</f>
        <v/>
      </c>
      <c r="J355" s="387"/>
      <c r="O355" s="324"/>
      <c r="P355" s="367">
        <v>6</v>
      </c>
      <c r="Q355" s="368"/>
      <c r="R355" s="372"/>
      <c r="S355" s="373" t="str">
        <f>IFERROR(VLOOKUP(TRANSHARI11_HYDROMALAM[[#This Row],[PRODUK]],DATA_HYDRO[],13,FALSE),"")</f>
        <v/>
      </c>
      <c r="T355" s="374"/>
      <c r="U355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5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5" s="12"/>
      <c r="X355" s="386" t="str">
        <f>IFERROR(IF(TRANSHARI11_HYDROMALAM[[#This Row],[NAMA REKENING]]="","",TRANSHARI11_HYDROMALAM[[#This Row],[DEBIT]]),"")</f>
        <v/>
      </c>
      <c r="Y355" s="387"/>
    </row>
    <row r="356" spans="1:25">
      <c r="A356" s="367">
        <v>7</v>
      </c>
      <c r="B356" s="368"/>
      <c r="C356" s="372"/>
      <c r="D356" s="369" t="str">
        <f>IFERROR(VLOOKUP(TRANSHARI11_HYDROPAGI[[#This Row],[PRODUK]],DATA_HYDRO[],13,FALSE),"")</f>
        <v/>
      </c>
      <c r="E356" s="374"/>
      <c r="F356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6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6" s="12"/>
      <c r="I356" s="384" t="str">
        <f>IFERROR(IF(TRANSHARI11_HYDROPAGI[[#This Row],[NAMA REKENING]]="","",TRANSHARI11_HYDROPAGI[[#This Row],[DEBIT]]),"")</f>
        <v/>
      </c>
      <c r="J356" s="387"/>
      <c r="O356" s="324"/>
      <c r="P356" s="367">
        <v>7</v>
      </c>
      <c r="Q356" s="368"/>
      <c r="R356" s="372"/>
      <c r="S356" s="369" t="str">
        <f>IFERROR(VLOOKUP(TRANSHARI11_HYDROMALAM[[#This Row],[PRODUK]],DATA_HYDRO[],13,FALSE),"")</f>
        <v/>
      </c>
      <c r="T356" s="374"/>
      <c r="U356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6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6" s="12"/>
      <c r="X356" s="384" t="str">
        <f>IFERROR(IF(TRANSHARI11_HYDROMALAM[[#This Row],[NAMA REKENING]]="","",TRANSHARI11_HYDROMALAM[[#This Row],[DEBIT]]),"")</f>
        <v/>
      </c>
      <c r="Y356" s="387"/>
    </row>
    <row r="357" spans="1:25">
      <c r="A357" s="367">
        <v>8</v>
      </c>
      <c r="B357" s="368"/>
      <c r="C357" s="372"/>
      <c r="D357" s="373" t="str">
        <f>IFERROR(VLOOKUP(TRANSHARI11_HYDROPAGI[[#This Row],[PRODUK]],DATA_HYDRO[],13,FALSE),"")</f>
        <v/>
      </c>
      <c r="E357" s="374"/>
      <c r="F357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7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7" s="12"/>
      <c r="I357" s="386" t="str">
        <f>IFERROR(IF(TRANSHARI11_HYDROPAGI[[#This Row],[NAMA REKENING]]="","",TRANSHARI11_HYDROPAGI[[#This Row],[DEBIT]]),"")</f>
        <v/>
      </c>
      <c r="J357" s="387"/>
      <c r="O357" s="324"/>
      <c r="P357" s="367">
        <v>8</v>
      </c>
      <c r="Q357" s="368"/>
      <c r="R357" s="372"/>
      <c r="S357" s="373" t="str">
        <f>IFERROR(VLOOKUP(TRANSHARI11_HYDROMALAM[[#This Row],[PRODUK]],DATA_HYDRO[],13,FALSE),"")</f>
        <v/>
      </c>
      <c r="T357" s="374"/>
      <c r="U357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7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7" s="12"/>
      <c r="X357" s="386" t="str">
        <f>IFERROR(IF(TRANSHARI11_HYDROMALAM[[#This Row],[NAMA REKENING]]="","",TRANSHARI11_HYDROMALAM[[#This Row],[DEBIT]]),"")</f>
        <v/>
      </c>
      <c r="Y357" s="387"/>
    </row>
    <row r="358" spans="1:25">
      <c r="A358" s="367">
        <v>9</v>
      </c>
      <c r="B358" s="368"/>
      <c r="C358" s="372"/>
      <c r="D358" s="369" t="str">
        <f>IFERROR(VLOOKUP(TRANSHARI11_HYDROPAGI[[#This Row],[PRODUK]],DATA_HYDRO[],13,FALSE),"")</f>
        <v/>
      </c>
      <c r="E358" s="374"/>
      <c r="F358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8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8" s="12"/>
      <c r="I358" s="384" t="str">
        <f>IFERROR(IF(TRANSHARI11_HYDROPAGI[[#This Row],[NAMA REKENING]]="","",TRANSHARI11_HYDROPAGI[[#This Row],[DEBIT]]),"")</f>
        <v/>
      </c>
      <c r="J358" s="387"/>
      <c r="O358" s="324"/>
      <c r="P358" s="367">
        <v>9</v>
      </c>
      <c r="Q358" s="368"/>
      <c r="R358" s="372"/>
      <c r="S358" s="369" t="str">
        <f>IFERROR(VLOOKUP(TRANSHARI11_HYDROMALAM[[#This Row],[PRODUK]],DATA_HYDRO[],13,FALSE),"")</f>
        <v/>
      </c>
      <c r="T358" s="374"/>
      <c r="U358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8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8" s="12"/>
      <c r="X358" s="384" t="str">
        <f>IFERROR(IF(TRANSHARI11_HYDROMALAM[[#This Row],[NAMA REKENING]]="","",TRANSHARI11_HYDROMALAM[[#This Row],[DEBIT]]),"")</f>
        <v/>
      </c>
      <c r="Y358" s="387"/>
    </row>
    <row r="359" spans="1:25">
      <c r="A359" s="367">
        <v>10</v>
      </c>
      <c r="B359" s="368"/>
      <c r="C359" s="372"/>
      <c r="D359" s="373" t="str">
        <f>IFERROR(VLOOKUP(TRANSHARI11_HYDROPAGI[[#This Row],[PRODUK]],DATA_HYDRO[],13,FALSE),"")</f>
        <v/>
      </c>
      <c r="E359" s="374"/>
      <c r="F359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59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59" s="12"/>
      <c r="I359" s="386" t="str">
        <f>IFERROR(IF(TRANSHARI11_HYDROPAGI[[#This Row],[NAMA REKENING]]="","",TRANSHARI11_HYDROPAGI[[#This Row],[DEBIT]]),"")</f>
        <v/>
      </c>
      <c r="J359" s="387"/>
      <c r="O359" s="324"/>
      <c r="P359" s="367">
        <v>10</v>
      </c>
      <c r="Q359" s="368"/>
      <c r="R359" s="372"/>
      <c r="S359" s="373" t="str">
        <f>IFERROR(VLOOKUP(TRANSHARI11_HYDROMALAM[[#This Row],[PRODUK]],DATA_HYDRO[],13,FALSE),"")</f>
        <v/>
      </c>
      <c r="T359" s="374"/>
      <c r="U359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59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59" s="12"/>
      <c r="X359" s="386" t="str">
        <f>IFERROR(IF(TRANSHARI11_HYDROMALAM[[#This Row],[NAMA REKENING]]="","",TRANSHARI11_HYDROMALAM[[#This Row],[DEBIT]]),"")</f>
        <v/>
      </c>
      <c r="Y359" s="387"/>
    </row>
    <row r="360" spans="1:25">
      <c r="A360" s="367">
        <v>11</v>
      </c>
      <c r="B360" s="368"/>
      <c r="C360" s="372"/>
      <c r="D360" s="369" t="str">
        <f>IFERROR(VLOOKUP(TRANSHARI11_HYDROPAGI[[#This Row],[PRODUK]],DATA_HYDRO[],13,FALSE),"")</f>
        <v/>
      </c>
      <c r="E360" s="374"/>
      <c r="F360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0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0" s="12"/>
      <c r="I360" s="384" t="str">
        <f>IFERROR(IF(TRANSHARI11_HYDROPAGI[[#This Row],[NAMA REKENING]]="","",TRANSHARI11_HYDROPAGI[[#This Row],[DEBIT]]),"")</f>
        <v/>
      </c>
      <c r="J360" s="387"/>
      <c r="O360" s="324"/>
      <c r="P360" s="367">
        <v>11</v>
      </c>
      <c r="Q360" s="368"/>
      <c r="R360" s="372"/>
      <c r="S360" s="369" t="str">
        <f>IFERROR(VLOOKUP(TRANSHARI11_HYDROMALAM[[#This Row],[PRODUK]],DATA_HYDRO[],13,FALSE),"")</f>
        <v/>
      </c>
      <c r="T360" s="374"/>
      <c r="U360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0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0" s="12"/>
      <c r="X360" s="384" t="str">
        <f>IFERROR(IF(TRANSHARI11_HYDROMALAM[[#This Row],[NAMA REKENING]]="","",TRANSHARI11_HYDROMALAM[[#This Row],[DEBIT]]),"")</f>
        <v/>
      </c>
      <c r="Y360" s="387"/>
    </row>
    <row r="361" spans="1:25">
      <c r="A361" s="367">
        <v>12</v>
      </c>
      <c r="B361" s="368"/>
      <c r="C361" s="372"/>
      <c r="D361" s="373" t="str">
        <f>IFERROR(VLOOKUP(TRANSHARI11_HYDROPAGI[[#This Row],[PRODUK]],DATA_HYDRO[],13,FALSE),"")</f>
        <v/>
      </c>
      <c r="E361" s="374"/>
      <c r="F361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1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1" s="12"/>
      <c r="I361" s="386" t="str">
        <f>IFERROR(IF(TRANSHARI11_HYDROPAGI[[#This Row],[NAMA REKENING]]="","",TRANSHARI11_HYDROPAGI[[#This Row],[DEBIT]]),"")</f>
        <v/>
      </c>
      <c r="J361" s="387"/>
      <c r="O361" s="324"/>
      <c r="P361" s="367">
        <v>12</v>
      </c>
      <c r="Q361" s="368"/>
      <c r="R361" s="372"/>
      <c r="S361" s="373" t="str">
        <f>IFERROR(VLOOKUP(TRANSHARI11_HYDROMALAM[[#This Row],[PRODUK]],DATA_HYDRO[],13,FALSE),"")</f>
        <v/>
      </c>
      <c r="T361" s="374"/>
      <c r="U361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1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1" s="12"/>
      <c r="X361" s="386" t="str">
        <f>IFERROR(IF(TRANSHARI11_HYDROMALAM[[#This Row],[NAMA REKENING]]="","",TRANSHARI11_HYDROMALAM[[#This Row],[DEBIT]]),"")</f>
        <v/>
      </c>
      <c r="Y361" s="387"/>
    </row>
    <row r="362" spans="1:25">
      <c r="A362" s="367">
        <v>13</v>
      </c>
      <c r="B362" s="368"/>
      <c r="C362" s="372"/>
      <c r="D362" s="369" t="str">
        <f>IFERROR(VLOOKUP(TRANSHARI11_HYDROPAGI[[#This Row],[PRODUK]],DATA_HYDRO[],13,FALSE),"")</f>
        <v/>
      </c>
      <c r="E362" s="374"/>
      <c r="F362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2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2" s="12"/>
      <c r="I362" s="384" t="str">
        <f>IFERROR(IF(TRANSHARI11_HYDROPAGI[[#This Row],[NAMA REKENING]]="","",TRANSHARI11_HYDROPAGI[[#This Row],[DEBIT]]),"")</f>
        <v/>
      </c>
      <c r="J362" s="387"/>
      <c r="O362" s="324"/>
      <c r="P362" s="367">
        <v>13</v>
      </c>
      <c r="Q362" s="368"/>
      <c r="R362" s="372"/>
      <c r="S362" s="369" t="str">
        <f>IFERROR(VLOOKUP(TRANSHARI11_HYDROMALAM[[#This Row],[PRODUK]],DATA_HYDRO[],13,FALSE),"")</f>
        <v/>
      </c>
      <c r="T362" s="374"/>
      <c r="U362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2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2" s="12"/>
      <c r="X362" s="384" t="str">
        <f>IFERROR(IF(TRANSHARI11_HYDROMALAM[[#This Row],[NAMA REKENING]]="","",TRANSHARI11_HYDROMALAM[[#This Row],[DEBIT]]),"")</f>
        <v/>
      </c>
      <c r="Y362" s="387"/>
    </row>
    <row r="363" ht="14.45" customHeight="1" spans="1:25">
      <c r="A363" s="367">
        <v>14</v>
      </c>
      <c r="B363" s="368"/>
      <c r="C363" s="372"/>
      <c r="D363" s="373" t="str">
        <f>IFERROR(VLOOKUP(TRANSHARI11_HYDROPAGI[[#This Row],[PRODUK]],DATA_HYDRO[],13,FALSE),"")</f>
        <v/>
      </c>
      <c r="E363" s="374"/>
      <c r="F363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3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3" s="12"/>
      <c r="I363" s="386" t="str">
        <f>IFERROR(IF(TRANSHARI11_HYDROPAGI[[#This Row],[NAMA REKENING]]="","",TRANSHARI11_HYDROPAGI[[#This Row],[DEBIT]]),"")</f>
        <v/>
      </c>
      <c r="J363" s="387"/>
      <c r="O363" s="324"/>
      <c r="P363" s="367">
        <v>14</v>
      </c>
      <c r="Q363" s="368"/>
      <c r="R363" s="372"/>
      <c r="S363" s="373" t="str">
        <f>IFERROR(VLOOKUP(TRANSHARI11_HYDROMALAM[[#This Row],[PRODUK]],DATA_HYDRO[],13,FALSE),"")</f>
        <v/>
      </c>
      <c r="T363" s="374"/>
      <c r="U363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3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3" s="12"/>
      <c r="X363" s="386" t="str">
        <f>IFERROR(IF(TRANSHARI11_HYDROMALAM[[#This Row],[NAMA REKENING]]="","",TRANSHARI11_HYDROMALAM[[#This Row],[DEBIT]]),"")</f>
        <v/>
      </c>
      <c r="Y363" s="387"/>
    </row>
    <row r="364" ht="15" customHeight="1" spans="1:25">
      <c r="A364" s="367">
        <v>15</v>
      </c>
      <c r="B364" s="368"/>
      <c r="C364" s="372"/>
      <c r="D364" s="369" t="str">
        <f>IFERROR(VLOOKUP(TRANSHARI11_HYDROPAGI[[#This Row],[PRODUK]],DATA_HYDRO[],13,FALSE),"")</f>
        <v/>
      </c>
      <c r="E364" s="374"/>
      <c r="F364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4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4" s="12"/>
      <c r="I364" s="384" t="str">
        <f>IFERROR(IF(TRANSHARI11_HYDROPAGI[[#This Row],[NAMA REKENING]]="","",TRANSHARI11_HYDROPAGI[[#This Row],[DEBIT]]),"")</f>
        <v/>
      </c>
      <c r="J364" s="387"/>
      <c r="O364" s="324"/>
      <c r="P364" s="367">
        <v>15</v>
      </c>
      <c r="Q364" s="368"/>
      <c r="R364" s="372"/>
      <c r="S364" s="369" t="str">
        <f>IFERROR(VLOOKUP(TRANSHARI11_HYDROMALAM[[#This Row],[PRODUK]],DATA_HYDRO[],13,FALSE),"")</f>
        <v/>
      </c>
      <c r="T364" s="374"/>
      <c r="U364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4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4" s="12"/>
      <c r="X364" s="384" t="str">
        <f>IFERROR(IF(TRANSHARI11_HYDROMALAM[[#This Row],[NAMA REKENING]]="","",TRANSHARI11_HYDROMALAM[[#This Row],[DEBIT]]),"")</f>
        <v/>
      </c>
      <c r="Y364" s="387"/>
    </row>
    <row r="365" ht="14.45" customHeight="1" spans="1:25">
      <c r="A365" s="367">
        <v>16</v>
      </c>
      <c r="B365" s="368"/>
      <c r="C365" s="372"/>
      <c r="D365" s="373" t="str">
        <f>IFERROR(VLOOKUP(TRANSHARI11_HYDROPAGI[[#This Row],[PRODUK]],DATA_HYDRO[],13,FALSE),"")</f>
        <v/>
      </c>
      <c r="E365" s="374"/>
      <c r="F365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5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5" s="12"/>
      <c r="I365" s="386" t="str">
        <f>IFERROR(IF(TRANSHARI11_HYDROPAGI[[#This Row],[NAMA REKENING]]="","",TRANSHARI11_HYDROPAGI[[#This Row],[DEBIT]]),"")</f>
        <v/>
      </c>
      <c r="J365" s="387"/>
      <c r="O365" s="324"/>
      <c r="P365" s="367">
        <v>16</v>
      </c>
      <c r="Q365" s="368"/>
      <c r="R365" s="372"/>
      <c r="S365" s="373" t="str">
        <f>IFERROR(VLOOKUP(TRANSHARI11_HYDROMALAM[[#This Row],[PRODUK]],DATA_HYDRO[],13,FALSE),"")</f>
        <v/>
      </c>
      <c r="T365" s="374"/>
      <c r="U365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5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5" s="12"/>
      <c r="X365" s="386" t="str">
        <f>IFERROR(IF(TRANSHARI11_HYDROMALAM[[#This Row],[NAMA REKENING]]="","",TRANSHARI11_HYDROMALAM[[#This Row],[DEBIT]]),"")</f>
        <v/>
      </c>
      <c r="Y365" s="387"/>
    </row>
    <row r="366" ht="15" customHeight="1" spans="1:25">
      <c r="A366" s="367">
        <v>17</v>
      </c>
      <c r="B366" s="368"/>
      <c r="C366" s="372"/>
      <c r="D366" s="369" t="str">
        <f>IFERROR(VLOOKUP(TRANSHARI11_HYDROPAGI[[#This Row],[PRODUK]],DATA_HYDRO[],13,FALSE),"")</f>
        <v/>
      </c>
      <c r="E366" s="374"/>
      <c r="F366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6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6" s="12"/>
      <c r="I366" s="384" t="str">
        <f>IFERROR(IF(TRANSHARI11_HYDROPAGI[[#This Row],[NAMA REKENING]]="","",TRANSHARI11_HYDROPAGI[[#This Row],[DEBIT]]),"")</f>
        <v/>
      </c>
      <c r="J366" s="387"/>
      <c r="O366" s="324"/>
      <c r="P366" s="367">
        <v>17</v>
      </c>
      <c r="Q366" s="368"/>
      <c r="R366" s="372"/>
      <c r="S366" s="369" t="str">
        <f>IFERROR(VLOOKUP(TRANSHARI11_HYDROMALAM[[#This Row],[PRODUK]],DATA_HYDRO[],13,FALSE),"")</f>
        <v/>
      </c>
      <c r="T366" s="374"/>
      <c r="U366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6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6" s="12"/>
      <c r="X366" s="384" t="str">
        <f>IFERROR(IF(TRANSHARI11_HYDROMALAM[[#This Row],[NAMA REKENING]]="","",TRANSHARI11_HYDROMALAM[[#This Row],[DEBIT]]),"")</f>
        <v/>
      </c>
      <c r="Y366" s="387"/>
    </row>
    <row r="367" spans="1:25">
      <c r="A367" s="367">
        <v>18</v>
      </c>
      <c r="B367" s="368"/>
      <c r="C367" s="372"/>
      <c r="D367" s="373" t="str">
        <f>IFERROR(VLOOKUP(TRANSHARI11_HYDROPAGI[[#This Row],[PRODUK]],DATA_HYDRO[],13,FALSE),"")</f>
        <v/>
      </c>
      <c r="E367" s="374"/>
      <c r="F367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7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7" s="12"/>
      <c r="I367" s="386" t="str">
        <f>IFERROR(IF(TRANSHARI11_HYDROPAGI[[#This Row],[NAMA REKENING]]="","",TRANSHARI11_HYDROPAGI[[#This Row],[DEBIT]]),"")</f>
        <v/>
      </c>
      <c r="J367" s="387"/>
      <c r="O367" s="324"/>
      <c r="P367" s="367">
        <v>18</v>
      </c>
      <c r="Q367" s="368"/>
      <c r="R367" s="372"/>
      <c r="S367" s="373" t="str">
        <f>IFERROR(VLOOKUP(TRANSHARI11_HYDROMALAM[[#This Row],[PRODUK]],DATA_HYDRO[],13,FALSE),"")</f>
        <v/>
      </c>
      <c r="T367" s="374"/>
      <c r="U367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7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7" s="12"/>
      <c r="X367" s="386" t="str">
        <f>IFERROR(IF(TRANSHARI11_HYDROMALAM[[#This Row],[NAMA REKENING]]="","",TRANSHARI11_HYDROMALAM[[#This Row],[DEBIT]]),"")</f>
        <v/>
      </c>
      <c r="Y367" s="387"/>
    </row>
    <row r="368" spans="1:25">
      <c r="A368" s="367">
        <v>19</v>
      </c>
      <c r="B368" s="368"/>
      <c r="C368" s="372"/>
      <c r="D368" s="369" t="str">
        <f>IFERROR(VLOOKUP(TRANSHARI11_HYDROPAGI[[#This Row],[PRODUK]],DATA_HYDRO[],13,FALSE),"")</f>
        <v/>
      </c>
      <c r="E368" s="374"/>
      <c r="F368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8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8" s="12"/>
      <c r="I368" s="384" t="str">
        <f>IFERROR(IF(TRANSHARI11_HYDROPAGI[[#This Row],[NAMA REKENING]]="","",TRANSHARI11_HYDROPAGI[[#This Row],[DEBIT]]),"")</f>
        <v/>
      </c>
      <c r="J368" s="387"/>
      <c r="O368" s="324"/>
      <c r="P368" s="367">
        <v>19</v>
      </c>
      <c r="Q368" s="368"/>
      <c r="R368" s="372"/>
      <c r="S368" s="369" t="str">
        <f>IFERROR(VLOOKUP(TRANSHARI11_HYDROMALAM[[#This Row],[PRODUK]],DATA_HYDRO[],13,FALSE),"")</f>
        <v/>
      </c>
      <c r="T368" s="374"/>
      <c r="U368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8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8" s="12"/>
      <c r="X368" s="384" t="str">
        <f>IFERROR(IF(TRANSHARI11_HYDROMALAM[[#This Row],[NAMA REKENING]]="","",TRANSHARI11_HYDROMALAM[[#This Row],[DEBIT]]),"")</f>
        <v/>
      </c>
      <c r="Y368" s="387"/>
    </row>
    <row r="369" spans="1:25">
      <c r="A369" s="367">
        <v>20</v>
      </c>
      <c r="B369" s="368"/>
      <c r="C369" s="372"/>
      <c r="D369" s="373" t="str">
        <f>IFERROR(VLOOKUP(TRANSHARI11_HYDROPAGI[[#This Row],[PRODUK]],DATA_HYDRO[],13,FALSE),"")</f>
        <v/>
      </c>
      <c r="E369" s="374"/>
      <c r="F369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69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69" s="12"/>
      <c r="I369" s="386" t="str">
        <f>IFERROR(IF(TRANSHARI11_HYDROPAGI[[#This Row],[NAMA REKENING]]="","",TRANSHARI11_HYDROPAGI[[#This Row],[DEBIT]]),"")</f>
        <v/>
      </c>
      <c r="J369" s="387"/>
      <c r="O369" s="324"/>
      <c r="P369" s="367">
        <v>20</v>
      </c>
      <c r="Q369" s="368"/>
      <c r="R369" s="372"/>
      <c r="S369" s="373" t="str">
        <f>IFERROR(VLOOKUP(TRANSHARI11_HYDROMALAM[[#This Row],[PRODUK]],DATA_HYDRO[],13,FALSE),"")</f>
        <v/>
      </c>
      <c r="T369" s="374"/>
      <c r="U369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69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69" s="12"/>
      <c r="X369" s="386" t="str">
        <f>IFERROR(IF(TRANSHARI11_HYDROMALAM[[#This Row],[NAMA REKENING]]="","",TRANSHARI11_HYDROMALAM[[#This Row],[DEBIT]]),"")</f>
        <v/>
      </c>
      <c r="Y369" s="387"/>
    </row>
    <row r="370" ht="17.25" spans="1:25">
      <c r="A370" s="367">
        <v>21</v>
      </c>
      <c r="B370" s="368"/>
      <c r="C370" s="372"/>
      <c r="D370" s="369" t="str">
        <f>IFERROR(VLOOKUP(TRANSHARI11_HYDROPAGI[[#This Row],[PRODUK]],DATA_HYDRO[],13,FALSE),"")</f>
        <v/>
      </c>
      <c r="E370" s="374"/>
      <c r="F370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0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0" s="12"/>
      <c r="I370" s="384" t="str">
        <f>IFERROR(IF(TRANSHARI11_HYDROPAGI[[#This Row],[NAMA REKENING]]="","",TRANSHARI11_HYDROPAGI[[#This Row],[DEBIT]]),"")</f>
        <v/>
      </c>
      <c r="J370" s="387"/>
      <c r="O370" s="324"/>
      <c r="P370" s="367">
        <v>21</v>
      </c>
      <c r="Q370" s="368"/>
      <c r="R370" s="372"/>
      <c r="S370" s="369" t="str">
        <f>IFERROR(VLOOKUP(TRANSHARI11_HYDROMALAM[[#This Row],[PRODUK]],DATA_HYDRO[],13,FALSE),"")</f>
        <v/>
      </c>
      <c r="T370" s="374"/>
      <c r="U370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0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0" s="12"/>
      <c r="X370" s="384" t="str">
        <f>IFERROR(IF(TRANSHARI11_HYDROMALAM[[#This Row],[NAMA REKENING]]="","",TRANSHARI11_HYDROMALAM[[#This Row],[DEBIT]]),"")</f>
        <v/>
      </c>
      <c r="Y370" s="387"/>
    </row>
    <row r="371" spans="1:27">
      <c r="A371" s="367">
        <v>22</v>
      </c>
      <c r="B371" s="368"/>
      <c r="C371" s="372"/>
      <c r="D371" s="373" t="str">
        <f>IFERROR(VLOOKUP(TRANSHARI11_HYDROPAGI[[#This Row],[PRODUK]],DATA_HYDRO[],13,FALSE),"")</f>
        <v/>
      </c>
      <c r="E371" s="374"/>
      <c r="F371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1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1" s="12"/>
      <c r="I371" s="386" t="str">
        <f>IFERROR(IF(TRANSHARI11_HYDROPAGI[[#This Row],[NAMA REKENING]]="","",TRANSHARI11_HYDROPAGI[[#This Row],[DEBIT]]),"")</f>
        <v/>
      </c>
      <c r="J371" s="387"/>
      <c r="O371" s="324"/>
      <c r="P371" s="367">
        <v>22</v>
      </c>
      <c r="Q371" s="368"/>
      <c r="R371" s="372"/>
      <c r="S371" s="373" t="str">
        <f>IFERROR(VLOOKUP(TRANSHARI11_HYDROMALAM[[#This Row],[PRODUK]],DATA_HYDRO[],13,FALSE),"")</f>
        <v/>
      </c>
      <c r="T371" s="374"/>
      <c r="U371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1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1" s="12"/>
      <c r="X371" s="386" t="str">
        <f>IFERROR(IF(TRANSHARI11_HYDROMALAM[[#This Row],[NAMA REKENING]]="","",TRANSHARI11_HYDROMALAM[[#This Row],[DEBIT]]),"")</f>
        <v/>
      </c>
      <c r="Y371" s="387"/>
      <c r="Z371" s="302" t="s">
        <v>117</v>
      </c>
      <c r="AA371" s="316"/>
    </row>
    <row r="372" ht="17.25" spans="1:27">
      <c r="A372" s="367">
        <v>23</v>
      </c>
      <c r="B372" s="368"/>
      <c r="C372" s="372"/>
      <c r="D372" s="369" t="str">
        <f>IFERROR(VLOOKUP(TRANSHARI11_HYDROPAGI[[#This Row],[PRODUK]],DATA_HYDRO[],13,FALSE),"")</f>
        <v/>
      </c>
      <c r="E372" s="374"/>
      <c r="F372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2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2" s="12"/>
      <c r="I372" s="384" t="str">
        <f>IFERROR(IF(TRANSHARI11_HYDROPAGI[[#This Row],[NAMA REKENING]]="","",TRANSHARI11_HYDROPAGI[[#This Row],[DEBIT]]),"")</f>
        <v/>
      </c>
      <c r="J372" s="387"/>
      <c r="O372" s="324"/>
      <c r="P372" s="367">
        <v>23</v>
      </c>
      <c r="Q372" s="368"/>
      <c r="R372" s="372"/>
      <c r="S372" s="369" t="str">
        <f>IFERROR(VLOOKUP(TRANSHARI11_HYDROMALAM[[#This Row],[PRODUK]],DATA_HYDRO[],13,FALSE),"")</f>
        <v/>
      </c>
      <c r="T372" s="374"/>
      <c r="U372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2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2" s="12"/>
      <c r="X372" s="384" t="str">
        <f>IFERROR(IF(TRANSHARI11_HYDROMALAM[[#This Row],[NAMA REKENING]]="","",TRANSHARI11_HYDROMALAM[[#This Row],[DEBIT]]),"")</f>
        <v/>
      </c>
      <c r="Y372" s="387"/>
      <c r="Z372" s="306"/>
      <c r="AA372" s="321"/>
    </row>
    <row r="373" spans="1:27">
      <c r="A373" s="367">
        <v>24</v>
      </c>
      <c r="B373" s="368"/>
      <c r="C373" s="372"/>
      <c r="D373" s="373" t="str">
        <f>IFERROR(VLOOKUP(TRANSHARI11_HYDROPAGI[[#This Row],[PRODUK]],DATA_HYDRO[],13,FALSE),"")</f>
        <v/>
      </c>
      <c r="E373" s="374"/>
      <c r="F373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3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3" s="12"/>
      <c r="I373" s="386" t="str">
        <f>IFERROR(IF(TRANSHARI11_HYDROPAGI[[#This Row],[NAMA REKENING]]="","",TRANSHARI11_HYDROPAGI[[#This Row],[DEBIT]]),"")</f>
        <v/>
      </c>
      <c r="J373" s="387"/>
      <c r="O373" s="324"/>
      <c r="P373" s="367">
        <v>24</v>
      </c>
      <c r="Q373" s="368"/>
      <c r="R373" s="372"/>
      <c r="S373" s="373" t="str">
        <f>IFERROR(VLOOKUP(TRANSHARI11_HYDROMALAM[[#This Row],[PRODUK]],DATA_HYDRO[],13,FALSE),"")</f>
        <v/>
      </c>
      <c r="T373" s="374"/>
      <c r="U373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3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3" s="12"/>
      <c r="X373" s="386" t="str">
        <f>IFERROR(IF(TRANSHARI11_HYDROMALAM[[#This Row],[NAMA REKENING]]="","",TRANSHARI11_HYDROMALAM[[#This Row],[DEBIT]]),"")</f>
        <v/>
      </c>
      <c r="Y373" s="387"/>
      <c r="Z373" s="389">
        <f>U380+V380</f>
        <v>0</v>
      </c>
      <c r="AA373" s="390"/>
    </row>
    <row r="374" ht="17.25" spans="1:27">
      <c r="A374" s="367">
        <v>25</v>
      </c>
      <c r="B374" s="368"/>
      <c r="C374" s="372"/>
      <c r="D374" s="369" t="str">
        <f>IFERROR(VLOOKUP(TRANSHARI11_HYDROPAGI[[#This Row],[PRODUK]],DATA_HYDRO[],13,FALSE),"")</f>
        <v/>
      </c>
      <c r="E374" s="374"/>
      <c r="F374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4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4" s="12"/>
      <c r="I374" s="384" t="str">
        <f>IFERROR(IF(TRANSHARI11_HYDROPAGI[[#This Row],[NAMA REKENING]]="","",TRANSHARI11_HYDROPAGI[[#This Row],[DEBIT]]),"")</f>
        <v/>
      </c>
      <c r="J374" s="387"/>
      <c r="O374" s="324"/>
      <c r="P374" s="367">
        <v>25</v>
      </c>
      <c r="Q374" s="368"/>
      <c r="R374" s="372"/>
      <c r="S374" s="369" t="str">
        <f>IFERROR(VLOOKUP(TRANSHARI11_HYDROMALAM[[#This Row],[PRODUK]],DATA_HYDRO[],13,FALSE),"")</f>
        <v/>
      </c>
      <c r="T374" s="374"/>
      <c r="U374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4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4" s="12"/>
      <c r="X374" s="384" t="str">
        <f>IFERROR(IF(TRANSHARI11_HYDROMALAM[[#This Row],[NAMA REKENING]]="","",TRANSHARI11_HYDROMALAM[[#This Row],[DEBIT]]),"")</f>
        <v/>
      </c>
      <c r="Y374" s="387"/>
      <c r="Z374" s="391"/>
      <c r="AA374" s="392"/>
    </row>
    <row r="375" ht="17.25" spans="1:25">
      <c r="A375" s="367">
        <v>26</v>
      </c>
      <c r="B375" s="368"/>
      <c r="C375" s="375"/>
      <c r="D375" s="373" t="str">
        <f>IFERROR(VLOOKUP(TRANSHARI11_HYDROPAGI[[#This Row],[PRODUK]],DATA_HYDRO[],13,FALSE),"")</f>
        <v/>
      </c>
      <c r="E375" s="376"/>
      <c r="F375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5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5" s="377"/>
      <c r="I375" s="386" t="str">
        <f>IFERROR(IF(TRANSHARI11_HYDROPAGI[[#This Row],[NAMA REKENING]]="","",TRANSHARI11_HYDROPAGI[[#This Row],[DEBIT]]),"")</f>
        <v/>
      </c>
      <c r="J375" s="388"/>
      <c r="O375" s="324"/>
      <c r="P375" s="367">
        <v>26</v>
      </c>
      <c r="Q375" s="368"/>
      <c r="R375" s="375"/>
      <c r="S375" s="373" t="str">
        <f>IFERROR(VLOOKUP(TRANSHARI11_HYDROMALAM[[#This Row],[PRODUK]],DATA_HYDRO[],13,FALSE),"")</f>
        <v/>
      </c>
      <c r="T375" s="376"/>
      <c r="U375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5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5" s="377"/>
      <c r="X375" s="386" t="str">
        <f>IFERROR(IF(TRANSHARI11_HYDROMALAM[[#This Row],[NAMA REKENING]]="","",TRANSHARI11_HYDROMALAM[[#This Row],[DEBIT]]),"")</f>
        <v/>
      </c>
      <c r="Y375" s="388"/>
    </row>
    <row r="376" spans="1:27">
      <c r="A376" s="367">
        <v>27</v>
      </c>
      <c r="B376" s="368"/>
      <c r="C376" s="372"/>
      <c r="D376" s="369" t="str">
        <f>IFERROR(VLOOKUP(TRANSHARI11_HYDROPAGI[[#This Row],[PRODUK]],DATA_HYDRO[],13,FALSE),"")</f>
        <v/>
      </c>
      <c r="E376" s="374"/>
      <c r="F376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6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6" s="12"/>
      <c r="I376" s="384" t="str">
        <f>IFERROR(IF(TRANSHARI11_HYDROPAGI[[#This Row],[NAMA REKENING]]="","",TRANSHARI11_HYDROPAGI[[#This Row],[DEBIT]]),"")</f>
        <v/>
      </c>
      <c r="J376" s="387"/>
      <c r="K376" s="302" t="s">
        <v>117</v>
      </c>
      <c r="L376" s="316"/>
      <c r="O376" s="324"/>
      <c r="P376" s="367">
        <v>27</v>
      </c>
      <c r="Q376" s="368"/>
      <c r="R376" s="372"/>
      <c r="S376" s="369" t="str">
        <f>IFERROR(VLOOKUP(TRANSHARI11_HYDROMALAM[[#This Row],[PRODUK]],DATA_HYDRO[],13,FALSE),"")</f>
        <v/>
      </c>
      <c r="T376" s="374"/>
      <c r="U376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6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6" s="12"/>
      <c r="X376" s="384" t="str">
        <f>IFERROR(IF(TRANSHARI11_HYDROMALAM[[#This Row],[NAMA REKENING]]="","",TRANSHARI11_HYDROMALAM[[#This Row],[DEBIT]]),"")</f>
        <v/>
      </c>
      <c r="Y376" s="387"/>
      <c r="Z376" s="302" t="s">
        <v>118</v>
      </c>
      <c r="AA376" s="316"/>
    </row>
    <row r="377" ht="17.25" spans="1:27">
      <c r="A377" s="367">
        <v>28</v>
      </c>
      <c r="B377" s="368"/>
      <c r="C377" s="372"/>
      <c r="D377" s="373" t="str">
        <f>IFERROR(VLOOKUP(TRANSHARI11_HYDROPAGI[[#This Row],[PRODUK]],DATA_HYDRO[],13,FALSE),"")</f>
        <v/>
      </c>
      <c r="E377" s="374"/>
      <c r="F377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7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7" s="12"/>
      <c r="I377" s="386" t="str">
        <f>IFERROR(IF(TRANSHARI11_HYDROPAGI[[#This Row],[NAMA REKENING]]="","",TRANSHARI11_HYDROPAGI[[#This Row],[DEBIT]]),"")</f>
        <v/>
      </c>
      <c r="J377" s="387"/>
      <c r="K377" s="306"/>
      <c r="L377" s="321"/>
      <c r="O377" s="324"/>
      <c r="P377" s="367">
        <v>28</v>
      </c>
      <c r="Q377" s="368"/>
      <c r="R377" s="372"/>
      <c r="S377" s="373" t="str">
        <f>IFERROR(VLOOKUP(TRANSHARI11_HYDROMALAM[[#This Row],[PRODUK]],DATA_HYDRO[],13,FALSE),"")</f>
        <v/>
      </c>
      <c r="T377" s="374"/>
      <c r="U377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7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7" s="12"/>
      <c r="X377" s="386" t="str">
        <f>IFERROR(IF(TRANSHARI11_HYDROMALAM[[#This Row],[NAMA REKENING]]="","",TRANSHARI11_HYDROMALAM[[#This Row],[DEBIT]]),"")</f>
        <v/>
      </c>
      <c r="Y377" s="387"/>
      <c r="Z377" s="306"/>
      <c r="AA377" s="321"/>
    </row>
    <row r="378" spans="1:27">
      <c r="A378" s="367">
        <v>29</v>
      </c>
      <c r="B378" s="368"/>
      <c r="C378" s="372"/>
      <c r="D378" s="369" t="str">
        <f>IFERROR(VLOOKUP(TRANSHARI11_HYDROPAGI[[#This Row],[PRODUK]],DATA_HYDRO[],13,FALSE),"")</f>
        <v/>
      </c>
      <c r="E378" s="374"/>
      <c r="F378" s="369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8" s="369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8" s="12"/>
      <c r="I378" s="384" t="str">
        <f>IFERROR(IF(TRANSHARI11_HYDROPAGI[[#This Row],[NAMA REKENING]]="","",TRANSHARI11_HYDROPAGI[[#This Row],[DEBIT]]),"")</f>
        <v/>
      </c>
      <c r="J378" s="387"/>
      <c r="K378" s="389">
        <f>F380+G380</f>
        <v>0</v>
      </c>
      <c r="L378" s="390"/>
      <c r="O378" s="324"/>
      <c r="P378" s="367">
        <v>29</v>
      </c>
      <c r="Q378" s="368"/>
      <c r="R378" s="372"/>
      <c r="S378" s="369" t="str">
        <f>IFERROR(VLOOKUP(TRANSHARI11_HYDROMALAM[[#This Row],[PRODUK]],DATA_HYDRO[],13,FALSE),"")</f>
        <v/>
      </c>
      <c r="T378" s="374"/>
      <c r="U378" s="369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8" s="369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8" s="12"/>
      <c r="X378" s="384" t="str">
        <f>IFERROR(IF(TRANSHARI11_HYDROMALAM[[#This Row],[NAMA REKENING]]="","",TRANSHARI11_HYDROMALAM[[#This Row],[DEBIT]]),"")</f>
        <v/>
      </c>
      <c r="Y378" s="387"/>
      <c r="Z378" s="400">
        <f>K378+Z373</f>
        <v>0</v>
      </c>
      <c r="AA378" s="401"/>
    </row>
    <row r="379" ht="17.25" spans="1:27">
      <c r="A379" s="367">
        <v>30</v>
      </c>
      <c r="B379" s="368"/>
      <c r="C379" s="372"/>
      <c r="D379" s="373" t="str">
        <f>IFERROR(VLOOKUP(TRANSHARI11_HYDROPAGI[[#This Row],[PRODUK]],DATA_HYDRO[],13,FALSE),"")</f>
        <v/>
      </c>
      <c r="E379" s="374"/>
      <c r="F379" s="373" t="str">
        <f>IFERROR(IF(TRANSHARI11_HYDROPAGI[[#This Row],[NAMA PENGHUTANG]]="",((TRANSHARI11_HYDROPAGI[[#This Row],[HARGA]]*TRANSHARI11_HYDROPAGI[[#This Row],[QUANTITY]])+TRANSHARI11_HYDROPAGI[[#This Row],[PRICE TOLERANCE]]),""),"")</f>
        <v/>
      </c>
      <c r="G379" s="373" t="str">
        <f>IFERROR(IF(TRANSHARI11_HYDROPAGI[[#This Row],[NAMA PENGHUTANG]]="","",((TRANSHARI11_HYDROPAGI[[#This Row],[HARGA]]*TRANSHARI11_HYDROPAGI[[#This Row],[QUANTITY]])+TRANSHARI11_HYDROPAGI[[#This Row],[PRICE TOLERANCE]])),"")</f>
        <v/>
      </c>
      <c r="H379" s="12"/>
      <c r="I379" s="386" t="str">
        <f>IFERROR(IF(TRANSHARI11_HYDROPAGI[[#This Row],[NAMA REKENING]]="","",TRANSHARI11_HYDROPAGI[[#This Row],[DEBIT]]),"")</f>
        <v/>
      </c>
      <c r="J379" s="387"/>
      <c r="K379" s="391"/>
      <c r="L379" s="392"/>
      <c r="O379" s="324"/>
      <c r="P379" s="367">
        <v>30</v>
      </c>
      <c r="Q379" s="368"/>
      <c r="R379" s="372"/>
      <c r="S379" s="373" t="str">
        <f>IFERROR(VLOOKUP(TRANSHARI11_HYDROMALAM[[#This Row],[PRODUK]],DATA_HYDRO[],13,FALSE),"")</f>
        <v/>
      </c>
      <c r="T379" s="374"/>
      <c r="U379" s="373" t="str">
        <f>IFERROR(IF(TRANSHARI11_HYDROMALAM[[#This Row],[NAMA PENGHUTANG]]="",((TRANSHARI11_HYDROMALAM[[#This Row],[HARGA]]*TRANSHARI11_HYDROMALAM[[#This Row],[QUANTITY]])+TRANSHARI11_HYDROMALAM[[#This Row],[PRICE TOLERANCE]]),""),"")</f>
        <v/>
      </c>
      <c r="V379" s="373" t="str">
        <f>IFERROR(IF(TRANSHARI11_HYDROMALAM[[#This Row],[NAMA PENGHUTANG]]="","",((TRANSHARI11_HYDROMALAM[[#This Row],[HARGA]]*TRANSHARI11_HYDROMALAM[[#This Row],[QUANTITY]])+TRANSHARI11_HYDROMALAM[[#This Row],[PRICE TOLERANCE]])),"")</f>
        <v/>
      </c>
      <c r="W379" s="12"/>
      <c r="X379" s="386" t="str">
        <f>IFERROR(IF(TRANSHARI11_HYDROMALAM[[#This Row],[NAMA REKENING]]="","",TRANSHARI11_HYDROMALAM[[#This Row],[DEBIT]]),"")</f>
        <v/>
      </c>
      <c r="Y379" s="387"/>
      <c r="Z379" s="402"/>
      <c r="AA379" s="403"/>
    </row>
    <row r="380" spans="1:24">
      <c r="A380" s="302" t="s">
        <v>78</v>
      </c>
      <c r="B380" s="316"/>
      <c r="C380" s="395">
        <f>SUM(TRANSHARI11_HYDROPAGI[QUANTITY])</f>
        <v>0</v>
      </c>
      <c r="E380" s="398">
        <f>SUM(TRANSHARI11_HYDROPAGI[PRICE TOLERANCE])</f>
        <v>0</v>
      </c>
      <c r="F380" s="396">
        <f>SUM(TRANSHARI11_HYDROPAGI[DEBIT])</f>
        <v>0</v>
      </c>
      <c r="G380" s="396">
        <f>SUM(TRANSHARI11_HYDROPAGI[KREDIT])</f>
        <v>0</v>
      </c>
      <c r="I380" s="396">
        <f>SUM(TRANSHARI11_HYDROPAGI[NOMINAL TRANSFER])</f>
        <v>0</v>
      </c>
      <c r="O380" s="324"/>
      <c r="P380" s="303" t="s">
        <v>78</v>
      </c>
      <c r="Q380" s="316"/>
      <c r="R380" s="395">
        <f>SUM(TRANSHARI11_HYDROMALAM[QUANTITY])</f>
        <v>0</v>
      </c>
      <c r="T380" s="398">
        <f>SUM(TRANSHARI11_HYDROMALAM[PRICE TOLERANCE])</f>
        <v>0</v>
      </c>
      <c r="U380" s="396">
        <f>SUM(TRANSHARI11_HYDROMALAM[DEBIT])</f>
        <v>0</v>
      </c>
      <c r="V380" s="396">
        <f>SUM(TRANSHARI11_HYDROMALAM[KREDIT])</f>
        <v>0</v>
      </c>
      <c r="X380" s="396">
        <f>SUM(TRANSHARI11_HYDROMALAM[NOMINAL TRANSFER])</f>
        <v>0</v>
      </c>
    </row>
    <row r="381" ht="17.25" spans="1:24">
      <c r="A381" s="306"/>
      <c r="B381" s="321"/>
      <c r="C381" s="397"/>
      <c r="E381" s="404"/>
      <c r="F381" s="397"/>
      <c r="G381" s="397"/>
      <c r="I381" s="397"/>
      <c r="O381" s="324"/>
      <c r="P381" s="307"/>
      <c r="Q381" s="321"/>
      <c r="R381" s="397"/>
      <c r="T381" s="404"/>
      <c r="U381" s="397"/>
      <c r="V381" s="397"/>
      <c r="X381" s="397"/>
    </row>
    <row r="382" spans="15:15">
      <c r="O382" s="324"/>
    </row>
    <row r="383" ht="17.25" spans="15:15">
      <c r="O383" s="324"/>
    </row>
    <row r="384" ht="14.45" customHeight="1" spans="1:29">
      <c r="A384" s="405" t="s">
        <v>236</v>
      </c>
      <c r="B384" s="406"/>
      <c r="C384" s="407" t="s">
        <v>124</v>
      </c>
      <c r="D384" s="408" t="s">
        <v>121</v>
      </c>
      <c r="E384" s="409" t="s">
        <v>122</v>
      </c>
      <c r="F384" s="410"/>
      <c r="G384" s="410"/>
      <c r="H384" s="410"/>
      <c r="I384" s="410"/>
      <c r="J384" s="410"/>
      <c r="K384" s="410"/>
      <c r="L384" s="410"/>
      <c r="M384" s="411"/>
      <c r="N384" s="411"/>
      <c r="O384" s="324"/>
      <c r="P384" s="406" t="s">
        <v>237</v>
      </c>
      <c r="Q384" s="406"/>
      <c r="R384" s="407" t="s">
        <v>124</v>
      </c>
      <c r="S384" s="408" t="s">
        <v>121</v>
      </c>
      <c r="T384" s="409" t="s">
        <v>122</v>
      </c>
      <c r="U384" s="410"/>
      <c r="V384" s="410"/>
      <c r="W384" s="410"/>
      <c r="X384" s="410"/>
      <c r="Y384" s="410"/>
      <c r="Z384" s="410"/>
      <c r="AA384" s="410"/>
      <c r="AB384" s="410"/>
      <c r="AC384" s="412"/>
    </row>
    <row r="385" ht="15" customHeight="1" spans="1:29">
      <c r="A385" s="413"/>
      <c r="B385" s="414"/>
      <c r="C385" s="415"/>
      <c r="D385" s="416"/>
      <c r="E385" s="417"/>
      <c r="F385" s="418"/>
      <c r="G385" s="418"/>
      <c r="H385" s="418"/>
      <c r="I385" s="418"/>
      <c r="J385" s="418"/>
      <c r="K385" s="418"/>
      <c r="L385" s="418"/>
      <c r="M385" s="568"/>
      <c r="N385" s="568"/>
      <c r="O385" s="324"/>
      <c r="P385" s="414"/>
      <c r="Q385" s="414"/>
      <c r="R385" s="415"/>
      <c r="S385" s="416"/>
      <c r="T385" s="417"/>
      <c r="U385" s="418"/>
      <c r="V385" s="418"/>
      <c r="W385" s="418"/>
      <c r="X385" s="418"/>
      <c r="Y385" s="418"/>
      <c r="Z385" s="418"/>
      <c r="AA385" s="418"/>
      <c r="AB385" s="418"/>
      <c r="AC385" s="635"/>
    </row>
    <row r="386" ht="17.25" spans="1:29">
      <c r="A386" s="419"/>
      <c r="D386" s="420"/>
      <c r="O386" s="324"/>
      <c r="S386" s="420"/>
      <c r="AC386" s="636"/>
    </row>
    <row r="387" ht="20.25" customHeight="1" spans="1:29">
      <c r="A387" s="419"/>
      <c r="B387" s="421" t="s">
        <v>125</v>
      </c>
      <c r="C387" s="380"/>
      <c r="D387" s="380"/>
      <c r="E387" s="380"/>
      <c r="F387" s="380"/>
      <c r="G387" s="380"/>
      <c r="I387" s="569" t="s">
        <v>126</v>
      </c>
      <c r="J387" s="570"/>
      <c r="K387" s="570"/>
      <c r="L387" s="571"/>
      <c r="O387" s="324"/>
      <c r="Q387" s="421" t="s">
        <v>125</v>
      </c>
      <c r="R387" s="380"/>
      <c r="S387" s="380"/>
      <c r="T387" s="380"/>
      <c r="U387" s="380"/>
      <c r="V387" s="380"/>
      <c r="X387" s="569" t="s">
        <v>126</v>
      </c>
      <c r="Y387" s="570"/>
      <c r="Z387" s="570"/>
      <c r="AA387" s="571"/>
      <c r="AC387" s="636"/>
    </row>
    <row r="388" ht="20.25" customHeight="1" spans="1:29">
      <c r="A388" s="419"/>
      <c r="B388" s="421"/>
      <c r="C388" s="380"/>
      <c r="D388" s="380"/>
      <c r="E388" s="380"/>
      <c r="F388" s="380"/>
      <c r="G388" s="380"/>
      <c r="I388" s="572"/>
      <c r="J388" s="573"/>
      <c r="K388" s="573"/>
      <c r="L388" s="574"/>
      <c r="O388" s="324"/>
      <c r="Q388" s="421"/>
      <c r="R388" s="380"/>
      <c r="S388" s="380"/>
      <c r="T388" s="380"/>
      <c r="U388" s="380"/>
      <c r="V388" s="380"/>
      <c r="X388" s="572"/>
      <c r="Y388" s="573"/>
      <c r="Z388" s="573"/>
      <c r="AA388" s="574"/>
      <c r="AC388" s="636"/>
    </row>
    <row r="389" ht="20.25" customHeight="1" spans="1:29">
      <c r="A389" s="422"/>
      <c r="B389" s="423" t="s">
        <v>66</v>
      </c>
      <c r="C389" s="424" t="s">
        <v>16</v>
      </c>
      <c r="D389" s="425" t="s">
        <v>17</v>
      </c>
      <c r="E389" s="426" t="s">
        <v>127</v>
      </c>
      <c r="F389" s="427" t="s">
        <v>69</v>
      </c>
      <c r="G389" s="428" t="s">
        <v>128</v>
      </c>
      <c r="I389" s="575" t="s">
        <v>129</v>
      </c>
      <c r="J389" s="576"/>
      <c r="K389" s="577" t="s">
        <v>130</v>
      </c>
      <c r="L389" s="578"/>
      <c r="O389" s="324"/>
      <c r="P389" s="579"/>
      <c r="Q389" s="423" t="s">
        <v>66</v>
      </c>
      <c r="R389" s="424" t="s">
        <v>16</v>
      </c>
      <c r="S389" s="425" t="s">
        <v>17</v>
      </c>
      <c r="T389" s="426" t="s">
        <v>127</v>
      </c>
      <c r="U389" s="427" t="s">
        <v>69</v>
      </c>
      <c r="V389" s="428" t="s">
        <v>128</v>
      </c>
      <c r="X389" s="575" t="s">
        <v>129</v>
      </c>
      <c r="Y389" s="576"/>
      <c r="Z389" s="577" t="s">
        <v>130</v>
      </c>
      <c r="AA389" s="578"/>
      <c r="AC389" s="636"/>
    </row>
    <row r="390" ht="20.25" customHeight="1" spans="1:29">
      <c r="A390" s="422"/>
      <c r="B390" s="429" t="s">
        <v>131</v>
      </c>
      <c r="C390" s="430">
        <f>SUM(TRANSHARI11_PULSAPAGI[DEBIT])</f>
        <v>0</v>
      </c>
      <c r="D390" s="431">
        <f>SUM(TRANSHARI11_PULSAPAGI[KREDIT])</f>
        <v>0</v>
      </c>
      <c r="E390" s="432">
        <f>SUM(TRANSHARI11_PULSAPAGI[NOMINAL TRANSFER])</f>
        <v>0</v>
      </c>
      <c r="F390" s="433">
        <f>0</f>
        <v>0</v>
      </c>
      <c r="G390" s="434">
        <f>COUNTA(TRANSHARI11_PULSAPAGI[[DEBIT]:[KREDIT]])</f>
        <v>0</v>
      </c>
      <c r="I390" s="517" t="s">
        <v>8</v>
      </c>
      <c r="J390" s="580" t="s">
        <v>132</v>
      </c>
      <c r="K390" s="517" t="s">
        <v>8</v>
      </c>
      <c r="L390" s="580" t="s">
        <v>132</v>
      </c>
      <c r="O390" s="324"/>
      <c r="P390" s="579"/>
      <c r="Q390" s="429" t="s">
        <v>131</v>
      </c>
      <c r="R390" s="430">
        <f>SUM(TRANSHARI11_PULSAMALAM[DEBIT])</f>
        <v>0</v>
      </c>
      <c r="S390" s="431">
        <f>SUM(TRANSHARI11_PULSAMALAM[KREDIT])</f>
        <v>0</v>
      </c>
      <c r="T390" s="432">
        <f>SUM(TRANSHARI11_PULSAMALAM[NOMINAL TRANSFER])</f>
        <v>0</v>
      </c>
      <c r="U390" s="433">
        <f>0</f>
        <v>0</v>
      </c>
      <c r="V390" s="434">
        <f>COUNTA(TRANSHARI11_PULSAMALAM[[DEBIT]:[KREDIT]])</f>
        <v>0</v>
      </c>
      <c r="X390" s="517" t="s">
        <v>8</v>
      </c>
      <c r="Y390" s="580" t="s">
        <v>132</v>
      </c>
      <c r="Z390" s="517" t="s">
        <v>8</v>
      </c>
      <c r="AA390" s="580" t="s">
        <v>132</v>
      </c>
      <c r="AC390" s="636"/>
    </row>
    <row r="391" ht="20.25" customHeight="1" spans="1:29">
      <c r="A391" s="422"/>
      <c r="B391" s="429" t="s">
        <v>133</v>
      </c>
      <c r="C391" s="430">
        <f>SUM(TRANSHARI11_ROKOKPAGI[DEBIT])</f>
        <v>0</v>
      </c>
      <c r="D391" s="431">
        <f>SUM(TRANSHARI11_ROKOKPAGI[KREDIT])</f>
        <v>0</v>
      </c>
      <c r="E391" s="432">
        <f>SUM(TRANSHARI11_ROKOKPAGI[NOMINAL TRANSFER])</f>
        <v>0</v>
      </c>
      <c r="F391" s="433">
        <f>SUM(TRANSHARI11_ROKOKPAGI[PRICE TOLERANCE])</f>
        <v>0</v>
      </c>
      <c r="G391" s="434">
        <f>C135</f>
        <v>0</v>
      </c>
      <c r="I391" s="490"/>
      <c r="J391" s="581"/>
      <c r="K391" s="490"/>
      <c r="L391" s="581"/>
      <c r="O391" s="324"/>
      <c r="P391" s="579"/>
      <c r="Q391" s="429" t="s">
        <v>133</v>
      </c>
      <c r="R391" s="430">
        <f>SUM(TRANSHARI11_ROKOKMALAM[DEBIT])</f>
        <v>0</v>
      </c>
      <c r="S391" s="431">
        <f>SUM(TRANSHARI11_ROKOKMALAM[KREDIT])</f>
        <v>0</v>
      </c>
      <c r="T391" s="432">
        <f>SUM(TRANSHARI11_ROKOKMALAM[NOMINAL TRANSFER])</f>
        <v>0</v>
      </c>
      <c r="U391" s="433">
        <f>SUM(TRANSHARI11_ROKOKMALAM[PRICE TOLERANCE])</f>
        <v>0</v>
      </c>
      <c r="V391" s="434">
        <f>R135</f>
        <v>0</v>
      </c>
      <c r="X391" s="490"/>
      <c r="Y391" s="581"/>
      <c r="Z391" s="490"/>
      <c r="AA391" s="581"/>
      <c r="AC391" s="636"/>
    </row>
    <row r="392" ht="20.25" customHeight="1" spans="1:29">
      <c r="A392" s="422"/>
      <c r="B392" s="429" t="s">
        <v>134</v>
      </c>
      <c r="C392" s="430">
        <f>SUM(TRANSHARI11_SPVOUPAGI[DEBIT])</f>
        <v>0</v>
      </c>
      <c r="D392" s="431">
        <f>SUM(TRANSHARI11_SPVOUPAGI[KREDIT])</f>
        <v>0</v>
      </c>
      <c r="E392" s="432">
        <f>SUM(TRANSHARI11_SPVOUPAGI[NOMINAL TRANSFER])</f>
        <v>0</v>
      </c>
      <c r="F392" s="433">
        <f>SUM(TRANSHARI11_SPVOUPAGI[PRICE TOLERANCE])</f>
        <v>0</v>
      </c>
      <c r="G392" s="434">
        <f>C192</f>
        <v>0</v>
      </c>
      <c r="I392" s="490"/>
      <c r="J392" s="581"/>
      <c r="K392" s="490"/>
      <c r="L392" s="581"/>
      <c r="O392" s="324"/>
      <c r="P392" s="579"/>
      <c r="Q392" s="429" t="s">
        <v>134</v>
      </c>
      <c r="R392" s="430">
        <f>SUM(TRANSHARI11_SPVOUMALAM[DEBIT])</f>
        <v>0</v>
      </c>
      <c r="S392" s="431">
        <f>SUM(TRANSHARI11_SPVOUMALAM[KREDIT])</f>
        <v>0</v>
      </c>
      <c r="T392" s="432">
        <f>SUM(TRANSHARI11_SPVOUMALAM[NOMINAL TRANSFER])</f>
        <v>0</v>
      </c>
      <c r="U392" s="433">
        <f>SUM(TRANSHARI11_SPVOUMALAM[PRICE TOLERANCE])</f>
        <v>0</v>
      </c>
      <c r="V392" s="434">
        <f>R192</f>
        <v>0</v>
      </c>
      <c r="X392" s="490"/>
      <c r="Y392" s="581"/>
      <c r="Z392" s="490"/>
      <c r="AA392" s="581"/>
      <c r="AC392" s="636"/>
    </row>
    <row r="393" ht="20.25" customHeight="1" spans="1:29">
      <c r="A393" s="422"/>
      <c r="B393" s="429" t="s">
        <v>135</v>
      </c>
      <c r="C393" s="430">
        <f>SUM(TRANSHARI11_SOFTDRINKPAGI[DEBIT])</f>
        <v>0</v>
      </c>
      <c r="D393" s="431">
        <f>SUM(TRANSHARI11_SOFTDRINKPAGI[KREDIT])</f>
        <v>0</v>
      </c>
      <c r="E393" s="432">
        <f>SUM(TRANSHARI11_SOFTDRINKPAGI[NOMINAL TRANSFER])</f>
        <v>0</v>
      </c>
      <c r="F393" s="433">
        <f>SUM(TRANSHARI11_SOFTDRINKPAGI[PRICE TOLERANCE])</f>
        <v>0</v>
      </c>
      <c r="G393" s="434">
        <f>C249</f>
        <v>0</v>
      </c>
      <c r="I393" s="490"/>
      <c r="J393" s="581"/>
      <c r="K393" s="490"/>
      <c r="L393" s="581"/>
      <c r="O393" s="324"/>
      <c r="P393" s="579"/>
      <c r="Q393" s="429" t="s">
        <v>135</v>
      </c>
      <c r="R393" s="430">
        <f>SUM(TRANSHARI11_SOFTDRINKMALAM[DEBIT])</f>
        <v>0</v>
      </c>
      <c r="S393" s="431">
        <f>SUM(TRANSHARI11_SOFTDRINKMALAM[KREDIT])</f>
        <v>0</v>
      </c>
      <c r="T393" s="432">
        <f>SUM(TRANSHARI11_SOFTDRINKMALAM[NOMINAL TRANSFER])</f>
        <v>0</v>
      </c>
      <c r="U393" s="433">
        <f>SUM(TRANSHARI11_SOFTDRINKMALAM[PRICE TOLERANCE])</f>
        <v>0</v>
      </c>
      <c r="V393" s="434">
        <f>R249</f>
        <v>0</v>
      </c>
      <c r="X393" s="490"/>
      <c r="Y393" s="581"/>
      <c r="Z393" s="490"/>
      <c r="AA393" s="581"/>
      <c r="AC393" s="636"/>
    </row>
    <row r="394" ht="20.25" customHeight="1" spans="1:29">
      <c r="A394" s="422"/>
      <c r="B394" s="429" t="s">
        <v>137</v>
      </c>
      <c r="C394" s="430">
        <f>SUM(TRANSHARI11_ICECREAMPAGI[DEBIT])</f>
        <v>0</v>
      </c>
      <c r="D394" s="431">
        <f>SUM(TRANSHARI11_ICECREAMPAGI[KREDIT])</f>
        <v>0</v>
      </c>
      <c r="E394" s="432">
        <f>SUM(TRANSHARI11_ICECREAMPAGI[NOMINAL TRANSFER])</f>
        <v>0</v>
      </c>
      <c r="F394" s="433">
        <f>SUM(TRANSHARI11_ICECREAMPAGI[PRICE TOLERANCE])</f>
        <v>0</v>
      </c>
      <c r="G394" s="434">
        <f>C306</f>
        <v>0</v>
      </c>
      <c r="I394" s="490"/>
      <c r="J394" s="581"/>
      <c r="K394" s="490"/>
      <c r="L394" s="581"/>
      <c r="O394" s="324"/>
      <c r="P394" s="579"/>
      <c r="Q394" s="429" t="s">
        <v>137</v>
      </c>
      <c r="R394" s="430">
        <f>SUM(TRANSHARI11_ICECREAMMALAM[DEBIT])</f>
        <v>0</v>
      </c>
      <c r="S394" s="431">
        <f>SUM(TRANSHARI11_ICECREAMMALAM[KREDIT])</f>
        <v>0</v>
      </c>
      <c r="T394" s="432">
        <f>SUM(TRANSHARI11_ICECREAMMALAM[NOMINAL TRANSFER])</f>
        <v>0</v>
      </c>
      <c r="U394" s="433">
        <f>SUM(TRANSHARI11_ICECREAMMALAM[PRICE TOLERANCE])</f>
        <v>0</v>
      </c>
      <c r="V394" s="434">
        <f>R306</f>
        <v>0</v>
      </c>
      <c r="X394" s="490"/>
      <c r="Y394" s="581"/>
      <c r="Z394" s="490"/>
      <c r="AA394" s="581"/>
      <c r="AC394" s="636"/>
    </row>
    <row r="395" ht="20.25" customHeight="1" spans="1:29">
      <c r="A395" s="422"/>
      <c r="B395" s="429" t="s">
        <v>138</v>
      </c>
      <c r="C395" s="430">
        <f>SUM(TRANSHARI11_ACCPAGI[DEBIT])</f>
        <v>0</v>
      </c>
      <c r="D395" s="431">
        <f>SUM(TRANSHARI11_ACCPAGI[KREDIT])</f>
        <v>0</v>
      </c>
      <c r="E395" s="432">
        <f>SUM(TRANSHARI11_ACCPAGI[NOMINAL TRANSFER])</f>
        <v>0</v>
      </c>
      <c r="F395" s="433">
        <f>SUM(TRANSHARI11_ACCPAGI[PRICE TOLERANCE])</f>
        <v>0</v>
      </c>
      <c r="G395" s="434">
        <f>C343</f>
        <v>0</v>
      </c>
      <c r="I395" s="501"/>
      <c r="J395" s="582"/>
      <c r="K395" s="501"/>
      <c r="L395" s="582"/>
      <c r="O395" s="324"/>
      <c r="P395" s="579"/>
      <c r="Q395" s="429" t="s">
        <v>138</v>
      </c>
      <c r="R395" s="430">
        <f>SUM(TRANSHARI11_ACCMALAM[DEBIT])</f>
        <v>0</v>
      </c>
      <c r="S395" s="431">
        <f>SUM(TRANSHARI11_ACCMALAM[KREDIT])</f>
        <v>0</v>
      </c>
      <c r="T395" s="432">
        <f>SUM(TRANSHARI11_ACCMALAM[NOMINAL TRANSFER])</f>
        <v>0</v>
      </c>
      <c r="U395" s="433">
        <f>SUM(TRANSHARI11_ACCMALAM[PRICE TOLERANCE])</f>
        <v>0</v>
      </c>
      <c r="V395" s="434">
        <f>R343</f>
        <v>0</v>
      </c>
      <c r="X395" s="626"/>
      <c r="Y395" s="582"/>
      <c r="Z395" s="501"/>
      <c r="AA395" s="582"/>
      <c r="AC395" s="636"/>
    </row>
    <row r="396" ht="20.25" customHeight="1" spans="1:29">
      <c r="A396" s="422"/>
      <c r="B396" s="435" t="s">
        <v>139</v>
      </c>
      <c r="C396" s="436">
        <f>SUM(TRANSHARI11_HYDROPAGI[DEBIT])</f>
        <v>0</v>
      </c>
      <c r="D396" s="437">
        <f>SUM(TRANSHARI11_HYDROPAGI[KREDIT])</f>
        <v>0</v>
      </c>
      <c r="E396" s="438">
        <f>SUM(TRANSHARI11_HYDROPAGI[NOMINAL TRANSFER])</f>
        <v>0</v>
      </c>
      <c r="F396" s="439">
        <f>SUM(TRANSHARI11_HYDROPAGI[PRICE TOLERANCE])</f>
        <v>0</v>
      </c>
      <c r="G396" s="440">
        <f>C380</f>
        <v>0</v>
      </c>
      <c r="I396" s="583" t="s">
        <v>140</v>
      </c>
      <c r="J396" s="584">
        <f>SUM(J391:J395)</f>
        <v>0</v>
      </c>
      <c r="K396" s="585"/>
      <c r="L396" s="346"/>
      <c r="O396" s="324"/>
      <c r="P396" s="579"/>
      <c r="Q396" s="435" t="s">
        <v>139</v>
      </c>
      <c r="R396" s="436">
        <f>SUM(TRANSHARI11_HYDROMALAM[DEBIT])</f>
        <v>0</v>
      </c>
      <c r="S396" s="437">
        <f>SUM(TRANSHARI11_HYDROMALAM[KREDIT])</f>
        <v>0</v>
      </c>
      <c r="T396" s="438">
        <f>SUM(TRANSHARI11_HYDROMALAM[NOMINAL TRANSFER])</f>
        <v>0</v>
      </c>
      <c r="U396" s="439">
        <f>SUM(TRANSHARI11_HYDROMALAM[PRICE TOLERANCE])</f>
        <v>0</v>
      </c>
      <c r="V396" s="440">
        <f>R380</f>
        <v>0</v>
      </c>
      <c r="X396" s="627" t="s">
        <v>140</v>
      </c>
      <c r="Y396" s="637">
        <f>SUM(Y391:Y395)</f>
        <v>0</v>
      </c>
      <c r="Z396" s="585"/>
      <c r="AA396" s="346"/>
      <c r="AC396" s="636"/>
    </row>
    <row r="397" ht="20.25" customHeight="1" spans="1:29">
      <c r="A397" s="419"/>
      <c r="B397" s="441" t="s">
        <v>141</v>
      </c>
      <c r="C397" s="442">
        <f>SUM(C390:C396)</f>
        <v>0</v>
      </c>
      <c r="D397" s="443">
        <f>SUM(D390:D396)</f>
        <v>0</v>
      </c>
      <c r="E397" s="444">
        <f>SUM(E390:E396)</f>
        <v>0</v>
      </c>
      <c r="F397" s="445">
        <f>SUM(F390:F396)</f>
        <v>0</v>
      </c>
      <c r="G397" s="446">
        <f>SUM(G390:G396)</f>
        <v>0</v>
      </c>
      <c r="I397" s="586" t="s">
        <v>142</v>
      </c>
      <c r="J397" s="587">
        <f>SUM(L391:L395)</f>
        <v>0</v>
      </c>
      <c r="K397" s="588"/>
      <c r="L397" s="346"/>
      <c r="O397" s="324"/>
      <c r="Q397" s="441" t="s">
        <v>141</v>
      </c>
      <c r="R397" s="442">
        <f>SUM(R390:R396)</f>
        <v>0</v>
      </c>
      <c r="S397" s="443">
        <f>SUM(S390:S396)</f>
        <v>0</v>
      </c>
      <c r="T397" s="444">
        <f>SUM(T390:T396)</f>
        <v>0</v>
      </c>
      <c r="U397" s="445">
        <f>SUM(U390:U396)</f>
        <v>0</v>
      </c>
      <c r="V397" s="446">
        <f>SUM(V390:V396)</f>
        <v>0</v>
      </c>
      <c r="X397" s="628" t="s">
        <v>142</v>
      </c>
      <c r="Y397" s="638">
        <f>SUM(AA391:AA395)</f>
        <v>0</v>
      </c>
      <c r="Z397" s="588"/>
      <c r="AA397" s="346"/>
      <c r="AC397" s="636"/>
    </row>
    <row r="398" ht="20.25" customHeight="1" spans="1:29">
      <c r="A398" s="419"/>
      <c r="B398" s="447"/>
      <c r="C398" s="448"/>
      <c r="D398" s="449"/>
      <c r="E398" s="450"/>
      <c r="F398" s="451"/>
      <c r="G398" s="452"/>
      <c r="O398" s="324"/>
      <c r="Q398" s="447"/>
      <c r="R398" s="448"/>
      <c r="S398" s="449"/>
      <c r="T398" s="450"/>
      <c r="U398" s="451"/>
      <c r="V398" s="452"/>
      <c r="AC398" s="636"/>
    </row>
    <row r="399" ht="20.25" customHeight="1" spans="1:29">
      <c r="A399" s="419"/>
      <c r="B399" s="453" t="s">
        <v>64</v>
      </c>
      <c r="C399" s="454">
        <f>C397+D397</f>
        <v>0</v>
      </c>
      <c r="D399" s="455"/>
      <c r="G399" s="456"/>
      <c r="I399" s="569" t="s">
        <v>143</v>
      </c>
      <c r="J399" s="570"/>
      <c r="K399" s="570"/>
      <c r="L399" s="571"/>
      <c r="O399" s="324"/>
      <c r="Q399" s="453" t="s">
        <v>64</v>
      </c>
      <c r="R399" s="454">
        <f>R397+S397</f>
        <v>0</v>
      </c>
      <c r="S399" s="455"/>
      <c r="V399" s="456"/>
      <c r="X399" s="569" t="s">
        <v>143</v>
      </c>
      <c r="Y399" s="570"/>
      <c r="Z399" s="570"/>
      <c r="AA399" s="571"/>
      <c r="AC399" s="636"/>
    </row>
    <row r="400" ht="20.25" customHeight="1" spans="1:29">
      <c r="A400" s="419"/>
      <c r="B400" s="457"/>
      <c r="C400" s="458"/>
      <c r="D400" s="459"/>
      <c r="I400" s="572"/>
      <c r="J400" s="573"/>
      <c r="K400" s="573"/>
      <c r="L400" s="574"/>
      <c r="O400" s="324"/>
      <c r="Q400" s="457"/>
      <c r="R400" s="458"/>
      <c r="S400" s="459"/>
      <c r="X400" s="572"/>
      <c r="Y400" s="573"/>
      <c r="Z400" s="573"/>
      <c r="AA400" s="574"/>
      <c r="AC400" s="636"/>
    </row>
    <row r="401" ht="20.25" customHeight="1" spans="1:29">
      <c r="A401" s="419"/>
      <c r="G401" s="460"/>
      <c r="I401" s="575" t="s">
        <v>144</v>
      </c>
      <c r="J401" s="576"/>
      <c r="K401" s="577" t="s">
        <v>145</v>
      </c>
      <c r="L401" s="578"/>
      <c r="O401" s="324"/>
      <c r="V401" s="460"/>
      <c r="X401" s="575" t="s">
        <v>144</v>
      </c>
      <c r="Y401" s="576"/>
      <c r="Z401" s="577" t="s">
        <v>145</v>
      </c>
      <c r="AA401" s="578"/>
      <c r="AC401" s="636"/>
    </row>
    <row r="402" ht="20.25" customHeight="1" spans="1:29">
      <c r="A402" s="419"/>
      <c r="B402" s="461" t="s">
        <v>146</v>
      </c>
      <c r="C402" s="462"/>
      <c r="D402" s="462"/>
      <c r="E402" s="462"/>
      <c r="F402" s="462"/>
      <c r="G402" s="463"/>
      <c r="I402" s="517" t="s">
        <v>8</v>
      </c>
      <c r="J402" s="580" t="s">
        <v>132</v>
      </c>
      <c r="K402" s="517" t="s">
        <v>8</v>
      </c>
      <c r="L402" s="580" t="s">
        <v>132</v>
      </c>
      <c r="O402" s="324"/>
      <c r="Q402" s="461" t="s">
        <v>146</v>
      </c>
      <c r="R402" s="462"/>
      <c r="S402" s="462"/>
      <c r="T402" s="462"/>
      <c r="U402" s="462"/>
      <c r="V402" s="463"/>
      <c r="X402" s="517" t="s">
        <v>8</v>
      </c>
      <c r="Y402" s="580" t="s">
        <v>132</v>
      </c>
      <c r="Z402" s="517" t="s">
        <v>8</v>
      </c>
      <c r="AA402" s="580" t="s">
        <v>132</v>
      </c>
      <c r="AC402" s="636"/>
    </row>
    <row r="403" ht="20.25" customHeight="1" spans="1:29">
      <c r="A403" s="419"/>
      <c r="B403" s="464"/>
      <c r="C403" s="465"/>
      <c r="D403" s="465"/>
      <c r="E403" s="465"/>
      <c r="F403" s="465"/>
      <c r="G403" s="466"/>
      <c r="I403" s="490"/>
      <c r="J403" s="581"/>
      <c r="K403" s="490"/>
      <c r="L403" s="581"/>
      <c r="O403" s="324"/>
      <c r="Q403" s="464"/>
      <c r="R403" s="465"/>
      <c r="S403" s="465"/>
      <c r="T403" s="465"/>
      <c r="U403" s="465"/>
      <c r="V403" s="466"/>
      <c r="X403" s="490"/>
      <c r="Y403" s="581"/>
      <c r="Z403" s="490"/>
      <c r="AA403" s="581"/>
      <c r="AC403" s="636"/>
    </row>
    <row r="404" ht="20.25" customHeight="1" spans="1:29">
      <c r="A404" s="419"/>
      <c r="B404" s="467" t="s">
        <v>147</v>
      </c>
      <c r="C404" s="467" t="s">
        <v>66</v>
      </c>
      <c r="D404" s="467" t="s">
        <v>6</v>
      </c>
      <c r="E404" s="467" t="s">
        <v>132</v>
      </c>
      <c r="F404" s="468" t="s">
        <v>148</v>
      </c>
      <c r="G404" s="469"/>
      <c r="I404" s="490"/>
      <c r="J404" s="581"/>
      <c r="K404" s="490"/>
      <c r="L404" s="581"/>
      <c r="O404" s="324"/>
      <c r="Q404" s="467" t="s">
        <v>147</v>
      </c>
      <c r="R404" s="467" t="s">
        <v>66</v>
      </c>
      <c r="S404" s="467" t="s">
        <v>6</v>
      </c>
      <c r="T404" s="467" t="s">
        <v>132</v>
      </c>
      <c r="U404" s="468" t="s">
        <v>148</v>
      </c>
      <c r="V404" s="469"/>
      <c r="X404" s="490"/>
      <c r="Y404" s="581"/>
      <c r="Z404" s="490"/>
      <c r="AA404" s="581"/>
      <c r="AC404" s="636"/>
    </row>
    <row r="405" ht="20.25" customHeight="1" spans="1:29">
      <c r="A405" s="419"/>
      <c r="B405" s="470"/>
      <c r="C405" s="471"/>
      <c r="D405" s="470"/>
      <c r="E405" s="472"/>
      <c r="F405" s="473" t="s">
        <v>131</v>
      </c>
      <c r="G405" s="474">
        <f t="shared" ref="G405:G411" si="0">SUMIF($C$405:$C$412,F405,$E$405:$E$412)</f>
        <v>0</v>
      </c>
      <c r="I405" s="490"/>
      <c r="J405" s="581"/>
      <c r="K405" s="490"/>
      <c r="L405" s="581"/>
      <c r="O405" s="324"/>
      <c r="Q405" s="470"/>
      <c r="R405" s="471"/>
      <c r="S405" s="470"/>
      <c r="T405" s="472"/>
      <c r="U405" s="473" t="s">
        <v>131</v>
      </c>
      <c r="V405" s="474">
        <f>SUMIF($R$405:$R$412,U405,$T$405:$T$412)</f>
        <v>0</v>
      </c>
      <c r="X405" s="490"/>
      <c r="Y405" s="581"/>
      <c r="Z405" s="490"/>
      <c r="AA405" s="581"/>
      <c r="AC405" s="636"/>
    </row>
    <row r="406" ht="20.25" customHeight="1" spans="1:29">
      <c r="A406" s="419"/>
      <c r="B406" s="470"/>
      <c r="C406" s="471"/>
      <c r="D406" s="470"/>
      <c r="E406" s="472"/>
      <c r="F406" s="473" t="s">
        <v>133</v>
      </c>
      <c r="G406" s="475">
        <f t="shared" si="0"/>
        <v>0</v>
      </c>
      <c r="I406" s="490"/>
      <c r="J406" s="581"/>
      <c r="K406" s="490"/>
      <c r="L406" s="581"/>
      <c r="O406" s="324"/>
      <c r="Q406" s="470"/>
      <c r="R406" s="471"/>
      <c r="S406" s="470"/>
      <c r="T406" s="472"/>
      <c r="U406" s="473" t="s">
        <v>133</v>
      </c>
      <c r="V406" s="475">
        <f t="shared" ref="V406:V411" si="1">SUMIF($R$405:$R$412,U406,$T$405:$T$412)</f>
        <v>0</v>
      </c>
      <c r="X406" s="490"/>
      <c r="Y406" s="581"/>
      <c r="Z406" s="490"/>
      <c r="AA406" s="581"/>
      <c r="AC406" s="636"/>
    </row>
    <row r="407" ht="20.25" customHeight="1" spans="1:29">
      <c r="A407" s="419"/>
      <c r="B407" s="470"/>
      <c r="C407" s="471"/>
      <c r="D407" s="470"/>
      <c r="E407" s="472"/>
      <c r="F407" s="473" t="s">
        <v>134</v>
      </c>
      <c r="G407" s="474">
        <f t="shared" si="0"/>
        <v>0</v>
      </c>
      <c r="I407" s="501"/>
      <c r="J407" s="582"/>
      <c r="K407" s="501"/>
      <c r="L407" s="582"/>
      <c r="O407" s="324"/>
      <c r="Q407" s="470"/>
      <c r="R407" s="471"/>
      <c r="S407" s="470"/>
      <c r="T407" s="472"/>
      <c r="U407" s="473" t="s">
        <v>134</v>
      </c>
      <c r="V407" s="474">
        <f t="shared" si="1"/>
        <v>0</v>
      </c>
      <c r="X407" s="501"/>
      <c r="Y407" s="582"/>
      <c r="Z407" s="501"/>
      <c r="AA407" s="582"/>
      <c r="AC407" s="636"/>
    </row>
    <row r="408" ht="20.25" customHeight="1" spans="1:29">
      <c r="A408" s="419"/>
      <c r="B408" s="470"/>
      <c r="C408" s="471"/>
      <c r="D408" s="470"/>
      <c r="E408" s="472"/>
      <c r="F408" s="473" t="s">
        <v>135</v>
      </c>
      <c r="G408" s="475">
        <f t="shared" si="0"/>
        <v>0</v>
      </c>
      <c r="I408" s="583" t="s">
        <v>149</v>
      </c>
      <c r="J408" s="584">
        <f>SUM(J403:J407)</f>
        <v>0</v>
      </c>
      <c r="K408" s="585"/>
      <c r="L408" s="346"/>
      <c r="O408" s="324"/>
      <c r="Q408" s="470"/>
      <c r="R408" s="471"/>
      <c r="S408" s="470"/>
      <c r="T408" s="472"/>
      <c r="U408" s="473" t="s">
        <v>135</v>
      </c>
      <c r="V408" s="475">
        <f t="shared" si="1"/>
        <v>0</v>
      </c>
      <c r="X408" s="583" t="s">
        <v>149</v>
      </c>
      <c r="Y408" s="584">
        <f>SUM(Y403:Y407)</f>
        <v>0</v>
      </c>
      <c r="Z408" s="585"/>
      <c r="AA408" s="346"/>
      <c r="AC408" s="636"/>
    </row>
    <row r="409" ht="20.25" customHeight="1" spans="1:29">
      <c r="A409" s="419"/>
      <c r="B409" s="470"/>
      <c r="C409" s="471"/>
      <c r="D409" s="470"/>
      <c r="E409" s="472"/>
      <c r="F409" s="473" t="s">
        <v>137</v>
      </c>
      <c r="G409" s="474">
        <f t="shared" si="0"/>
        <v>0</v>
      </c>
      <c r="I409" s="586" t="s">
        <v>150</v>
      </c>
      <c r="J409" s="587">
        <f>SUM(L403:L407)</f>
        <v>0</v>
      </c>
      <c r="K409" s="588"/>
      <c r="L409" s="346"/>
      <c r="O409" s="324"/>
      <c r="Q409" s="470"/>
      <c r="R409" s="471"/>
      <c r="S409" s="470"/>
      <c r="T409" s="472"/>
      <c r="U409" s="473" t="s">
        <v>137</v>
      </c>
      <c r="V409" s="474">
        <f t="shared" si="1"/>
        <v>0</v>
      </c>
      <c r="X409" s="586" t="s">
        <v>150</v>
      </c>
      <c r="Y409" s="587">
        <f>SUM(AA403:AA407)</f>
        <v>0</v>
      </c>
      <c r="Z409" s="588"/>
      <c r="AA409" s="346"/>
      <c r="AC409" s="636"/>
    </row>
    <row r="410" ht="20.25" customHeight="1" spans="1:29">
      <c r="A410" s="419"/>
      <c r="B410" s="470"/>
      <c r="C410" s="471"/>
      <c r="D410" s="470"/>
      <c r="E410" s="472"/>
      <c r="F410" s="473" t="s">
        <v>138</v>
      </c>
      <c r="G410" s="475">
        <f t="shared" si="0"/>
        <v>0</v>
      </c>
      <c r="O410" s="324"/>
      <c r="Q410" s="470"/>
      <c r="R410" s="471"/>
      <c r="S410" s="470"/>
      <c r="T410" s="472"/>
      <c r="U410" s="473" t="s">
        <v>138</v>
      </c>
      <c r="V410" s="475">
        <f t="shared" si="1"/>
        <v>0</v>
      </c>
      <c r="AC410" s="636"/>
    </row>
    <row r="411" ht="20.25" customHeight="1" spans="1:29">
      <c r="A411" s="419"/>
      <c r="B411" s="470"/>
      <c r="C411" s="471"/>
      <c r="D411" s="470"/>
      <c r="E411" s="472"/>
      <c r="F411" s="473" t="s">
        <v>139</v>
      </c>
      <c r="G411" s="474">
        <f t="shared" si="0"/>
        <v>0</v>
      </c>
      <c r="I411" s="569" t="s">
        <v>151</v>
      </c>
      <c r="J411" s="570"/>
      <c r="K411" s="570"/>
      <c r="L411" s="571"/>
      <c r="O411" s="324"/>
      <c r="Q411" s="470"/>
      <c r="R411" s="471"/>
      <c r="S411" s="470"/>
      <c r="T411" s="472"/>
      <c r="U411" s="473" t="s">
        <v>139</v>
      </c>
      <c r="V411" s="474">
        <f t="shared" si="1"/>
        <v>0</v>
      </c>
      <c r="X411" s="569" t="s">
        <v>151</v>
      </c>
      <c r="Y411" s="570"/>
      <c r="Z411" s="570"/>
      <c r="AA411" s="571"/>
      <c r="AC411" s="636"/>
    </row>
    <row r="412" ht="20.25" customHeight="1" spans="1:29">
      <c r="A412" s="419"/>
      <c r="B412" s="470"/>
      <c r="C412" s="471"/>
      <c r="D412" s="470"/>
      <c r="E412" s="472"/>
      <c r="I412" s="572"/>
      <c r="J412" s="573"/>
      <c r="K412" s="573"/>
      <c r="L412" s="574"/>
      <c r="O412" s="324"/>
      <c r="Q412" s="470"/>
      <c r="R412" s="471"/>
      <c r="S412" s="470"/>
      <c r="T412" s="472"/>
      <c r="X412" s="572"/>
      <c r="Y412" s="573"/>
      <c r="Z412" s="573"/>
      <c r="AA412" s="574"/>
      <c r="AC412" s="636"/>
    </row>
    <row r="413" ht="20.25" customHeight="1" spans="1:29">
      <c r="A413" s="419"/>
      <c r="B413" s="476" t="s">
        <v>152</v>
      </c>
      <c r="C413" s="476"/>
      <c r="D413" s="476"/>
      <c r="E413" s="477">
        <f>SUM(E405:E412)</f>
        <v>0</v>
      </c>
      <c r="I413" s="575" t="s">
        <v>153</v>
      </c>
      <c r="J413" s="576"/>
      <c r="K413" s="577" t="s">
        <v>154</v>
      </c>
      <c r="L413" s="578"/>
      <c r="O413" s="324"/>
      <c r="Q413" s="476" t="s">
        <v>152</v>
      </c>
      <c r="R413" s="476"/>
      <c r="S413" s="476"/>
      <c r="T413" s="477">
        <f>SUM(T405:T412)</f>
        <v>0</v>
      </c>
      <c r="X413" s="575" t="s">
        <v>153</v>
      </c>
      <c r="Y413" s="576"/>
      <c r="Z413" s="577" t="s">
        <v>154</v>
      </c>
      <c r="AA413" s="578"/>
      <c r="AC413" s="636"/>
    </row>
    <row r="414" ht="20.25" customHeight="1" spans="1:29">
      <c r="A414" s="419"/>
      <c r="B414" s="346"/>
      <c r="C414" s="346"/>
      <c r="I414" s="517" t="s">
        <v>8</v>
      </c>
      <c r="J414" s="580" t="s">
        <v>132</v>
      </c>
      <c r="K414" s="517" t="s">
        <v>8</v>
      </c>
      <c r="L414" s="580" t="s">
        <v>132</v>
      </c>
      <c r="O414" s="324"/>
      <c r="Q414" s="346"/>
      <c r="R414" s="346"/>
      <c r="X414" s="517" t="s">
        <v>8</v>
      </c>
      <c r="Y414" s="580" t="s">
        <v>132</v>
      </c>
      <c r="Z414" s="517" t="s">
        <v>8</v>
      </c>
      <c r="AA414" s="580" t="s">
        <v>132</v>
      </c>
      <c r="AC414" s="636"/>
    </row>
    <row r="415" ht="20.25" customHeight="1" spans="1:29">
      <c r="A415" s="419"/>
      <c r="B415" s="478" t="s">
        <v>155</v>
      </c>
      <c r="C415" s="479"/>
      <c r="D415" s="479"/>
      <c r="E415" s="479"/>
      <c r="F415" s="479"/>
      <c r="G415" s="480"/>
      <c r="I415" s="490"/>
      <c r="J415" s="581"/>
      <c r="K415" s="490"/>
      <c r="L415" s="581"/>
      <c r="O415" s="324"/>
      <c r="Q415" s="478" t="s">
        <v>155</v>
      </c>
      <c r="R415" s="479"/>
      <c r="S415" s="479"/>
      <c r="T415" s="479"/>
      <c r="U415" s="479"/>
      <c r="V415" s="480"/>
      <c r="X415" s="490"/>
      <c r="Y415" s="581"/>
      <c r="Z415" s="490"/>
      <c r="AA415" s="581"/>
      <c r="AC415" s="636"/>
    </row>
    <row r="416" ht="20.25" customHeight="1" spans="1:29">
      <c r="A416" s="419"/>
      <c r="B416" s="481"/>
      <c r="C416" s="482"/>
      <c r="D416" s="482"/>
      <c r="E416" s="482"/>
      <c r="F416" s="482"/>
      <c r="G416" s="483"/>
      <c r="I416" s="490"/>
      <c r="J416" s="581"/>
      <c r="K416" s="490"/>
      <c r="L416" s="581"/>
      <c r="O416" s="324"/>
      <c r="Q416" s="481"/>
      <c r="R416" s="482"/>
      <c r="S416" s="482"/>
      <c r="T416" s="482"/>
      <c r="U416" s="482"/>
      <c r="V416" s="483"/>
      <c r="X416" s="490"/>
      <c r="Y416" s="581"/>
      <c r="Z416" s="490"/>
      <c r="AA416" s="581"/>
      <c r="AC416" s="636"/>
    </row>
    <row r="417" ht="20.25" customHeight="1" spans="1:29">
      <c r="A417" s="419"/>
      <c r="B417" s="484" t="s">
        <v>147</v>
      </c>
      <c r="C417" s="485" t="s">
        <v>66</v>
      </c>
      <c r="D417" s="486" t="s">
        <v>156</v>
      </c>
      <c r="E417" s="487" t="s">
        <v>132</v>
      </c>
      <c r="F417" s="488" t="s">
        <v>157</v>
      </c>
      <c r="G417" s="489"/>
      <c r="I417" s="490"/>
      <c r="J417" s="581"/>
      <c r="K417" s="490"/>
      <c r="L417" s="581"/>
      <c r="O417" s="324"/>
      <c r="Q417" s="484" t="s">
        <v>147</v>
      </c>
      <c r="R417" s="485" t="s">
        <v>66</v>
      </c>
      <c r="S417" s="486" t="s">
        <v>156</v>
      </c>
      <c r="T417" s="487" t="s">
        <v>132</v>
      </c>
      <c r="U417" s="488" t="s">
        <v>157</v>
      </c>
      <c r="V417" s="489"/>
      <c r="X417" s="490"/>
      <c r="Y417" s="581"/>
      <c r="Z417" s="490"/>
      <c r="AA417" s="581"/>
      <c r="AC417" s="636"/>
    </row>
    <row r="418" ht="20.25" customHeight="1" spans="1:29">
      <c r="A418" s="419"/>
      <c r="B418" s="490"/>
      <c r="C418" s="491"/>
      <c r="D418" s="492"/>
      <c r="E418" s="493"/>
      <c r="F418" s="494">
        <f>SUM(E418:E424)</f>
        <v>0</v>
      </c>
      <c r="G418" s="495"/>
      <c r="I418" s="490"/>
      <c r="J418" s="581"/>
      <c r="K418" s="490"/>
      <c r="L418" s="581"/>
      <c r="O418" s="324"/>
      <c r="Q418" s="490"/>
      <c r="R418" s="491"/>
      <c r="S418" s="496"/>
      <c r="T418" s="493"/>
      <c r="U418" s="494">
        <f>SUM(T418:T424)</f>
        <v>0</v>
      </c>
      <c r="V418" s="495"/>
      <c r="X418" s="490"/>
      <c r="Y418" s="581"/>
      <c r="Z418" s="490"/>
      <c r="AA418" s="581"/>
      <c r="AC418" s="636"/>
    </row>
    <row r="419" ht="20.25" customHeight="1" spans="1:29">
      <c r="A419" s="419"/>
      <c r="B419" s="490"/>
      <c r="C419" s="491"/>
      <c r="D419" s="496"/>
      <c r="E419" s="493"/>
      <c r="F419" s="497"/>
      <c r="G419" s="498"/>
      <c r="I419" s="501"/>
      <c r="J419" s="582"/>
      <c r="K419" s="501"/>
      <c r="L419" s="582"/>
      <c r="O419" s="324"/>
      <c r="Q419" s="490"/>
      <c r="R419" s="491"/>
      <c r="S419" s="496"/>
      <c r="T419" s="493"/>
      <c r="U419" s="497"/>
      <c r="V419" s="498"/>
      <c r="X419" s="501"/>
      <c r="Y419" s="582"/>
      <c r="Z419" s="501"/>
      <c r="AA419" s="582"/>
      <c r="AC419" s="636"/>
    </row>
    <row r="420" ht="20.25" customHeight="1" spans="1:29">
      <c r="A420" s="419"/>
      <c r="B420" s="490"/>
      <c r="C420" s="491"/>
      <c r="D420" s="496"/>
      <c r="E420" s="493"/>
      <c r="F420" s="499"/>
      <c r="G420" s="500"/>
      <c r="I420" s="583" t="s">
        <v>158</v>
      </c>
      <c r="J420" s="584">
        <f>SUM(J415:J419)</f>
        <v>0</v>
      </c>
      <c r="K420" s="585"/>
      <c r="L420" s="346"/>
      <c r="O420" s="324"/>
      <c r="Q420" s="490"/>
      <c r="R420" s="491"/>
      <c r="S420" s="496"/>
      <c r="T420" s="493"/>
      <c r="U420" s="499"/>
      <c r="V420" s="500"/>
      <c r="X420" s="583" t="s">
        <v>158</v>
      </c>
      <c r="Y420" s="584">
        <f>SUM(Y415:Y419)</f>
        <v>0</v>
      </c>
      <c r="Z420" s="585"/>
      <c r="AA420" s="346"/>
      <c r="AC420" s="636"/>
    </row>
    <row r="421" ht="20.25" customHeight="1" spans="1:29">
      <c r="A421" s="419"/>
      <c r="B421" s="490"/>
      <c r="C421" s="491"/>
      <c r="D421" s="496"/>
      <c r="E421" s="493"/>
      <c r="I421" s="586" t="s">
        <v>159</v>
      </c>
      <c r="J421" s="587">
        <f>SUM(L415:L419)</f>
        <v>0</v>
      </c>
      <c r="K421" s="588"/>
      <c r="L421" s="346"/>
      <c r="O421" s="324"/>
      <c r="Q421" s="490"/>
      <c r="R421" s="491"/>
      <c r="S421" s="496"/>
      <c r="T421" s="493"/>
      <c r="X421" s="586" t="s">
        <v>159</v>
      </c>
      <c r="Y421" s="587">
        <f>SUM(AA415:AA419)</f>
        <v>0</v>
      </c>
      <c r="Z421" s="588"/>
      <c r="AA421" s="346"/>
      <c r="AC421" s="636"/>
    </row>
    <row r="422" ht="20.25" customHeight="1" spans="1:29">
      <c r="A422" s="419"/>
      <c r="B422" s="490"/>
      <c r="C422" s="491"/>
      <c r="D422" s="496"/>
      <c r="E422" s="493"/>
      <c r="O422" s="324"/>
      <c r="Q422" s="490"/>
      <c r="R422" s="491"/>
      <c r="S422" s="496"/>
      <c r="T422" s="493"/>
      <c r="AC422" s="636"/>
    </row>
    <row r="423" ht="20.25" customHeight="1" spans="1:29">
      <c r="A423" s="419"/>
      <c r="B423" s="490"/>
      <c r="C423" s="491"/>
      <c r="D423" s="496"/>
      <c r="E423" s="493"/>
      <c r="O423" s="324"/>
      <c r="Q423" s="490"/>
      <c r="R423" s="491"/>
      <c r="S423" s="496"/>
      <c r="T423" s="493"/>
      <c r="AC423" s="636"/>
    </row>
    <row r="424" ht="20.25" customHeight="1" spans="1:29">
      <c r="A424" s="419"/>
      <c r="B424" s="501"/>
      <c r="C424" s="502"/>
      <c r="D424" s="503"/>
      <c r="E424" s="504"/>
      <c r="I424" s="351" t="s">
        <v>160</v>
      </c>
      <c r="J424" s="379"/>
      <c r="K424" s="379"/>
      <c r="L424" s="352"/>
      <c r="M424" s="589"/>
      <c r="N424" s="589"/>
      <c r="O424" s="324"/>
      <c r="Q424" s="501"/>
      <c r="R424" s="502"/>
      <c r="S424" s="503"/>
      <c r="T424" s="504"/>
      <c r="X424" s="351" t="s">
        <v>160</v>
      </c>
      <c r="Y424" s="379"/>
      <c r="Z424" s="379"/>
      <c r="AA424" s="352"/>
      <c r="AC424" s="636"/>
    </row>
    <row r="425" ht="20.25" customHeight="1" spans="1:29">
      <c r="A425" s="419"/>
      <c r="I425" s="356"/>
      <c r="J425" s="380"/>
      <c r="K425" s="380"/>
      <c r="L425" s="357"/>
      <c r="M425" s="589"/>
      <c r="N425" s="589"/>
      <c r="O425" s="324"/>
      <c r="X425" s="356"/>
      <c r="Y425" s="380"/>
      <c r="Z425" s="380"/>
      <c r="AA425" s="357"/>
      <c r="AC425" s="636"/>
    </row>
    <row r="426" ht="20.25" customHeight="1" spans="1:29">
      <c r="A426" s="419"/>
      <c r="B426" s="505" t="s">
        <v>161</v>
      </c>
      <c r="C426" s="506"/>
      <c r="D426" s="506"/>
      <c r="E426" s="506"/>
      <c r="F426" s="507"/>
      <c r="G426" s="508"/>
      <c r="I426" s="590" t="s">
        <v>8</v>
      </c>
      <c r="J426" s="591"/>
      <c r="K426" s="592" t="s">
        <v>132</v>
      </c>
      <c r="L426" s="593"/>
      <c r="O426" s="324"/>
      <c r="Q426" s="505" t="s">
        <v>161</v>
      </c>
      <c r="R426" s="506"/>
      <c r="S426" s="506"/>
      <c r="T426" s="506"/>
      <c r="U426" s="507"/>
      <c r="V426" s="508"/>
      <c r="X426" s="590" t="s">
        <v>8</v>
      </c>
      <c r="Y426" s="591"/>
      <c r="Z426" s="592" t="s">
        <v>132</v>
      </c>
      <c r="AA426" s="593"/>
      <c r="AC426" s="636"/>
    </row>
    <row r="427" ht="20.25" customHeight="1" spans="1:29">
      <c r="A427" s="419"/>
      <c r="B427" s="509"/>
      <c r="C427" s="510"/>
      <c r="D427" s="510"/>
      <c r="E427" s="510"/>
      <c r="F427" s="511"/>
      <c r="G427" s="508"/>
      <c r="I427" s="594" t="s">
        <v>162</v>
      </c>
      <c r="J427" s="595"/>
      <c r="K427" s="596">
        <v>0</v>
      </c>
      <c r="L427" s="597"/>
      <c r="O427" s="324"/>
      <c r="Q427" s="509"/>
      <c r="R427" s="510"/>
      <c r="S427" s="510"/>
      <c r="T427" s="510"/>
      <c r="U427" s="511"/>
      <c r="V427" s="508"/>
      <c r="X427" s="594" t="s">
        <v>162</v>
      </c>
      <c r="Y427" s="595"/>
      <c r="Z427" s="596">
        <v>0</v>
      </c>
      <c r="AA427" s="597"/>
      <c r="AC427" s="636"/>
    </row>
    <row r="428" ht="20.25" customHeight="1" spans="1:29">
      <c r="A428" s="419"/>
      <c r="B428" s="512" t="s">
        <v>163</v>
      </c>
      <c r="C428" s="513"/>
      <c r="D428" s="514" t="s">
        <v>2</v>
      </c>
      <c r="E428" s="515">
        <f>'HARI 10'!T430</f>
        <v>452000</v>
      </c>
      <c r="F428" s="516"/>
      <c r="I428" s="598" t="s">
        <v>164</v>
      </c>
      <c r="J428" s="599"/>
      <c r="K428" s="600">
        <v>0</v>
      </c>
      <c r="L428" s="601"/>
      <c r="O428" s="324"/>
      <c r="Q428" s="512" t="s">
        <v>163</v>
      </c>
      <c r="R428" s="513"/>
      <c r="S428" s="514" t="s">
        <v>2</v>
      </c>
      <c r="T428" s="515">
        <f>E430</f>
        <v>452000</v>
      </c>
      <c r="U428" s="516"/>
      <c r="X428" s="598" t="s">
        <v>164</v>
      </c>
      <c r="Y428" s="599"/>
      <c r="Z428" s="600">
        <v>0</v>
      </c>
      <c r="AA428" s="601"/>
      <c r="AC428" s="636"/>
    </row>
    <row r="429" ht="20.25" customHeight="1" spans="1:29">
      <c r="A429" s="419"/>
      <c r="B429" s="517" t="s">
        <v>165</v>
      </c>
      <c r="C429" s="518" t="s">
        <v>132</v>
      </c>
      <c r="D429" s="514"/>
      <c r="E429" s="519"/>
      <c r="F429" s="520"/>
      <c r="I429" s="602" t="s">
        <v>166</v>
      </c>
      <c r="J429" s="603"/>
      <c r="K429" s="604">
        <v>0</v>
      </c>
      <c r="L429" s="605"/>
      <c r="O429" s="324"/>
      <c r="Q429" s="517" t="s">
        <v>165</v>
      </c>
      <c r="R429" s="518" t="s">
        <v>132</v>
      </c>
      <c r="S429" s="514"/>
      <c r="T429" s="519"/>
      <c r="U429" s="520"/>
      <c r="X429" s="602" t="s">
        <v>166</v>
      </c>
      <c r="Y429" s="603"/>
      <c r="Z429" s="604">
        <v>0</v>
      </c>
      <c r="AA429" s="605"/>
      <c r="AC429" s="636"/>
    </row>
    <row r="430" ht="20.25" customHeight="1" spans="1:29">
      <c r="A430" s="419"/>
      <c r="B430" s="490"/>
      <c r="C430" s="521"/>
      <c r="D430" s="522" t="s">
        <v>168</v>
      </c>
      <c r="E430" s="523">
        <f>E428-C435</f>
        <v>452000</v>
      </c>
      <c r="F430" s="524"/>
      <c r="I430" s="606" t="s">
        <v>166</v>
      </c>
      <c r="J430" s="607"/>
      <c r="K430" s="608">
        <v>0</v>
      </c>
      <c r="L430" s="609"/>
      <c r="O430" s="324"/>
      <c r="Q430" s="490"/>
      <c r="R430" s="521"/>
      <c r="S430" s="522" t="s">
        <v>168</v>
      </c>
      <c r="T430" s="523">
        <f>T428-R435</f>
        <v>452000</v>
      </c>
      <c r="U430" s="524"/>
      <c r="X430" s="606" t="s">
        <v>166</v>
      </c>
      <c r="Y430" s="607"/>
      <c r="Z430" s="608">
        <v>0</v>
      </c>
      <c r="AA430" s="609"/>
      <c r="AC430" s="636"/>
    </row>
    <row r="431" ht="20.25" customHeight="1" spans="1:29">
      <c r="A431" s="419"/>
      <c r="B431" s="490"/>
      <c r="C431" s="521"/>
      <c r="D431" s="522"/>
      <c r="E431" s="525"/>
      <c r="F431" s="526"/>
      <c r="O431" s="324"/>
      <c r="Q431" s="490"/>
      <c r="R431" s="521"/>
      <c r="S431" s="522"/>
      <c r="T431" s="525"/>
      <c r="U431" s="526"/>
      <c r="AC431" s="636"/>
    </row>
    <row r="432" ht="20.25" customHeight="1" spans="1:29">
      <c r="A432" s="419"/>
      <c r="B432" s="490"/>
      <c r="C432" s="521"/>
      <c r="I432" s="610" t="s">
        <v>169</v>
      </c>
      <c r="J432" s="611"/>
      <c r="K432" s="611"/>
      <c r="L432" s="612"/>
      <c r="O432" s="324"/>
      <c r="Q432" s="490"/>
      <c r="R432" s="521"/>
      <c r="X432" s="610" t="s">
        <v>169</v>
      </c>
      <c r="Y432" s="611"/>
      <c r="Z432" s="611"/>
      <c r="AA432" s="612"/>
      <c r="AC432" s="636"/>
    </row>
    <row r="433" ht="20.25" customHeight="1" spans="1:29">
      <c r="A433" s="419"/>
      <c r="B433" s="490"/>
      <c r="C433" s="521"/>
      <c r="D433" s="527" t="s">
        <v>170</v>
      </c>
      <c r="E433" s="527"/>
      <c r="F433" s="528"/>
      <c r="I433" s="613"/>
      <c r="J433" s="614"/>
      <c r="K433" s="614"/>
      <c r="L433" s="615"/>
      <c r="O433" s="324"/>
      <c r="Q433" s="490"/>
      <c r="R433" s="521"/>
      <c r="S433" s="527" t="s">
        <v>170</v>
      </c>
      <c r="T433" s="527"/>
      <c r="U433" s="528"/>
      <c r="X433" s="613"/>
      <c r="Y433" s="614"/>
      <c r="Z433" s="614"/>
      <c r="AA433" s="615"/>
      <c r="AC433" s="636"/>
    </row>
    <row r="434" ht="20.25" customHeight="1" spans="1:29">
      <c r="A434" s="419"/>
      <c r="B434" s="490"/>
      <c r="C434" s="521"/>
      <c r="D434" s="529" t="s">
        <v>171</v>
      </c>
      <c r="E434" s="530">
        <v>0</v>
      </c>
      <c r="F434" s="531"/>
      <c r="I434" s="590" t="s">
        <v>172</v>
      </c>
      <c r="J434" s="591"/>
      <c r="K434" s="592" t="s">
        <v>173</v>
      </c>
      <c r="L434" s="593"/>
      <c r="O434" s="324"/>
      <c r="Q434" s="490"/>
      <c r="R434" s="521"/>
      <c r="S434" s="529" t="s">
        <v>171</v>
      </c>
      <c r="T434" s="530">
        <v>0</v>
      </c>
      <c r="U434" s="531"/>
      <c r="X434" s="590" t="s">
        <v>172</v>
      </c>
      <c r="Y434" s="591"/>
      <c r="Z434" s="592" t="s">
        <v>173</v>
      </c>
      <c r="AA434" s="593"/>
      <c r="AC434" s="636"/>
    </row>
    <row r="435" ht="20.25" customHeight="1" spans="1:29">
      <c r="A435" s="419"/>
      <c r="B435" s="532" t="s">
        <v>174</v>
      </c>
      <c r="C435" s="533">
        <f>SUM(C430:C434)</f>
        <v>0</v>
      </c>
      <c r="D435" s="534" t="s">
        <v>175</v>
      </c>
      <c r="E435" s="535">
        <v>0</v>
      </c>
      <c r="F435" s="536"/>
      <c r="I435" s="594"/>
      <c r="J435" s="595"/>
      <c r="K435" s="595"/>
      <c r="L435" s="616"/>
      <c r="O435" s="324"/>
      <c r="Q435" s="532" t="s">
        <v>174</v>
      </c>
      <c r="R435" s="533">
        <f>SUM(R430:R434)</f>
        <v>0</v>
      </c>
      <c r="S435" s="534" t="s">
        <v>175</v>
      </c>
      <c r="T435" s="535">
        <v>0</v>
      </c>
      <c r="U435" s="536"/>
      <c r="X435" s="594"/>
      <c r="Y435" s="595"/>
      <c r="Z435" s="595"/>
      <c r="AA435" s="616"/>
      <c r="AC435" s="636"/>
    </row>
    <row r="436" ht="20.25" customHeight="1" spans="1:29">
      <c r="A436" s="419"/>
      <c r="F436" s="537">
        <f>SUM(E434:F435)</f>
        <v>0</v>
      </c>
      <c r="I436" s="598"/>
      <c r="J436" s="599"/>
      <c r="K436" s="599"/>
      <c r="L436" s="617"/>
      <c r="O436" s="324"/>
      <c r="U436" s="537">
        <f>SUM(T434:U435)</f>
        <v>0</v>
      </c>
      <c r="X436" s="598"/>
      <c r="Y436" s="599"/>
      <c r="Z436" s="599"/>
      <c r="AA436" s="617"/>
      <c r="AC436" s="636"/>
    </row>
    <row r="437" ht="20.25" customHeight="1" spans="1:29">
      <c r="A437" s="419"/>
      <c r="I437" s="618"/>
      <c r="J437" s="603"/>
      <c r="K437" s="619"/>
      <c r="L437" s="620"/>
      <c r="O437" s="324"/>
      <c r="X437" s="618"/>
      <c r="Y437" s="603"/>
      <c r="Z437" s="619"/>
      <c r="AA437" s="620"/>
      <c r="AC437" s="636"/>
    </row>
    <row r="438" ht="20.25" customHeight="1" spans="1:29">
      <c r="A438" s="419"/>
      <c r="B438" s="351" t="s">
        <v>176</v>
      </c>
      <c r="C438" s="379"/>
      <c r="D438" s="379"/>
      <c r="E438" s="379"/>
      <c r="F438" s="352"/>
      <c r="I438" s="598"/>
      <c r="J438" s="621"/>
      <c r="K438" s="599"/>
      <c r="L438" s="617"/>
      <c r="O438" s="324"/>
      <c r="Q438" s="351" t="s">
        <v>176</v>
      </c>
      <c r="R438" s="379"/>
      <c r="S438" s="379"/>
      <c r="T438" s="379"/>
      <c r="U438" s="352"/>
      <c r="X438" s="598"/>
      <c r="Y438" s="621"/>
      <c r="Z438" s="599"/>
      <c r="AA438" s="617"/>
      <c r="AC438" s="636"/>
    </row>
    <row r="439" ht="20.25" customHeight="1" spans="1:29">
      <c r="A439" s="419"/>
      <c r="B439" s="360"/>
      <c r="C439" s="381"/>
      <c r="D439" s="381"/>
      <c r="E439" s="381"/>
      <c r="F439" s="361"/>
      <c r="I439" s="618"/>
      <c r="J439" s="603"/>
      <c r="K439" s="619"/>
      <c r="L439" s="620"/>
      <c r="O439" s="324"/>
      <c r="Q439" s="360"/>
      <c r="R439" s="381"/>
      <c r="S439" s="381"/>
      <c r="T439" s="381"/>
      <c r="U439" s="361"/>
      <c r="X439" s="618"/>
      <c r="Y439" s="603"/>
      <c r="Z439" s="619"/>
      <c r="AA439" s="620"/>
      <c r="AC439" s="636"/>
    </row>
    <row r="440" ht="20.25" customHeight="1" spans="1:29">
      <c r="A440" s="419"/>
      <c r="B440" s="538" t="s">
        <v>177</v>
      </c>
      <c r="C440" s="539"/>
      <c r="D440" s="540">
        <f>C397-E397+F418+J396-J397+J408-J409+J420-J421</f>
        <v>0</v>
      </c>
      <c r="E440" s="541"/>
      <c r="F440" s="542"/>
      <c r="I440" s="622"/>
      <c r="J440" s="607"/>
      <c r="K440" s="623"/>
      <c r="L440" s="624"/>
      <c r="O440" s="324"/>
      <c r="Q440" s="538" t="s">
        <v>177</v>
      </c>
      <c r="R440" s="539"/>
      <c r="S440" s="540">
        <f>R397-T397+U418+Y396-Y397+Y408-Y409+Y420-Y421</f>
        <v>0</v>
      </c>
      <c r="T440" s="541"/>
      <c r="U440" s="542"/>
      <c r="X440" s="622"/>
      <c r="Y440" s="607"/>
      <c r="Z440" s="623"/>
      <c r="AA440" s="624"/>
      <c r="AC440" s="636"/>
    </row>
    <row r="441" ht="20.25" customHeight="1" spans="1:29">
      <c r="A441" s="419"/>
      <c r="B441" s="543"/>
      <c r="C441" s="544"/>
      <c r="D441" s="545"/>
      <c r="E441" s="546"/>
      <c r="F441" s="547"/>
      <c r="O441" s="324"/>
      <c r="Q441" s="543"/>
      <c r="R441" s="544"/>
      <c r="S441" s="545"/>
      <c r="T441" s="546"/>
      <c r="U441" s="547"/>
      <c r="AC441" s="636"/>
    </row>
    <row r="442" ht="20.25" customHeight="1" spans="1:29">
      <c r="A442" s="419"/>
      <c r="B442" s="548" t="s">
        <v>178</v>
      </c>
      <c r="C442" s="549"/>
      <c r="D442" s="550">
        <v>0</v>
      </c>
      <c r="E442" s="551"/>
      <c r="F442" s="552"/>
      <c r="O442" s="324"/>
      <c r="Q442" s="548" t="s">
        <v>178</v>
      </c>
      <c r="R442" s="549"/>
      <c r="S442" s="629">
        <v>0</v>
      </c>
      <c r="T442" s="630"/>
      <c r="U442" s="631"/>
      <c r="AC442" s="636"/>
    </row>
    <row r="443" ht="20.25" customHeight="1" spans="1:29">
      <c r="A443" s="419"/>
      <c r="B443" s="553"/>
      <c r="C443" s="554"/>
      <c r="D443" s="555"/>
      <c r="E443" s="556"/>
      <c r="F443" s="557"/>
      <c r="O443" s="324"/>
      <c r="Q443" s="553"/>
      <c r="R443" s="554"/>
      <c r="S443" s="632"/>
      <c r="T443" s="633"/>
      <c r="U443" s="634"/>
      <c r="AC443" s="636"/>
    </row>
    <row r="444" ht="20.25" customHeight="1" spans="1:29">
      <c r="A444" s="419"/>
      <c r="C444" s="558" t="s">
        <v>173</v>
      </c>
      <c r="D444" s="559">
        <f>D442-D440</f>
        <v>0</v>
      </c>
      <c r="E444" s="560" t="str">
        <f>IF(D444=0,"BALANCE","TIDAK BALANCE")</f>
        <v>BALANCE</v>
      </c>
      <c r="F444" s="561"/>
      <c r="O444" s="324"/>
      <c r="R444" s="558" t="s">
        <v>173</v>
      </c>
      <c r="S444" s="559">
        <f>S442-S440</f>
        <v>0</v>
      </c>
      <c r="T444" s="560" t="str">
        <f>IF(S444=0,"BALANCE","TIDAK BALANCE")</f>
        <v>BALANCE</v>
      </c>
      <c r="U444" s="561"/>
      <c r="AC444" s="636"/>
    </row>
    <row r="445" ht="17.25" spans="1:29">
      <c r="A445" s="419"/>
      <c r="C445" s="562"/>
      <c r="D445" s="563"/>
      <c r="E445" s="564"/>
      <c r="F445" s="565"/>
      <c r="O445" s="324"/>
      <c r="R445" s="562"/>
      <c r="S445" s="563"/>
      <c r="T445" s="564"/>
      <c r="U445" s="565"/>
      <c r="AC445" s="636"/>
    </row>
    <row r="446" spans="1:29">
      <c r="A446" s="419"/>
      <c r="O446" s="324"/>
      <c r="AC446" s="636"/>
    </row>
    <row r="447" ht="17.25" spans="1:29">
      <c r="A447" s="566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7"/>
      <c r="O447" s="625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639"/>
    </row>
  </sheetData>
  <sheetProtection algorithmName="SHA-512" hashValue="/oHJDY9UPivEEUDFQW6aswAoTnCTNSIn4UZOc7mh8jXiM4ipM6d08WgtotfO5R65teu6pBwYOFsp0jhCQaCabw==" saltValue="NkzyZUTh9iSXxt2rIpNW2g==" spinCount="100000" sheet="1" objects="1" scenarios="1"/>
  <mergeCells count="309">
    <mergeCell ref="K28:L28"/>
    <mergeCell ref="Z28:AA28"/>
    <mergeCell ref="K35:L35"/>
    <mergeCell ref="Z35:AA35"/>
    <mergeCell ref="K42:L42"/>
    <mergeCell ref="Z42:AA42"/>
    <mergeCell ref="K49:L49"/>
    <mergeCell ref="Z49:AA49"/>
    <mergeCell ref="K56:L56"/>
    <mergeCell ref="Z56:AA56"/>
    <mergeCell ref="I389:J389"/>
    <mergeCell ref="K389:L389"/>
    <mergeCell ref="X389:Y389"/>
    <mergeCell ref="Z389:AA389"/>
    <mergeCell ref="J396:K396"/>
    <mergeCell ref="Y396:Z396"/>
    <mergeCell ref="J397:K397"/>
    <mergeCell ref="Y397:Z397"/>
    <mergeCell ref="I401:J401"/>
    <mergeCell ref="K401:L401"/>
    <mergeCell ref="X401:Y401"/>
    <mergeCell ref="Z401:AA401"/>
    <mergeCell ref="F404:G404"/>
    <mergeCell ref="U404:V404"/>
    <mergeCell ref="J408:K408"/>
    <mergeCell ref="Y408:Z408"/>
    <mergeCell ref="J409:K409"/>
    <mergeCell ref="Y409:Z409"/>
    <mergeCell ref="B413:D413"/>
    <mergeCell ref="I413:J413"/>
    <mergeCell ref="K413:L413"/>
    <mergeCell ref="Q413:S413"/>
    <mergeCell ref="X413:Y413"/>
    <mergeCell ref="Z413:AA413"/>
    <mergeCell ref="F417:G417"/>
    <mergeCell ref="U417:V417"/>
    <mergeCell ref="J420:K420"/>
    <mergeCell ref="Y420:Z420"/>
    <mergeCell ref="J421:K421"/>
    <mergeCell ref="Y421:Z421"/>
    <mergeCell ref="I426:J426"/>
    <mergeCell ref="K426:L426"/>
    <mergeCell ref="X426:Y426"/>
    <mergeCell ref="Z426:AA426"/>
    <mergeCell ref="I427:J427"/>
    <mergeCell ref="K427:L427"/>
    <mergeCell ref="X427:Y427"/>
    <mergeCell ref="Z427:AA427"/>
    <mergeCell ref="B428:C428"/>
    <mergeCell ref="I428:J428"/>
    <mergeCell ref="K428:L428"/>
    <mergeCell ref="Q428:R428"/>
    <mergeCell ref="X428:Y428"/>
    <mergeCell ref="Z428:AA428"/>
    <mergeCell ref="I429:J429"/>
    <mergeCell ref="K429:L429"/>
    <mergeCell ref="X429:Y429"/>
    <mergeCell ref="Z429:AA429"/>
    <mergeCell ref="I430:J430"/>
    <mergeCell ref="K430:L430"/>
    <mergeCell ref="X430:Y430"/>
    <mergeCell ref="Z430:AA430"/>
    <mergeCell ref="D433:F433"/>
    <mergeCell ref="S433:U433"/>
    <mergeCell ref="E434:F434"/>
    <mergeCell ref="I434:J434"/>
    <mergeCell ref="K434:L434"/>
    <mergeCell ref="T434:U434"/>
    <mergeCell ref="X434:Y434"/>
    <mergeCell ref="Z434:AA434"/>
    <mergeCell ref="E435:F435"/>
    <mergeCell ref="I435:J435"/>
    <mergeCell ref="K435:L435"/>
    <mergeCell ref="T435:U435"/>
    <mergeCell ref="X435:Y435"/>
    <mergeCell ref="Z435:AA435"/>
    <mergeCell ref="I436:J436"/>
    <mergeCell ref="K436:L436"/>
    <mergeCell ref="X436:Y436"/>
    <mergeCell ref="Z436:AA436"/>
    <mergeCell ref="I437:J437"/>
    <mergeCell ref="K437:L437"/>
    <mergeCell ref="X437:Y437"/>
    <mergeCell ref="Z437:AA437"/>
    <mergeCell ref="I438:J438"/>
    <mergeCell ref="K438:L438"/>
    <mergeCell ref="X438:Y438"/>
    <mergeCell ref="Z438:AA438"/>
    <mergeCell ref="I439:J439"/>
    <mergeCell ref="K439:L439"/>
    <mergeCell ref="X439:Y439"/>
    <mergeCell ref="Z439:AA439"/>
    <mergeCell ref="I440:J440"/>
    <mergeCell ref="K440:L440"/>
    <mergeCell ref="X440:Y440"/>
    <mergeCell ref="Z440:AA440"/>
    <mergeCell ref="B397:B398"/>
    <mergeCell ref="B399:B400"/>
    <mergeCell ref="C135:C136"/>
    <mergeCell ref="C192:C193"/>
    <mergeCell ref="C249:C250"/>
    <mergeCell ref="C306:C307"/>
    <mergeCell ref="C343:C344"/>
    <mergeCell ref="C380:C381"/>
    <mergeCell ref="C384:C385"/>
    <mergeCell ref="C397:C398"/>
    <mergeCell ref="C444:C445"/>
    <mergeCell ref="D384:D385"/>
    <mergeCell ref="D397:D398"/>
    <mergeCell ref="D428:D429"/>
    <mergeCell ref="D430:D431"/>
    <mergeCell ref="D444:D445"/>
    <mergeCell ref="E135:E136"/>
    <mergeCell ref="E192:E193"/>
    <mergeCell ref="E249:E250"/>
    <mergeCell ref="E306:E307"/>
    <mergeCell ref="E343:E344"/>
    <mergeCell ref="E380:E381"/>
    <mergeCell ref="E397:E398"/>
    <mergeCell ref="F135:F136"/>
    <mergeCell ref="F192:F193"/>
    <mergeCell ref="F249:F250"/>
    <mergeCell ref="F306:F307"/>
    <mergeCell ref="F343:F344"/>
    <mergeCell ref="F380:F381"/>
    <mergeCell ref="F397:F398"/>
    <mergeCell ref="G135:G136"/>
    <mergeCell ref="G192:G193"/>
    <mergeCell ref="G249:G250"/>
    <mergeCell ref="G306:G307"/>
    <mergeCell ref="G343:G344"/>
    <mergeCell ref="G380:G381"/>
    <mergeCell ref="G397:G398"/>
    <mergeCell ref="I135:I136"/>
    <mergeCell ref="I192:I193"/>
    <mergeCell ref="I249:I250"/>
    <mergeCell ref="I306:I307"/>
    <mergeCell ref="I343:I344"/>
    <mergeCell ref="I380:I381"/>
    <mergeCell ref="O25:O447"/>
    <mergeCell ref="Q397:Q398"/>
    <mergeCell ref="Q399:Q400"/>
    <mergeCell ref="R135:R136"/>
    <mergeCell ref="R192:R193"/>
    <mergeCell ref="R249:R250"/>
    <mergeCell ref="R306:R307"/>
    <mergeCell ref="R343:R344"/>
    <mergeCell ref="R380:R381"/>
    <mergeCell ref="R384:R385"/>
    <mergeCell ref="R397:R398"/>
    <mergeCell ref="R444:R445"/>
    <mergeCell ref="S384:S385"/>
    <mergeCell ref="S397:S398"/>
    <mergeCell ref="S428:S429"/>
    <mergeCell ref="S430:S431"/>
    <mergeCell ref="S444:S445"/>
    <mergeCell ref="T135:T136"/>
    <mergeCell ref="T192:T193"/>
    <mergeCell ref="T249:T250"/>
    <mergeCell ref="T306:T307"/>
    <mergeCell ref="T343:T344"/>
    <mergeCell ref="T380:T381"/>
    <mergeCell ref="T397:T398"/>
    <mergeCell ref="U135:U136"/>
    <mergeCell ref="U192:U193"/>
    <mergeCell ref="U249:U250"/>
    <mergeCell ref="U306:U307"/>
    <mergeCell ref="U343:U344"/>
    <mergeCell ref="U380:U381"/>
    <mergeCell ref="U397:U398"/>
    <mergeCell ref="V135:V136"/>
    <mergeCell ref="V192:V193"/>
    <mergeCell ref="V249:V250"/>
    <mergeCell ref="V306:V307"/>
    <mergeCell ref="V343:V344"/>
    <mergeCell ref="V380:V381"/>
    <mergeCell ref="V397:V398"/>
    <mergeCell ref="X135:X136"/>
    <mergeCell ref="X192:X193"/>
    <mergeCell ref="X249:X250"/>
    <mergeCell ref="X306:X307"/>
    <mergeCell ref="X343:X344"/>
    <mergeCell ref="X380:X381"/>
    <mergeCell ref="P25:Q26"/>
    <mergeCell ref="Z25:AA26"/>
    <mergeCell ref="A25:B26"/>
    <mergeCell ref="K25:L26"/>
    <mergeCell ref="C25:I26"/>
    <mergeCell ref="R25:X26"/>
    <mergeCell ref="A82:B83"/>
    <mergeCell ref="C82:J83"/>
    <mergeCell ref="P82:Q83"/>
    <mergeCell ref="Y74:Z75"/>
    <mergeCell ref="Y76:Z77"/>
    <mergeCell ref="A78:B80"/>
    <mergeCell ref="P78:Q80"/>
    <mergeCell ref="C79:D80"/>
    <mergeCell ref="R79:S80"/>
    <mergeCell ref="R82:Y83"/>
    <mergeCell ref="Z126:AA127"/>
    <mergeCell ref="Z128:AA129"/>
    <mergeCell ref="K131:L132"/>
    <mergeCell ref="K133:L134"/>
    <mergeCell ref="A135:B136"/>
    <mergeCell ref="Z131:AA132"/>
    <mergeCell ref="Z133:AA134"/>
    <mergeCell ref="A139:B140"/>
    <mergeCell ref="C139:J140"/>
    <mergeCell ref="P139:Q140"/>
    <mergeCell ref="R139:Y140"/>
    <mergeCell ref="Z183:AA184"/>
    <mergeCell ref="P135:Q136"/>
    <mergeCell ref="Z185:AA186"/>
    <mergeCell ref="K188:L189"/>
    <mergeCell ref="Z188:AA189"/>
    <mergeCell ref="K190:L191"/>
    <mergeCell ref="Z190:AA191"/>
    <mergeCell ref="A192:B193"/>
    <mergeCell ref="A196:B197"/>
    <mergeCell ref="C196:J197"/>
    <mergeCell ref="P196:Q197"/>
    <mergeCell ref="R196:Y197"/>
    <mergeCell ref="Z240:AA241"/>
    <mergeCell ref="P192:Q193"/>
    <mergeCell ref="Z242:AA243"/>
    <mergeCell ref="K245:L246"/>
    <mergeCell ref="K247:L248"/>
    <mergeCell ref="A249:B250"/>
    <mergeCell ref="P249:Q250"/>
    <mergeCell ref="Z245:AA246"/>
    <mergeCell ref="Z247:AA248"/>
    <mergeCell ref="A253:B254"/>
    <mergeCell ref="C253:J254"/>
    <mergeCell ref="P253:Q254"/>
    <mergeCell ref="R253:Y254"/>
    <mergeCell ref="Z297:AA298"/>
    <mergeCell ref="Z299:AA300"/>
    <mergeCell ref="K302:L303"/>
    <mergeCell ref="K304:L305"/>
    <mergeCell ref="A306:B307"/>
    <mergeCell ref="Z302:AA303"/>
    <mergeCell ref="Z304:AA305"/>
    <mergeCell ref="A310:B311"/>
    <mergeCell ref="C310:J311"/>
    <mergeCell ref="P310:Q311"/>
    <mergeCell ref="R310:Y311"/>
    <mergeCell ref="Z334:AA335"/>
    <mergeCell ref="Z336:AA337"/>
    <mergeCell ref="P306:Q307"/>
    <mergeCell ref="K339:L340"/>
    <mergeCell ref="Z339:AA340"/>
    <mergeCell ref="K341:L342"/>
    <mergeCell ref="Z341:AA342"/>
    <mergeCell ref="A343:B344"/>
    <mergeCell ref="A347:B348"/>
    <mergeCell ref="C347:J348"/>
    <mergeCell ref="P347:Q348"/>
    <mergeCell ref="P380:Q381"/>
    <mergeCell ref="R347:Y348"/>
    <mergeCell ref="Z371:AA372"/>
    <mergeCell ref="Z373:AA374"/>
    <mergeCell ref="P343:Q344"/>
    <mergeCell ref="K376:L377"/>
    <mergeCell ref="Z376:AA377"/>
    <mergeCell ref="K378:L379"/>
    <mergeCell ref="Z378:AA379"/>
    <mergeCell ref="A380:B381"/>
    <mergeCell ref="T384:AC385"/>
    <mergeCell ref="I387:L388"/>
    <mergeCell ref="X387:AA388"/>
    <mergeCell ref="A384:B385"/>
    <mergeCell ref="E384:L385"/>
    <mergeCell ref="P384:Q385"/>
    <mergeCell ref="B387:G388"/>
    <mergeCell ref="Q387:V388"/>
    <mergeCell ref="C399:D400"/>
    <mergeCell ref="I399:L400"/>
    <mergeCell ref="R399:S400"/>
    <mergeCell ref="X399:AA400"/>
    <mergeCell ref="B402:G403"/>
    <mergeCell ref="Q402:V403"/>
    <mergeCell ref="B415:G416"/>
    <mergeCell ref="Q415:V416"/>
    <mergeCell ref="F418:G420"/>
    <mergeCell ref="U418:V420"/>
    <mergeCell ref="I411:L412"/>
    <mergeCell ref="X411:AA412"/>
    <mergeCell ref="I424:L425"/>
    <mergeCell ref="X424:AA425"/>
    <mergeCell ref="B426:F427"/>
    <mergeCell ref="Q426:U427"/>
    <mergeCell ref="E428:F429"/>
    <mergeCell ref="T428:U429"/>
    <mergeCell ref="I432:L433"/>
    <mergeCell ref="X432:AA433"/>
    <mergeCell ref="E430:F431"/>
    <mergeCell ref="T430:U431"/>
    <mergeCell ref="B438:F439"/>
    <mergeCell ref="Q438:U439"/>
    <mergeCell ref="E444:F445"/>
    <mergeCell ref="T444:U445"/>
    <mergeCell ref="B442:C443"/>
    <mergeCell ref="D442:F443"/>
    <mergeCell ref="S442:U443"/>
    <mergeCell ref="Q442:R443"/>
    <mergeCell ref="B440:C441"/>
    <mergeCell ref="D440:F441"/>
    <mergeCell ref="S440:U441"/>
    <mergeCell ref="Q440:R441"/>
  </mergeCells>
  <conditionalFormatting sqref="E444:F445">
    <cfRule type="containsText" dxfId="138" priority="2" operator="between" text="TIDAK BALANCE">
      <formula>NOT(ISERROR(SEARCH("TIDAK BALANCE",E444)))</formula>
    </cfRule>
  </conditionalFormatting>
  <conditionalFormatting sqref="T444:U445">
    <cfRule type="containsText" dxfId="138" priority="1" operator="between" text="TIDAK BALANCE">
      <formula>NOT(ISERROR(SEARCH("TIDAK BALANCE",T444)))</formula>
    </cfRule>
  </conditionalFormatting>
  <dataValidations count="10">
    <dataValidation type="list" allowBlank="1" showInputMessage="1" showErrorMessage="1" errorTitle="DumDumCellular" error="Nama produk salah ya, Ges!!" sqref="B85:B134 Q85:Q134">
      <formula1>LIST_ROKOK</formula1>
    </dataValidation>
    <dataValidation type="list" allowBlank="1" showInputMessage="1" showErrorMessage="1" errorTitle="DumDumCellular" error="Nama produk salah ya, Ges!!" sqref="B142:B191 Q142:Q191">
      <formula1>LIST_SPVOU</formula1>
    </dataValidation>
    <dataValidation type="list" allowBlank="1" showInputMessage="1" showErrorMessage="1" errorTitle="DumDumCellular" error="Nama produk salah ya, Ges!!" sqref="B199:B248 Q199:Q248">
      <formula1>LIST_SOFTDRINK</formula1>
    </dataValidation>
    <dataValidation type="list" allowBlank="1" showInputMessage="1" showErrorMessage="1" errorTitle="DumDumCellular" error="Nama produk salah ya, Ges!!" sqref="B256:B305 Q256:Q305">
      <formula1>LIST_ICECREAM</formula1>
    </dataValidation>
    <dataValidation type="list" allowBlank="1" showInputMessage="1" showErrorMessage="1" errorTitle="DumDumCellular" error="Nama produk salah ya, Ges!!" sqref="B313:B342 Q313:Q342">
      <formula1>LIST_ACC</formula1>
    </dataValidation>
    <dataValidation type="list" allowBlank="1" showInputMessage="1" showErrorMessage="1" errorTitle="DumDumCellular" error="Nama produk salah ya, Ges!!" sqref="B350:B379 Q350:Q379">
      <formula1>LIST_HYDRO</formula1>
    </dataValidation>
    <dataValidation type="list" allowBlank="1" showInputMessage="1" showErrorMessage="1" sqref="C405:C412">
      <formula1>$F$405:$F$411</formula1>
    </dataValidation>
    <dataValidation type="list" allowBlank="1" showInputMessage="1" showErrorMessage="1" errorTitle="DumDumCellular" error="Nama aplikasi salah, Ges!" sqref="G28:G77 V28:V77">
      <formula1>LIST_PULSA</formula1>
    </dataValidation>
    <dataValidation type="list" allowBlank="1" showInputMessage="1" showErrorMessage="1" sqref="R405:R412">
      <formula1>$U$405:$U$411</formula1>
    </dataValidation>
    <dataValidation type="list" allowBlank="1" showInputMessage="1" showErrorMessage="1" sqref="C384:D385 R384:S385">
      <formula1>LIST_SHIFT</formula1>
    </dataValidation>
  </dataValidations>
  <pageMargins left="0.7" right="0.7" top="0.75" bottom="0.75" header="0.3" footer="0.3"/>
  <headerFooter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1:U129"/>
  <sheetViews>
    <sheetView showGridLines="0" zoomScale="55" zoomScaleNormal="55" workbookViewId="0">
      <selection activeCell="R384" sqref="R384:R385"/>
    </sheetView>
  </sheetViews>
  <sheetFormatPr defaultColWidth="8.45" defaultRowHeight="16.5"/>
  <cols>
    <col min="1" max="1" width="2.46666666666667" style="53" customWidth="1"/>
    <col min="2" max="2" width="11.4416666666667" style="53" customWidth="1"/>
    <col min="3" max="6" width="25.4833333333333" style="53" customWidth="1"/>
    <col min="7" max="8" width="8.45" style="53"/>
    <col min="9" max="9" width="11.4416666666667" style="53" customWidth="1"/>
    <col min="10" max="12" width="25.4833333333333" style="53" customWidth="1"/>
    <col min="13" max="13" width="8.45" style="53"/>
    <col min="14" max="14" width="18.4583333333333" style="53" customWidth="1"/>
    <col min="15" max="21" width="25.4833333333333" style="53" customWidth="1"/>
    <col min="22" max="16384" width="8.45" style="53"/>
  </cols>
  <sheetData>
    <row r="11" ht="17.25"/>
    <row r="12" ht="14.45" customHeight="1" spans="2:21">
      <c r="B12" s="220" t="s">
        <v>131</v>
      </c>
      <c r="C12" s="221"/>
      <c r="D12" s="221"/>
      <c r="E12" s="221"/>
      <c r="F12" s="222"/>
      <c r="H12" s="223" t="s">
        <v>238</v>
      </c>
      <c r="I12" s="254"/>
      <c r="J12" s="254"/>
      <c r="K12" s="254"/>
      <c r="L12" s="255"/>
      <c r="N12" s="256" t="s">
        <v>239</v>
      </c>
      <c r="O12" s="257"/>
      <c r="P12" s="257"/>
      <c r="Q12" s="257"/>
      <c r="R12" s="257"/>
      <c r="S12" s="257"/>
      <c r="T12" s="257"/>
      <c r="U12" s="294"/>
    </row>
    <row r="13" ht="15" customHeight="1" spans="2:21">
      <c r="B13" s="224"/>
      <c r="C13" s="225"/>
      <c r="D13" s="225"/>
      <c r="E13" s="225"/>
      <c r="F13" s="226"/>
      <c r="H13" s="227"/>
      <c r="I13" s="258"/>
      <c r="J13" s="258"/>
      <c r="K13" s="258"/>
      <c r="L13" s="259"/>
      <c r="N13" s="260"/>
      <c r="O13" s="261"/>
      <c r="P13" s="261"/>
      <c r="Q13" s="261"/>
      <c r="R13" s="261"/>
      <c r="S13" s="261"/>
      <c r="T13" s="261"/>
      <c r="U13" s="295"/>
    </row>
    <row r="14" ht="18.75" spans="2:21">
      <c r="B14" s="228" t="s">
        <v>240</v>
      </c>
      <c r="C14" s="229" t="s">
        <v>241</v>
      </c>
      <c r="D14" s="230" t="s">
        <v>242</v>
      </c>
      <c r="E14" s="231" t="s">
        <v>243</v>
      </c>
      <c r="F14" s="232" t="s">
        <v>64</v>
      </c>
      <c r="H14" s="233" t="s">
        <v>244</v>
      </c>
      <c r="I14" s="262"/>
      <c r="J14" s="263" t="s">
        <v>241</v>
      </c>
      <c r="K14" s="263" t="s">
        <v>242</v>
      </c>
      <c r="L14" s="264" t="s">
        <v>64</v>
      </c>
      <c r="N14" s="265" t="s">
        <v>245</v>
      </c>
      <c r="O14" s="266" t="s">
        <v>131</v>
      </c>
      <c r="P14" s="267" t="s">
        <v>133</v>
      </c>
      <c r="Q14" s="293" t="s">
        <v>134</v>
      </c>
      <c r="R14" s="293" t="s">
        <v>135</v>
      </c>
      <c r="S14" s="293" t="s">
        <v>137</v>
      </c>
      <c r="T14" s="293" t="s">
        <v>138</v>
      </c>
      <c r="U14" s="293" t="s">
        <v>139</v>
      </c>
    </row>
    <row r="15" ht="18" spans="2:21">
      <c r="B15" s="234">
        <v>1</v>
      </c>
      <c r="C15" s="235">
        <f>SUM(TRANSHARI1_PULSAPAGI[DEBIT])+SUM(TRANSHARI1_PULSAMALAM[DEBIT])</f>
        <v>725500</v>
      </c>
      <c r="D15" s="235">
        <f>SUM(TRANSHARI1_PULSAPAGI[KREDIT])+SUM(TRANSHARI1_PULSAMALAM[KREDIT])</f>
        <v>0</v>
      </c>
      <c r="E15" s="235">
        <f>SUM(TRANSHARI1_PULSAPAGI[NOMINAL TRANSFER])+SUM(TRANSHARI1_PULSAMALAM[NOMINAL TRANSFER])</f>
        <v>0</v>
      </c>
      <c r="F15" s="236">
        <f>C15+D15</f>
        <v>725500</v>
      </c>
      <c r="H15" s="237" t="s">
        <v>131</v>
      </c>
      <c r="I15" s="268"/>
      <c r="J15" s="269">
        <f>C26</f>
        <v>1010500</v>
      </c>
      <c r="K15" s="269">
        <f>D26</f>
        <v>0</v>
      </c>
      <c r="L15" s="270">
        <f t="shared" ref="L15:L21" si="0">J15+K15</f>
        <v>1010500</v>
      </c>
      <c r="N15" s="271" t="s">
        <v>246</v>
      </c>
      <c r="O15" s="272">
        <f>SUM(TRANSHARI1_PULSAPAGI[NOMINAL TRANSFER])+SUM(TRANSHARI1_PULSAMALAM[NOMINAL TRANSFER])</f>
        <v>0</v>
      </c>
      <c r="P15" s="272">
        <f>SUM(TRANSHARI1_ROKOKPAGI[NOMINAL TRANSFER])+SUM(TRANSHARI1_ROKOKMALAM[NOMINAL TRANSFER])</f>
        <v>0</v>
      </c>
      <c r="Q15" s="272">
        <f>SUM(TRANSHARI1_SPVOUPAGI[NOMINAL TRANSFER])+SUM(TRANSHARI1_SPVOUMALAM[NOMINAL TRANSFER])</f>
        <v>0</v>
      </c>
      <c r="R15" s="272">
        <f>SUM(TRANSHARI1_SOFTDRINKPAGI[NOMINAL TRANSFER])+SUM(TRANSHARI1_SOFTDRINKMALAM[NOMINAL TRANSFER])</f>
        <v>0</v>
      </c>
      <c r="S15" s="272">
        <f>SUM(TRANSHARI1_ICECREAMPAGI[NOMINAL TRANSFER])+SUM(TRANSHARI1_ICECREAMMALAM[NOMINAL TRANSFER])</f>
        <v>0</v>
      </c>
      <c r="T15" s="272">
        <f>SUM(TRANSHARI1_ACCPAGI[NOMINAL TRANSFER])+SUM(TRANSHARI1_ACCMALAM[NOMINAL TRANSFER])</f>
        <v>0</v>
      </c>
      <c r="U15" s="272">
        <f>SUM(TRANSHARI1_HYDROPAGI[NOMINAL TRANSFER])+SUM(TRANSHARI1_HYDROMALAM[NOMINAL TRANSFER])</f>
        <v>0</v>
      </c>
    </row>
    <row r="16" ht="18" spans="2:21">
      <c r="B16" s="238">
        <v>2</v>
      </c>
      <c r="C16" s="239">
        <f>SUM(TRANSHARI2_PULSAPAGI[DEBIT])+SUM(TRANSHARI2_PULSAMALAM[DEBIT])</f>
        <v>285000</v>
      </c>
      <c r="D16" s="239">
        <f>SUM(TRANSHARI2_PULSAPAGI[KREDIT])+SUM(TRANSHARI2_PULSAMALAM[KREDIT])</f>
        <v>0</v>
      </c>
      <c r="E16" s="239">
        <f>SUM(TRANSHARI2_PULSAPAGI[NOMINAL TRANSFER])+SUM(TRANSHARI2_PULSAMALAM[NOMINAL TRANSFER])</f>
        <v>0</v>
      </c>
      <c r="F16" s="240">
        <f>C16+D16</f>
        <v>285000</v>
      </c>
      <c r="H16" s="241" t="s">
        <v>133</v>
      </c>
      <c r="I16" s="273"/>
      <c r="J16" s="274">
        <f>C43</f>
        <v>193500</v>
      </c>
      <c r="K16" s="274">
        <f>D43</f>
        <v>0</v>
      </c>
      <c r="L16" s="275">
        <f t="shared" si="0"/>
        <v>193500</v>
      </c>
      <c r="N16" s="241" t="s">
        <v>247</v>
      </c>
      <c r="O16" s="276">
        <f>SUM(TRANSHARI2_PULSAPAGI[NOMINAL TRANSFER])+SUM(TRANSHARI2_PULSAMALAM[NOMINAL TRANSFER])</f>
        <v>0</v>
      </c>
      <c r="P16" s="276">
        <f>SUM(TRANSHARI2_ROKOKPAGI[NOMINAL TRANSFER])+SUM(TRANSHARI2_ROKOKMALAM[NOMINAL TRANSFER])</f>
        <v>0</v>
      </c>
      <c r="Q16" s="276">
        <f>SUM(TRANSHARI2_SPVOUPAGI[NOMINAL TRANSFER])+SUM(TRANSHARI2_SPVOUMALAM[NOMINAL TRANSFER])</f>
        <v>0</v>
      </c>
      <c r="R16" s="276">
        <f>SUM(TRANSHARI2_SOFTDRINKPAGI[NOMINAL TRANSFER])+SUM(TRANSHARI2_SOFTDRINKMALAM[NOMINAL TRANSFER])</f>
        <v>0</v>
      </c>
      <c r="S16" s="276">
        <f>SUM(TRANSHARI2_ICECREAMPAGI[NOMINAL TRANSFER])+SUM(TRANSHARI2_ICECREAMMALAM[NOMINAL TRANSFER])</f>
        <v>0</v>
      </c>
      <c r="T16" s="276">
        <f>SUM(TRANSHARI2_ACCPAGI[NOMINAL TRANSFER])+SUM(TRANSHARI2_ACCMALAM[NOMINAL TRANSFER])</f>
        <v>0</v>
      </c>
      <c r="U16" s="276">
        <f>SUM(TRANSHARI2_HYDROPAGI[NOMINAL TRANSFER])+SUM(TRANSHARI2_HYDROMALAM[NOMINAL TRANSFER])</f>
        <v>0</v>
      </c>
    </row>
    <row r="17" ht="18" spans="2:21">
      <c r="B17" s="242">
        <v>3</v>
      </c>
      <c r="C17" s="235">
        <f>SUM(TRANSHARI3_PULSAPAGI[DEBIT])+SUM(TRANSHARI3_PULSAMALAM[DEBIT])</f>
        <v>0</v>
      </c>
      <c r="D17" s="235">
        <f>SUM(TRANSHARI3_PULSAPAGI[KREDIT])+SUM(TRANSHARI3_PULSAMALAM[KREDIT])</f>
        <v>0</v>
      </c>
      <c r="E17" s="235">
        <f>SUM(TRANSHARI3_PULSAPAGI[NOMINAL TRANSFER])+SUM(TRANSHARI3_PULSAMALAM[NOMINAL TRANSFER])</f>
        <v>0</v>
      </c>
      <c r="F17" s="236">
        <f>C17+D17</f>
        <v>0</v>
      </c>
      <c r="H17" s="241" t="s">
        <v>134</v>
      </c>
      <c r="I17" s="273"/>
      <c r="J17" s="277">
        <f>C60</f>
        <v>593000</v>
      </c>
      <c r="K17" s="277">
        <f>D60</f>
        <v>0</v>
      </c>
      <c r="L17" s="278">
        <f t="shared" si="0"/>
        <v>593000</v>
      </c>
      <c r="N17" s="279" t="s">
        <v>248</v>
      </c>
      <c r="O17" s="280">
        <f>SUM(TRANSHARI3_PULSAPAGI[NOMINAL TRANSFER])+SUM(TRANSHARI3_PULSAMALAM[NOMINAL TRANSFER])</f>
        <v>0</v>
      </c>
      <c r="P17" s="280">
        <f>SUM(TRANSHARI3_ROKOKPAGI[NOMINAL TRANSFER])+SUM(TRANSHARI3_ROKOKMALAM[NOMINAL TRANSFER])</f>
        <v>0</v>
      </c>
      <c r="Q17" s="280">
        <f>SUM(TRANSHARI3_SPVOUPAGI[NOMINAL TRANSFER])+SUM(TRANSHARI3_SPVOUMALAM[NOMINAL TRANSFER])</f>
        <v>0</v>
      </c>
      <c r="R17" s="280">
        <f>SUM(TRANSHARI3_SOFTDRINKPAGI[NOMINAL TRANSFER])+SUM(TRANSHARI3_SOFTDRINKMALAM[NOMINAL TRANSFER])</f>
        <v>0</v>
      </c>
      <c r="S17" s="280">
        <f>SUM(TRANSHARI3_ICECREAMPAGI[NOMINAL TRANSFER])+SUM(TRANSHARI3_ICECREAMMALAM[NOMINAL TRANSFER])</f>
        <v>0</v>
      </c>
      <c r="T17" s="280">
        <f>SUM(TRANSHARI3_ACCPAGI[NOMINAL TRANSFER])+SUM(TRANSHARI3_ACCMALAM[NOMINAL TRANSFER])</f>
        <v>0</v>
      </c>
      <c r="U17" s="280">
        <f>SUM(TRANSHARI3_HYDROPAGI[NOMINAL TRANSFER])+SUM(TRANSHARI3_HYDROMALAM[NOMINAL TRANSFER])</f>
        <v>0</v>
      </c>
    </row>
    <row r="18" ht="18" spans="2:21">
      <c r="B18" s="238">
        <v>4</v>
      </c>
      <c r="C18" s="239">
        <f>SUM(TRANSHARI4_PULSAPAGI[DEBIT])+SUM(TRANSHARI4_PULSAMALAM[DEBIT])</f>
        <v>0</v>
      </c>
      <c r="D18" s="239">
        <f>SUM(TRANSHARI4_PULSAPAGI[KREDIT])+SUM(TRANSHARI4_PULSAMALAM[KREDIT])</f>
        <v>0</v>
      </c>
      <c r="E18" s="239">
        <f>SUM(TRANSHARI4_PULSAPAGI[NOMINAL TRANSFER])+SUM(TRANSHARI4_PULSAMALAM[NOMINAL TRANSFER])</f>
        <v>0</v>
      </c>
      <c r="F18" s="240">
        <f t="shared" ref="F18:F25" si="1">C18+D18</f>
        <v>0</v>
      </c>
      <c r="H18" s="241" t="s">
        <v>135</v>
      </c>
      <c r="I18" s="273"/>
      <c r="J18" s="274">
        <f>C77</f>
        <v>50000</v>
      </c>
      <c r="K18" s="274">
        <f>D77</f>
        <v>0</v>
      </c>
      <c r="L18" s="275">
        <f t="shared" si="0"/>
        <v>50000</v>
      </c>
      <c r="N18" s="241" t="s">
        <v>249</v>
      </c>
      <c r="O18" s="276">
        <f>SUM(TRANSHARI4_PULSAPAGI[NOMINAL TRANSFER])+SUM(TRANSHARI4_PULSAMALAM[NOMINAL TRANSFER])</f>
        <v>0</v>
      </c>
      <c r="P18" s="276">
        <f>SUM(TRANSHARI4_ROKOKPAGI[NOMINAL TRANSFER])+SUM(TRANSHARI4_ROKOKMALAM[NOMINAL TRANSFER])</f>
        <v>0</v>
      </c>
      <c r="Q18" s="276">
        <f>SUM(TRANSHARI4_SPVOUPAGI[NOMINAL TRANSFER])+SUM(TRANSHARI4_SPVOUMALAM[NOMINAL TRANSFER])</f>
        <v>0</v>
      </c>
      <c r="R18" s="276">
        <f>SUM(TRANSHARI4_SOFTDRINKPAGI[NOMINAL TRANSFER])+SUM(TRANSHARI4_SOFTDRINKMALAM[NOMINAL TRANSFER])</f>
        <v>0</v>
      </c>
      <c r="S18" s="276">
        <f>SUM(TRANSHARI4_ICECREAMPAGI[NOMINAL TRANSFER])+SUM(TRANSHARI4_ICECREAMMALAM[NOMINAL TRANSFER])</f>
        <v>0</v>
      </c>
      <c r="T18" s="276">
        <f>SUM(TRANSHARI4_ACCPAGI[NOMINAL TRANSFER])+SUM(TRANSHARI4_ACCMALAM[NOMINAL TRANSFER])</f>
        <v>0</v>
      </c>
      <c r="U18" s="276">
        <f>SUM(TRANSHARI4_HYDROPAGI[NOMINAL TRANSFER])+SUM(TRANSHARI4_HYDROMALAM[NOMINAL TRANSFER])</f>
        <v>0</v>
      </c>
    </row>
    <row r="19" ht="18" spans="2:21">
      <c r="B19" s="242">
        <v>5</v>
      </c>
      <c r="C19" s="235">
        <f>SUM(TRANSHARI5_PULSAPAGI[DEBIT])+SUM(TRANSHARI5_PULSAMALAM[DEBIT])</f>
        <v>0</v>
      </c>
      <c r="D19" s="235">
        <f>SUM(TRANSHARI5_PULSAPAGI[KREDIT])+SUM(TRANSHARI5_PULSAMALAM[KREDIT])</f>
        <v>0</v>
      </c>
      <c r="E19" s="235">
        <f>SUM(TRANSHARI5_PULSAPAGI[NOMINAL TRANSFER])+SUM(TRANSHARI5_PULSAMALAM[NOMINAL TRANSFER])</f>
        <v>0</v>
      </c>
      <c r="F19" s="236">
        <f t="shared" si="1"/>
        <v>0</v>
      </c>
      <c r="H19" s="241" t="s">
        <v>137</v>
      </c>
      <c r="I19" s="273"/>
      <c r="J19" s="277">
        <f>C94</f>
        <v>26500</v>
      </c>
      <c r="K19" s="277">
        <f>D94</f>
        <v>0</v>
      </c>
      <c r="L19" s="278">
        <f t="shared" si="0"/>
        <v>26500</v>
      </c>
      <c r="N19" s="279" t="s">
        <v>250</v>
      </c>
      <c r="O19" s="280">
        <f>SUM(TRANSHARI5_PULSAPAGI[NOMINAL TRANSFER])+SUM(TRANSHARI5_PULSAMALAM[NOMINAL TRANSFER])</f>
        <v>0</v>
      </c>
      <c r="P19" s="280">
        <f>SUM(TRANSHARI5_ROKOKPAGI[NOMINAL TRANSFER])+SUM(TRANSHARI5_ROKOKMALAM[NOMINAL TRANSFER])</f>
        <v>0</v>
      </c>
      <c r="Q19" s="280">
        <f>SUM(TRANSHARI5_SPVOUPAGI[NOMINAL TRANSFER])+SUM(TRANSHARI5_SPVOUMALAM[NOMINAL TRANSFER])</f>
        <v>0</v>
      </c>
      <c r="R19" s="280">
        <f>SUM(TRANSHARI5_SOFTDRINKPAGI[NOMINAL TRANSFER])+SUM(TRANSHARI5_SOFTDRINKMALAM[NOMINAL TRANSFER])</f>
        <v>0</v>
      </c>
      <c r="S19" s="280">
        <f>SUM(TRANSHARI5_ICECREAMPAGI[NOMINAL TRANSFER])+SUM(TRANSHARI5_ICECREAMMALAM[NOMINAL TRANSFER])</f>
        <v>0</v>
      </c>
      <c r="T19" s="280">
        <f>SUM(TRANSHARI5_ACCPAGI[NOMINAL TRANSFER])+SUM(TRANSHARI5_ACCMALAM[NOMINAL TRANSFER])</f>
        <v>0</v>
      </c>
      <c r="U19" s="280">
        <f>SUM(TRANSHARI5_HYDROPAGI[NOMINAL TRANSFER])+SUM(TRANSHARI5_HYDROMALAM[NOMINAL TRANSFER])</f>
        <v>0</v>
      </c>
    </row>
    <row r="20" ht="18" spans="2:21">
      <c r="B20" s="238">
        <v>6</v>
      </c>
      <c r="C20" s="239">
        <f>SUM(TRANSHARI6_PULSAPAGI[DEBIT])+SUM(TRANSHARI6_PULSAMALAM[DEBIT])</f>
        <v>0</v>
      </c>
      <c r="D20" s="239">
        <f>SUM(TRANSHARI6_PULSAPAGI[KREDIT])+SUM(TRANSHARI6_PULSAMALAM[KREDIT])</f>
        <v>0</v>
      </c>
      <c r="E20" s="239">
        <f>SUM(TRANSHARI6_PULSAPAGI[NOMINAL TRANSFER])+SUM(TRANSHARI6_PULSAMALAM[NOMINAL TRANSFER])</f>
        <v>0</v>
      </c>
      <c r="F20" s="240">
        <f t="shared" si="1"/>
        <v>0</v>
      </c>
      <c r="H20" s="241" t="s">
        <v>138</v>
      </c>
      <c r="I20" s="273"/>
      <c r="J20" s="274">
        <f>C111</f>
        <v>105000</v>
      </c>
      <c r="K20" s="274">
        <f>D111</f>
        <v>0</v>
      </c>
      <c r="L20" s="275">
        <f t="shared" si="0"/>
        <v>105000</v>
      </c>
      <c r="N20" s="241" t="s">
        <v>251</v>
      </c>
      <c r="O20" s="276">
        <f>SUM(TRANSHARI6_PULSAPAGI[NOMINAL TRANSFER])+SUM(TRANSHARI6_PULSAMALAM[NOMINAL TRANSFER])</f>
        <v>0</v>
      </c>
      <c r="P20" s="276">
        <f>SUM(TRANSHARI6_ROKOKPAGI[NOMINAL TRANSFER])+SUM(TRANSHARI6_ROKOKMALAM[NOMINAL TRANSFER])</f>
        <v>0</v>
      </c>
      <c r="Q20" s="276">
        <f>SUM(TRANSHARI6_SPVOUPAGI[NOMINAL TRANSFER])+SUM(TRANSHARI6_SPVOUMALAM[NOMINAL TRANSFER])</f>
        <v>0</v>
      </c>
      <c r="R20" s="276">
        <f>SUM(TRANSHARI6_SOFTDRINKPAGI[NOMINAL TRANSFER])+SUM(TRANSHARI6_SOFTDRINKMALAM[NOMINAL TRANSFER])</f>
        <v>0</v>
      </c>
      <c r="S20" s="276">
        <f>SUM(TRANSHARI6_ICECREAMPAGI[NOMINAL TRANSFER])+SUM(TRANSHARI6_ICECREAMMALAM[NOMINAL TRANSFER])</f>
        <v>0</v>
      </c>
      <c r="T20" s="276">
        <f>SUM(TRANSHARI6_ACCPAGI[NOMINAL TRANSFER])+SUM(TRANSHARI6_ACCMALAM[NOMINAL TRANSFER])</f>
        <v>0</v>
      </c>
      <c r="U20" s="276">
        <f>SUM(TRANSHARI6_HYDROPAGI[NOMINAL TRANSFER])+SUM(TRANSHARI6_HYDROMALAM[NOMINAL TRANSFER])</f>
        <v>0</v>
      </c>
    </row>
    <row r="21" ht="18.75" spans="2:21">
      <c r="B21" s="242">
        <v>7</v>
      </c>
      <c r="C21" s="235">
        <f>SUM(TRANSHARI7_PULSAPAGI[DEBIT])+SUM(TRANSHARI7_PULSAMALAM[DEBIT])</f>
        <v>0</v>
      </c>
      <c r="D21" s="235">
        <f>SUM(TRANSHARI7_PULSAPAGI[KREDIT])+SUM(TRANSHARI7_PULSAMALAM[KREDIT])</f>
        <v>0</v>
      </c>
      <c r="E21" s="235">
        <f>SUM(TRANSHARI7_PULSAPAGI[NOMINAL TRANSFER])+SUM(TRANSHARI7_PULSAMALAM[NOMINAL TRANSFER])</f>
        <v>0</v>
      </c>
      <c r="F21" s="236">
        <f t="shared" si="1"/>
        <v>0</v>
      </c>
      <c r="H21" s="241" t="s">
        <v>139</v>
      </c>
      <c r="I21" s="273"/>
      <c r="J21" s="277">
        <f>C128</f>
        <v>0</v>
      </c>
      <c r="K21" s="277">
        <f>D128</f>
        <v>0</v>
      </c>
      <c r="L21" s="278">
        <f t="shared" si="0"/>
        <v>0</v>
      </c>
      <c r="N21" s="279" t="s">
        <v>252</v>
      </c>
      <c r="O21" s="280">
        <f>SUM(TRANSHARI7_PULSAPAGI[NOMINAL TRANSFER])+SUM(TRANSHARI7_PULSAMALAM[NOMINAL TRANSFER])</f>
        <v>0</v>
      </c>
      <c r="P21" s="280">
        <f>SUM(TRANSHARI7_ROKOKPAGI[NOMINAL TRANSFER])+SUM(TRANSHARI7_ROKOKMALAM[NOMINAL TRANSFER])</f>
        <v>0</v>
      </c>
      <c r="Q21" s="280">
        <f>SUM(TRANSHARI7_SPVOUPAGI[NOMINAL TRANSFER])+SUM(TRANSHARI7_SPVOUMALAM[NOMINAL TRANSFER])</f>
        <v>0</v>
      </c>
      <c r="R21" s="280">
        <f>SUM(TRANSHARI7_SOFTDRINKPAGI[NOMINAL TRANSFER])+SUM(TRANSHARI7_SOFTDRINKMALAM[NOMINAL TRANSFER])</f>
        <v>0</v>
      </c>
      <c r="S21" s="280">
        <f>SUM(TRANSHARI7_ICECREAMPAGI[NOMINAL TRANSFER])+SUM(TRANSHARI7_ICECREAMMALAM[NOMINAL TRANSFER])</f>
        <v>0</v>
      </c>
      <c r="T21" s="280">
        <f>SUM(TRANSHARI7_ACCPAGI[NOMINAL TRANSFER])+SUM(TRANSHARI7_ACCMALAM[NOMINAL TRANSFER])</f>
        <v>0</v>
      </c>
      <c r="U21" s="280">
        <f>SUM(TRANSHARI7_HYDROPAGI[NOMINAL TRANSFER])+SUM(TRANSHARI7_HYDROMALAM[NOMINAL TRANSFER])</f>
        <v>0</v>
      </c>
    </row>
    <row r="22" ht="18" spans="2:21">
      <c r="B22" s="238">
        <v>8</v>
      </c>
      <c r="C22" s="239">
        <f>SUM(TRANSHARI8_PULSAPAGI[DEBIT])+SUM(TRANSHARI8_PULSAMALAM[DEBIT])</f>
        <v>0</v>
      </c>
      <c r="D22" s="239">
        <f>SUM(TRANSHARI8_PULSAPAGI[KREDIT])+SUM(TRANSHARI8_PULSAMALAM[KREDIT])</f>
        <v>0</v>
      </c>
      <c r="E22" s="239">
        <f>SUM(TRANSHARI8_PULSAPAGI[NOMINAL TRANSFER])+SUM(TRANSHARI8_PULSAMALAM[NOMINAL TRANSFER])</f>
        <v>0</v>
      </c>
      <c r="F22" s="240">
        <f t="shared" si="1"/>
        <v>0</v>
      </c>
      <c r="H22" s="243" t="s">
        <v>141</v>
      </c>
      <c r="I22" s="281"/>
      <c r="J22" s="247">
        <f>SUM(J15:J21)</f>
        <v>1978500</v>
      </c>
      <c r="K22" s="248">
        <f>SUM(K15:K21)</f>
        <v>0</v>
      </c>
      <c r="L22" s="249">
        <f>SUM(L15:L21)</f>
        <v>1978500</v>
      </c>
      <c r="N22" s="241" t="s">
        <v>253</v>
      </c>
      <c r="O22" s="276">
        <f>SUM(TRANSHARI8_PULSAPAGI[NOMINAL TRANSFER])+SUM(TRANSHARI8_PULSAMALAM[NOMINAL TRANSFER])</f>
        <v>0</v>
      </c>
      <c r="P22" s="276">
        <f>SUM(TRANSHARI8_ROKOKPAGI[NOMINAL TRANSFER])+SUM(TRANSHARI8_ROKOKMALAM[NOMINAL TRANSFER])</f>
        <v>0</v>
      </c>
      <c r="Q22" s="276">
        <f>SUM(TRANSHARI8_SPVOUPAGI[NOMINAL TRANSFER])+SUM(TRANSHARI8_SPVOUMALAM[NOMINAL TRANSFER])</f>
        <v>0</v>
      </c>
      <c r="R22" s="276">
        <f>SUM(TRANSHARI8_SOFTDRINKPAGI[NOMINAL TRANSFER])+SUM(TRANSHARI8_SOFTDRINKMALAM[NOMINAL TRANSFER])</f>
        <v>0</v>
      </c>
      <c r="S22" s="276">
        <f>SUM(TRANSHARI8_ICECREAMPAGI[NOMINAL TRANSFER])+SUM(TRANSHARI8_ICECREAMMALAM[NOMINAL TRANSFER])</f>
        <v>0</v>
      </c>
      <c r="T22" s="276">
        <f>SUM(TRANSHARI8_ACCPAGI[NOMINAL TRANSFER])+SUM(TRANSHARI8_ACCMALAM[NOMINAL TRANSFER])</f>
        <v>0</v>
      </c>
      <c r="U22" s="276">
        <f>SUM(TRANSHARI8_HYDROPAGI[NOMINAL TRANSFER])+SUM(TRANSHARI8_HYDROMALAM[NOMINAL TRANSFER])</f>
        <v>0</v>
      </c>
    </row>
    <row r="23" ht="18.75" spans="2:21">
      <c r="B23" s="242">
        <v>9</v>
      </c>
      <c r="C23" s="235">
        <f>SUM(TRANSHARI9_PULSAPAGI[DEBIT])+SUM(TRANSHARI9_PULSAMALAM[DEBIT])</f>
        <v>0</v>
      </c>
      <c r="D23" s="235">
        <f>SUM(TRANSHARI9_PULSAPAGI[KREDIT])+SUM(TRANSHARI9_PULSAMALAM[KREDIT])</f>
        <v>0</v>
      </c>
      <c r="E23" s="235">
        <f>SUM(TRANSHARI9_PULSAPAGI[NOMINAL TRANSFER])+SUM(TRANSHARI9_PULSAMALAM[NOMINAL TRANSFER])</f>
        <v>0</v>
      </c>
      <c r="F23" s="236">
        <f t="shared" si="1"/>
        <v>0</v>
      </c>
      <c r="H23" s="244"/>
      <c r="I23" s="282"/>
      <c r="J23" s="251"/>
      <c r="K23" s="252"/>
      <c r="L23" s="253"/>
      <c r="N23" s="279" t="s">
        <v>254</v>
      </c>
      <c r="O23" s="280">
        <f>SUM(TRANSHARI9_PULSAPAGI[NOMINAL TRANSFER])+SUM(TRANSHARI9_PULSAMALAM[NOMINAL TRANSFER])</f>
        <v>0</v>
      </c>
      <c r="P23" s="280">
        <f>SUM(TRANSHARI9_ROKOKPAGI[NOMINAL TRANSFER])+SUM(TRANSHARI9_ROKOKMALAM[NOMINAL TRANSFER])</f>
        <v>0</v>
      </c>
      <c r="Q23" s="280">
        <f>SUM(TRANSHARI9_SPVOUPAGI[NOMINAL TRANSFER])+SUM(TRANSHARI9_SPVOUMALAM[NOMINAL TRANSFER])</f>
        <v>0</v>
      </c>
      <c r="R23" s="280">
        <f>SUM(TRANSHARI9_SOFTDRINKPAGI[NOMINAL TRANSFER])+SUM(TRANSHARI9_SOFTDRINKMALAM[NOMINAL TRANSFER])</f>
        <v>0</v>
      </c>
      <c r="S23" s="280">
        <f>SUM(TRANSHARI9_ICECREAMPAGI[NOMINAL TRANSFER])+SUM(TRANSHARI9_ICECREAMMALAM[NOMINAL TRANSFER])</f>
        <v>0</v>
      </c>
      <c r="T23" s="280">
        <f>SUM(TRANSHARI9_ACCPAGI[NOMINAL TRANSFER])+SUM(TRANSHARI9_ACCMALAM[NOMINAL TRANSFER])</f>
        <v>0</v>
      </c>
      <c r="U23" s="280">
        <f>SUM(TRANSHARI9_HYDROPAGI[NOMINAL TRANSFER])+SUM(TRANSHARI9_HYDROMALAM[NOMINAL TRANSFER])</f>
        <v>0</v>
      </c>
    </row>
    <row r="24" ht="18" spans="2:21">
      <c r="B24" s="238">
        <v>10</v>
      </c>
      <c r="C24" s="239">
        <f>SUM(TRANSHARI10_PULSAPAGI[DEBIT])+SUM(TRANSHARI10_PULSAMALAM[DEBIT])</f>
        <v>0</v>
      </c>
      <c r="D24" s="239">
        <f>SUM(TRANSHARI10_PULSAPAGI[KREDIT])+SUM(TRANSHARI10_PULSAMALAM[KREDIT])</f>
        <v>0</v>
      </c>
      <c r="E24" s="239">
        <f>SUM(TRANSHARI10_PULSAPAGI[NOMINAL TRANSFER])+SUM(TRANSHARI10_PULSAMALAM[NOMINAL TRANSFER])</f>
        <v>0</v>
      </c>
      <c r="F24" s="240">
        <f t="shared" si="1"/>
        <v>0</v>
      </c>
      <c r="N24" s="241" t="s">
        <v>255</v>
      </c>
      <c r="O24" s="276">
        <f>SUM(TRANSHARI10_PULSAPAGI[NOMINAL TRANSFER])+SUM(TRANSHARI10_PULSAMALAM[NOMINAL TRANSFER])</f>
        <v>0</v>
      </c>
      <c r="P24" s="276">
        <f>SUM(TRANSHARI10_ROKOKPAGI[NOMINAL TRANSFER])+SUM(TRANSHARI10_ROKOKMALAM[NOMINAL TRANSFER])</f>
        <v>0</v>
      </c>
      <c r="Q24" s="276">
        <f>SUM(TRANSHARI10_SPVOUPAGI[NOMINAL TRANSFER])+SUM(TRANSHARI10_SPVOUMALAM[NOMINAL TRANSFER])</f>
        <v>0</v>
      </c>
      <c r="R24" s="276">
        <f>SUM(TRANSHARI10_SOFTDRINKPAGI[NOMINAL TRANSFER])+SUM(TRANSHARI10_SOFTDRINKMALAM[NOMINAL TRANSFER])</f>
        <v>0</v>
      </c>
      <c r="S24" s="276">
        <f>SUM(TRANSHARI10_ICECREAMPAGI[NOMINAL TRANSFER])+SUM(TRANSHARI10_ICECREAMMALAM[NOMINAL TRANSFER])</f>
        <v>0</v>
      </c>
      <c r="T24" s="276">
        <f>SUM(TRANSHARI10_ACCPAGI[NOMINAL TRANSFER])+SUM(TRANSHARI10_ACCMALAM[NOMINAL TRANSFER])</f>
        <v>0</v>
      </c>
      <c r="U24" s="276">
        <f>SUM(TRANSHARI10_HYDROPAGI[NOMINAL TRANSFER])+SUM(TRANSHARI10_HYDROMALAM[NOMINAL TRANSFER])</f>
        <v>0</v>
      </c>
    </row>
    <row r="25" ht="18.75" spans="2:21">
      <c r="B25" s="245">
        <v>11</v>
      </c>
      <c r="C25" s="235">
        <f>SUM(TRANSHARI11_PULSAPAGI[DEBIT])+SUM(TRANSHARI11_PULSAMALAM[DEBIT])</f>
        <v>0</v>
      </c>
      <c r="D25" s="235">
        <f>SUM(TRANSHARI11_PULSAPAGI[KREDIT])+SUM(TRANSHARI11_PULSAMALAM[KREDIT])</f>
        <v>0</v>
      </c>
      <c r="E25" s="235">
        <f>SUM(TRANSHARI11_PULSAPAGI[NOMINAL TRANSFER])+SUM(TRANSHARI11_PULSAMALAM[NOMINAL TRANSFER])</f>
        <v>0</v>
      </c>
      <c r="F25" s="236">
        <f t="shared" si="1"/>
        <v>0</v>
      </c>
      <c r="N25" s="283" t="s">
        <v>256</v>
      </c>
      <c r="O25" s="284">
        <f>SUM(TRANSHARI11_PULSAPAGI[NOMINAL TRANSFER])+SUM(TRANSHARI11_PULSAMALAM[NOMINAL TRANSFER])</f>
        <v>0</v>
      </c>
      <c r="P25" s="284">
        <f>SUM(TRANSHARI11_ROKOKPAGI[NOMINAL TRANSFER])+SUM(TRANSHARI11_ROKOKMALAM[NOMINAL TRANSFER])</f>
        <v>0</v>
      </c>
      <c r="Q25" s="284">
        <f>SUM(TRANSHARI11_SPVOUPAGI[NOMINAL TRANSFER])+SUM(TRANSHARI11_SPVOUMALAM[NOMINAL TRANSFER])</f>
        <v>0</v>
      </c>
      <c r="R25" s="284">
        <f>SUM(TRANSHARI11_SOFTDRINKPAGI[NOMINAL TRANSFER])+SUM(TRANSHARI11_SOFTDRINKMALAM[NOMINAL TRANSFER])</f>
        <v>0</v>
      </c>
      <c r="S25" s="284">
        <f>SUM(TRANSHARI11_ICECREAMPAGI[NOMINAL TRANSFER])+SUM(TRANSHARI11_ICECREAMMALAM[NOMINAL TRANSFER])</f>
        <v>0</v>
      </c>
      <c r="T25" s="284">
        <f>SUM(TRANSHARI11_ACCPAGI[NOMINAL TRANSFER])+SUM(TRANSHARI11_ACCMALAM[NOMINAL TRANSFER])</f>
        <v>0</v>
      </c>
      <c r="U25" s="284">
        <f>SUM(TRANSHARI11_HYDROPAGI[NOMINAL TRANSFER])+SUM(TRANSHARI11_HYDROMALAM[NOMINAL TRANSFER])</f>
        <v>0</v>
      </c>
    </row>
    <row r="26" ht="14.45" customHeight="1" spans="2:21">
      <c r="B26" s="246" t="s">
        <v>141</v>
      </c>
      <c r="C26" s="247">
        <f>SUM(C15:C25)</f>
        <v>1010500</v>
      </c>
      <c r="D26" s="248">
        <f>SUM(D15:D25)</f>
        <v>0</v>
      </c>
      <c r="E26" s="247">
        <f>SUM(E15:E25)</f>
        <v>0</v>
      </c>
      <c r="F26" s="249">
        <f>SUM(F15:F25)</f>
        <v>1010500</v>
      </c>
      <c r="N26" s="285" t="s">
        <v>257</v>
      </c>
      <c r="O26" s="286">
        <f>SUM(O15:O25)</f>
        <v>0</v>
      </c>
      <c r="P26" s="286">
        <f t="shared" ref="P26:U26" si="2">SUM(P15:P25)</f>
        <v>0</v>
      </c>
      <c r="Q26" s="286">
        <f t="shared" si="2"/>
        <v>0</v>
      </c>
      <c r="R26" s="286">
        <f t="shared" si="2"/>
        <v>0</v>
      </c>
      <c r="S26" s="286">
        <f t="shared" si="2"/>
        <v>0</v>
      </c>
      <c r="T26" s="286">
        <f t="shared" si="2"/>
        <v>0</v>
      </c>
      <c r="U26" s="286">
        <f t="shared" si="2"/>
        <v>0</v>
      </c>
    </row>
    <row r="27" ht="15" customHeight="1" spans="2:18">
      <c r="B27" s="250"/>
      <c r="C27" s="251"/>
      <c r="D27" s="252"/>
      <c r="E27" s="251"/>
      <c r="F27" s="253"/>
      <c r="N27" s="287" t="s">
        <v>258</v>
      </c>
      <c r="O27" s="288"/>
      <c r="P27" s="289">
        <f>SUM(O26:U26)</f>
        <v>0</v>
      </c>
      <c r="Q27" s="296"/>
      <c r="R27" s="297"/>
    </row>
    <row r="28" ht="15" customHeight="1" spans="9:18">
      <c r="I28" s="220" t="s">
        <v>259</v>
      </c>
      <c r="J28" s="221"/>
      <c r="K28" s="221"/>
      <c r="L28" s="222"/>
      <c r="N28" s="290"/>
      <c r="O28" s="291"/>
      <c r="P28" s="292"/>
      <c r="Q28" s="298"/>
      <c r="R28" s="299"/>
    </row>
    <row r="29" ht="17.25" spans="2:12">
      <c r="B29" s="220" t="s">
        <v>133</v>
      </c>
      <c r="C29" s="221"/>
      <c r="D29" s="221"/>
      <c r="E29" s="221"/>
      <c r="F29" s="222"/>
      <c r="I29" s="224"/>
      <c r="J29" s="225"/>
      <c r="K29" s="225"/>
      <c r="L29" s="226"/>
    </row>
    <row r="30" ht="18.75" spans="2:12">
      <c r="B30" s="224"/>
      <c r="C30" s="225"/>
      <c r="D30" s="225"/>
      <c r="E30" s="225"/>
      <c r="F30" s="226"/>
      <c r="I30" s="228" t="s">
        <v>240</v>
      </c>
      <c r="J30" s="229" t="s">
        <v>241</v>
      </c>
      <c r="K30" s="230" t="s">
        <v>242</v>
      </c>
      <c r="L30" s="232" t="s">
        <v>64</v>
      </c>
    </row>
    <row r="31" ht="18.75" spans="2:12">
      <c r="B31" s="228" t="s">
        <v>240</v>
      </c>
      <c r="C31" s="229" t="s">
        <v>241</v>
      </c>
      <c r="D31" s="230" t="s">
        <v>242</v>
      </c>
      <c r="E31" s="231" t="s">
        <v>243</v>
      </c>
      <c r="F31" s="232" t="s">
        <v>64</v>
      </c>
      <c r="I31" s="234">
        <v>1</v>
      </c>
      <c r="J31" s="235">
        <f t="shared" ref="J31:J41" si="3">C15+C32+C49+C66+C83+C100+C117</f>
        <v>1327000</v>
      </c>
      <c r="K31" s="235">
        <f t="shared" ref="K31:K41" si="4">D15+D32+D49+D66+D83+D100+D117</f>
        <v>0</v>
      </c>
      <c r="L31" s="236">
        <f t="shared" ref="L31:L41" si="5">J31+K31</f>
        <v>1327000</v>
      </c>
    </row>
    <row r="32" ht="18.75" spans="2:12">
      <c r="B32" s="234">
        <v>1</v>
      </c>
      <c r="C32" s="235">
        <f>SUM(TRANSHARI1_ROKOKPAGI[DEBIT])+SUM(TRANSHARI1_ROKOKMALAM[DEBIT])</f>
        <v>117500</v>
      </c>
      <c r="D32" s="235">
        <f>SUM(TRANSHARI1_ROKOKPAGI[KREDIT])+SUM(TRANSHARI1_ROKOKMALAM[KREDIT])</f>
        <v>0</v>
      </c>
      <c r="E32" s="235">
        <f>SUM(TRANSHARI1_ROKOKPAGI[NOMINAL TRANSFER])+SUM(TRANSHARI1_ROKOKMALAM[NOMINAL TRANSFER])</f>
        <v>0</v>
      </c>
      <c r="F32" s="236">
        <f t="shared" ref="F32:F42" si="6">C32+D32</f>
        <v>117500</v>
      </c>
      <c r="I32" s="238">
        <v>2</v>
      </c>
      <c r="J32" s="239">
        <f t="shared" si="3"/>
        <v>651500</v>
      </c>
      <c r="K32" s="239">
        <f t="shared" si="4"/>
        <v>0</v>
      </c>
      <c r="L32" s="240">
        <f t="shared" si="5"/>
        <v>651500</v>
      </c>
    </row>
    <row r="33" ht="15.75" customHeight="1" spans="2:20">
      <c r="B33" s="238">
        <v>2</v>
      </c>
      <c r="C33" s="239">
        <f>SUM(TRANSHARI2_ROKOKPAGI[DEBIT])+SUM(TRANSHARI2_ROKOKMALAM[DEBIT])</f>
        <v>76000</v>
      </c>
      <c r="D33" s="239">
        <f>SUM(TRANSHARI2_ROKOKPAGI[KREDIT])+SUM(TRANSHARI2_ROKOKMALAM[KREDIT])</f>
        <v>0</v>
      </c>
      <c r="E33" s="239">
        <f>SUM(TRANSHARI2_ROKOKPAGI[NOMINAL TRANSFER])+SUM(TRANSHARI2_ROKOKMALAM[NOMINAL TRANSFER])</f>
        <v>0</v>
      </c>
      <c r="F33" s="240">
        <f t="shared" si="6"/>
        <v>76000</v>
      </c>
      <c r="I33" s="242">
        <v>3</v>
      </c>
      <c r="J33" s="235">
        <f t="shared" si="3"/>
        <v>0</v>
      </c>
      <c r="K33" s="235">
        <f t="shared" si="4"/>
        <v>0</v>
      </c>
      <c r="L33" s="236">
        <f t="shared" si="5"/>
        <v>0</v>
      </c>
      <c r="N33" s="256" t="s">
        <v>260</v>
      </c>
      <c r="O33" s="257"/>
      <c r="P33" s="257"/>
      <c r="Q33" s="257"/>
      <c r="R33" s="257"/>
      <c r="S33" s="257"/>
      <c r="T33" s="294"/>
    </row>
    <row r="34" ht="15.75" customHeight="1" spans="2:20">
      <c r="B34" s="242">
        <v>3</v>
      </c>
      <c r="C34" s="235">
        <f>SUM(TRANSHARI3_ROKOKPAGI[DEBIT])+SUM(TRANSHARI3_ROKOKMALAM[DEBIT])</f>
        <v>0</v>
      </c>
      <c r="D34" s="235">
        <f>SUM(TRANSHARI3_ROKOKPAGI[KREDIT])+SUM(TRANSHARI3_ROKOKMALAM[KREDIT])</f>
        <v>0</v>
      </c>
      <c r="E34" s="235">
        <f>SUM(TRANSHARI3_ROKOKPAGI[NOMINAL TRANSFER])+SUM(TRANSHARI3_ROKOKMALAM[NOMINAL TRANSFER])</f>
        <v>0</v>
      </c>
      <c r="F34" s="236">
        <f t="shared" si="6"/>
        <v>0</v>
      </c>
      <c r="I34" s="238">
        <v>4</v>
      </c>
      <c r="J34" s="239">
        <f t="shared" si="3"/>
        <v>0</v>
      </c>
      <c r="K34" s="239">
        <f t="shared" si="4"/>
        <v>0</v>
      </c>
      <c r="L34" s="240">
        <f t="shared" si="5"/>
        <v>0</v>
      </c>
      <c r="N34" s="260"/>
      <c r="O34" s="261"/>
      <c r="P34" s="261"/>
      <c r="Q34" s="261"/>
      <c r="R34" s="261"/>
      <c r="S34" s="261"/>
      <c r="T34" s="295"/>
    </row>
    <row r="35" ht="15.95" customHeight="1" spans="2:20">
      <c r="B35" s="238">
        <v>4</v>
      </c>
      <c r="C35" s="239">
        <f>SUM(TRANSHARI4_ROKOKPAGI[DEBIT])+SUM(TRANSHARI4_ROKOKMALAM[DEBIT])</f>
        <v>0</v>
      </c>
      <c r="D35" s="239">
        <f>SUM(TRANSHARI4_ROKOKPAGI[KREDIT])+SUM(TRANSHARI4_ROKOKMALAM[KREDIT])</f>
        <v>0</v>
      </c>
      <c r="E35" s="239">
        <f>SUM(TRANSHARI4_ROKOKPAGI[NOMINAL TRANSFER])+SUM(TRANSHARI4_ROKOKMALAM[NOMINAL TRANSFER])</f>
        <v>0</v>
      </c>
      <c r="F35" s="240">
        <f t="shared" si="6"/>
        <v>0</v>
      </c>
      <c r="I35" s="242">
        <v>5</v>
      </c>
      <c r="J35" s="235">
        <f t="shared" si="3"/>
        <v>0</v>
      </c>
      <c r="K35" s="235">
        <f t="shared" si="4"/>
        <v>0</v>
      </c>
      <c r="L35" s="236">
        <f t="shared" si="5"/>
        <v>0</v>
      </c>
      <c r="N35" s="265" t="s">
        <v>245</v>
      </c>
      <c r="O35" s="267" t="s">
        <v>133</v>
      </c>
      <c r="P35" s="293" t="s">
        <v>134</v>
      </c>
      <c r="Q35" s="293" t="s">
        <v>135</v>
      </c>
      <c r="R35" s="293" t="s">
        <v>137</v>
      </c>
      <c r="S35" s="293" t="s">
        <v>138</v>
      </c>
      <c r="T35" s="293" t="s">
        <v>139</v>
      </c>
    </row>
    <row r="36" ht="18" spans="2:20">
      <c r="B36" s="242">
        <v>5</v>
      </c>
      <c r="C36" s="235">
        <f>SUM(TRANSHARI5_ROKOKPAGI[DEBIT])+SUM(TRANSHARI5_ROKOKMALAM[DEBIT])</f>
        <v>0</v>
      </c>
      <c r="D36" s="235">
        <f>SUM(TRANSHARI5_ROKOKPAGI[KREDIT])+SUM(TRANSHARI5_ROKOKMALAM[KREDIT])</f>
        <v>0</v>
      </c>
      <c r="E36" s="235">
        <f>SUM(TRANSHARI5_ROKOKPAGI[NOMINAL TRANSFER])+SUM(TRANSHARI5_ROKOKMALAM[NOMINAL TRANSFER])</f>
        <v>0</v>
      </c>
      <c r="F36" s="236">
        <f t="shared" si="6"/>
        <v>0</v>
      </c>
      <c r="I36" s="238">
        <v>6</v>
      </c>
      <c r="J36" s="239">
        <f t="shared" si="3"/>
        <v>0</v>
      </c>
      <c r="K36" s="239">
        <f t="shared" si="4"/>
        <v>0</v>
      </c>
      <c r="L36" s="240">
        <f t="shared" si="5"/>
        <v>0</v>
      </c>
      <c r="N36" s="271" t="s">
        <v>246</v>
      </c>
      <c r="O36" s="272">
        <f>SUM(TRANSHARI1_ROKOKPAGI[PRICE TOLERANCE])+SUM(TRANSHARI1_ROKOKMALAM[PRICE TOLERANCE])</f>
        <v>0</v>
      </c>
      <c r="P36" s="272">
        <f>SUM(TRANSHARI1_SPVOUPAGI[PRICE TOLERANCE])+SUM(TRANSHARI1_SPVOUMALAM[PRICE TOLERANCE])</f>
        <v>0</v>
      </c>
      <c r="Q36" s="272">
        <f>SUM(TRANSHARI1_SOFTDRINKPAGI[PRICE TOLERANCE])+SUM(TRANSHARI1_SOFTDRINKMALAM[PRICE TOLERANCE])</f>
        <v>0</v>
      </c>
      <c r="R36" s="272">
        <f>SUM(TRANSHARI1_ICECREAMPAGI[PRICE TOLERANCE])+SUM(TRANSHARI1_ICECREAMMALAM[PRICE TOLERANCE])</f>
        <v>0</v>
      </c>
      <c r="S36" s="272">
        <f>SUM(TRANSHARI1_ACCPAGI[PRICE TOLERANCE])+SUM(TRANSHARI1_ACCMALAM[PRICE TOLERANCE])</f>
        <v>0</v>
      </c>
      <c r="T36" s="272">
        <f>SUM(TRANSHARI1_HYDROPAGI[PRICE TOLERANCE])+SUM(TRANSHARI1_HYDROMALAM[PRICE TOLERANCE])</f>
        <v>0</v>
      </c>
    </row>
    <row r="37" ht="18" spans="2:20">
      <c r="B37" s="238">
        <v>6</v>
      </c>
      <c r="C37" s="239">
        <f>SUM(TRANSHARI6_ROKOKPAGI[DEBIT])+SUM(TRANSHARI6_ROKOKMALAM[DEBIT])</f>
        <v>0</v>
      </c>
      <c r="D37" s="239">
        <f>SUM(TRANSHARI6_ROKOKPAGI[KREDIT])+SUM(TRANSHARI6_ROKOKMALAM[KREDIT])</f>
        <v>0</v>
      </c>
      <c r="E37" s="239">
        <f>SUM(TRANSHARI6_ROKOKPAGI[NOMINAL TRANSFER])+SUM(TRANSHARI6_ROKOKMALAM[NOMINAL TRANSFER])</f>
        <v>0</v>
      </c>
      <c r="F37" s="240">
        <f t="shared" si="6"/>
        <v>0</v>
      </c>
      <c r="I37" s="242">
        <v>7</v>
      </c>
      <c r="J37" s="235">
        <f t="shared" si="3"/>
        <v>0</v>
      </c>
      <c r="K37" s="235">
        <f t="shared" si="4"/>
        <v>0</v>
      </c>
      <c r="L37" s="236">
        <f t="shared" si="5"/>
        <v>0</v>
      </c>
      <c r="N37" s="241" t="s">
        <v>247</v>
      </c>
      <c r="O37" s="276">
        <f>SUM(TRANSHARI2_ROKOKPAGI[PRICE TOLERANCE])+SUM(TRANSHARI2_ROKOKMALAM[PRICE TOLERANCE])</f>
        <v>0</v>
      </c>
      <c r="P37" s="276">
        <f>SUM(TRANSHARI2_SPVOUPAGI[PRICE TOLERANCE])+SUM(TRANSHARI2_SPVOUMALAM[PRICE TOLERANCE])</f>
        <v>0</v>
      </c>
      <c r="Q37" s="276">
        <f>SUM(TRANSHARI2_SOFTDRINKPAGI[PRICE TOLERANCE])+SUM(TRANSHARI2_SOFTDRINKMALAM[PRICE TOLERANCE])</f>
        <v>0</v>
      </c>
      <c r="R37" s="276">
        <f>SUM(TRANSHARI2_ICECREAMPAGI[PRICE TOLERANCE])+SUM(TRANSHARI2_ICECREAMMALAM[PRICE TOLERANCE])</f>
        <v>0</v>
      </c>
      <c r="S37" s="276">
        <f>SUM(TRANSHARI2_ACCPAGI[PRICE TOLERANCE])+SUM(TRANSHARI2_ACCMALAM[PRICE TOLERANCE])</f>
        <v>0</v>
      </c>
      <c r="T37" s="276">
        <f>SUM(TRANSHARI2_HYDROPAGI[PRICE TOLERANCE])+SUM(TRANSHARI2_HYDROMALAM[PRICE TOLERANCE])</f>
        <v>0</v>
      </c>
    </row>
    <row r="38" ht="18" spans="2:20">
      <c r="B38" s="242">
        <v>7</v>
      </c>
      <c r="C38" s="235">
        <f>SUM(TRANSHARI7_ROKOKPAGI[DEBIT])+SUM(TRANSHARI7_ROKOKMALAM[DEBIT])</f>
        <v>0</v>
      </c>
      <c r="D38" s="235">
        <f>SUM(TRANSHARI7_ROKOKPAGI[KREDIT])+SUM(TRANSHARI7_ROKOKMALAM[KREDIT])</f>
        <v>0</v>
      </c>
      <c r="E38" s="235">
        <f>SUM(TRANSHARI7_ROKOKPAGI[NOMINAL TRANSFER])+SUM(TRANSHARI7_ROKOKMALAM[NOMINAL TRANSFER])</f>
        <v>0</v>
      </c>
      <c r="F38" s="236">
        <f t="shared" si="6"/>
        <v>0</v>
      </c>
      <c r="I38" s="238">
        <v>8</v>
      </c>
      <c r="J38" s="239">
        <f t="shared" si="3"/>
        <v>0</v>
      </c>
      <c r="K38" s="239">
        <f t="shared" si="4"/>
        <v>0</v>
      </c>
      <c r="L38" s="240">
        <f t="shared" si="5"/>
        <v>0</v>
      </c>
      <c r="N38" s="279" t="s">
        <v>248</v>
      </c>
      <c r="O38" s="280">
        <f>SUM(TRANSHARI3_ROKOKPAGI[PRICE TOLERANCE])+SUM(TRANSHARI3_ROKOKMALAM[PRICE TOLERANCE])</f>
        <v>0</v>
      </c>
      <c r="P38" s="280">
        <f>SUM(TRANSHARI3_SPVOUPAGI[PRICE TOLERANCE])+SUM(TRANSHARI3_SPVOUMALAM[PRICE TOLERANCE])</f>
        <v>0</v>
      </c>
      <c r="Q38" s="280">
        <f>SUM(TRANSHARI3_SOFTDRINKPAGI[PRICE TOLERANCE])+SUM(TRANSHARI3_SOFTDRINKMALAM[PRICE TOLERANCE])</f>
        <v>0</v>
      </c>
      <c r="R38" s="280">
        <f>SUM(TRANSHARI3_ICECREAMPAGI[PRICE TOLERANCE])+SUM(TRANSHARI3_ICECREAMMALAM[PRICE TOLERANCE])</f>
        <v>0</v>
      </c>
      <c r="S38" s="280">
        <f>SUM(TRANSHARI3_ACCPAGI[PRICE TOLERANCE])+SUM(TRANSHARI3_ACCMALAM[PRICE TOLERANCE])</f>
        <v>0</v>
      </c>
      <c r="T38" s="280">
        <f>SUM(TRANSHARI3_HYDROPAGI[PRICE TOLERANCE])+SUM(TRANSHARI3_HYDROMALAM[PRICE TOLERANCE])</f>
        <v>0</v>
      </c>
    </row>
    <row r="39" ht="18" spans="2:20">
      <c r="B39" s="238">
        <v>8</v>
      </c>
      <c r="C39" s="239">
        <f>SUM(TRANSHARI8_ROKOKPAGI[DEBIT])+SUM(TRANSHARI8_ROKOKMALAM[DEBIT])</f>
        <v>0</v>
      </c>
      <c r="D39" s="239">
        <f>SUM(TRANSHARI8_ROKOKPAGI[KREDIT])+SUM(TRANSHARI8_ROKOKMALAM[KREDIT])</f>
        <v>0</v>
      </c>
      <c r="E39" s="239">
        <f>SUM(TRANSHARI8_ROKOKPAGI[NOMINAL TRANSFER])+SUM(TRANSHARI8_ROKOKMALAM[NOMINAL TRANSFER])</f>
        <v>0</v>
      </c>
      <c r="F39" s="240">
        <f t="shared" si="6"/>
        <v>0</v>
      </c>
      <c r="I39" s="242">
        <v>9</v>
      </c>
      <c r="J39" s="235">
        <f t="shared" si="3"/>
        <v>0</v>
      </c>
      <c r="K39" s="235">
        <f t="shared" si="4"/>
        <v>0</v>
      </c>
      <c r="L39" s="236">
        <f t="shared" si="5"/>
        <v>0</v>
      </c>
      <c r="N39" s="241" t="s">
        <v>249</v>
      </c>
      <c r="O39" s="276">
        <f>SUM(TRANSHARI4_ROKOKPAGI[PRICE TOLERANCE])+SUM(TRANSHARI4_ROKOKMALAM[PRICE TOLERANCE])</f>
        <v>0</v>
      </c>
      <c r="P39" s="276">
        <f>SUM(TRANSHARI4_SPVOUPAGI[PRICE TOLERANCE])+SUM(TRANSHARI4_SPVOUMALAM[PRICE TOLERANCE])</f>
        <v>0</v>
      </c>
      <c r="Q39" s="276">
        <f>SUM(TRANSHARI4_SOFTDRINKPAGI[PRICE TOLERANCE])+SUM(TRANSHARI4_SOFTDRINKMALAM[PRICE TOLERANCE])</f>
        <v>0</v>
      </c>
      <c r="R39" s="276">
        <f>SUM(TRANSHARI4_ICECREAMPAGI[PRICE TOLERANCE])+SUM(TRANSHARI4_ICECREAMMALAM[PRICE TOLERANCE])</f>
        <v>0</v>
      </c>
      <c r="S39" s="276">
        <f>SUM(TRANSHARI4_ACCPAGI[PRICE TOLERANCE])+SUM(TRANSHARI4_ACCMALAM[PRICE TOLERANCE])</f>
        <v>0</v>
      </c>
      <c r="T39" s="276">
        <f>SUM(TRANSHARI4_HYDROPAGI[PRICE TOLERANCE])+SUM(TRANSHARI4_HYDROMALAM[PRICE TOLERANCE])</f>
        <v>0</v>
      </c>
    </row>
    <row r="40" ht="18" spans="2:20">
      <c r="B40" s="242">
        <v>9</v>
      </c>
      <c r="C40" s="235">
        <f>SUM(TRANSHARI9_ROKOKPAGI[DEBIT])+SUM(TRANSHARI9_ROKOKMALAM[DEBIT])</f>
        <v>0</v>
      </c>
      <c r="D40" s="235">
        <f>SUM(TRANSHARI9_ROKOKPAGI[KREDIT])+SUM(TRANSHARI9_ROKOKMALAM[KREDIT])</f>
        <v>0</v>
      </c>
      <c r="E40" s="235">
        <f>SUM(TRANSHARI9_ROKOKPAGI[NOMINAL TRANSFER])+SUM(TRANSHARI9_ROKOKMALAM[NOMINAL TRANSFER])</f>
        <v>0</v>
      </c>
      <c r="F40" s="236">
        <f t="shared" si="6"/>
        <v>0</v>
      </c>
      <c r="I40" s="238">
        <v>10</v>
      </c>
      <c r="J40" s="239">
        <f t="shared" si="3"/>
        <v>0</v>
      </c>
      <c r="K40" s="239">
        <f t="shared" si="4"/>
        <v>0</v>
      </c>
      <c r="L40" s="240">
        <f t="shared" si="5"/>
        <v>0</v>
      </c>
      <c r="N40" s="279" t="s">
        <v>250</v>
      </c>
      <c r="O40" s="280">
        <f>SUM(TRANSHARI5_ROKOKPAGI[PRICE TOLERANCE])+SUM(TRANSHARI5_ROKOKMALAM[PRICE TOLERANCE])</f>
        <v>0</v>
      </c>
      <c r="P40" s="280">
        <f>SUM(TRANSHARI5_SPVOUPAGI[PRICE TOLERANCE])+SUM(TRANSHARI5_SPVOUMALAM[PRICE TOLERANCE])</f>
        <v>0</v>
      </c>
      <c r="Q40" s="280">
        <f>SUM(TRANSHARI5_SOFTDRINKPAGI[PRICE TOLERANCE])+SUM(TRANSHARI5_SOFTDRINKMALAM[PRICE TOLERANCE])</f>
        <v>0</v>
      </c>
      <c r="R40" s="280">
        <f>SUM(TRANSHARI5_ICECREAMPAGI[PRICE TOLERANCE])+SUM(TRANSHARI5_ICECREAMMALAM[PRICE TOLERANCE])</f>
        <v>0</v>
      </c>
      <c r="S40" s="280">
        <f>SUM(TRANSHARI5_ACCPAGI[PRICE TOLERANCE])+SUM(TRANSHARI5_ACCMALAM[PRICE TOLERANCE])</f>
        <v>0</v>
      </c>
      <c r="T40" s="280">
        <f>SUM(TRANSHARI5_HYDROPAGI[PRICE TOLERANCE])+SUM(TRANSHARI5_HYDROMALAM[PRICE TOLERANCE])</f>
        <v>0</v>
      </c>
    </row>
    <row r="41" ht="18.75" spans="2:20">
      <c r="B41" s="238">
        <v>10</v>
      </c>
      <c r="C41" s="239">
        <f>SUM(TRANSHARI10_ROKOKPAGI[DEBIT])+SUM(TRANSHARI10_ROKOKMALAM[DEBIT])</f>
        <v>0</v>
      </c>
      <c r="D41" s="239">
        <f>SUM(TRANSHARI10_ROKOKPAGI[KREDIT])+SUM(TRANSHARI10_ROKOKMALAM[KREDIT])</f>
        <v>0</v>
      </c>
      <c r="E41" s="239">
        <f>SUM(TRANSHARI10_ROKOKPAGI[NOMINAL TRANSFER])+SUM(TRANSHARI10_ROKOKMALAM[NOMINAL TRANSFER])</f>
        <v>0</v>
      </c>
      <c r="F41" s="240">
        <f t="shared" si="6"/>
        <v>0</v>
      </c>
      <c r="I41" s="245">
        <v>11</v>
      </c>
      <c r="J41" s="235">
        <f t="shared" si="3"/>
        <v>0</v>
      </c>
      <c r="K41" s="235">
        <f t="shared" si="4"/>
        <v>0</v>
      </c>
      <c r="L41" s="236">
        <f t="shared" si="5"/>
        <v>0</v>
      </c>
      <c r="N41" s="241" t="s">
        <v>251</v>
      </c>
      <c r="O41" s="276">
        <f>SUM(TRANSHARI6_ROKOKPAGI[PRICE TOLERANCE])+SUM(TRANSHARI6_ROKOKMALAM[PRICE TOLERANCE])</f>
        <v>0</v>
      </c>
      <c r="P41" s="276">
        <f>SUM(TRANSHARI6_SPVOUPAGI[PRICE TOLERANCE])+SUM(TRANSHARI6_SPVOUMALAM[PRICE TOLERANCE])</f>
        <v>0</v>
      </c>
      <c r="Q41" s="276">
        <f>SUM(TRANSHARI6_SOFTDRINKPAGI[PRICE TOLERANCE])+SUM(TRANSHARI6_SOFTDRINKMALAM[PRICE TOLERANCE])</f>
        <v>0</v>
      </c>
      <c r="R41" s="276">
        <f>SUM(TRANSHARI6_ICECREAMPAGI[PRICE TOLERANCE])+SUM(TRANSHARI6_ICECREAMMALAM[PRICE TOLERANCE])</f>
        <v>0</v>
      </c>
      <c r="S41" s="276">
        <f>SUM(TRANSHARI6_ACCPAGI[PRICE TOLERANCE])+SUM(TRANSHARI6_ACCMALAM[PRICE TOLERANCE])</f>
        <v>0</v>
      </c>
      <c r="T41" s="276">
        <f>SUM(TRANSHARI6_HYDROPAGI[PRICE TOLERANCE])+SUM(TRANSHARI6_HYDROMALAM[PRICE TOLERANCE])</f>
        <v>0</v>
      </c>
    </row>
    <row r="42" ht="18.75" spans="2:20">
      <c r="B42" s="245">
        <v>11</v>
      </c>
      <c r="C42" s="235">
        <f>SUM(TRANSHARI11_ROKOKPAGI[DEBIT])+SUM(TRANSHARI11_ROKOKMALAM[DEBIT])</f>
        <v>0</v>
      </c>
      <c r="D42" s="235">
        <f>SUM(TRANSHARI11_ROKOKPAGI[KREDIT])+SUM(TRANSHARI11_ROKOKMALAM[KREDIT])</f>
        <v>0</v>
      </c>
      <c r="E42" s="235">
        <f>SUM(TRANSHARI11_ROKOKPAGI[NOMINAL TRANSFER])+SUM(TRANSHARI11_ROKOKMALAM[NOMINAL TRANSFER])</f>
        <v>0</v>
      </c>
      <c r="F42" s="236">
        <f t="shared" si="6"/>
        <v>0</v>
      </c>
      <c r="I42" s="246" t="s">
        <v>141</v>
      </c>
      <c r="J42" s="247">
        <f>SUM(J31:J41)</f>
        <v>1978500</v>
      </c>
      <c r="K42" s="248">
        <f>SUM(K31:K41)</f>
        <v>0</v>
      </c>
      <c r="L42" s="249">
        <f>SUM(L31:L41)</f>
        <v>1978500</v>
      </c>
      <c r="N42" s="279" t="s">
        <v>252</v>
      </c>
      <c r="O42" s="280">
        <f>SUM(TRANSHARI7_ROKOKPAGI[PRICE TOLERANCE])+SUM(TRANSHARI7_ROKOKMALAM[PRICE TOLERANCE])</f>
        <v>0</v>
      </c>
      <c r="P42" s="280">
        <f>SUM(TRANSHARI7_SPVOUPAGI[PRICE TOLERANCE])+SUM(TRANSHARI7_SPVOUMALAM[PRICE TOLERANCE])</f>
        <v>0</v>
      </c>
      <c r="Q42" s="280">
        <f>SUM(TRANSHARI7_SOFTDRINKPAGI[PRICE TOLERANCE])+SUM(TRANSHARI7_SOFTDRINKMALAM[PRICE TOLERANCE])</f>
        <v>0</v>
      </c>
      <c r="R42" s="280">
        <f>SUM(TRANSHARI7_ICECREAMPAGI[PRICE TOLERANCE])+SUM(TRANSHARI7_ICECREAMMALAM[PRICE TOLERANCE])</f>
        <v>0</v>
      </c>
      <c r="S42" s="280">
        <f>SUM(TRANSHARI7_ACCPAGI[PRICE TOLERANCE])+SUM(TRANSHARI7_ACCMALAM[PRICE TOLERANCE])</f>
        <v>0</v>
      </c>
      <c r="T42" s="280">
        <f>SUM(TRANSHARI7_HYDROPAGI[PRICE TOLERANCE])+SUM(TRANSHARI7_HYDROMALAM[PRICE TOLERANCE])</f>
        <v>0</v>
      </c>
    </row>
    <row r="43" ht="18.75" spans="2:20">
      <c r="B43" s="246" t="s">
        <v>141</v>
      </c>
      <c r="C43" s="247">
        <f>SUM(C32:C42)</f>
        <v>193500</v>
      </c>
      <c r="D43" s="248">
        <f>SUM(D32:D42)</f>
        <v>0</v>
      </c>
      <c r="E43" s="247">
        <f>SUM(E32:E42)</f>
        <v>0</v>
      </c>
      <c r="F43" s="249">
        <f>SUM(F32:F42)</f>
        <v>193500</v>
      </c>
      <c r="I43" s="250"/>
      <c r="J43" s="251"/>
      <c r="K43" s="252"/>
      <c r="L43" s="253"/>
      <c r="N43" s="241" t="s">
        <v>253</v>
      </c>
      <c r="O43" s="276">
        <f>SUM(TRANSHARI8_ROKOKPAGI[PRICE TOLERANCE])+SUM(TRANSHARI8_ROKOKMALAM[PRICE TOLERANCE])</f>
        <v>0</v>
      </c>
      <c r="P43" s="276">
        <f>SUM(TRANSHARI8_SPVOUPAGI[PRICE TOLERANCE])+SUM(TRANSHARI8_SPVOUMALAM[PRICE TOLERANCE])</f>
        <v>0</v>
      </c>
      <c r="Q43" s="276">
        <f>SUM(TRANSHARI8_SOFTDRINKPAGI[PRICE TOLERANCE])+SUM(TRANSHARI8_SOFTDRINKMALAM[PRICE TOLERANCE])</f>
        <v>0</v>
      </c>
      <c r="R43" s="276">
        <f>SUM(TRANSHARI8_ICECREAMPAGI[PRICE TOLERANCE])+SUM(TRANSHARI8_ICECREAMMALAM[PRICE TOLERANCE])</f>
        <v>0</v>
      </c>
      <c r="S43" s="276">
        <f>SUM(TRANSHARI8_ACCPAGI[PRICE TOLERANCE])+SUM(TRANSHARI8_ACCMALAM[PRICE TOLERANCE])</f>
        <v>0</v>
      </c>
      <c r="T43" s="276">
        <f>SUM(TRANSHARI8_HYDROPAGI[PRICE TOLERANCE])+SUM(TRANSHARI8_HYDROMALAM[PRICE TOLERANCE])</f>
        <v>0</v>
      </c>
    </row>
    <row r="44" ht="18.75" spans="2:20">
      <c r="B44" s="250"/>
      <c r="C44" s="251"/>
      <c r="D44" s="252"/>
      <c r="E44" s="251"/>
      <c r="F44" s="253"/>
      <c r="N44" s="279" t="s">
        <v>254</v>
      </c>
      <c r="O44" s="280">
        <f>SUM(TRANSHARI9_ROKOKPAGI[PRICE TOLERANCE])+SUM(TRANSHARI9_ROKOKMALAM[PRICE TOLERANCE])</f>
        <v>0</v>
      </c>
      <c r="P44" s="280">
        <f>SUM(TRANSHARI9_SPVOUPAGI[PRICE TOLERANCE])+SUM(TRANSHARI9_SPVOUMALAM[PRICE TOLERANCE])</f>
        <v>0</v>
      </c>
      <c r="Q44" s="280">
        <f>SUM(TRANSHARI9_SOFTDRINKPAGI[PRICE TOLERANCE])+SUM(TRANSHARI9_SOFTDRINKMALAM[PRICE TOLERANCE])</f>
        <v>0</v>
      </c>
      <c r="R44" s="280">
        <f>SUM(TRANSHARI9_ICECREAMPAGI[PRICE TOLERANCE])+SUM(TRANSHARI9_ICECREAMMALAM[PRICE TOLERANCE])</f>
        <v>0</v>
      </c>
      <c r="S44" s="280">
        <f>SUM(TRANSHARI9_ACCPAGI[PRICE TOLERANCE])+SUM(TRANSHARI9_ACCMALAM[PRICE TOLERANCE])</f>
        <v>0</v>
      </c>
      <c r="T44" s="280">
        <f>SUM(TRANSHARI9_HYDROPAGI[PRICE TOLERANCE])+SUM(TRANSHARI9_HYDROMALAM[PRICE TOLERANCE])</f>
        <v>0</v>
      </c>
    </row>
    <row r="45" ht="18.75" spans="14:20">
      <c r="N45" s="241" t="s">
        <v>255</v>
      </c>
      <c r="O45" s="276">
        <f>SUM(TRANSHARI10_ROKOKPAGI[PRICE TOLERANCE])+SUM(TRANSHARI10_ROKOKMALAM[PRICE TOLERANCE])</f>
        <v>0</v>
      </c>
      <c r="P45" s="276">
        <f>SUM(TRANSHARI10_SPVOUPAGI[PRICE TOLERANCE])+SUM(TRANSHARI10_SPVOUMALAM[PRICE TOLERANCE])</f>
        <v>0</v>
      </c>
      <c r="Q45" s="276">
        <f>SUM(TRANSHARI10_SOFTDRINKPAGI[PRICE TOLERANCE])+SUM(TRANSHARI10_SOFTDRINKMALAM[PRICE TOLERANCE])</f>
        <v>0</v>
      </c>
      <c r="R45" s="276">
        <f>SUM(TRANSHARI10_ICECREAMPAGI[PRICE TOLERANCE])+SUM(TRANSHARI10_ICECREAMMALAM[PRICE TOLERANCE])</f>
        <v>0</v>
      </c>
      <c r="S45" s="276">
        <f>SUM(TRANSHARI10_ACCPAGI[PRICE TOLERANCE])+SUM(TRANSHARI10_ACCMALAM[PRICE TOLERANCE])</f>
        <v>0</v>
      </c>
      <c r="T45" s="276">
        <f>SUM(TRANSHARI10_HYDROPAGI[PRICE TOLERANCE])+SUM(TRANSHARI10_HYDROMALAM[PRICE TOLERANCE])</f>
        <v>0</v>
      </c>
    </row>
    <row r="46" ht="18.75" spans="2:20">
      <c r="B46" s="220" t="s">
        <v>134</v>
      </c>
      <c r="C46" s="221"/>
      <c r="D46" s="221"/>
      <c r="E46" s="221"/>
      <c r="F46" s="222"/>
      <c r="N46" s="283" t="s">
        <v>256</v>
      </c>
      <c r="O46" s="284">
        <f>SUM(TRANSHARI11_ROKOKPAGI[PRICE TOLERANCE])+SUM(TRANSHARI11_ROKOKMALAM[PRICE TOLERANCE])</f>
        <v>0</v>
      </c>
      <c r="P46" s="284">
        <f>SUM(TRANSHARI11_SPVOUPAGI[PRICE TOLERANCE])+SUM(TRANSHARI11_SPVOUMALAM[PRICE TOLERANCE])</f>
        <v>0</v>
      </c>
      <c r="Q46" s="284">
        <f>SUM(TRANSHARI11_SOFTDRINKPAGI[PRICE TOLERANCE])+SUM(TRANSHARI11_SOFTDRINKMALAM[PRICE TOLERANCE])</f>
        <v>0</v>
      </c>
      <c r="R46" s="284">
        <f>SUM(TRANSHARI11_ICECREAMPAGI[PRICE TOLERANCE])+SUM(TRANSHARI11_ICECREAMMALAM[PRICE TOLERANCE])</f>
        <v>0</v>
      </c>
      <c r="S46" s="284">
        <f>SUM(TRANSHARI11_ACCPAGI[PRICE TOLERANCE])+SUM(TRANSHARI11_ACCMALAM[PRICE TOLERANCE])</f>
        <v>0</v>
      </c>
      <c r="T46" s="284">
        <f>SUM(TRANSHARI11_HYDROPAGI[PRICE TOLERANCE])+SUM(TRANSHARI11_HYDROMALAM[PRICE TOLERANCE])</f>
        <v>0</v>
      </c>
    </row>
    <row r="47" ht="15" customHeight="1" spans="2:20">
      <c r="B47" s="224"/>
      <c r="C47" s="225"/>
      <c r="D47" s="225"/>
      <c r="E47" s="225"/>
      <c r="F47" s="226"/>
      <c r="N47" s="285" t="s">
        <v>257</v>
      </c>
      <c r="O47" s="286">
        <f t="shared" ref="O47:T47" si="7">SUM(O36:O46)</f>
        <v>0</v>
      </c>
      <c r="P47" s="286">
        <f t="shared" si="7"/>
        <v>0</v>
      </c>
      <c r="Q47" s="286">
        <f t="shared" si="7"/>
        <v>0</v>
      </c>
      <c r="R47" s="286">
        <f t="shared" si="7"/>
        <v>0</v>
      </c>
      <c r="S47" s="286">
        <f t="shared" si="7"/>
        <v>0</v>
      </c>
      <c r="T47" s="286">
        <f t="shared" si="7"/>
        <v>0</v>
      </c>
    </row>
    <row r="48" ht="18.75" spans="2:18">
      <c r="B48" s="228" t="s">
        <v>240</v>
      </c>
      <c r="C48" s="229" t="s">
        <v>241</v>
      </c>
      <c r="D48" s="230" t="s">
        <v>242</v>
      </c>
      <c r="E48" s="231" t="s">
        <v>243</v>
      </c>
      <c r="F48" s="232" t="s">
        <v>64</v>
      </c>
      <c r="N48" s="287" t="s">
        <v>260</v>
      </c>
      <c r="O48" s="288"/>
      <c r="P48" s="289">
        <f>SUM(O47:T47)</f>
        <v>0</v>
      </c>
      <c r="Q48" s="296"/>
      <c r="R48" s="297"/>
    </row>
    <row r="49" ht="18.75" spans="2:18">
      <c r="B49" s="234">
        <v>1</v>
      </c>
      <c r="C49" s="235">
        <f>SUM(TRANSHARI1_SPVOUPAGI[DEBIT])+SUM(TRANSHARI1_SPVOUMALAM[DEBIT])</f>
        <v>356000</v>
      </c>
      <c r="D49" s="235">
        <f>SUM(TRANSHARI1_SPVOUPAGI[KREDIT])+SUM(TRANSHARI1_SPVOUMALAM[KREDIT])</f>
        <v>0</v>
      </c>
      <c r="E49" s="235">
        <f>SUM(TRANSHARI1_SPVOUPAGI[NOMINAL TRANSFER])+SUM(TRANSHARI1_SPVOUMALAM[NOMINAL TRANSFER])</f>
        <v>0</v>
      </c>
      <c r="F49" s="236">
        <f t="shared" ref="F49:F59" si="8">C49+D49</f>
        <v>356000</v>
      </c>
      <c r="N49" s="290"/>
      <c r="O49" s="291"/>
      <c r="P49" s="292"/>
      <c r="Q49" s="298"/>
      <c r="R49" s="299"/>
    </row>
    <row r="50" ht="18" spans="2:6">
      <c r="B50" s="238">
        <v>2</v>
      </c>
      <c r="C50" s="239">
        <f>SUM(TRANSHARI2_SPVOUPAGI[DEBIT])+SUM(TRANSHARI2_SPVOUMALAM[DEBIT])</f>
        <v>237000</v>
      </c>
      <c r="D50" s="239">
        <f>SUM(TRANSHARI2_SPVOUPAGI[KREDIT])+SUM(TRANSHARI2_SPVOUMALAM[KREDIT])</f>
        <v>0</v>
      </c>
      <c r="E50" s="239">
        <f>SUM(TRANSHARI2_SPVOUPAGI[NOMINAL TRANSFER])+SUM(TRANSHARI2_SPVOUMALAM[NOMINAL TRANSFER])</f>
        <v>0</v>
      </c>
      <c r="F50" s="240">
        <f t="shared" si="8"/>
        <v>237000</v>
      </c>
    </row>
    <row r="51" ht="18" spans="2:6">
      <c r="B51" s="242">
        <v>3</v>
      </c>
      <c r="C51" s="235">
        <f>SUM(TRANSHARI3_SPVOUPAGI[DEBIT])+SUM(TRANSHARI3_SPVOUMALAM[DEBIT])</f>
        <v>0</v>
      </c>
      <c r="D51" s="235">
        <f>SUM(TRANSHARI3_SPVOUPAGI[KREDIT])+SUM(TRANSHARI3_SPVOUMALAM[KREDIT])</f>
        <v>0</v>
      </c>
      <c r="E51" s="235">
        <f>SUM(TRANSHARI3_SPVOUPAGI[NOMINAL TRANSFER])+SUM(TRANSHARI3_SPVOUMALAM[NOMINAL TRANSFER])</f>
        <v>0</v>
      </c>
      <c r="F51" s="236">
        <f t="shared" si="8"/>
        <v>0</v>
      </c>
    </row>
    <row r="52" ht="18" spans="2:6">
      <c r="B52" s="238">
        <v>4</v>
      </c>
      <c r="C52" s="239">
        <f>SUM(TRANSHARI4_SPVOUPAGI[DEBIT])+SUM(TRANSHARI4_SPVOUMALAM[DEBIT])</f>
        <v>0</v>
      </c>
      <c r="D52" s="239">
        <f>SUM(TRANSHARI4_SPVOUPAGI[KREDIT])+SUM(TRANSHARI4_SPVOUMALAM[KREDIT])</f>
        <v>0</v>
      </c>
      <c r="E52" s="239">
        <f>SUM(TRANSHARI4_SPVOUPAGI[NOMINAL TRANSFER])+SUM(TRANSHARI4_SPVOUMALAM[NOMINAL TRANSFER])</f>
        <v>0</v>
      </c>
      <c r="F52" s="240">
        <f t="shared" si="8"/>
        <v>0</v>
      </c>
    </row>
    <row r="53" ht="18" spans="2:6">
      <c r="B53" s="242">
        <v>5</v>
      </c>
      <c r="C53" s="235">
        <f>SUM(TRANSHARI5_SPVOUPAGI[DEBIT])+SUM(TRANSHARI5_SPVOUMALAM[DEBIT])</f>
        <v>0</v>
      </c>
      <c r="D53" s="235">
        <f>SUM(TRANSHARI5_SPVOUPAGI[KREDIT])+SUM(TRANSHARI5_SPVOUMALAM[KREDIT])</f>
        <v>0</v>
      </c>
      <c r="E53" s="235">
        <f>SUM(TRANSHARI5_SPVOUPAGI[NOMINAL TRANSFER])+SUM(TRANSHARI5_SPVOUMALAM[NOMINAL TRANSFER])</f>
        <v>0</v>
      </c>
      <c r="F53" s="236">
        <f t="shared" si="8"/>
        <v>0</v>
      </c>
    </row>
    <row r="54" ht="18" spans="2:6">
      <c r="B54" s="238">
        <v>6</v>
      </c>
      <c r="C54" s="239">
        <f>SUM(TRANSHARI6_SPVOUPAGI[DEBIT])+SUM(TRANSHARI6_SPVOUMALAM[DEBIT])</f>
        <v>0</v>
      </c>
      <c r="D54" s="239">
        <f>SUM(TRANSHARI6_SPVOUPAGI[KREDIT])+SUM(TRANSHARI6_SPVOUMALAM[KREDIT])</f>
        <v>0</v>
      </c>
      <c r="E54" s="239">
        <f>SUM(TRANSHARI6_SPVOUPAGI[NOMINAL TRANSFER])+SUM(TRANSHARI6_SPVOUMALAM[NOMINAL TRANSFER])</f>
        <v>0</v>
      </c>
      <c r="F54" s="240">
        <f t="shared" si="8"/>
        <v>0</v>
      </c>
    </row>
    <row r="55" ht="18" spans="2:6">
      <c r="B55" s="242">
        <v>7</v>
      </c>
      <c r="C55" s="235">
        <f>SUM(TRANSHARI7_SPVOUPAGI[DEBIT])+SUM(TRANSHARI7_SPVOUMALAM[DEBIT])</f>
        <v>0</v>
      </c>
      <c r="D55" s="235">
        <f>SUM(TRANSHARI7_SPVOUPAGI[KREDIT])+SUM(TRANSHARI7_SPVOUMALAM[KREDIT])</f>
        <v>0</v>
      </c>
      <c r="E55" s="235">
        <f>SUM(TRANSHARI7_SPVOUPAGI[NOMINAL TRANSFER])+SUM(TRANSHARI7_SPVOUMALAM[NOMINAL TRANSFER])</f>
        <v>0</v>
      </c>
      <c r="F55" s="236">
        <f t="shared" si="8"/>
        <v>0</v>
      </c>
    </row>
    <row r="56" ht="18" spans="2:6">
      <c r="B56" s="238">
        <v>8</v>
      </c>
      <c r="C56" s="239">
        <f>SUM(TRANSHARI8_SPVOUPAGI[DEBIT])+SUM(TRANSHARI8_SPVOUMALAM[DEBIT])</f>
        <v>0</v>
      </c>
      <c r="D56" s="239">
        <f>SUM(TRANSHARI8_SPVOUPAGI[KREDIT])+SUM(TRANSHARI8_SPVOUMALAM[KREDIT])</f>
        <v>0</v>
      </c>
      <c r="E56" s="239">
        <f>SUM(TRANSHARI8_SPVOUPAGI[NOMINAL TRANSFER])+SUM(TRANSHARI8_SPVOUMALAM[NOMINAL TRANSFER])</f>
        <v>0</v>
      </c>
      <c r="F56" s="240">
        <f t="shared" si="8"/>
        <v>0</v>
      </c>
    </row>
    <row r="57" ht="18" spans="2:6">
      <c r="B57" s="242">
        <v>9</v>
      </c>
      <c r="C57" s="235">
        <f>SUM(TRANSHARI9_SPVOUPAGI[DEBIT])+SUM(TRANSHARI9_SPVOUMALAM[DEBIT])</f>
        <v>0</v>
      </c>
      <c r="D57" s="235">
        <f>SUM(TRANSHARI9_SPVOUPAGI[KREDIT])+SUM(TRANSHARI9_SPVOUMALAM[KREDIT])</f>
        <v>0</v>
      </c>
      <c r="E57" s="235">
        <f>SUM(TRANSHARI9_SPVOUPAGI[NOMINAL TRANSFER])+SUM(TRANSHARI9_SPVOUMALAM[NOMINAL TRANSFER])</f>
        <v>0</v>
      </c>
      <c r="F57" s="236">
        <f t="shared" si="8"/>
        <v>0</v>
      </c>
    </row>
    <row r="58" ht="18" spans="2:6">
      <c r="B58" s="238">
        <v>10</v>
      </c>
      <c r="C58" s="239">
        <f>SUM(TRANSHARI10_SPVOUPAGI[DEBIT])+SUM(TRANSHARI10_SPVOUMALAM[DEBIT])</f>
        <v>0</v>
      </c>
      <c r="D58" s="239">
        <f>SUM(TRANSHARI10_SPVOUPAGI[KREDIT])+SUM(TRANSHARI10_SPVOUMALAM[KREDIT])</f>
        <v>0</v>
      </c>
      <c r="E58" s="239">
        <f>SUM(TRANSHARI10_SPVOUPAGI[NOMINAL TRANSFER])+SUM(TRANSHARI10_SPVOUMALAM[NOMINAL TRANSFER])</f>
        <v>0</v>
      </c>
      <c r="F58" s="240">
        <f t="shared" si="8"/>
        <v>0</v>
      </c>
    </row>
    <row r="59" ht="18.75" spans="2:6">
      <c r="B59" s="245">
        <v>11</v>
      </c>
      <c r="C59" s="235">
        <f>SUM(TRANSHARI11_SPVOUPAGI[DEBIT])+SUM(TRANSHARI11_SPVOUMALAM[DEBIT])</f>
        <v>0</v>
      </c>
      <c r="D59" s="235">
        <f>SUM(TRANSHARI11_SPVOUPAGI[KREDIT])+SUM(TRANSHARI11_SPVOUMALAM[KREDIT])</f>
        <v>0</v>
      </c>
      <c r="E59" s="235">
        <f>SUM(TRANSHARI11_SPVOUPAGI[NOMINAL TRANSFER])+SUM(TRANSHARI11_SPVOUMALAM[NOMINAL TRANSFER])</f>
        <v>0</v>
      </c>
      <c r="F59" s="236">
        <f t="shared" si="8"/>
        <v>0</v>
      </c>
    </row>
    <row r="60" spans="2:6">
      <c r="B60" s="246" t="s">
        <v>141</v>
      </c>
      <c r="C60" s="247">
        <f>SUM(C49:C59)</f>
        <v>593000</v>
      </c>
      <c r="D60" s="248">
        <f>SUM(D49:D59)</f>
        <v>0</v>
      </c>
      <c r="E60" s="247">
        <f>SUM(E49:E59)</f>
        <v>0</v>
      </c>
      <c r="F60" s="249">
        <f>SUM(F49:F59)</f>
        <v>593000</v>
      </c>
    </row>
    <row r="61" ht="17.25" spans="2:6">
      <c r="B61" s="250"/>
      <c r="C61" s="251"/>
      <c r="D61" s="252"/>
      <c r="E61" s="251"/>
      <c r="F61" s="253"/>
    </row>
    <row r="62" ht="17.25"/>
    <row r="63" spans="2:6">
      <c r="B63" s="220" t="s">
        <v>135</v>
      </c>
      <c r="C63" s="221"/>
      <c r="D63" s="221"/>
      <c r="E63" s="221"/>
      <c r="F63" s="222"/>
    </row>
    <row r="64" ht="17.25" spans="2:6">
      <c r="B64" s="224"/>
      <c r="C64" s="225"/>
      <c r="D64" s="225"/>
      <c r="E64" s="225"/>
      <c r="F64" s="226"/>
    </row>
    <row r="65" ht="18.75" spans="2:6">
      <c r="B65" s="228" t="s">
        <v>240</v>
      </c>
      <c r="C65" s="229" t="s">
        <v>241</v>
      </c>
      <c r="D65" s="230" t="s">
        <v>242</v>
      </c>
      <c r="E65" s="231" t="s">
        <v>243</v>
      </c>
      <c r="F65" s="232" t="s">
        <v>64</v>
      </c>
    </row>
    <row r="66" ht="18" spans="2:6">
      <c r="B66" s="234">
        <v>1</v>
      </c>
      <c r="C66" s="235">
        <f>SUM(TRANSHARI1_SOFTDRINKPAGI[DEBIT])+SUM(TRANSHARI1_SOFTDRINKMALAM[DEBIT])</f>
        <v>23500</v>
      </c>
      <c r="D66" s="235">
        <f>SUM(TRANSHARI1_SOFTDRINKPAGI[KREDIT])+SUM(TRANSHARI1_SOFTDRINKMALAM[KREDIT])</f>
        <v>0</v>
      </c>
      <c r="E66" s="235">
        <f>SUM(TRANSHARI1_SOFTDRINKPAGI[NOMINAL TRANSFER])+SUM(TRANSHARI1_SOFTDRINKMALAM[NOMINAL TRANSFER])</f>
        <v>0</v>
      </c>
      <c r="F66" s="236">
        <f t="shared" ref="F66:F76" si="9">C66+D66</f>
        <v>23500</v>
      </c>
    </row>
    <row r="67" ht="18" spans="2:6">
      <c r="B67" s="238">
        <v>2</v>
      </c>
      <c r="C67" s="239">
        <f>SUM(TRANSHARI2_SOFTDRINKPAGI[DEBIT])+SUM(TRANSHARI2_SOFTDRINKMALAM[DEBIT])</f>
        <v>26500</v>
      </c>
      <c r="D67" s="239">
        <f>SUM(TRANSHARI2_SOFTDRINKPAGI[KREDIT])+SUM(TRANSHARI2_SOFTDRINKMALAM[KREDIT])</f>
        <v>0</v>
      </c>
      <c r="E67" s="239">
        <f>SUM(TRANSHARI2_SOFTDRINKPAGI[NOMINAL TRANSFER])+SUM(TRANSHARI2_SOFTDRINKMALAM[NOMINAL TRANSFER])</f>
        <v>0</v>
      </c>
      <c r="F67" s="240">
        <f t="shared" si="9"/>
        <v>26500</v>
      </c>
    </row>
    <row r="68" ht="18" spans="2:6">
      <c r="B68" s="242">
        <v>3</v>
      </c>
      <c r="C68" s="235">
        <f>SUM(TRANSHARI3_SOFTDRINKPAGI[DEBIT])+SUM(TRANSHARI3_SOFTDRINKMALAM[DEBIT])</f>
        <v>0</v>
      </c>
      <c r="D68" s="235">
        <f>SUM(TRANSHARI3_SOFTDRINKPAGI[KREDIT])+SUM(TRANSHARI3_SOFTDRINKMALAM[KREDIT])</f>
        <v>0</v>
      </c>
      <c r="E68" s="235">
        <f>SUM(TRANSHARI3_SOFTDRINKPAGI[NOMINAL TRANSFER])+SUM(TRANSHARI3_SOFTDRINKMALAM[NOMINAL TRANSFER])</f>
        <v>0</v>
      </c>
      <c r="F68" s="236">
        <f t="shared" si="9"/>
        <v>0</v>
      </c>
    </row>
    <row r="69" ht="18" spans="2:6">
      <c r="B69" s="238">
        <v>4</v>
      </c>
      <c r="C69" s="239">
        <f>SUM(TRANSHARI4_SOFTDRINKPAGI[DEBIT])+SUM(TRANSHARI4_SOFTDRINKMALAM[DEBIT])</f>
        <v>0</v>
      </c>
      <c r="D69" s="239">
        <f>SUM(TRANSHARI4_SOFTDRINKPAGI[KREDIT])+SUM(TRANSHARI4_SOFTDRINKMALAM[KREDIT])</f>
        <v>0</v>
      </c>
      <c r="E69" s="239">
        <f>SUM(TRANSHARI4_SOFTDRINKPAGI[NOMINAL TRANSFER])+SUM(TRANSHARI4_SOFTDRINKMALAM[NOMINAL TRANSFER])</f>
        <v>0</v>
      </c>
      <c r="F69" s="240">
        <f t="shared" si="9"/>
        <v>0</v>
      </c>
    </row>
    <row r="70" ht="18" spans="2:6">
      <c r="B70" s="242">
        <v>5</v>
      </c>
      <c r="C70" s="235">
        <f>SUM(TRANSHARI5_SOFTDRINKPAGI[DEBIT])+SUM(TRANSHARI5_SOFTDRINKMALAM[DEBIT])</f>
        <v>0</v>
      </c>
      <c r="D70" s="235">
        <f>SUM(TRANSHARI5_SOFTDRINKPAGI[KREDIT])+SUM(TRANSHARI5_SOFTDRINKMALAM[KREDIT])</f>
        <v>0</v>
      </c>
      <c r="E70" s="235">
        <f>SUM(TRANSHARI5_SOFTDRINKPAGI[NOMINAL TRANSFER])+SUM(TRANSHARI5_SOFTDRINKMALAM[NOMINAL TRANSFER])</f>
        <v>0</v>
      </c>
      <c r="F70" s="236">
        <f t="shared" si="9"/>
        <v>0</v>
      </c>
    </row>
    <row r="71" ht="18" spans="2:6">
      <c r="B71" s="238">
        <v>6</v>
      </c>
      <c r="C71" s="239">
        <f>SUM(TRANSHARI6_SOFTDRINKPAGI[DEBIT])+SUM(TRANSHARI6_SOFTDRINKMALAM[DEBIT])</f>
        <v>0</v>
      </c>
      <c r="D71" s="239">
        <f>SUM(TRANSHARI6_SOFTDRINKPAGI[KREDIT])+SUM(TRANSHARI6_SOFTDRINKMALAM[KREDIT])</f>
        <v>0</v>
      </c>
      <c r="E71" s="239">
        <f>SUM(TRANSHARI6_SOFTDRINKPAGI[NOMINAL TRANSFER])+SUM(TRANSHARI6_SOFTDRINKMALAM[NOMINAL TRANSFER])</f>
        <v>0</v>
      </c>
      <c r="F71" s="240">
        <f t="shared" si="9"/>
        <v>0</v>
      </c>
    </row>
    <row r="72" ht="18" spans="2:6">
      <c r="B72" s="242">
        <v>7</v>
      </c>
      <c r="C72" s="235">
        <f>SUM(TRANSHARI7_SOFTDRINKPAGI[DEBIT])+SUM(TRANSHARI7_SOFTDRINKMALAM[DEBIT])</f>
        <v>0</v>
      </c>
      <c r="D72" s="235">
        <f>SUM(TRANSHARI7_SOFTDRINKPAGI[KREDIT])+SUM(TRANSHARI7_SOFTDRINKMALAM[KREDIT])</f>
        <v>0</v>
      </c>
      <c r="E72" s="235">
        <f>SUM(TRANSHARI7_SOFTDRINKPAGI[NOMINAL TRANSFER])+SUM(TRANSHARI7_SOFTDRINKMALAM[NOMINAL TRANSFER])</f>
        <v>0</v>
      </c>
      <c r="F72" s="236">
        <f t="shared" si="9"/>
        <v>0</v>
      </c>
    </row>
    <row r="73" ht="18" spans="2:6">
      <c r="B73" s="238">
        <v>8</v>
      </c>
      <c r="C73" s="239">
        <f>SUM(TRANSHARI8_SOFTDRINKPAGI[DEBIT])+SUM(TRANSHARI8_SOFTDRINKMALAM[DEBIT])</f>
        <v>0</v>
      </c>
      <c r="D73" s="239">
        <f>SUM(TRANSHARI8_SOFTDRINKPAGI[KREDIT])+SUM(TRANSHARI8_SOFTDRINKMALAM[KREDIT])</f>
        <v>0</v>
      </c>
      <c r="E73" s="239">
        <f>SUM(TRANSHARI8_SOFTDRINKPAGI[NOMINAL TRANSFER])+SUM(TRANSHARI8_SOFTDRINKMALAM[NOMINAL TRANSFER])</f>
        <v>0</v>
      </c>
      <c r="F73" s="240">
        <f t="shared" si="9"/>
        <v>0</v>
      </c>
    </row>
    <row r="74" ht="18" spans="2:6">
      <c r="B74" s="242">
        <v>9</v>
      </c>
      <c r="C74" s="235">
        <f>SUM(TRANSHARI9_SOFTDRINKPAGI[DEBIT])+SUM(TRANSHARI9_SOFTDRINKMALAM[DEBIT])</f>
        <v>0</v>
      </c>
      <c r="D74" s="235">
        <f>SUM(TRANSHARI9_SOFTDRINKPAGI[KREDIT])+SUM(TRANSHARI9_SOFTDRINKMALAM[KREDIT])</f>
        <v>0</v>
      </c>
      <c r="E74" s="235">
        <f>SUM(TRANSHARI9_SOFTDRINKPAGI[NOMINAL TRANSFER])+SUM(TRANSHARI9_SOFTDRINKMALAM[NOMINAL TRANSFER])</f>
        <v>0</v>
      </c>
      <c r="F74" s="236">
        <f t="shared" si="9"/>
        <v>0</v>
      </c>
    </row>
    <row r="75" ht="18" spans="2:6">
      <c r="B75" s="238">
        <v>10</v>
      </c>
      <c r="C75" s="239">
        <f>SUM(TRANSHARI10_SOFTDRINKPAGI[DEBIT])+SUM(TRANSHARI10_SOFTDRINKMALAM[DEBIT])</f>
        <v>0</v>
      </c>
      <c r="D75" s="239">
        <f>SUM(TRANSHARI10_SOFTDRINKPAGI[KREDIT])+SUM(TRANSHARI10_SOFTDRINKMALAM[KREDIT])</f>
        <v>0</v>
      </c>
      <c r="E75" s="239">
        <f>SUM(TRANSHARI10_SOFTDRINKPAGI[NOMINAL TRANSFER])+SUM(TRANSHARI10_SOFTDRINKMALAM[NOMINAL TRANSFER])</f>
        <v>0</v>
      </c>
      <c r="F75" s="240">
        <f t="shared" si="9"/>
        <v>0</v>
      </c>
    </row>
    <row r="76" ht="18.75" spans="2:6">
      <c r="B76" s="245">
        <v>11</v>
      </c>
      <c r="C76" s="235">
        <f>SUM(TRANSHARI11_SOFTDRINKPAGI[DEBIT])+SUM(TRANSHARI11_SOFTDRINKMALAM[DEBIT])</f>
        <v>0</v>
      </c>
      <c r="D76" s="235">
        <f>SUM(TRANSHARI11_SOFTDRINKPAGI[KREDIT])+SUM(TRANSHARI11_SOFTDRINKMALAM[KREDIT])</f>
        <v>0</v>
      </c>
      <c r="E76" s="235">
        <f>SUM(TRANSHARI11_SOFTDRINKPAGI[NOMINAL TRANSFER])+SUM(TRANSHARI11_SOFTDRINKMALAM[NOMINAL TRANSFER])</f>
        <v>0</v>
      </c>
      <c r="F76" s="236">
        <f t="shared" si="9"/>
        <v>0</v>
      </c>
    </row>
    <row r="77" spans="2:6">
      <c r="B77" s="246" t="s">
        <v>141</v>
      </c>
      <c r="C77" s="247">
        <f>SUM(C66:C76)</f>
        <v>50000</v>
      </c>
      <c r="D77" s="248">
        <f>SUM(D66:D76)</f>
        <v>0</v>
      </c>
      <c r="E77" s="247">
        <f>SUM(E66:E76)</f>
        <v>0</v>
      </c>
      <c r="F77" s="249">
        <f>SUM(F66:F76)</f>
        <v>50000</v>
      </c>
    </row>
    <row r="78" ht="15" customHeight="1" spans="2:6">
      <c r="B78" s="250"/>
      <c r="C78" s="251"/>
      <c r="D78" s="252"/>
      <c r="E78" s="251"/>
      <c r="F78" s="253"/>
    </row>
    <row r="79" ht="15" customHeight="1"/>
    <row r="80" spans="2:6">
      <c r="B80" s="220" t="s">
        <v>137</v>
      </c>
      <c r="C80" s="221"/>
      <c r="D80" s="221"/>
      <c r="E80" s="221"/>
      <c r="F80" s="222"/>
    </row>
    <row r="81" ht="17.25" spans="2:6">
      <c r="B81" s="224"/>
      <c r="C81" s="225"/>
      <c r="D81" s="225"/>
      <c r="E81" s="225"/>
      <c r="F81" s="226"/>
    </row>
    <row r="82" ht="18.75" spans="2:6">
      <c r="B82" s="228" t="s">
        <v>240</v>
      </c>
      <c r="C82" s="229" t="s">
        <v>241</v>
      </c>
      <c r="D82" s="230" t="s">
        <v>242</v>
      </c>
      <c r="E82" s="231" t="s">
        <v>243</v>
      </c>
      <c r="F82" s="232" t="s">
        <v>64</v>
      </c>
    </row>
    <row r="83" ht="18" spans="2:6">
      <c r="B83" s="234">
        <v>1</v>
      </c>
      <c r="C83" s="235">
        <f>SUM(TRANSHARI1_ICECREAMPAGI[DEBIT])+SUM(TRANSHARI1_ICECREAMMALAM[DEBIT])</f>
        <v>24500</v>
      </c>
      <c r="D83" s="235">
        <f>SUM(TRANSHARI1_ICECREAMPAGI[KREDIT])+SUM(TRANSHARI1_ICECREAMMALAM[KREDIT])</f>
        <v>0</v>
      </c>
      <c r="E83" s="235">
        <f>SUM(TRANSHARI1_ICECREAMPAGI[NOMINAL TRANSFER])+SUM(TRANSHARI1_ICECREAMMALAM[NOMINAL TRANSFER])</f>
        <v>0</v>
      </c>
      <c r="F83" s="236">
        <f t="shared" ref="F83:F93" si="10">C83+D83</f>
        <v>24500</v>
      </c>
    </row>
    <row r="84" ht="18" spans="2:6">
      <c r="B84" s="238">
        <v>2</v>
      </c>
      <c r="C84" s="239">
        <f>SUM(TRANSHARI2_ICECREAMPAGI[DEBIT])+SUM(TRANSHARI2_ICECREAMMALAM[DEBIT])</f>
        <v>2000</v>
      </c>
      <c r="D84" s="239">
        <f>SUM(TRANSHARI2_ICECREAMPAGI[KREDIT])+SUM(TRANSHARI2_ICECREAMMALAM[KREDIT])</f>
        <v>0</v>
      </c>
      <c r="E84" s="239">
        <f>SUM(TRANSHARI2_ICECREAMPAGI[NOMINAL TRANSFER])+SUM(TRANSHARI2_ICECREAMMALAM[NOMINAL TRANSFER])</f>
        <v>0</v>
      </c>
      <c r="F84" s="240">
        <f t="shared" si="10"/>
        <v>2000</v>
      </c>
    </row>
    <row r="85" ht="18" spans="2:6">
      <c r="B85" s="242">
        <v>3</v>
      </c>
      <c r="C85" s="235">
        <f>SUM(TRANSHARI3_ICECREAMPAGI[DEBIT])+SUM(TRANSHARI3_ICECREAMMALAM[DEBIT])</f>
        <v>0</v>
      </c>
      <c r="D85" s="235">
        <f>SUM(TRANSHARI3_ICECREAMPAGI[KREDIT])+SUM(TRANSHARI3_ICECREAMMALAM[KREDIT])</f>
        <v>0</v>
      </c>
      <c r="E85" s="235">
        <f>SUM(TRANSHARI3_ICECREAMPAGI[NOMINAL TRANSFER])+SUM(TRANSHARI3_ICECREAMMALAM[NOMINAL TRANSFER])</f>
        <v>0</v>
      </c>
      <c r="F85" s="236">
        <f t="shared" si="10"/>
        <v>0</v>
      </c>
    </row>
    <row r="86" ht="18" spans="2:6">
      <c r="B86" s="238">
        <v>4</v>
      </c>
      <c r="C86" s="239">
        <f>SUM(TRANSHARI4_ICECREAMPAGI[DEBIT])+SUM(TRANSHARI4_ICECREAMMALAM[DEBIT])</f>
        <v>0</v>
      </c>
      <c r="D86" s="239">
        <f>SUM(TRANSHARI4_ICECREAMPAGI[KREDIT])+SUM(TRANSHARI4_ICECREAMMALAM[KREDIT])</f>
        <v>0</v>
      </c>
      <c r="E86" s="239">
        <f>SUM(TRANSHARI4_ICECREAMPAGI[NOMINAL TRANSFER])+SUM(TRANSHARI4_ICECREAMMALAM[NOMINAL TRANSFER])</f>
        <v>0</v>
      </c>
      <c r="F86" s="240">
        <f t="shared" si="10"/>
        <v>0</v>
      </c>
    </row>
    <row r="87" ht="18" spans="2:6">
      <c r="B87" s="242">
        <v>5</v>
      </c>
      <c r="C87" s="235">
        <f>SUM(TRANSHARI5_ICECREAMPAGI[DEBIT])+SUM(TRANSHARI5_ICECREAMMALAM[DEBIT])</f>
        <v>0</v>
      </c>
      <c r="D87" s="235">
        <f>SUM(TRANSHARI5_ICECREAMPAGI[KREDIT])+SUM(TRANSHARI5_ICECREAMMALAM[KREDIT])</f>
        <v>0</v>
      </c>
      <c r="E87" s="235">
        <f>SUM(TRANSHARI5_ICECREAMPAGI[NOMINAL TRANSFER])+SUM(TRANSHARI5_ICECREAMMALAM[NOMINAL TRANSFER])</f>
        <v>0</v>
      </c>
      <c r="F87" s="236">
        <f t="shared" si="10"/>
        <v>0</v>
      </c>
    </row>
    <row r="88" ht="18" spans="2:6">
      <c r="B88" s="238">
        <v>6</v>
      </c>
      <c r="C88" s="239">
        <f>SUM(TRANSHARI6_ICECREAMPAGI[DEBIT])+SUM(TRANSHARI6_ICECREAMMALAM[DEBIT])</f>
        <v>0</v>
      </c>
      <c r="D88" s="239">
        <f>SUM(TRANSHARI6_ICECREAMPAGI[KREDIT])+SUM(TRANSHARI6_ICECREAMMALAM[KREDIT])</f>
        <v>0</v>
      </c>
      <c r="E88" s="239">
        <f>SUM(TRANSHARI6_ICECREAMPAGI[NOMINAL TRANSFER])+SUM(TRANSHARI6_ICECREAMMALAM[NOMINAL TRANSFER])</f>
        <v>0</v>
      </c>
      <c r="F88" s="240">
        <f t="shared" si="10"/>
        <v>0</v>
      </c>
    </row>
    <row r="89" ht="18" spans="2:6">
      <c r="B89" s="242">
        <v>7</v>
      </c>
      <c r="C89" s="235">
        <f>SUM(TRANSHARI7_ICECREAMPAGI[DEBIT])+SUM(TRANSHARI7_ICECREAMMALAM[DEBIT])</f>
        <v>0</v>
      </c>
      <c r="D89" s="235">
        <f>SUM(TRANSHARI7_ICECREAMPAGI[KREDIT])+SUM(TRANSHARI7_ICECREAMMALAM[KREDIT])</f>
        <v>0</v>
      </c>
      <c r="E89" s="235">
        <f>SUM(TRANSHARI7_ICECREAMPAGI[NOMINAL TRANSFER])+SUM(TRANSHARI7_ICECREAMMALAM[NOMINAL TRANSFER])</f>
        <v>0</v>
      </c>
      <c r="F89" s="236">
        <f t="shared" si="10"/>
        <v>0</v>
      </c>
    </row>
    <row r="90" ht="18" spans="2:6">
      <c r="B90" s="238">
        <v>8</v>
      </c>
      <c r="C90" s="239">
        <f>SUM(TRANSHARI8_ICECREAMPAGI[DEBIT])+SUM(TRANSHARI8_ICECREAMMALAM[DEBIT])</f>
        <v>0</v>
      </c>
      <c r="D90" s="239">
        <f>SUM(TRANSHARI8_ICECREAMPAGI[KREDIT])+SUM(TRANSHARI8_ICECREAMMALAM[KREDIT])</f>
        <v>0</v>
      </c>
      <c r="E90" s="239">
        <f>SUM(TRANSHARI8_ICECREAMPAGI[NOMINAL TRANSFER])+SUM(TRANSHARI8_ICECREAMMALAM[NOMINAL TRANSFER])</f>
        <v>0</v>
      </c>
      <c r="F90" s="240">
        <f t="shared" si="10"/>
        <v>0</v>
      </c>
    </row>
    <row r="91" ht="18" spans="2:6">
      <c r="B91" s="242">
        <v>9</v>
      </c>
      <c r="C91" s="235">
        <f>SUM(TRANSHARI9_ICECREAMPAGI[DEBIT])+SUM(TRANSHARI9_ICECREAMMALAM[DEBIT])</f>
        <v>0</v>
      </c>
      <c r="D91" s="235">
        <f>SUM(TRANSHARI9_ICECREAMPAGI[KREDIT])+SUM(TRANSHARI9_ICECREAMMALAM[KREDIT])</f>
        <v>0</v>
      </c>
      <c r="E91" s="235">
        <f>SUM(TRANSHARI9_ICECREAMPAGI[NOMINAL TRANSFER])+SUM(TRANSHARI9_ICECREAMMALAM[NOMINAL TRANSFER])</f>
        <v>0</v>
      </c>
      <c r="F91" s="236">
        <f t="shared" si="10"/>
        <v>0</v>
      </c>
    </row>
    <row r="92" ht="18" spans="2:6">
      <c r="B92" s="238">
        <v>10</v>
      </c>
      <c r="C92" s="239">
        <f>SUM(TRANSHARI10_ICECREAMPAGI[DEBIT])+SUM(TRANSHARI10_ICECREAMMALAM[DEBIT])</f>
        <v>0</v>
      </c>
      <c r="D92" s="239">
        <f>SUM(TRANSHARI10_ICECREAMPAGI[KREDIT])+SUM(TRANSHARI10_ICECREAMMALAM[KREDIT])</f>
        <v>0</v>
      </c>
      <c r="E92" s="239">
        <f>SUM(TRANSHARI10_ICECREAMPAGI[NOMINAL TRANSFER])+SUM(TRANSHARI10_ICECREAMMALAM[NOMINAL TRANSFER])</f>
        <v>0</v>
      </c>
      <c r="F92" s="240">
        <f t="shared" si="10"/>
        <v>0</v>
      </c>
    </row>
    <row r="93" ht="18.75" spans="2:6">
      <c r="B93" s="245">
        <v>11</v>
      </c>
      <c r="C93" s="235">
        <f>SUM(TRANSHARI11_ICECREAMPAGI[DEBIT])+SUM(TRANSHARI11_ICECREAMMALAM[DEBIT])</f>
        <v>0</v>
      </c>
      <c r="D93" s="235">
        <f>SUM(TRANSHARI11_ICECREAMPAGI[KREDIT])+SUM(TRANSHARI11_ICECREAMMALAM[KREDIT])</f>
        <v>0</v>
      </c>
      <c r="E93" s="235">
        <f>SUM(TRANSHARI11_ICECREAMPAGI[NOMINAL TRANSFER])+SUM(TRANSHARI11_ICECREAMMALAM[NOMINAL TRANSFER])</f>
        <v>0</v>
      </c>
      <c r="F93" s="236">
        <f t="shared" si="10"/>
        <v>0</v>
      </c>
    </row>
    <row r="94" spans="2:6">
      <c r="B94" s="246" t="s">
        <v>141</v>
      </c>
      <c r="C94" s="247">
        <f>SUM(C83:C93)</f>
        <v>26500</v>
      </c>
      <c r="D94" s="248">
        <f>SUM(D83:D93)</f>
        <v>0</v>
      </c>
      <c r="E94" s="247">
        <f>SUM(E83:E93)</f>
        <v>0</v>
      </c>
      <c r="F94" s="249">
        <f>SUM(F83:F93)</f>
        <v>26500</v>
      </c>
    </row>
    <row r="95" ht="17.25" spans="2:6">
      <c r="B95" s="250"/>
      <c r="C95" s="251"/>
      <c r="D95" s="252"/>
      <c r="E95" s="251"/>
      <c r="F95" s="253"/>
    </row>
    <row r="96" ht="17.25"/>
    <row r="97" spans="2:6">
      <c r="B97" s="220" t="s">
        <v>138</v>
      </c>
      <c r="C97" s="221"/>
      <c r="D97" s="221"/>
      <c r="E97" s="221"/>
      <c r="F97" s="222"/>
    </row>
    <row r="98" ht="17.25" spans="2:6">
      <c r="B98" s="224"/>
      <c r="C98" s="225"/>
      <c r="D98" s="225"/>
      <c r="E98" s="225"/>
      <c r="F98" s="226"/>
    </row>
    <row r="99" ht="18.75" spans="2:6">
      <c r="B99" s="228" t="s">
        <v>240</v>
      </c>
      <c r="C99" s="229" t="s">
        <v>241</v>
      </c>
      <c r="D99" s="230" t="s">
        <v>242</v>
      </c>
      <c r="E99" s="231" t="s">
        <v>243</v>
      </c>
      <c r="F99" s="232" t="s">
        <v>64</v>
      </c>
    </row>
    <row r="100" ht="18" spans="2:6">
      <c r="B100" s="234">
        <v>1</v>
      </c>
      <c r="C100" s="235">
        <f>SUM(TRANSHARI1_ACCPAGI[DEBIT])+SUM(TRANSHARI1_ACCMALAM[DEBIT])</f>
        <v>80000</v>
      </c>
      <c r="D100" s="235">
        <f>SUM(TRANSHARI1_ACCPAGI[KREDIT])+SUM(TRANSHARI1_ACCMALAM[KREDIT])</f>
        <v>0</v>
      </c>
      <c r="E100" s="235">
        <f>SUM(TRANSHARI1_ACCPAGI[NOMINAL TRANSFER])+SUM(TRANSHARI1_ACCMALAM[NOMINAL TRANSFER])</f>
        <v>0</v>
      </c>
      <c r="F100" s="236">
        <f t="shared" ref="F100:F110" si="11">C100+D100</f>
        <v>80000</v>
      </c>
    </row>
    <row r="101" ht="18" spans="2:6">
      <c r="B101" s="238">
        <v>2</v>
      </c>
      <c r="C101" s="239">
        <f>SUM(TRANSHARI2_ACCPAGI[DEBIT])+SUM(TRANSHARI2_ACCMALAM[DEBIT])</f>
        <v>25000</v>
      </c>
      <c r="D101" s="239">
        <f>SUM(TRANSHARI2_ACCPAGI[KREDIT])+SUM(TRANSHARI2_ACCMALAM[KREDIT])</f>
        <v>0</v>
      </c>
      <c r="E101" s="239">
        <f>SUM(TRANSHARI2_ACCPAGI[NOMINAL TRANSFER])+SUM(TRANSHARI2_ACCMALAM[NOMINAL TRANSFER])</f>
        <v>0</v>
      </c>
      <c r="F101" s="240">
        <f t="shared" si="11"/>
        <v>25000</v>
      </c>
    </row>
    <row r="102" ht="18" spans="2:6">
      <c r="B102" s="242">
        <v>3</v>
      </c>
      <c r="C102" s="235">
        <f>SUM(TRANSHARI3_ACCPAGI[DEBIT])+SUM(TRANSHARI3_ACCMALAM[DEBIT])</f>
        <v>0</v>
      </c>
      <c r="D102" s="235">
        <f>SUM(TRANSHARI3_ACCPAGI[KREDIT])+SUM(TRANSHARI3_ACCMALAM[KREDIT])</f>
        <v>0</v>
      </c>
      <c r="E102" s="235">
        <f>SUM(TRANSHARI3_ACCPAGI[NOMINAL TRANSFER])+SUM(TRANSHARI3_ACCMALAM[NOMINAL TRANSFER])</f>
        <v>0</v>
      </c>
      <c r="F102" s="236">
        <f t="shared" si="11"/>
        <v>0</v>
      </c>
    </row>
    <row r="103" ht="18" spans="2:6">
      <c r="B103" s="238">
        <v>4</v>
      </c>
      <c r="C103" s="239">
        <f>SUM(TRANSHARI4_ACCPAGI[DEBIT])+SUM(TRANSHARI4_ACCMALAM[DEBIT])</f>
        <v>0</v>
      </c>
      <c r="D103" s="239">
        <f>SUM(TRANSHARI4_ACCPAGI[KREDIT])+SUM(TRANSHARI4_ACCMALAM[KREDIT])</f>
        <v>0</v>
      </c>
      <c r="E103" s="239">
        <f>SUM(TRANSHARI4_ACCPAGI[NOMINAL TRANSFER])+SUM(TRANSHARI4_ACCMALAM[NOMINAL TRANSFER])</f>
        <v>0</v>
      </c>
      <c r="F103" s="240">
        <f t="shared" si="11"/>
        <v>0</v>
      </c>
    </row>
    <row r="104" ht="18" spans="2:6">
      <c r="B104" s="242">
        <v>5</v>
      </c>
      <c r="C104" s="235">
        <f>SUM(TRANSHARI5_ACCPAGI[DEBIT])+SUM(TRANSHARI5_ACCMALAM[DEBIT])</f>
        <v>0</v>
      </c>
      <c r="D104" s="235">
        <f>SUM(TRANSHARI5_ACCPAGI[KREDIT])+SUM(TRANSHARI5_ACCMALAM[KREDIT])</f>
        <v>0</v>
      </c>
      <c r="E104" s="235">
        <f>SUM(TRANSHARI5_ACCPAGI[NOMINAL TRANSFER])+SUM(TRANSHARI5_ACCMALAM[NOMINAL TRANSFER])</f>
        <v>0</v>
      </c>
      <c r="F104" s="236">
        <f t="shared" si="11"/>
        <v>0</v>
      </c>
    </row>
    <row r="105" ht="18" spans="2:6">
      <c r="B105" s="238">
        <v>6</v>
      </c>
      <c r="C105" s="239">
        <f>SUM(TRANSHARI6_ACCPAGI[DEBIT])+SUM(TRANSHARI6_ACCMALAM[DEBIT])</f>
        <v>0</v>
      </c>
      <c r="D105" s="239">
        <f>SUM(TRANSHARI6_ACCPAGI[KREDIT])+SUM(TRANSHARI6_ACCMALAM[KREDIT])</f>
        <v>0</v>
      </c>
      <c r="E105" s="239">
        <f>SUM(TRANSHARI6_ACCPAGI[NOMINAL TRANSFER])+SUM(TRANSHARI6_ACCMALAM[NOMINAL TRANSFER])</f>
        <v>0</v>
      </c>
      <c r="F105" s="240">
        <f t="shared" si="11"/>
        <v>0</v>
      </c>
    </row>
    <row r="106" ht="18" spans="2:6">
      <c r="B106" s="242">
        <v>7</v>
      </c>
      <c r="C106" s="235">
        <f>SUM(TRANSHARI7_ACCPAGI[DEBIT])+SUM(TRANSHARI7_ACCMALAM[DEBIT])</f>
        <v>0</v>
      </c>
      <c r="D106" s="235">
        <f>SUM(TRANSHARI7_ACCPAGI[KREDIT])+SUM(TRANSHARI7_ACCMALAM[KREDIT])</f>
        <v>0</v>
      </c>
      <c r="E106" s="235">
        <f>SUM(TRANSHARI7_ACCPAGI[NOMINAL TRANSFER])+SUM(TRANSHARI7_ACCMALAM[NOMINAL TRANSFER])</f>
        <v>0</v>
      </c>
      <c r="F106" s="236">
        <f t="shared" si="11"/>
        <v>0</v>
      </c>
    </row>
    <row r="107" ht="18" spans="2:6">
      <c r="B107" s="238">
        <v>8</v>
      </c>
      <c r="C107" s="239">
        <f>SUM(TRANSHARI8_ACCPAGI[DEBIT])+SUM(TRANSHARI8_ACCMALAM[DEBIT])</f>
        <v>0</v>
      </c>
      <c r="D107" s="239">
        <f>SUM(TRANSHARI8_ACCPAGI[KREDIT])+SUM(TRANSHARI8_ACCMALAM[KREDIT])</f>
        <v>0</v>
      </c>
      <c r="E107" s="239">
        <f>SUM(TRANSHARI8_ACCPAGI[NOMINAL TRANSFER])+SUM(TRANSHARI8_ACCMALAM[NOMINAL TRANSFER])</f>
        <v>0</v>
      </c>
      <c r="F107" s="240">
        <f t="shared" si="11"/>
        <v>0</v>
      </c>
    </row>
    <row r="108" ht="18" spans="2:6">
      <c r="B108" s="242">
        <v>9</v>
      </c>
      <c r="C108" s="235">
        <f>SUM(TRANSHARI9_ACCPAGI[DEBIT])+SUM(TRANSHARI9_ACCMALAM[DEBIT])</f>
        <v>0</v>
      </c>
      <c r="D108" s="235">
        <f>SUM(TRANSHARI9_ACCPAGI[KREDIT])+SUM(TRANSHARI9_ACCMALAM[KREDIT])</f>
        <v>0</v>
      </c>
      <c r="E108" s="235">
        <f>SUM(TRANSHARI9_ACCPAGI[NOMINAL TRANSFER])+SUM(TRANSHARI9_ACCMALAM[NOMINAL TRANSFER])</f>
        <v>0</v>
      </c>
      <c r="F108" s="236">
        <f t="shared" si="11"/>
        <v>0</v>
      </c>
    </row>
    <row r="109" ht="18" spans="2:6">
      <c r="B109" s="238">
        <v>10</v>
      </c>
      <c r="C109" s="239">
        <f>SUM(TRANSHARI10_ACCPAGI[DEBIT])+SUM(TRANSHARI10_ACCMALAM[DEBIT])</f>
        <v>0</v>
      </c>
      <c r="D109" s="239">
        <f>SUM(TRANSHARI10_ACCPAGI[KREDIT])+SUM(TRANSHARI10_ACCMALAM[KREDIT])</f>
        <v>0</v>
      </c>
      <c r="E109" s="239">
        <f>SUM(TRANSHARI10_ACCPAGI[NOMINAL TRANSFER])+SUM(TRANSHARI10_ACCMALAM[NOMINAL TRANSFER])</f>
        <v>0</v>
      </c>
      <c r="F109" s="240">
        <f t="shared" si="11"/>
        <v>0</v>
      </c>
    </row>
    <row r="110" ht="18.75" spans="2:6">
      <c r="B110" s="245">
        <v>11</v>
      </c>
      <c r="C110" s="235">
        <f>SUM(TRANSHARI11_ACCPAGI[DEBIT])+SUM(TRANSHARI11_ACCMALAM[DEBIT])</f>
        <v>0</v>
      </c>
      <c r="D110" s="235">
        <f>SUM(TRANSHARI11_ACCPAGI[KREDIT])+SUM(TRANSHARI11_ACCMALAM[KREDIT])</f>
        <v>0</v>
      </c>
      <c r="E110" s="235">
        <f>SUM(TRANSHARI11_ACCPAGI[NOMINAL TRANSFER])+SUM(TRANSHARI11_ACCMALAM[NOMINAL TRANSFER])</f>
        <v>0</v>
      </c>
      <c r="F110" s="236">
        <f t="shared" si="11"/>
        <v>0</v>
      </c>
    </row>
    <row r="111" spans="2:6">
      <c r="B111" s="246" t="s">
        <v>141</v>
      </c>
      <c r="C111" s="247">
        <f>SUM(C100:C110)</f>
        <v>105000</v>
      </c>
      <c r="D111" s="248">
        <f>SUM(D100:D110)</f>
        <v>0</v>
      </c>
      <c r="E111" s="247">
        <f>SUM(E100:E110)</f>
        <v>0</v>
      </c>
      <c r="F111" s="249">
        <f>SUM(F100:F110)</f>
        <v>105000</v>
      </c>
    </row>
    <row r="112" ht="17.25" spans="2:6">
      <c r="B112" s="250"/>
      <c r="C112" s="251"/>
      <c r="D112" s="252"/>
      <c r="E112" s="251"/>
      <c r="F112" s="253"/>
    </row>
    <row r="113" ht="17.25"/>
    <row r="114" spans="2:6">
      <c r="B114" s="220" t="s">
        <v>139</v>
      </c>
      <c r="C114" s="221"/>
      <c r="D114" s="221"/>
      <c r="E114" s="221"/>
      <c r="F114" s="222"/>
    </row>
    <row r="115" ht="17.25" spans="2:6">
      <c r="B115" s="224"/>
      <c r="C115" s="225"/>
      <c r="D115" s="225"/>
      <c r="E115" s="225"/>
      <c r="F115" s="226"/>
    </row>
    <row r="116" ht="18.75" spans="2:6">
      <c r="B116" s="228" t="s">
        <v>240</v>
      </c>
      <c r="C116" s="229" t="s">
        <v>241</v>
      </c>
      <c r="D116" s="230" t="s">
        <v>242</v>
      </c>
      <c r="E116" s="231" t="s">
        <v>243</v>
      </c>
      <c r="F116" s="232" t="s">
        <v>64</v>
      </c>
    </row>
    <row r="117" ht="18" spans="2:6">
      <c r="B117" s="234">
        <v>1</v>
      </c>
      <c r="C117" s="235">
        <f>SUM(TRANSHARI1_HYDROPAGI[DEBIT])+SUM(TRANSHARI1_HYDROMALAM[DEBIT])</f>
        <v>0</v>
      </c>
      <c r="D117" s="235">
        <f>SUM(TRANSHARI1_HYDROPAGI[KREDIT])+SUM(TRANSHARI1_HYDROMALAM[KREDIT])</f>
        <v>0</v>
      </c>
      <c r="E117" s="235">
        <f>SUM(TRANSHARI1_HYDROPAGI[NOMINAL TRANSFER])+SUM(TRANSHARI1_HYDROMALAM[NOMINAL TRANSFER])</f>
        <v>0</v>
      </c>
      <c r="F117" s="236">
        <f t="shared" ref="F117:F127" si="12">C117+D117</f>
        <v>0</v>
      </c>
    </row>
    <row r="118" ht="18" spans="2:6">
      <c r="B118" s="238">
        <v>2</v>
      </c>
      <c r="C118" s="239">
        <f>SUM(TRANSHARI2_HYDROPAGI[DEBIT])+SUM(TRANSHARI2_HYDROMALAM[DEBIT])</f>
        <v>0</v>
      </c>
      <c r="D118" s="239">
        <f>SUM(TRANSHARI2_HYDROPAGI[KREDIT])+SUM(TRANSHARI2_HYDROMALAM[KREDIT])</f>
        <v>0</v>
      </c>
      <c r="E118" s="239">
        <f>SUM(TRANSHARI2_HYDROPAGI[NOMINAL TRANSFER])+SUM(TRANSHARI2_HYDROMALAM[NOMINAL TRANSFER])</f>
        <v>0</v>
      </c>
      <c r="F118" s="240">
        <f t="shared" si="12"/>
        <v>0</v>
      </c>
    </row>
    <row r="119" ht="18" spans="2:6">
      <c r="B119" s="242">
        <v>3</v>
      </c>
      <c r="C119" s="235">
        <f>SUM(TRANSHARI3_HYDROPAGI[DEBIT])+SUM(TRANSHARI3_HYDROMALAM[DEBIT])</f>
        <v>0</v>
      </c>
      <c r="D119" s="235">
        <f>SUM(TRANSHARI3_HYDROPAGI[KREDIT])+SUM(TRANSHARI3_HYDROMALAM[KREDIT])</f>
        <v>0</v>
      </c>
      <c r="E119" s="235">
        <f>SUM(TRANSHARI3_HYDROPAGI[NOMINAL TRANSFER])+SUM(TRANSHARI3_HYDROMALAM[NOMINAL TRANSFER])</f>
        <v>0</v>
      </c>
      <c r="F119" s="236">
        <f t="shared" si="12"/>
        <v>0</v>
      </c>
    </row>
    <row r="120" ht="18" spans="2:6">
      <c r="B120" s="238">
        <v>4</v>
      </c>
      <c r="C120" s="239">
        <f>SUM(TRANSHARI4_HYDROPAGI[DEBIT])+SUM(TRANSHARI4_HYDROMALAM[DEBIT])</f>
        <v>0</v>
      </c>
      <c r="D120" s="239">
        <f>SUM(TRANSHARI4_HYDROPAGI[KREDIT])+SUM(TRANSHARI4_HYDROMALAM[KREDIT])</f>
        <v>0</v>
      </c>
      <c r="E120" s="239">
        <f>SUM(TRANSHARI4_HYDROPAGI[NOMINAL TRANSFER])+SUM(TRANSHARI4_HYDROMALAM[NOMINAL TRANSFER])</f>
        <v>0</v>
      </c>
      <c r="F120" s="240">
        <f t="shared" si="12"/>
        <v>0</v>
      </c>
    </row>
    <row r="121" ht="18" spans="2:6">
      <c r="B121" s="242">
        <v>5</v>
      </c>
      <c r="C121" s="235">
        <f>SUM(TRANSHARI5_HYDROPAGI[DEBIT])+SUM(TRANSHARI5_HYDROMALAM[DEBIT])</f>
        <v>0</v>
      </c>
      <c r="D121" s="235">
        <f>SUM(TRANSHARI5_HYDROPAGI[KREDIT])+SUM(TRANSHARI5_HYDROMALAM[KREDIT])</f>
        <v>0</v>
      </c>
      <c r="E121" s="235">
        <f>SUM(TRANSHARI5_HYDROPAGI[NOMINAL TRANSFER])+SUM(TRANSHARI5_HYDROMALAM[NOMINAL TRANSFER])</f>
        <v>0</v>
      </c>
      <c r="F121" s="236">
        <f t="shared" si="12"/>
        <v>0</v>
      </c>
    </row>
    <row r="122" ht="18" spans="2:6">
      <c r="B122" s="238">
        <v>6</v>
      </c>
      <c r="C122" s="239">
        <f>SUM(TRANSHARI6_HYDROPAGI[DEBIT])+SUM(TRANSHARI6_HYDROMALAM[DEBIT])</f>
        <v>0</v>
      </c>
      <c r="D122" s="239">
        <f>SUM(TRANSHARI6_HYDROPAGI[KREDIT])+SUM(TRANSHARI6_HYDROMALAM[KREDIT])</f>
        <v>0</v>
      </c>
      <c r="E122" s="239">
        <f>SUM(TRANSHARI6_HYDROPAGI[NOMINAL TRANSFER])+SUM(TRANSHARI6_HYDROMALAM[NOMINAL TRANSFER])</f>
        <v>0</v>
      </c>
      <c r="F122" s="240">
        <f t="shared" si="12"/>
        <v>0</v>
      </c>
    </row>
    <row r="123" ht="18" spans="2:6">
      <c r="B123" s="242">
        <v>7</v>
      </c>
      <c r="C123" s="235">
        <f>SUM(TRANSHARI7_HYDROPAGI[DEBIT])+SUM(TRANSHARI7_HYDROMALAM[DEBIT])</f>
        <v>0</v>
      </c>
      <c r="D123" s="235">
        <f>SUM(TRANSHARI7_HYDROPAGI[KREDIT])+SUM(TRANSHARI7_HYDROMALAM[KREDIT])</f>
        <v>0</v>
      </c>
      <c r="E123" s="235">
        <f>SUM(TRANSHARI7_HYDROPAGI[NOMINAL TRANSFER])+SUM(TRANSHARI7_HYDROMALAM[NOMINAL TRANSFER])</f>
        <v>0</v>
      </c>
      <c r="F123" s="236">
        <f t="shared" si="12"/>
        <v>0</v>
      </c>
    </row>
    <row r="124" ht="18" spans="2:6">
      <c r="B124" s="238">
        <v>8</v>
      </c>
      <c r="C124" s="239">
        <f>SUM(TRANSHARI8_HYDROPAGI[DEBIT])+SUM(TRANSHARI8_HYDROMALAM[DEBIT])</f>
        <v>0</v>
      </c>
      <c r="D124" s="239">
        <f>SUM(TRANSHARI8_HYDROPAGI[KREDIT])+SUM(TRANSHARI8_HYDROMALAM[KREDIT])</f>
        <v>0</v>
      </c>
      <c r="E124" s="239">
        <f>SUM(TRANSHARI8_HYDROPAGI[NOMINAL TRANSFER])+SUM(TRANSHARI8_HYDROMALAM[NOMINAL TRANSFER])</f>
        <v>0</v>
      </c>
      <c r="F124" s="240">
        <f t="shared" si="12"/>
        <v>0</v>
      </c>
    </row>
    <row r="125" ht="18" spans="2:6">
      <c r="B125" s="242">
        <v>9</v>
      </c>
      <c r="C125" s="235">
        <f>SUM(TRANSHARI9_HYDROPAGI[DEBIT])+SUM(TRANSHARI9_HYDROMALAM[DEBIT])</f>
        <v>0</v>
      </c>
      <c r="D125" s="235">
        <f>SUM(TRANSHARI9_HYDROPAGI[KREDIT])+SUM(TRANSHARI9_HYDROMALAM[KREDIT])</f>
        <v>0</v>
      </c>
      <c r="E125" s="235">
        <f>SUM(TRANSHARI9_HYDROPAGI[NOMINAL TRANSFER])+SUM(TRANSHARI9_HYDROMALAM[NOMINAL TRANSFER])</f>
        <v>0</v>
      </c>
      <c r="F125" s="236">
        <f t="shared" si="12"/>
        <v>0</v>
      </c>
    </row>
    <row r="126" ht="18" spans="2:6">
      <c r="B126" s="238">
        <v>10</v>
      </c>
      <c r="C126" s="239">
        <f>SUM(TRANSHARI10_HYDROPAGI[DEBIT])+SUM(TRANSHARI10_HYDROMALAM[DEBIT])</f>
        <v>0</v>
      </c>
      <c r="D126" s="239">
        <f>SUM(TRANSHARI10_HYDROPAGI[KREDIT])+SUM(TRANSHARI10_HYDROMALAM[KREDIT])</f>
        <v>0</v>
      </c>
      <c r="E126" s="239">
        <f>SUM(TRANSHARI10_HYDROPAGI[NOMINAL TRANSFER])+SUM(TRANSHARI10_HYDROMALAM[NOMINAL TRANSFER])</f>
        <v>0</v>
      </c>
      <c r="F126" s="240">
        <f t="shared" si="12"/>
        <v>0</v>
      </c>
    </row>
    <row r="127" ht="18.75" spans="2:6">
      <c r="B127" s="245">
        <v>11</v>
      </c>
      <c r="C127" s="235">
        <f>SUM(TRANSHARI11_HYDROPAGI[DEBIT])+SUM(TRANSHARI11_HYDROMALAM[DEBIT])</f>
        <v>0</v>
      </c>
      <c r="D127" s="235">
        <f>SUM(TRANSHARI11_HYDROPAGI[KREDIT])+SUM(TRANSHARI11_HYDROMALAM[KREDIT])</f>
        <v>0</v>
      </c>
      <c r="E127" s="235">
        <f>SUM(TRANSHARI11_HYDROPAGI[NOMINAL TRANSFER])+SUM(TRANSHARI11_HYDROMALAM[NOMINAL TRANSFER])</f>
        <v>0</v>
      </c>
      <c r="F127" s="236">
        <f t="shared" si="12"/>
        <v>0</v>
      </c>
    </row>
    <row r="128" spans="2:6">
      <c r="B128" s="246" t="s">
        <v>141</v>
      </c>
      <c r="C128" s="247">
        <f>SUM(C117:C127)</f>
        <v>0</v>
      </c>
      <c r="D128" s="248">
        <f>SUM(D117:D127)</f>
        <v>0</v>
      </c>
      <c r="E128" s="247">
        <f>SUM(E117:E127)</f>
        <v>0</v>
      </c>
      <c r="F128" s="249">
        <f>SUM(F117:F127)</f>
        <v>0</v>
      </c>
    </row>
    <row r="129" ht="17.25" spans="2:6">
      <c r="B129" s="250"/>
      <c r="C129" s="251"/>
      <c r="D129" s="252"/>
      <c r="E129" s="251"/>
      <c r="F129" s="253"/>
    </row>
  </sheetData>
  <sheetProtection algorithmName="SHA-512" hashValue="cyJmt9zF5RIjgMzIEYpaAgJXmghhoDDhXHRI7KqsjPrn5ZaIdQ9aBGQbHhuBDassg+MtmQPeg5xb5FHvE8H5Sw==" saltValue="dkIAYohGRVAO5qkzJ70MIA==" spinCount="100000" sheet="1" objects="1" scenarios="1"/>
  <mergeCells count="66">
    <mergeCell ref="H14:I14"/>
    <mergeCell ref="H15:I15"/>
    <mergeCell ref="H16:I16"/>
    <mergeCell ref="H17:I17"/>
    <mergeCell ref="H18:I18"/>
    <mergeCell ref="H19:I19"/>
    <mergeCell ref="H20:I20"/>
    <mergeCell ref="H21:I21"/>
    <mergeCell ref="B26:B27"/>
    <mergeCell ref="B43:B44"/>
    <mergeCell ref="B60:B61"/>
    <mergeCell ref="B77:B78"/>
    <mergeCell ref="B94:B95"/>
    <mergeCell ref="B111:B112"/>
    <mergeCell ref="B128:B129"/>
    <mergeCell ref="C26:C27"/>
    <mergeCell ref="C43:C44"/>
    <mergeCell ref="C60:C61"/>
    <mergeCell ref="C77:C78"/>
    <mergeCell ref="C94:C95"/>
    <mergeCell ref="C111:C112"/>
    <mergeCell ref="C128:C129"/>
    <mergeCell ref="D26:D27"/>
    <mergeCell ref="D43:D44"/>
    <mergeCell ref="D60:D61"/>
    <mergeCell ref="D77:D78"/>
    <mergeCell ref="D94:D95"/>
    <mergeCell ref="D111:D112"/>
    <mergeCell ref="D128:D129"/>
    <mergeCell ref="E26:E27"/>
    <mergeCell ref="E43:E44"/>
    <mergeCell ref="E60:E61"/>
    <mergeCell ref="E77:E78"/>
    <mergeCell ref="E94:E95"/>
    <mergeCell ref="E111:E112"/>
    <mergeCell ref="E128:E129"/>
    <mergeCell ref="F26:F27"/>
    <mergeCell ref="F43:F44"/>
    <mergeCell ref="F60:F61"/>
    <mergeCell ref="F77:F78"/>
    <mergeCell ref="F94:F95"/>
    <mergeCell ref="F111:F112"/>
    <mergeCell ref="F128:F129"/>
    <mergeCell ref="I42:I43"/>
    <mergeCell ref="J22:J23"/>
    <mergeCell ref="J42:J43"/>
    <mergeCell ref="K22:K23"/>
    <mergeCell ref="K42:K43"/>
    <mergeCell ref="L22:L23"/>
    <mergeCell ref="L42:L43"/>
    <mergeCell ref="B63:F64"/>
    <mergeCell ref="B80:F81"/>
    <mergeCell ref="B97:F98"/>
    <mergeCell ref="N12:U13"/>
    <mergeCell ref="N27:O28"/>
    <mergeCell ref="P27:R28"/>
    <mergeCell ref="N48:O49"/>
    <mergeCell ref="P48:R49"/>
    <mergeCell ref="N33:T34"/>
    <mergeCell ref="H12:L13"/>
    <mergeCell ref="H22:I23"/>
    <mergeCell ref="I28:L29"/>
    <mergeCell ref="B114:F115"/>
    <mergeCell ref="B12:F13"/>
    <mergeCell ref="B29:F30"/>
    <mergeCell ref="B46:F47"/>
  </mergeCells>
  <pageMargins left="0.7" right="0.7" top="0.75" bottom="0.75" header="0.3" footer="0.3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2:ED177"/>
  <sheetViews>
    <sheetView showGridLines="0" topLeftCell="DH9" workbookViewId="0">
      <selection activeCell="R384" sqref="R384:R385"/>
    </sheetView>
  </sheetViews>
  <sheetFormatPr defaultColWidth="10.525" defaultRowHeight="16.5"/>
  <cols>
    <col min="1" max="3" width="10.525" style="1"/>
    <col min="4" max="4" width="9.875" style="1" customWidth="1"/>
    <col min="5" max="7" width="20.5416666666667" style="1" customWidth="1"/>
    <col min="8" max="8" width="11.9583333333333" style="1" customWidth="1"/>
    <col min="9" max="9" width="10.525" style="1" customWidth="1"/>
    <col min="10" max="10" width="30.55" style="1" customWidth="1"/>
    <col min="11" max="11" width="20.5416666666667" style="1" customWidth="1"/>
    <col min="12" max="12" width="11.05" style="1" customWidth="1"/>
    <col min="13" max="26" width="10.525" style="1" customWidth="1"/>
    <col min="27" max="27" width="14.5583333333333" style="1" customWidth="1"/>
    <col min="28" max="28" width="13.5166666666667" style="1" customWidth="1"/>
    <col min="29" max="29" width="20.5416666666667" style="1" customWidth="1"/>
    <col min="30" max="30" width="8.45" style="1" customWidth="1"/>
    <col min="31" max="31" width="35.8833333333333" style="1" customWidth="1"/>
    <col min="32" max="32" width="20.5416666666667" style="1" customWidth="1"/>
    <col min="33" max="33" width="12.4833333333333" style="1" customWidth="1"/>
    <col min="34" max="34" width="11.05" style="1" customWidth="1"/>
    <col min="35" max="47" width="10.525" style="1" customWidth="1"/>
    <col min="48" max="48" width="11.4416666666667" style="1" customWidth="1"/>
    <col min="49" max="49" width="11.05" style="1" customWidth="1"/>
    <col min="50" max="50" width="20.5416666666667" style="1" customWidth="1"/>
    <col min="51" max="51" width="10.525" style="1" customWidth="1"/>
    <col min="52" max="52" width="32.5" style="1" customWidth="1"/>
    <col min="53" max="53" width="20.5416666666667" style="1" customWidth="1"/>
    <col min="54" max="55" width="12.875" style="1" customWidth="1"/>
    <col min="56" max="57" width="11.05" style="1" customWidth="1"/>
    <col min="58" max="68" width="10.525" style="1" customWidth="1"/>
    <col min="69" max="70" width="12.875" style="1" customWidth="1"/>
    <col min="71" max="71" width="20.5416666666667" style="1" customWidth="1"/>
    <col min="72" max="72" width="10.525" style="1" customWidth="1"/>
    <col min="73" max="73" width="35.8833333333333" style="1" customWidth="1"/>
    <col min="74" max="74" width="21.3166666666667" style="1" customWidth="1"/>
    <col min="75" max="76" width="13" style="1" customWidth="1"/>
    <col min="77" max="78" width="10.0083333333333" style="1" customWidth="1"/>
    <col min="79" max="89" width="10.525" style="1" customWidth="1"/>
    <col min="90" max="91" width="14.0416666666667" style="1" customWidth="1"/>
    <col min="92" max="92" width="20.5416666666667" style="1" customWidth="1"/>
    <col min="93" max="93" width="10.525" style="1" customWidth="1"/>
    <col min="94" max="94" width="39" style="1" customWidth="1"/>
    <col min="95" max="95" width="21.0583333333333" style="1" customWidth="1"/>
    <col min="96" max="97" width="13" style="1" customWidth="1"/>
    <col min="98" max="110" width="10.525" style="1" customWidth="1"/>
    <col min="111" max="112" width="12.4833333333333" style="1" customWidth="1"/>
    <col min="113" max="113" width="21.0583333333333" style="1" customWidth="1"/>
    <col min="114" max="114" width="10.525" style="1" customWidth="1"/>
    <col min="115" max="115" width="31.9833333333333" style="1" customWidth="1"/>
    <col min="116" max="116" width="20.5416666666667" style="1" customWidth="1"/>
    <col min="117" max="118" width="11.9583333333333" style="1" customWidth="1"/>
    <col min="119" max="131" width="10.525" style="1" customWidth="1"/>
    <col min="132" max="133" width="12.875" style="1" customWidth="1"/>
    <col min="134" max="134" width="21.0583333333333" style="1" customWidth="1"/>
    <col min="135" max="135" width="10.525" style="1" customWidth="1"/>
    <col min="136" max="136" width="10.525" style="1"/>
    <col min="137" max="137" width="20.5416666666667" style="1" customWidth="1"/>
    <col min="138" max="16384" width="10.525" style="1"/>
  </cols>
  <sheetData>
    <row r="12" ht="19.5" customHeight="1" spans="10:134">
      <c r="J12" s="144" t="s">
        <v>261</v>
      </c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E12" s="144" t="s">
        <v>262</v>
      </c>
      <c r="AF12" s="144"/>
      <c r="AG12" s="144"/>
      <c r="AH12" s="144"/>
      <c r="AI12" s="144"/>
      <c r="AJ12" s="144"/>
      <c r="AK12" s="144"/>
      <c r="AL12" s="144"/>
      <c r="AM12" s="144"/>
      <c r="AN12" s="144"/>
      <c r="AO12" s="144"/>
      <c r="AP12" s="144"/>
      <c r="AQ12" s="144"/>
      <c r="AR12" s="144"/>
      <c r="AS12" s="144"/>
      <c r="AT12" s="144"/>
      <c r="AU12" s="144"/>
      <c r="AV12" s="144"/>
      <c r="AW12" s="144"/>
      <c r="AX12" s="144"/>
      <c r="AZ12" s="144" t="s">
        <v>263</v>
      </c>
      <c r="BA12" s="144"/>
      <c r="BB12" s="144"/>
      <c r="BC12" s="144"/>
      <c r="BD12" s="144"/>
      <c r="BE12" s="144"/>
      <c r="BF12" s="144"/>
      <c r="BG12" s="144"/>
      <c r="BH12" s="144"/>
      <c r="BI12" s="144"/>
      <c r="BJ12" s="144"/>
      <c r="BK12" s="144"/>
      <c r="BL12" s="144"/>
      <c r="BM12" s="144"/>
      <c r="BN12" s="144"/>
      <c r="BO12" s="144"/>
      <c r="BP12" s="144"/>
      <c r="BQ12" s="144"/>
      <c r="BR12" s="144"/>
      <c r="BS12" s="144"/>
      <c r="BU12" s="144" t="s">
        <v>264</v>
      </c>
      <c r="BV12" s="144"/>
      <c r="BW12" s="144"/>
      <c r="BX12" s="144"/>
      <c r="BY12" s="144"/>
      <c r="BZ12" s="144"/>
      <c r="CA12" s="144"/>
      <c r="CB12" s="144"/>
      <c r="CC12" s="144"/>
      <c r="CD12" s="144"/>
      <c r="CE12" s="144"/>
      <c r="CF12" s="144"/>
      <c r="CG12" s="144"/>
      <c r="CH12" s="144"/>
      <c r="CI12" s="144"/>
      <c r="CJ12" s="144"/>
      <c r="CK12" s="144"/>
      <c r="CL12" s="144"/>
      <c r="CM12" s="144"/>
      <c r="CN12" s="144"/>
      <c r="CP12" s="144" t="s">
        <v>265</v>
      </c>
      <c r="CQ12" s="144"/>
      <c r="CR12" s="144"/>
      <c r="CS12" s="144"/>
      <c r="CT12" s="144"/>
      <c r="CU12" s="144"/>
      <c r="CV12" s="144"/>
      <c r="CW12" s="144"/>
      <c r="CX12" s="144"/>
      <c r="CY12" s="144"/>
      <c r="CZ12" s="144"/>
      <c r="DA12" s="144"/>
      <c r="DB12" s="144"/>
      <c r="DC12" s="144"/>
      <c r="DD12" s="144"/>
      <c r="DE12" s="144"/>
      <c r="DF12" s="144"/>
      <c r="DG12" s="144"/>
      <c r="DH12" s="144"/>
      <c r="DI12" s="144"/>
      <c r="DK12" s="144" t="s">
        <v>266</v>
      </c>
      <c r="DL12" s="144"/>
      <c r="DM12" s="144"/>
      <c r="DN12" s="144"/>
      <c r="DO12" s="144"/>
      <c r="DP12" s="144"/>
      <c r="DQ12" s="144"/>
      <c r="DR12" s="144"/>
      <c r="DS12" s="144"/>
      <c r="DT12" s="144"/>
      <c r="DU12" s="144"/>
      <c r="DV12" s="144"/>
      <c r="DW12" s="144"/>
      <c r="DX12" s="144"/>
      <c r="DY12" s="144"/>
      <c r="DZ12" s="144"/>
      <c r="EA12" s="144"/>
      <c r="EB12" s="144"/>
      <c r="EC12" s="144"/>
      <c r="ED12" s="144"/>
    </row>
    <row r="13" ht="15.75" customHeight="1" spans="4:134">
      <c r="D13" s="115" t="s">
        <v>267</v>
      </c>
      <c r="E13" s="115" t="s">
        <v>19</v>
      </c>
      <c r="F13" s="115" t="s">
        <v>268</v>
      </c>
      <c r="G13" s="116" t="s">
        <v>269</v>
      </c>
      <c r="J13" s="12" t="s">
        <v>66</v>
      </c>
      <c r="K13" s="12" t="s">
        <v>68</v>
      </c>
      <c r="L13" s="11" t="s">
        <v>270</v>
      </c>
      <c r="M13" s="145" t="s">
        <v>271</v>
      </c>
      <c r="N13" s="146" t="s">
        <v>272</v>
      </c>
      <c r="O13" s="146"/>
      <c r="P13" s="147" t="s">
        <v>273</v>
      </c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71" t="s">
        <v>274</v>
      </c>
      <c r="AB13" s="146" t="s">
        <v>275</v>
      </c>
      <c r="AC13" s="172" t="s">
        <v>64</v>
      </c>
      <c r="AE13" s="12" t="s">
        <v>66</v>
      </c>
      <c r="AF13" s="12" t="s">
        <v>68</v>
      </c>
      <c r="AG13" s="11" t="s">
        <v>270</v>
      </c>
      <c r="AH13" s="145" t="s">
        <v>271</v>
      </c>
      <c r="AI13" s="146" t="s">
        <v>272</v>
      </c>
      <c r="AJ13" s="146"/>
      <c r="AK13" s="147" t="s">
        <v>273</v>
      </c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71" t="s">
        <v>274</v>
      </c>
      <c r="AW13" s="146" t="s">
        <v>275</v>
      </c>
      <c r="AX13" s="172" t="s">
        <v>64</v>
      </c>
      <c r="AZ13" s="12" t="s">
        <v>66</v>
      </c>
      <c r="BA13" s="12" t="s">
        <v>68</v>
      </c>
      <c r="BB13" s="11" t="s">
        <v>270</v>
      </c>
      <c r="BC13" s="145" t="s">
        <v>271</v>
      </c>
      <c r="BD13" s="146" t="s">
        <v>272</v>
      </c>
      <c r="BE13" s="146"/>
      <c r="BF13" s="147" t="s">
        <v>273</v>
      </c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71" t="s">
        <v>274</v>
      </c>
      <c r="BR13" s="146" t="s">
        <v>275</v>
      </c>
      <c r="BS13" s="172" t="s">
        <v>64</v>
      </c>
      <c r="BU13" s="12" t="s">
        <v>66</v>
      </c>
      <c r="BV13" s="12" t="s">
        <v>68</v>
      </c>
      <c r="BW13" s="11" t="s">
        <v>270</v>
      </c>
      <c r="BX13" s="145" t="s">
        <v>271</v>
      </c>
      <c r="BY13" s="146" t="s">
        <v>272</v>
      </c>
      <c r="BZ13" s="146"/>
      <c r="CA13" s="147" t="s">
        <v>273</v>
      </c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71" t="s">
        <v>274</v>
      </c>
      <c r="CM13" s="146" t="s">
        <v>275</v>
      </c>
      <c r="CN13" s="172" t="s">
        <v>64</v>
      </c>
      <c r="CP13" s="12" t="s">
        <v>66</v>
      </c>
      <c r="CQ13" s="12" t="s">
        <v>68</v>
      </c>
      <c r="CR13" s="11" t="s">
        <v>270</v>
      </c>
      <c r="CS13" s="145" t="s">
        <v>271</v>
      </c>
      <c r="CT13" s="146" t="s">
        <v>272</v>
      </c>
      <c r="CU13" s="146"/>
      <c r="CV13" s="147" t="s">
        <v>273</v>
      </c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71" t="s">
        <v>274</v>
      </c>
      <c r="DH13" s="146" t="s">
        <v>275</v>
      </c>
      <c r="DI13" s="172" t="s">
        <v>64</v>
      </c>
      <c r="DK13" s="12" t="s">
        <v>66</v>
      </c>
      <c r="DL13" s="12" t="s">
        <v>68</v>
      </c>
      <c r="DM13" s="11" t="s">
        <v>270</v>
      </c>
      <c r="DN13" s="145" t="s">
        <v>271</v>
      </c>
      <c r="DO13" s="146" t="s">
        <v>272</v>
      </c>
      <c r="DP13" s="146"/>
      <c r="DQ13" s="147" t="s">
        <v>273</v>
      </c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71" t="s">
        <v>274</v>
      </c>
      <c r="EC13" s="146" t="s">
        <v>275</v>
      </c>
      <c r="ED13" s="172" t="s">
        <v>64</v>
      </c>
    </row>
    <row r="14" ht="18" spans="4:134">
      <c r="D14" s="117">
        <v>1</v>
      </c>
      <c r="E14" s="118">
        <f>'HARI 1'!L30+'HARI 1'!AA30</f>
        <v>525872</v>
      </c>
      <c r="F14" s="118">
        <f>'HARI 1'!L31+'HARI 1'!AA31</f>
        <v>1000132</v>
      </c>
      <c r="G14" s="119">
        <f>'HARI 1'!L32+'HARI 1'!AA32</f>
        <v>0</v>
      </c>
      <c r="J14" s="12"/>
      <c r="K14" s="12"/>
      <c r="L14" s="11"/>
      <c r="M14" s="145"/>
      <c r="N14" s="19" t="s">
        <v>276</v>
      </c>
      <c r="O14" s="148" t="s">
        <v>277</v>
      </c>
      <c r="P14" s="149" t="s">
        <v>246</v>
      </c>
      <c r="Q14" s="12" t="s">
        <v>247</v>
      </c>
      <c r="R14" s="149" t="s">
        <v>248</v>
      </c>
      <c r="S14" s="12" t="s">
        <v>249</v>
      </c>
      <c r="T14" s="149" t="s">
        <v>250</v>
      </c>
      <c r="U14" s="12" t="s">
        <v>251</v>
      </c>
      <c r="V14" s="149" t="s">
        <v>252</v>
      </c>
      <c r="W14" s="12" t="s">
        <v>253</v>
      </c>
      <c r="X14" s="149" t="s">
        <v>254</v>
      </c>
      <c r="Y14" s="12" t="s">
        <v>255</v>
      </c>
      <c r="Z14" s="149" t="s">
        <v>256</v>
      </c>
      <c r="AA14" s="171"/>
      <c r="AB14" s="146"/>
      <c r="AC14" s="172"/>
      <c r="AE14" s="12"/>
      <c r="AF14" s="12"/>
      <c r="AG14" s="11"/>
      <c r="AH14" s="145"/>
      <c r="AI14" s="19" t="s">
        <v>276</v>
      </c>
      <c r="AJ14" s="148" t="s">
        <v>277</v>
      </c>
      <c r="AK14" s="149" t="s">
        <v>246</v>
      </c>
      <c r="AL14" s="12" t="s">
        <v>247</v>
      </c>
      <c r="AM14" s="149" t="s">
        <v>248</v>
      </c>
      <c r="AN14" s="12" t="s">
        <v>249</v>
      </c>
      <c r="AO14" s="149" t="s">
        <v>250</v>
      </c>
      <c r="AP14" s="12" t="s">
        <v>251</v>
      </c>
      <c r="AQ14" s="149" t="s">
        <v>252</v>
      </c>
      <c r="AR14" s="12" t="s">
        <v>253</v>
      </c>
      <c r="AS14" s="149" t="s">
        <v>254</v>
      </c>
      <c r="AT14" s="12" t="s">
        <v>255</v>
      </c>
      <c r="AU14" s="149" t="s">
        <v>256</v>
      </c>
      <c r="AV14" s="171"/>
      <c r="AW14" s="146"/>
      <c r="AX14" s="172"/>
      <c r="AZ14" s="12"/>
      <c r="BA14" s="12"/>
      <c r="BB14" s="11"/>
      <c r="BC14" s="145"/>
      <c r="BD14" s="19" t="s">
        <v>276</v>
      </c>
      <c r="BE14" s="148" t="s">
        <v>277</v>
      </c>
      <c r="BF14" s="149" t="s">
        <v>246</v>
      </c>
      <c r="BG14" s="12" t="s">
        <v>247</v>
      </c>
      <c r="BH14" s="149" t="s">
        <v>248</v>
      </c>
      <c r="BI14" s="12" t="s">
        <v>249</v>
      </c>
      <c r="BJ14" s="149" t="s">
        <v>250</v>
      </c>
      <c r="BK14" s="12" t="s">
        <v>251</v>
      </c>
      <c r="BL14" s="149" t="s">
        <v>252</v>
      </c>
      <c r="BM14" s="12" t="s">
        <v>253</v>
      </c>
      <c r="BN14" s="149" t="s">
        <v>254</v>
      </c>
      <c r="BO14" s="12" t="s">
        <v>255</v>
      </c>
      <c r="BP14" s="149" t="s">
        <v>256</v>
      </c>
      <c r="BQ14" s="171"/>
      <c r="BR14" s="146"/>
      <c r="BS14" s="172"/>
      <c r="BU14" s="12"/>
      <c r="BV14" s="12"/>
      <c r="BW14" s="11"/>
      <c r="BX14" s="145"/>
      <c r="BY14" s="19" t="s">
        <v>276</v>
      </c>
      <c r="BZ14" s="148" t="s">
        <v>277</v>
      </c>
      <c r="CA14" s="149" t="s">
        <v>246</v>
      </c>
      <c r="CB14" s="12" t="s">
        <v>247</v>
      </c>
      <c r="CC14" s="149" t="s">
        <v>248</v>
      </c>
      <c r="CD14" s="12" t="s">
        <v>249</v>
      </c>
      <c r="CE14" s="149" t="s">
        <v>250</v>
      </c>
      <c r="CF14" s="12" t="s">
        <v>251</v>
      </c>
      <c r="CG14" s="149" t="s">
        <v>252</v>
      </c>
      <c r="CH14" s="12" t="s">
        <v>253</v>
      </c>
      <c r="CI14" s="149" t="s">
        <v>254</v>
      </c>
      <c r="CJ14" s="12" t="s">
        <v>255</v>
      </c>
      <c r="CK14" s="149" t="s">
        <v>256</v>
      </c>
      <c r="CL14" s="171"/>
      <c r="CM14" s="146"/>
      <c r="CN14" s="172"/>
      <c r="CP14" s="12"/>
      <c r="CQ14" s="12"/>
      <c r="CR14" s="11"/>
      <c r="CS14" s="145"/>
      <c r="CT14" s="19" t="s">
        <v>276</v>
      </c>
      <c r="CU14" s="148" t="s">
        <v>277</v>
      </c>
      <c r="CV14" s="149" t="s">
        <v>246</v>
      </c>
      <c r="CW14" s="12" t="s">
        <v>247</v>
      </c>
      <c r="CX14" s="149" t="s">
        <v>248</v>
      </c>
      <c r="CY14" s="12" t="s">
        <v>249</v>
      </c>
      <c r="CZ14" s="149" t="s">
        <v>250</v>
      </c>
      <c r="DA14" s="12" t="s">
        <v>251</v>
      </c>
      <c r="DB14" s="149" t="s">
        <v>252</v>
      </c>
      <c r="DC14" s="12" t="s">
        <v>253</v>
      </c>
      <c r="DD14" s="149" t="s">
        <v>254</v>
      </c>
      <c r="DE14" s="12" t="s">
        <v>255</v>
      </c>
      <c r="DF14" s="149" t="s">
        <v>256</v>
      </c>
      <c r="DG14" s="171"/>
      <c r="DH14" s="146"/>
      <c r="DI14" s="172"/>
      <c r="DK14" s="12"/>
      <c r="DL14" s="12"/>
      <c r="DM14" s="11"/>
      <c r="DN14" s="145"/>
      <c r="DO14" s="19" t="s">
        <v>276</v>
      </c>
      <c r="DP14" s="148" t="s">
        <v>277</v>
      </c>
      <c r="DQ14" s="149" t="s">
        <v>246</v>
      </c>
      <c r="DR14" s="12" t="s">
        <v>247</v>
      </c>
      <c r="DS14" s="149" t="s">
        <v>248</v>
      </c>
      <c r="DT14" s="12" t="s">
        <v>249</v>
      </c>
      <c r="DU14" s="149" t="s">
        <v>250</v>
      </c>
      <c r="DV14" s="12" t="s">
        <v>251</v>
      </c>
      <c r="DW14" s="149" t="s">
        <v>252</v>
      </c>
      <c r="DX14" s="12" t="s">
        <v>253</v>
      </c>
      <c r="DY14" s="149" t="s">
        <v>254</v>
      </c>
      <c r="DZ14" s="12" t="s">
        <v>255</v>
      </c>
      <c r="EA14" s="149" t="s">
        <v>256</v>
      </c>
      <c r="EB14" s="171"/>
      <c r="EC14" s="146"/>
      <c r="ED14" s="172"/>
    </row>
    <row r="15" ht="18" spans="4:134">
      <c r="D15" s="120">
        <v>2</v>
      </c>
      <c r="E15" s="121">
        <f>'HARI 2'!L30+'HARI 2'!AA30</f>
        <v>179880</v>
      </c>
      <c r="F15" s="122">
        <f>'HARI 2'!L31+'HARI 2'!AA31</f>
        <v>0</v>
      </c>
      <c r="G15" s="122">
        <f>'HARI 2'!L32+'HARI 1'!AA32</f>
        <v>0</v>
      </c>
      <c r="J15" s="24" t="str">
        <f>'DATA PRODUK'!D12</f>
        <v>MARLBORO MERAH</v>
      </c>
      <c r="K15" s="150">
        <f>'DATA PRODUK'!E12</f>
        <v>50000</v>
      </c>
      <c r="L15" s="12"/>
      <c r="M15" s="12"/>
      <c r="N15" s="12"/>
      <c r="O15" s="12"/>
      <c r="P15" s="12">
        <f>SUMIF(TRANSHARI1_ROKOKPAGI[PRODUK],J15,TRANSHARI1_ROKOKPAGI[QUANTITY])+SUMIF(TRANSHARI1_ROKOKMALAM[PRODUK],J15,TRANSHARI1_ROKOKMALAM[QUANTITY])</f>
        <v>0</v>
      </c>
      <c r="Q15" s="12">
        <f>SUMIF(TRANSHARI2_ROKOKPAGI[PRODUK],J15,TRANSHARI2_ROKOKPAGI[QUANTITY])+SUMIF(TRANSHARI2_ROKOKMALAM[PRODUK],J15,TRANSHARI2_ROKOKMALAM[QUANTITY])</f>
        <v>0</v>
      </c>
      <c r="R15" s="12">
        <f>SUMIF(TRANSHARI3_ROKOKPAGI[PRODUK],J15,TRANSHARI3_ROKOKPAGI[QUANTITY])+SUMIF(TRANSHARI3_ROKOKMALAM[PRODUK],J15,TRANSHARI3_ROKOKMALAM[QUANTITY])</f>
        <v>0</v>
      </c>
      <c r="S15" s="12">
        <f>SUMIF(TRANSHARI4_ROKOKPAGI[PRODUK],J15,TRANSHARI4_ROKOKPAGI[QUANTITY])+SUMIF(TRANSHARI4_ROKOKMALAM[PRODUK],J15,TRANSHARI4_ROKOKMALAM[QUANTITY])</f>
        <v>0</v>
      </c>
      <c r="T15" s="12">
        <f>SUMIF(TRANSHARI5_ROKOKPAGI[PRODUK],J15,TRANSHARI5_ROKOKPAGI[QUANTITY])+SUMIF(TRANSHARI5_ROKOKMALAM[PRODUK],J15,TRANSHARI5_ROKOKMALAM[QUANTITY])</f>
        <v>0</v>
      </c>
      <c r="U15" s="12">
        <f>SUMIF(TRANSHARI6_ROKOKPAGI[PRODUK],J15,TRANSHARI6_ROKOKPAGI[QUANTITY])+SUMIF(TRANSHARI6_ROKOKMALAM[PRODUK],J15,TRANSHARI6_ROKOKMALAM[QUANTITY])</f>
        <v>0</v>
      </c>
      <c r="V15" s="12">
        <f>SUMIF(TRANSHARI7_ROKOKPAGI[PRODUK],J15,TRANSHARI7_ROKOKPAGI[QUANTITY])+SUMIF(TRANSHARI7_ROKOKMALAM[PRODUK],J15,TRANSHARI7_ROKOKMALAM[QUANTITY])</f>
        <v>0</v>
      </c>
      <c r="W15" s="12">
        <f>SUMIF(TRANSHARI8_ROKOKPAGI[PRODUK],J15,TRANSHARI8_ROKOKPAGI[QUANTITY])+SUMIF(TRANSHARI8_ROKOKMALAM[PRODUK],J15,TRANSHARI8_ROKOKMALAM[QUANTITY])</f>
        <v>0</v>
      </c>
      <c r="X15" s="12">
        <f>SUMIF(TRANSHARI9_ROKOKPAGI[PRODUK],J15,TRANSHARI9_ROKOKPAGI[QUANTITY])+SUMIF(TRANSHARI9_ROKOKMALAM[PRODUK],J15,TRANSHARI9_ROKOKMALAM[QUANTITY])</f>
        <v>0</v>
      </c>
      <c r="Y15" s="12">
        <f>SUMIF(TRANSHARI10_ROKOKPAGI[PRODUK],J15,TRANSHARI10_ROKOKPAGI[QUANTITY])+SUMIF(TRANSHARI10_ROKOKMALAM[PRODUK],J15,TRANSHARI10_ROKOKMALAM[QUANTITY])</f>
        <v>0</v>
      </c>
      <c r="Z15" s="12">
        <f>SUMIF(TRANSHARI11_ROKOKPAGI[PRODUK],J15,TRANSHARI11_ROKOKPAGI[QUANTITY])+SUMIF(TRANSHARI11_ROKOKMALAM[PRODUK],J15,TRANSHARI11_ROKOKMALAM[QUANTITY])</f>
        <v>0</v>
      </c>
      <c r="AA15" s="12">
        <f>SUM(P15:Z15)</f>
        <v>0</v>
      </c>
      <c r="AB15" s="12">
        <f>L15+M15+N15-O15-AA15</f>
        <v>0</v>
      </c>
      <c r="AC15" s="173">
        <f>AA15*K15</f>
        <v>0</v>
      </c>
      <c r="AE15" s="174" t="str">
        <f>'DATA PRODUK'!R12</f>
        <v>SP TSEL REG</v>
      </c>
      <c r="AF15" s="175">
        <f>'DATA PRODUK'!S12</f>
        <v>18000</v>
      </c>
      <c r="AG15" s="12"/>
      <c r="AH15" s="12"/>
      <c r="AI15" s="12"/>
      <c r="AJ15" s="12"/>
      <c r="AK15" s="12">
        <f>SUMIF(TRANSHARI1_SPVOUPAGI[PRODUK],AE15,TRANSHARI1_SPVOUPAGI[QUANTITY])+SUMIF(TRANSHARI1_SPVOUMALAM[PRODUK],AE15,TRANSHARI1_SPVOUMALAM[QUANTITY])</f>
        <v>0</v>
      </c>
      <c r="AL15" s="12">
        <f>SUMIF(TRANSHARI2_SPVOUPAGI[PRODUK],AE15,TRANSHARI2_SPVOUPAGI[QUANTITY])+SUMIF(TRANSHARI2_SPVOUMALAM[PRODUK],AE15,TRANSHARI2_SPVOUMALAM[QUANTITY])</f>
        <v>2</v>
      </c>
      <c r="AM15" s="12">
        <f>SUMIF(TRANSHARI3_SPVOUPAGI[PRODUK],AE15,TRANSHARI3_SPVOUPAGI[QUANTITY])+SUMIF(TRANSHARI3_SPVOUMALAM[PRODUK],AE15,TRANSHARI3_SPVOUMALAM[QUANTITY])</f>
        <v>0</v>
      </c>
      <c r="AN15" s="12">
        <f>SUMIF(TRANSHARI4_SPVOUPAGI[PRODUK],AE15,TRANSHARI4_SPVOUPAGI[QUANTITY])+SUMIF(TRANSHARI4_SPVOUMALAM[PRODUK],AE15,TRANSHARI4_SPVOUMALAM[QUANTITY])</f>
        <v>0</v>
      </c>
      <c r="AO15" s="12">
        <f>SUMIF(TRANSHARI5_SPVOUPAGI[PRODUK],AE15,TRANSHARI5_SPVOUPAGI[QUANTITY])+SUMIF(TRANSHARI5_SPVOUMALAM[PRODUK],AE15,TRANSHARI5_SPVOUMALAM[QUANTITY])</f>
        <v>0</v>
      </c>
      <c r="AP15" s="12">
        <f>SUMIF(TRANSHARI6_SPVOUPAGI[PRODUK],AE15,TRANSHARI6_SPVOUPAGI[QUANTITY])+SUMIF(TRANSHARI6_SPVOUMALAM[PRODUK],AE15,TRANSHARI6_SPVOUMALAM[QUANTITY])</f>
        <v>0</v>
      </c>
      <c r="AQ15" s="12">
        <f>SUMIF(TRANSHARI7_SPVOUPAGI[PRODUK],AE15,TRANSHARI7_SPVOUPAGI[QUANTITY])+SUMIF(TRANSHARI7_SPVOUMALAM[PRODUK],AE15,TRANSHARI7_SPVOUMALAM[QUANTITY])</f>
        <v>0</v>
      </c>
      <c r="AR15" s="12">
        <f>SUMIF(TRANSHARI8_SPVOUPAGI[PRODUK],AE15,TRANSHARI8_SPVOUPAGI[QUANTITY])+SUMIF(TRANSHARI8_SPVOUMALAM[PRODUK],AE15,TRANSHARI8_SPVOUMALAM[QUANTITY])</f>
        <v>0</v>
      </c>
      <c r="AS15" s="12">
        <f>SUMIF(TRANSHARI9_SPVOUPAGI[PRODUK],AE15,TRANSHARI9_SPVOUPAGI[QUANTITY])+SUMIF(TRANSHARI9_SPVOUMALAM[PRODUK],AE15,TRANSHARI9_SPVOUMALAM[QUANTITY])</f>
        <v>0</v>
      </c>
      <c r="AT15" s="12">
        <f>SUMIF(TRANSHARI10_SPVOUPAGI[PRODUK],AE15,TRANSHARI10_SPVOUPAGI[QUANTITY])+SUMIF(TRANSHARI10_SPVOUMALAM[PRODUK],AE15,TRANSHARI10_SPVOUMALAM[QUANTITY])</f>
        <v>0</v>
      </c>
      <c r="AU15" s="12">
        <f>SUMIF(TRANSHARI11_SPVOUPAGI[PRODUK],AE15,TRANSHARI11_SPVOUPAGI[QUANTITY])+SUMIF(TRANSHARI11_SPVOUMALAM[PRODUK],AE15,TRANSHARI11_SPVOUMALAM[QUANTITY])</f>
        <v>0</v>
      </c>
      <c r="AV15" s="12">
        <f>SUM(AK15:AU15)</f>
        <v>2</v>
      </c>
      <c r="AW15" s="12">
        <f>AG15+AH15+AI15-AJ15-AV15</f>
        <v>-2</v>
      </c>
      <c r="AX15" s="173">
        <f>IFERROR(AV15*AF15,"")</f>
        <v>36000</v>
      </c>
      <c r="AZ15" s="187" t="str">
        <f>'DATA PRODUK'!AF12</f>
        <v>FRESTEA 500ml (ALL)</v>
      </c>
      <c r="BA15" s="87">
        <f>'DATA PRODUK'!AG12</f>
        <v>7000</v>
      </c>
      <c r="BB15" s="12"/>
      <c r="BC15" s="12"/>
      <c r="BD15" s="12"/>
      <c r="BE15" s="12"/>
      <c r="BF15" s="12">
        <f>SUMIF(TRANSHARI1_SOFTDRINKPAGI[PRODUK],AZ15,TRANSHARI1_SOFTDRINKPAGI[QUANTITY])+SUMIF(TRANSHARI1_SOFTDRINKMALAM[PRODUK],AZ15,TRANSHARI1_SOFTDRINKMALAM[QUANTITY])</f>
        <v>0</v>
      </c>
      <c r="BG15" s="12">
        <f>SUMIF(TRANSHARI2_SOFTDRINKPAGI[PRODUK],AZ15,TRANSHARI2_SOFTDRINKPAGI[QUANTITY])+SUMIF(TRANSHARI2_SOFTDRINKMALAM[PRODUK],AZ15,TRANSHARI2_SOFTDRINKMALAM[QUANTITY])</f>
        <v>0</v>
      </c>
      <c r="BH15" s="12">
        <f>SUMIF(TRANSHARI3_SOFTDRINKPAGI[PRODUK],AZ15,TRANSHARI3_SOFTDRINKPAGI[QUANTITY])+SUMIF(TRANSHARI3_SOFTDRINKMALAM[PRODUK],AZ15,TRANSHARI3_SOFTDRINKMALAM[QUANTITY])</f>
        <v>0</v>
      </c>
      <c r="BI15" s="12">
        <f>SUMIF(TRANSHARI4_SOFTDRINKPAGI[PRODUK],AZ15,TRANSHARI4_SOFTDRINKPAGI[QUANTITY])+SUMIF(TRANSHARI4_SOFTDRINKMALAM[PRODUK],AZ15,TRANSHARI4_SOFTDRINKMALAM[QUANTITY])</f>
        <v>0</v>
      </c>
      <c r="BJ15" s="12">
        <f>SUMIF(TRANSHARI5_SOFTDRINKPAGI[PRODUK],AZ15,TRANSHARI5_SOFTDRINKPAGI[QUANTITY])+SUMIF(TRANSHARI5_SOFTDRINKMALAM[PRODUK],AZ15,TRANSHARI5_SOFTDRINKMALAM[QUANTITY])</f>
        <v>0</v>
      </c>
      <c r="BK15" s="12">
        <f>SUMIF(TRANSHARI6_SOFTDRINKPAGI[PRODUK],AZ15,TRANSHARI6_SOFTDRINKPAGI[QUANTITY])+SUMIF(TRANSHARI6_SOFTDRINKMALAM[PRODUK],AZ15,TRANSHARI6_SOFTDRINKMALAM[QUANTITY])</f>
        <v>0</v>
      </c>
      <c r="BL15" s="12">
        <f>SUMIF(TRANSHARI7_SOFTDRINKPAGI[PRODUK],AZ15,TRANSHARI7_SOFTDRINKPAGI[QUANTITY])+SUMIF(TRANSHARI7_SOFTDRINKMALAM[PRODUK],AZ15,TRANSHARI7_SOFTDRINKMALAM[QUANTITY])</f>
        <v>0</v>
      </c>
      <c r="BM15" s="12">
        <f>SUMIF(TRANSHARI8_SOFTDRINKPAGI[PRODUK],AZ15,TRANSHARI8_SOFTDRINKPAGI[QUANTITY])+SUMIF(TRANSHARI8_SOFTDRINKMALAM[PRODUK],AZ15,TRANSHARI8_SOFTDRINKMALAM[QUANTITY])</f>
        <v>0</v>
      </c>
      <c r="BN15" s="12">
        <f>SUMIF(TRANSHARI9_SOFTDRINKPAGI[PRODUK],AZ15,TRANSHARI9_SOFTDRINKPAGI[QUANTITY])+SUMIF(TRANSHARI9_SOFTDRINKMALAM[PRODUK],AZ15,TRANSHARI9_SOFTDRINKMALAM[QUANTITY])</f>
        <v>0</v>
      </c>
      <c r="BO15" s="12">
        <f>SUMIF(TRANSHARI10_SOFTDRINKPAGI[PRODUK],AZ15,TRANSHARI10_SOFTDRINKPAGI[QUANTITY])+SUMIF(TRANSHARI10_SOFTDRINKMALAM[PRODUK],AZ15,TRANSHARI10_SOFTDRINKMALAM[QUANTITY])</f>
        <v>0</v>
      </c>
      <c r="BP15" s="12">
        <f>SUMIF(TRANSHARI11_SOFTDRINKPAGI[PRODUK],AZ15,TRANSHARI11_SOFTDRINKPAGI[QUANTITY])+SUMIF(TRANSHARI11_SOFTDRINKMALAM[PRODUK],AZ15,TRANSHARI11_SOFTDRINKMALAM[QUANTITY])</f>
        <v>0</v>
      </c>
      <c r="BQ15" s="12">
        <f>SUM(BF15:BP15)</f>
        <v>0</v>
      </c>
      <c r="BR15" s="12">
        <f>BB15+BC15+BD15-BE15-BQ15</f>
        <v>0</v>
      </c>
      <c r="BS15" s="173">
        <f>BQ15*BA15</f>
        <v>0</v>
      </c>
      <c r="BU15" s="177" t="str">
        <f>'DATA PRODUK'!AT12</f>
        <v>(Waku-Waku) Choco Loop</v>
      </c>
      <c r="BV15" s="175">
        <f>'DATA PRODUK'!AU12</f>
        <v>2000</v>
      </c>
      <c r="BW15" s="12"/>
      <c r="BX15" s="12"/>
      <c r="BY15" s="12"/>
      <c r="BZ15" s="12"/>
      <c r="CA15" s="12">
        <f>SUMIF(TRANSHARI1_ICECREAMPAGI[PRODUK],BU15,TRANSHARI1_ICECREAMPAGI[QUANTITY])+SUMIF(TRANSHARI1_ICECREAMMALAM[PRODUK],BU15,TRANSHARI1_ICECREAMMALAM[QUANTITY])</f>
        <v>2</v>
      </c>
      <c r="CB15" s="12">
        <f>SUMIF(TRANSHARI2_ICECREAMPAGI[PRODUK],BU15,TRANSHARI2_ICECREAMPAGI[QUANTITY])+SUMIF(TRANSHARI2_ICECREAMMALAM[PRODUK],BU15,TRANSHARI2_ICECREAMMALAM[QUANTITY])</f>
        <v>1</v>
      </c>
      <c r="CC15" s="12">
        <f>SUMIF(TRANSHARI3_ICECREAMPAGI[PRODUK],BU15,TRANSHARI3_ICECREAMPAGI[QUANTITY])+SUMIF(TRANSHARI3_ICECREAMMALAM[PRODUK],BU15,TRANSHARI3_ICECREAMMALAM[QUANTITY])</f>
        <v>0</v>
      </c>
      <c r="CD15" s="12">
        <f>SUMIF(TRANSHARI4_ICECREAMPAGI[PRODUK],BU15,TRANSHARI4_ICECREAMPAGI[QUANTITY])+SUMIF(TRANSHARI4_ICECREAMMALAM[PRODUK],BU15,TRANSHARI4_ICECREAMMALAM[QUANTITY])</f>
        <v>0</v>
      </c>
      <c r="CE15" s="12">
        <f>SUMIF(TRANSHARI5_ICECREAMPAGI[PRODUK],BU15,TRANSHARI5_ICECREAMPAGI[QUANTITY])+SUMIF(TRANSHARI5_ICECREAMMALAM[PRODUK],BU15,TRANSHARI5_ICECREAMMALAM[QUANTITY])</f>
        <v>0</v>
      </c>
      <c r="CF15" s="12">
        <f>SUMIF(TRANSHARI6_ICECREAMPAGI[PRODUK],BU15,TRANSHARI6_ICECREAMPAGI[QUANTITY])+SUMIF(TRANSHARI6_ICECREAMMALAM[PRODUK],BU15,TRANSHARI6_ICECREAMMALAM[QUANTITY])</f>
        <v>0</v>
      </c>
      <c r="CG15" s="12">
        <f>SUMIF(TRANSHARI7_ICECREAMPAGI[PRODUK],BU15,TRANSHARI7_ICECREAMPAGI[QUANTITY])+SUMIF(TRANSHARI7_ICECREAMMALAM[PRODUK],BU15,TRANSHARI7_ICECREAMMALAM[QUANTITY])</f>
        <v>0</v>
      </c>
      <c r="CH15" s="12">
        <f>SUMIF(TRANSHARI8_ICECREAMPAGI[PRODUK],BU15,TRANSHARI8_ICECREAMPAGI[QUANTITY])+SUMIF(TRANSHARI8_ICECREAMMALAM[PRODUK],BU15,TRANSHARI8_ICECREAMMALAM[QUANTITY])</f>
        <v>0</v>
      </c>
      <c r="CI15" s="12">
        <f>SUMIF(TRANSHARI9_ICECREAMPAGI[PRODUK],BU15,TRANSHARI9_ICECREAMPAGI[QUANTITY])+SUMIF(TRANSHARI9_ICECREAMMALAM[PRODUK],BU15,TRANSHARI9_ICECREAMMALAM[QUANTITY])</f>
        <v>0</v>
      </c>
      <c r="CJ15" s="12">
        <f>SUMIF(TRANSHARI10_ICECREAMPAGI[PRODUK],BU15,TRANSHARI10_ICECREAMPAGI[QUANTITY])+SUMIF(TRANSHARI10_ICECREAMMALAM[PRODUK],BU15,TRANSHARI10_ICECREAMMALAM[QUANTITY])</f>
        <v>0</v>
      </c>
      <c r="CK15" s="12">
        <f>SUMIF(TRANSHARI11_ICECREAMPAGI[PRODUK],BU15,TRANSHARI11_ICECREAMPAGI[QUANTITY])+SUMIF(TRANSHARI11_ICECREAMMALAM[PRODUK],BU15,TRANSHARI11_ICECREAMMALAM[QUANTITY])</f>
        <v>0</v>
      </c>
      <c r="CL15" s="12">
        <f>SUM(CA15:CK15)</f>
        <v>3</v>
      </c>
      <c r="CM15" s="12">
        <f>BW15+BX15+BY15-BZ15-CL15</f>
        <v>-3</v>
      </c>
      <c r="CN15" s="173">
        <f>CL15*BV15</f>
        <v>6000</v>
      </c>
      <c r="CP15" s="177" t="str">
        <f>'DATA PRODUK'!BH12</f>
        <v>(K.D)(Micro) Olike D306M</v>
      </c>
      <c r="CQ15" s="175">
        <f>'DATA PRODUK'!BI12</f>
        <v>15000</v>
      </c>
      <c r="CR15" s="12"/>
      <c r="CS15" s="12"/>
      <c r="CT15" s="12"/>
      <c r="CU15" s="12"/>
      <c r="CV15" s="12">
        <f>SUMIF(TRANSHARI1_ACCPAGI[PRODUK],CP15,TRANSHARI1_ACCPAGI[QUANTITY])+SUMIF(TRANSHARI1_ACCMALAM[PRODUK],CP15,TRANSHARI1_ACCMALAM[QUANTITY])</f>
        <v>0</v>
      </c>
      <c r="CW15" s="12">
        <f>SUMIF(TRANSHARI2_ACCPAGI[PRODUK],CP15,TRANSHARI2_ACCPAGI[QUANTITY])+SUMIF(TRANSHARI2_ACCMALAM[PRODUK],CP15,TRANSHARI2_ACCMALAM[QUANTITY])</f>
        <v>0</v>
      </c>
      <c r="CX15" s="12">
        <f>SUMIF(TRANSHARI3_ACCPAGI[PRODUK],CP15,TRANSHARI3_ACCPAGI[QUANTITY])+SUMIF(TRANSHARI3_ACCMALAM[PRODUK],CP15,TRANSHARI3_ACCMALAM[QUANTITY])</f>
        <v>0</v>
      </c>
      <c r="CY15" s="12">
        <f>SUMIF(TRANSHARI4_ACCPAGI[PRODUK],CP15,TRANSHARI4_ACCPAGI[QUANTITY])+SUMIF(TRANSHARI4_ACCMALAM[PRODUK],CP15,TRANSHARI4_ACCMALAM[QUANTITY])</f>
        <v>0</v>
      </c>
      <c r="CZ15" s="12">
        <f>SUMIF(TRANSHARI5_ACCPAGI[PRODUK],CP15,TRANSHARI5_ACCPAGI[QUANTITY])+SUMIF(TRANSHARI5_ACCMALAM[PRODUK],CP15,TRANSHARI5_ACCMALAM[QUANTITY])</f>
        <v>0</v>
      </c>
      <c r="DA15" s="12">
        <f>SUMIF(TRANSHARI6_ACCPAGI[PRODUK],CP15,TRANSHARI6_ACCPAGI[QUANTITY])+SUMIF(TRANSHARI6_ACCMALAM[PRODUK],CP15,TRANSHARI6_ACCMALAM[QUANTITY])</f>
        <v>0</v>
      </c>
      <c r="DB15" s="12">
        <f>SUMIF(TRANSHARI7_ACCPAGI[PRODUK],CP15,TRANSHARI7_ACCPAGI[QUANTITY])+SUMIF(TRANSHARI7_ACCMALAM[PRODUK],CP15,TRANSHARI7_ACCMALAM[QUANTITY])</f>
        <v>0</v>
      </c>
      <c r="DC15" s="12">
        <f>SUMIF(TRANSHARI8_ACCPAGI[PRODUK],CP15,TRANSHARI8_ACCPAGI[QUANTITY])+SUMIF(TRANSHARI8_ACCMALAM[PRODUK],CP15,TRANSHARI8_ACCMALAM[QUANTITY])</f>
        <v>0</v>
      </c>
      <c r="DD15" s="12">
        <f>SUMIF(TRANSHARI9_ACCPAGI[PRODUK],CP15,TRANSHARI9_ACCPAGI[QUANTITY])+SUMIF(TRANSHARI9_ACCMALAM[PRODUK],CP15,TRANSHARI9_ACCMALAM[QUANTITY])</f>
        <v>0</v>
      </c>
      <c r="DE15" s="12">
        <f>SUMIF(TRANSHARI10_ACCPAGI[PRODUK],CP15,TRANSHARI10_ACCPAGI[QUANTITY])+SUMIF(TRANSHARI10_ACCMALAM[PRODUK],CP15,TRANSHARI10_ACCMALAM[QUANTITY])</f>
        <v>0</v>
      </c>
      <c r="DF15" s="12">
        <f>SUMIF(TRANSHARI11_ACCPAGI[PRODUK],CP15,TRANSHARI11_ACCPAGI[QUANTITY])+SUMIF(TRANSHARI11_ACCMALAM[PRODUK],CP15,TRANSHARI11_ACCMALAM[QUANTITY])</f>
        <v>0</v>
      </c>
      <c r="DG15" s="12">
        <f>SUM(CV15:DF15)</f>
        <v>0</v>
      </c>
      <c r="DH15" s="12">
        <f>CR15+CS15+CT15-CU15-DG15</f>
        <v>0</v>
      </c>
      <c r="DI15" s="173">
        <f>DG15*CQ15</f>
        <v>0</v>
      </c>
      <c r="DK15" s="187" t="str">
        <f>'DATA PRODUK'!BV12</f>
        <v>(SCREEN) CLEAR</v>
      </c>
      <c r="DL15" s="87">
        <f>'DATA PRODUK'!BW12</f>
        <v>45000</v>
      </c>
      <c r="DM15" s="12"/>
      <c r="DN15" s="12"/>
      <c r="DO15" s="12"/>
      <c r="DP15" s="12"/>
      <c r="DQ15" s="12">
        <f>SUMIF(TRANSHARI1_HYDROPAGI[PRODUK],DK15,TRANSHARI1_HYDROPAGI[QUANTITY])+SUMIF(TRANSHARI1_HYDROMALAM[PRODUK],DK15,TRANSHARI1_HYDROMALAM[QUANTITY])</f>
        <v>0</v>
      </c>
      <c r="DR15" s="12">
        <f>SUMIF(TRANSHARI2_HYDROPAGI[PRODUK],DK15,TRANSHARI2_HYDROPAGI[QUANTITY])+SUMIF(TRANSHARI2_HYDROMALAM[PRODUK],DK15,TRANSHARI2_HYDROMALAM[QUANTITY])</f>
        <v>0</v>
      </c>
      <c r="DS15" s="12">
        <f>SUMIF(TRANSHARI3_HYDROPAGI[PRODUK],DK15,TRANSHARI3_HYDROPAGI[QUANTITY])+SUMIF(TRANSHARI3_HYDROMALAM[PRODUK],DK15,TRANSHARI3_HYDROMALAM[QUANTITY])</f>
        <v>0</v>
      </c>
      <c r="DT15" s="12">
        <f>SUMIF(TRANSHARI4_HYDROPAGI[PRODUK],DK15,TRANSHARI4_HYDROPAGI[QUANTITY])+SUMIF(TRANSHARI4_HYDROMALAM[PRODUK],DK15,TRANSHARI4_HYDROMALAM[QUANTITY])</f>
        <v>0</v>
      </c>
      <c r="DU15" s="12">
        <f>SUMIF(TRANSHARI5_HYDROPAGI[PRODUK],DK15,TRANSHARI5_HYDROPAGI[QUANTITY])+SUMIF(TRANSHARI5_HYDROMALAM[PRODUK],DK15,TRANSHARI5_HYDROMALAM[QUANTITY])</f>
        <v>0</v>
      </c>
      <c r="DV15" s="12">
        <f>SUMIF(TRANSHARI6_HYDROPAGI[PRODUK],DK15,TRANSHARI6_HYDROPAGI[QUANTITY])+SUMIF(TRANSHARI6_HYDROMALAM[PRODUK],DK15,TRANSHARI6_HYDROMALAM[QUANTITY])</f>
        <v>0</v>
      </c>
      <c r="DW15" s="12">
        <f>SUMIF(TRANSHARI7_HYDROPAGI[PRODUK],DK15,TRANSHARI7_HYDROPAGI[QUANTITY])+SUMIF(TRANSHARI7_HYDROMALAM[PRODUK],DK15,TRANSHARI7_HYDROMALAM[QUANTITY])</f>
        <v>0</v>
      </c>
      <c r="DX15" s="12">
        <f>SUMIF(TRANSHARI8_HYDROPAGI[PRODUK],DK15,TRANSHARI8_HYDROPAGI[QUANTITY])+SUMIF(TRANSHARI8_HYDROMALAM[PRODUK],DK15,TRANSHARI8_HYDROMALAM[QUANTITY])</f>
        <v>0</v>
      </c>
      <c r="DY15" s="12">
        <f>SUMIF(TRANSHARI9_HYDROPAGI[PRODUK],DK15,TRANSHARI9_HYDROPAGI[QUANTITY])+SUMIF(TRANSHARI9_HYDROMALAM[PRODUK],DK15,TRANSHARI9_HYDROMALAM[QUANTITY])</f>
        <v>0</v>
      </c>
      <c r="DZ15" s="12">
        <f>SUMIF(TRANSHARI10_HYDROPAGI[PRODUK],DK15,TRANSHARI10_HYDROPAGI[QUANTITY])+SUMIF(TRANSHARI10_HYDROMALAM[PRODUK],DK15,TRANSHARI10_HYDROMALAM[QUANTITY])</f>
        <v>0</v>
      </c>
      <c r="EA15" s="12">
        <f>SUMIF(TRANSHARI11_HYDROPAGI[PRODUK],DK15,TRANSHARI11_HYDROPAGI[QUANTITY])+SUMIF(TRANSHARI11_HYDROMALAM[PRODUK],DK15,TRANSHARI11_HYDROMALAM[QUANTITY])</f>
        <v>0</v>
      </c>
      <c r="EB15" s="12">
        <f>SUM(DQ15:EA15)</f>
        <v>0</v>
      </c>
      <c r="EC15" s="12">
        <f>DM15+DN15+DO15-DP15-EB15</f>
        <v>0</v>
      </c>
      <c r="ED15" s="173">
        <f>EB15*DL15</f>
        <v>0</v>
      </c>
    </row>
    <row r="16" ht="18" spans="4:134">
      <c r="D16" s="117">
        <v>3</v>
      </c>
      <c r="E16" s="118">
        <f>'HARI 3'!L30+'HARI 3'!AA30</f>
        <v>0</v>
      </c>
      <c r="F16" s="118">
        <f>'HARI 3'!L31+'HARI 3'!AA31</f>
        <v>0</v>
      </c>
      <c r="G16" s="119">
        <f>'HARI 3'!L32+'HARI 3'!AA32</f>
        <v>0</v>
      </c>
      <c r="J16" s="26" t="str">
        <f>'DATA PRODUK'!D13</f>
        <v>MARLBORO FILTER 12</v>
      </c>
      <c r="K16" s="151">
        <f>'DATA PRODUK'!E13</f>
        <v>25000</v>
      </c>
      <c r="L16" s="152"/>
      <c r="M16" s="152"/>
      <c r="N16" s="152"/>
      <c r="O16" s="152"/>
      <c r="P16" s="152">
        <f>SUMIF(TRANSHARI1_ROKOKPAGI[PRODUK],J16,TRANSHARI1_ROKOKPAGI[QUANTITY])+SUMIF(TRANSHARI1_ROKOKMALAM[PRODUK],J16,TRANSHARI1_ROKOKMALAM[QUANTITY])</f>
        <v>0</v>
      </c>
      <c r="Q16" s="152">
        <f>SUMIF(TRANSHARI2_ROKOKPAGI[PRODUK],J16,TRANSHARI2_ROKOKPAGI[QUANTITY])+SUMIF(TRANSHARI2_ROKOKMALAM[PRODUK],J16,TRANSHARI2_ROKOKMALAM[QUANTITY])</f>
        <v>0</v>
      </c>
      <c r="R16" s="152">
        <f>SUMIF(TRANSHARI3_ROKOKPAGI[PRODUK],J16,TRANSHARI3_ROKOKPAGI[QUANTITY])+SUMIF(TRANSHARI3_ROKOKMALAM[PRODUK],J16,TRANSHARI3_ROKOKMALAM[QUANTITY])</f>
        <v>0</v>
      </c>
      <c r="S16" s="152">
        <f>SUMIF(TRANSHARI4_ROKOKPAGI[PRODUK],J16,TRANSHARI4_ROKOKPAGI[QUANTITY])+SUMIF(TRANSHARI4_ROKOKMALAM[PRODUK],J16,TRANSHARI4_ROKOKMALAM[QUANTITY])</f>
        <v>0</v>
      </c>
      <c r="T16" s="152">
        <f>SUMIF(TRANSHARI5_ROKOKPAGI[PRODUK],J16,TRANSHARI5_ROKOKPAGI[QUANTITY])+SUMIF(TRANSHARI5_ROKOKMALAM[PRODUK],J16,TRANSHARI5_ROKOKMALAM[QUANTITY])</f>
        <v>0</v>
      </c>
      <c r="U16" s="152">
        <f>SUMIF(TRANSHARI6_ROKOKPAGI[PRODUK],J16,TRANSHARI6_ROKOKPAGI[QUANTITY])+SUMIF(TRANSHARI6_ROKOKMALAM[PRODUK],J16,TRANSHARI6_ROKOKMALAM[QUANTITY])</f>
        <v>0</v>
      </c>
      <c r="V16" s="152">
        <f>SUMIF(TRANSHARI7_ROKOKPAGI[PRODUK],J16,TRANSHARI7_ROKOKPAGI[QUANTITY])+SUMIF(TRANSHARI7_ROKOKMALAM[PRODUK],J16,TRANSHARI7_ROKOKMALAM[QUANTITY])</f>
        <v>0</v>
      </c>
      <c r="W16" s="152">
        <f>SUMIF(TRANSHARI8_ROKOKPAGI[PRODUK],J16,TRANSHARI8_ROKOKPAGI[QUANTITY])+SUMIF(TRANSHARI8_ROKOKMALAM[PRODUK],J16,TRANSHARI8_ROKOKMALAM[QUANTITY])</f>
        <v>0</v>
      </c>
      <c r="X16" s="152">
        <f>SUMIF(TRANSHARI9_ROKOKPAGI[PRODUK],J16,TRANSHARI9_ROKOKPAGI[QUANTITY])+SUMIF(TRANSHARI9_ROKOKMALAM[PRODUK],J16,TRANSHARI9_ROKOKMALAM[QUANTITY])</f>
        <v>0</v>
      </c>
      <c r="Y16" s="152">
        <f>SUMIF(TRANSHARI10_ROKOKPAGI[PRODUK],J16,TRANSHARI10_ROKOKPAGI[QUANTITY])+SUMIF(TRANSHARI10_ROKOKMALAM[PRODUK],J16,TRANSHARI10_ROKOKMALAM[QUANTITY])</f>
        <v>0</v>
      </c>
      <c r="Z16" s="152">
        <f>SUMIF(TRANSHARI11_ROKOKPAGI[PRODUK],J16,TRANSHARI11_ROKOKPAGI[QUANTITY])+SUMIF(TRANSHARI11_ROKOKMALAM[PRODUK],J16,TRANSHARI11_ROKOKMALAM[QUANTITY])</f>
        <v>0</v>
      </c>
      <c r="AA16" s="152">
        <f t="shared" ref="AA16:AA48" si="0">SUM(P16:Z16)</f>
        <v>0</v>
      </c>
      <c r="AB16" s="152">
        <f t="shared" ref="AB16:AB48" si="1">L16+M16+N16-O16-AA16</f>
        <v>0</v>
      </c>
      <c r="AC16" s="176">
        <f t="shared" ref="AC16:AC48" si="2">AA16*K16</f>
        <v>0</v>
      </c>
      <c r="AE16" s="177" t="str">
        <f>'DATA PRODUK'!R13</f>
        <v>SP TSEL 6 GB</v>
      </c>
      <c r="AF16" s="178">
        <f>'DATA PRODUK'!S13</f>
        <v>25000</v>
      </c>
      <c r="AG16" s="152"/>
      <c r="AH16" s="152"/>
      <c r="AI16" s="152"/>
      <c r="AJ16" s="152"/>
      <c r="AK16" s="152">
        <f>SUMIF(TRANSHARI1_SPVOUPAGI[PRODUK],AE16,TRANSHARI1_SPVOUPAGI[QUANTITY])+SUMIF(TRANSHARI1_SPVOUMALAM[PRODUK],AE16,TRANSHARI1_SPVOUMALAM[QUANTITY])</f>
        <v>1</v>
      </c>
      <c r="AL16" s="152">
        <f>SUMIF(TRANSHARI2_SPVOUPAGI[PRODUK],AE16,TRANSHARI2_SPVOUPAGI[QUANTITY])+SUMIF(TRANSHARI2_SPVOUMALAM[PRODUK],AE16,TRANSHARI2_SPVOUMALAM[QUANTITY])</f>
        <v>0</v>
      </c>
      <c r="AM16" s="152">
        <f>SUMIF(TRANSHARI3_SPVOUPAGI[PRODUK],AE16,TRANSHARI3_SPVOUPAGI[QUANTITY])+SUMIF(TRANSHARI3_SPVOUMALAM[PRODUK],AE16,TRANSHARI3_SPVOUMALAM[QUANTITY])</f>
        <v>0</v>
      </c>
      <c r="AN16" s="152">
        <f>SUMIF(TRANSHARI4_SPVOUPAGI[PRODUK],AE16,TRANSHARI4_SPVOUPAGI[QUANTITY])+SUMIF(TRANSHARI4_SPVOUMALAM[PRODUK],AE16,TRANSHARI4_SPVOUMALAM[QUANTITY])</f>
        <v>0</v>
      </c>
      <c r="AO16" s="152">
        <f>SUMIF(TRANSHARI5_SPVOUPAGI[PRODUK],AE16,TRANSHARI5_SPVOUPAGI[QUANTITY])+SUMIF(TRANSHARI5_SPVOUMALAM[PRODUK],AE16,TRANSHARI5_SPVOUMALAM[QUANTITY])</f>
        <v>0</v>
      </c>
      <c r="AP16" s="152">
        <f>SUMIF(TRANSHARI6_SPVOUPAGI[PRODUK],AE16,TRANSHARI6_SPVOUPAGI[QUANTITY])+SUMIF(TRANSHARI6_SPVOUMALAM[PRODUK],AE16,TRANSHARI6_SPVOUMALAM[QUANTITY])</f>
        <v>0</v>
      </c>
      <c r="AQ16" s="152">
        <f>SUMIF(TRANSHARI7_SPVOUPAGI[PRODUK],AE16,TRANSHARI7_SPVOUPAGI[QUANTITY])+SUMIF(TRANSHARI7_SPVOUMALAM[PRODUK],AE16,TRANSHARI7_SPVOUMALAM[QUANTITY])</f>
        <v>0</v>
      </c>
      <c r="AR16" s="152">
        <f>SUMIF(TRANSHARI8_SPVOUPAGI[PRODUK],AE16,TRANSHARI8_SPVOUPAGI[QUANTITY])+SUMIF(TRANSHARI8_SPVOUMALAM[PRODUK],AE16,TRANSHARI8_SPVOUMALAM[QUANTITY])</f>
        <v>0</v>
      </c>
      <c r="AS16" s="152">
        <f>SUMIF(TRANSHARI9_SPVOUPAGI[PRODUK],AE16,TRANSHARI9_SPVOUPAGI[QUANTITY])+SUMIF(TRANSHARI9_SPVOUMALAM[PRODUK],AE16,TRANSHARI9_SPVOUMALAM[QUANTITY])</f>
        <v>0</v>
      </c>
      <c r="AT16" s="152">
        <f>SUMIF(TRANSHARI10_SPVOUPAGI[PRODUK],AE16,TRANSHARI10_SPVOUPAGI[QUANTITY])+SUMIF(TRANSHARI10_SPVOUMALAM[PRODUK],AE16,TRANSHARI10_SPVOUMALAM[QUANTITY])</f>
        <v>0</v>
      </c>
      <c r="AU16" s="152">
        <f>SUMIF(TRANSHARI11_SPVOUPAGI[PRODUK],AE16,TRANSHARI11_SPVOUPAGI[QUANTITY])+SUMIF(TRANSHARI11_SPVOUMALAM[PRODUK],AE16,TRANSHARI11_SPVOUMALAM[QUANTITY])</f>
        <v>0</v>
      </c>
      <c r="AV16" s="152">
        <f t="shared" ref="AV16:AV48" si="3">SUM(AK16:AU16)</f>
        <v>1</v>
      </c>
      <c r="AW16" s="152">
        <f t="shared" ref="AW16:AW47" si="4">AG16+AH16+AI16-AJ16-AV16</f>
        <v>-1</v>
      </c>
      <c r="AX16" s="176">
        <f t="shared" ref="AX16:AX79" si="5">IFERROR(AV16*AF16,"")</f>
        <v>25000</v>
      </c>
      <c r="AZ16" s="188" t="str">
        <f>'DATA PRODUK'!AF13</f>
        <v>FRESTEA 350ml (ALL)</v>
      </c>
      <c r="BA16" s="89">
        <f>'DATA PRODUK'!AG13</f>
        <v>5000</v>
      </c>
      <c r="BB16" s="152"/>
      <c r="BC16" s="152"/>
      <c r="BD16" s="152"/>
      <c r="BE16" s="152"/>
      <c r="BF16" s="152">
        <f>SUMIF(TRANSHARI1_SOFTDRINKPAGI[PRODUK],AZ16,TRANSHARI1_SOFTDRINKPAGI[QUANTITY])+SUMIF(TRANSHARI1_SOFTDRINKMALAM[PRODUK],AZ16,TRANSHARI1_SOFTDRINKMALAM[QUANTITY])</f>
        <v>0</v>
      </c>
      <c r="BG16" s="152">
        <f>SUMIF(TRANSHARI2_SOFTDRINKPAGI[PRODUK],AZ16,TRANSHARI2_SOFTDRINKPAGI[QUANTITY])+SUMIF(TRANSHARI2_SOFTDRINKMALAM[PRODUK],AZ16,TRANSHARI2_SOFTDRINKMALAM[QUANTITY])</f>
        <v>0</v>
      </c>
      <c r="BH16" s="152">
        <f>SUMIF(TRANSHARI3_SOFTDRINKPAGI[PRODUK],AZ16,TRANSHARI3_SOFTDRINKPAGI[QUANTITY])+SUMIF(TRANSHARI3_SOFTDRINKMALAM[PRODUK],AZ16,TRANSHARI3_SOFTDRINKMALAM[QUANTITY])</f>
        <v>0</v>
      </c>
      <c r="BI16" s="152">
        <f>SUMIF(TRANSHARI4_SOFTDRINKPAGI[PRODUK],AZ16,TRANSHARI4_SOFTDRINKPAGI[QUANTITY])+SUMIF(TRANSHARI4_SOFTDRINKMALAM[PRODUK],AZ16,TRANSHARI4_SOFTDRINKMALAM[QUANTITY])</f>
        <v>0</v>
      </c>
      <c r="BJ16" s="152">
        <f>SUMIF(TRANSHARI5_SOFTDRINKPAGI[PRODUK],AZ16,TRANSHARI5_SOFTDRINKPAGI[QUANTITY])+SUMIF(TRANSHARI5_SOFTDRINKMALAM[PRODUK],AZ16,TRANSHARI5_SOFTDRINKMALAM[QUANTITY])</f>
        <v>0</v>
      </c>
      <c r="BK16" s="152">
        <f>SUMIF(TRANSHARI6_SOFTDRINKPAGI[PRODUK],AZ16,TRANSHARI6_SOFTDRINKPAGI[QUANTITY])+SUMIF(TRANSHARI6_SOFTDRINKMALAM[PRODUK],AZ16,TRANSHARI6_SOFTDRINKMALAM[QUANTITY])</f>
        <v>0</v>
      </c>
      <c r="BL16" s="152">
        <f>SUMIF(TRANSHARI7_SOFTDRINKPAGI[PRODUK],AZ16,TRANSHARI7_SOFTDRINKPAGI[QUANTITY])+SUMIF(TRANSHARI7_SOFTDRINKMALAM[PRODUK],AZ16,TRANSHARI7_SOFTDRINKMALAM[QUANTITY])</f>
        <v>0</v>
      </c>
      <c r="BM16" s="152">
        <f>SUMIF(TRANSHARI8_SOFTDRINKPAGI[PRODUK],AZ16,TRANSHARI8_SOFTDRINKPAGI[QUANTITY])+SUMIF(TRANSHARI8_SOFTDRINKMALAM[PRODUK],AZ16,TRANSHARI8_SOFTDRINKMALAM[QUANTITY])</f>
        <v>0</v>
      </c>
      <c r="BN16" s="152">
        <f>SUMIF(TRANSHARI9_SOFTDRINKPAGI[PRODUK],AZ16,TRANSHARI9_SOFTDRINKPAGI[QUANTITY])+SUMIF(TRANSHARI9_SOFTDRINKMALAM[PRODUK],AZ16,TRANSHARI9_SOFTDRINKMALAM[QUANTITY])</f>
        <v>0</v>
      </c>
      <c r="BO16" s="152">
        <f>SUMIF(TRANSHARI10_SOFTDRINKPAGI[PRODUK],AZ16,TRANSHARI10_SOFTDRINKPAGI[QUANTITY])+SUMIF(TRANSHARI10_SOFTDRINKMALAM[PRODUK],AZ16,TRANSHARI10_SOFTDRINKMALAM[QUANTITY])</f>
        <v>0</v>
      </c>
      <c r="BP16" s="152">
        <f>SUMIF(TRANSHARI11_SOFTDRINKPAGI[PRODUK],AZ16,TRANSHARI11_SOFTDRINKPAGI[QUANTITY])+SUMIF(TRANSHARI11_SOFTDRINKMALAM[PRODUK],AZ16,TRANSHARI11_SOFTDRINKMALAM[QUANTITY])</f>
        <v>0</v>
      </c>
      <c r="BQ16" s="152">
        <f t="shared" ref="BQ16:BQ32" si="6">SUM(BF16:BP16)</f>
        <v>0</v>
      </c>
      <c r="BR16" s="152">
        <f t="shared" ref="BR16:BR32" si="7">BB16+BC16+BD16-BE16-BQ16</f>
        <v>0</v>
      </c>
      <c r="BS16" s="176">
        <f t="shared" ref="BS16:BS32" si="8">BQ16*BA16</f>
        <v>0</v>
      </c>
      <c r="BU16" s="174" t="str">
        <f>'DATA PRODUK'!AT13</f>
        <v>(Waku-Waku) Chocoberry Loop</v>
      </c>
      <c r="BV16" s="178">
        <f>'DATA PRODUK'!AU13</f>
        <v>2000</v>
      </c>
      <c r="BW16" s="152"/>
      <c r="BX16" s="152"/>
      <c r="BY16" s="152"/>
      <c r="BZ16" s="152"/>
      <c r="CA16" s="152">
        <f>SUMIF(TRANSHARI1_ICECREAMPAGI[PRODUK],BU16,TRANSHARI1_ICECREAMPAGI[QUANTITY])+SUMIF(TRANSHARI1_ICECREAMMALAM[PRODUK],BU16,TRANSHARI1_ICECREAMMALAM[QUANTITY])</f>
        <v>2</v>
      </c>
      <c r="CB16" s="152">
        <f>SUMIF(TRANSHARI2_ICECREAMPAGI[PRODUK],BU16,TRANSHARI2_ICECREAMPAGI[QUANTITY])+SUMIF(TRANSHARI2_ICECREAMMALAM[PRODUK],BU16,TRANSHARI2_ICECREAMMALAM[QUANTITY])</f>
        <v>0</v>
      </c>
      <c r="CC16" s="152">
        <f>SUMIF(TRANSHARI3_ICECREAMPAGI[PRODUK],BU16,TRANSHARI3_ICECREAMPAGI[QUANTITY])+SUMIF(TRANSHARI3_ICECREAMMALAM[PRODUK],BU16,TRANSHARI3_ICECREAMMALAM[QUANTITY])</f>
        <v>0</v>
      </c>
      <c r="CD16" s="152">
        <f>SUMIF(TRANSHARI4_ICECREAMPAGI[PRODUK],BU16,TRANSHARI4_ICECREAMPAGI[QUANTITY])+SUMIF(TRANSHARI4_ICECREAMMALAM[PRODUK],BU16,TRANSHARI4_ICECREAMMALAM[QUANTITY])</f>
        <v>0</v>
      </c>
      <c r="CE16" s="152">
        <f>SUMIF(TRANSHARI5_ICECREAMPAGI[PRODUK],BU16,TRANSHARI5_ICECREAMPAGI[QUANTITY])+SUMIF(TRANSHARI5_ICECREAMMALAM[PRODUK],BU16,TRANSHARI5_ICECREAMMALAM[QUANTITY])</f>
        <v>0</v>
      </c>
      <c r="CF16" s="152">
        <f>SUMIF(TRANSHARI6_ICECREAMPAGI[PRODUK],BU16,TRANSHARI6_ICECREAMPAGI[QUANTITY])+SUMIF(TRANSHARI6_ICECREAMMALAM[PRODUK],BU16,TRANSHARI6_ICECREAMMALAM[QUANTITY])</f>
        <v>0</v>
      </c>
      <c r="CG16" s="152">
        <f>SUMIF(TRANSHARI7_ICECREAMPAGI[PRODUK],BU16,TRANSHARI7_ICECREAMPAGI[QUANTITY])+SUMIF(TRANSHARI7_ICECREAMMALAM[PRODUK],BU16,TRANSHARI7_ICECREAMMALAM[QUANTITY])</f>
        <v>0</v>
      </c>
      <c r="CH16" s="152">
        <f>SUMIF(TRANSHARI8_ICECREAMPAGI[PRODUK],BU16,TRANSHARI8_ICECREAMPAGI[QUANTITY])+SUMIF(TRANSHARI8_ICECREAMMALAM[PRODUK],BU16,TRANSHARI8_ICECREAMMALAM[QUANTITY])</f>
        <v>0</v>
      </c>
      <c r="CI16" s="152">
        <f>SUMIF(TRANSHARI9_ICECREAMPAGI[PRODUK],BU16,TRANSHARI9_ICECREAMPAGI[QUANTITY])+SUMIF(TRANSHARI9_ICECREAMMALAM[PRODUK],BU16,TRANSHARI9_ICECREAMMALAM[QUANTITY])</f>
        <v>0</v>
      </c>
      <c r="CJ16" s="152">
        <f>SUMIF(TRANSHARI10_ICECREAMPAGI[PRODUK],BU16,TRANSHARI10_ICECREAMPAGI[QUANTITY])+SUMIF(TRANSHARI10_ICECREAMMALAM[PRODUK],BU16,TRANSHARI10_ICECREAMMALAM[QUANTITY])</f>
        <v>0</v>
      </c>
      <c r="CK16" s="152">
        <f>SUMIF(TRANSHARI11_ICECREAMPAGI[PRODUK],BU16,TRANSHARI11_ICECREAMPAGI[QUANTITY])+SUMIF(TRANSHARI11_ICECREAMMALAM[PRODUK],BU16,TRANSHARI11_ICECREAMMALAM[QUANTITY])</f>
        <v>0</v>
      </c>
      <c r="CL16" s="152">
        <f t="shared" ref="CL16:CL31" si="9">SUM(CA16:CK16)</f>
        <v>2</v>
      </c>
      <c r="CM16" s="152">
        <f t="shared" ref="CM16:CM31" si="10">BW16+BX16+BY16-BZ16-CL16</f>
        <v>-2</v>
      </c>
      <c r="CN16" s="176">
        <f t="shared" ref="CN16:CN31" si="11">CL16*BV16</f>
        <v>4000</v>
      </c>
      <c r="CP16" s="174" t="str">
        <f>'DATA PRODUK'!BH13</f>
        <v>(K.D)(Micro) Robot RBM100S</v>
      </c>
      <c r="CQ16" s="178">
        <f>'DATA PRODUK'!BI13</f>
        <v>20000</v>
      </c>
      <c r="CR16" s="152"/>
      <c r="CS16" s="152"/>
      <c r="CT16" s="152"/>
      <c r="CU16" s="152"/>
      <c r="CV16" s="152">
        <f>SUMIF(TRANSHARI1_ACCPAGI[PRODUK],CP16,TRANSHARI1_ACCPAGI[QUANTITY])+SUMIF(TRANSHARI1_ACCMALAM[PRODUK],CP16,TRANSHARI1_ACCMALAM[QUANTITY])</f>
        <v>0</v>
      </c>
      <c r="CW16" s="152">
        <f>SUMIF(TRANSHARI2_ACCPAGI[PRODUK],CP16,TRANSHARI2_ACCPAGI[QUANTITY])+SUMIF(TRANSHARI2_ACCMALAM[PRODUK],CP16,TRANSHARI2_ACCMALAM[QUANTITY])</f>
        <v>0</v>
      </c>
      <c r="CX16" s="152">
        <f>SUMIF(TRANSHARI3_ACCPAGI[PRODUK],CP16,TRANSHARI3_ACCPAGI[QUANTITY])+SUMIF(TRANSHARI3_ACCMALAM[PRODUK],CP16,TRANSHARI3_ACCMALAM[QUANTITY])</f>
        <v>0</v>
      </c>
      <c r="CY16" s="152">
        <f>SUMIF(TRANSHARI4_ACCPAGI[PRODUK],CP16,TRANSHARI4_ACCPAGI[QUANTITY])+SUMIF(TRANSHARI4_ACCMALAM[PRODUK],CP16,TRANSHARI4_ACCMALAM[QUANTITY])</f>
        <v>0</v>
      </c>
      <c r="CZ16" s="152">
        <f>SUMIF(TRANSHARI5_ACCPAGI[PRODUK],CP16,TRANSHARI5_ACCPAGI[QUANTITY])+SUMIF(TRANSHARI5_ACCMALAM[PRODUK],CP16,TRANSHARI5_ACCMALAM[QUANTITY])</f>
        <v>0</v>
      </c>
      <c r="DA16" s="152">
        <f>SUMIF(TRANSHARI6_ACCPAGI[PRODUK],CP16,TRANSHARI6_ACCPAGI[QUANTITY])+SUMIF(TRANSHARI6_ACCMALAM[PRODUK],CP16,TRANSHARI6_ACCMALAM[QUANTITY])</f>
        <v>0</v>
      </c>
      <c r="DB16" s="152">
        <f>SUMIF(TRANSHARI7_ACCPAGI[PRODUK],CP16,TRANSHARI7_ACCPAGI[QUANTITY])+SUMIF(TRANSHARI7_ACCMALAM[PRODUK],CP16,TRANSHARI7_ACCMALAM[QUANTITY])</f>
        <v>0</v>
      </c>
      <c r="DC16" s="152">
        <f>SUMIF(TRANSHARI8_ACCPAGI[PRODUK],CP16,TRANSHARI8_ACCPAGI[QUANTITY])+SUMIF(TRANSHARI8_ACCMALAM[PRODUK],CP16,TRANSHARI8_ACCMALAM[QUANTITY])</f>
        <v>0</v>
      </c>
      <c r="DD16" s="152">
        <f>SUMIF(TRANSHARI9_ACCPAGI[PRODUK],CP16,TRANSHARI9_ACCPAGI[QUANTITY])+SUMIF(TRANSHARI9_ACCMALAM[PRODUK],CP16,TRANSHARI9_ACCMALAM[QUANTITY])</f>
        <v>0</v>
      </c>
      <c r="DE16" s="152">
        <f>SUMIF(TRANSHARI10_ACCPAGI[PRODUK],CP16,TRANSHARI10_ACCPAGI[QUANTITY])+SUMIF(TRANSHARI10_ACCMALAM[PRODUK],CP16,TRANSHARI10_ACCMALAM[QUANTITY])</f>
        <v>0</v>
      </c>
      <c r="DF16" s="152">
        <f>SUMIF(TRANSHARI11_ACCPAGI[PRODUK],CP16,TRANSHARI11_ACCPAGI[QUANTITY])+SUMIF(TRANSHARI11_ACCMALAM[PRODUK],CP16,TRANSHARI11_ACCMALAM[QUANTITY])</f>
        <v>0</v>
      </c>
      <c r="DG16" s="152">
        <f t="shared" ref="DG16:DG47" si="12">SUM(CV16:DF16)</f>
        <v>0</v>
      </c>
      <c r="DH16" s="152">
        <f t="shared" ref="DH16:DH47" si="13">CR16+CS16+CT16-CU16-DG16</f>
        <v>0</v>
      </c>
      <c r="DI16" s="176">
        <f t="shared" ref="DI16:DI48" si="14">DG16*CQ16</f>
        <v>0</v>
      </c>
      <c r="DK16" s="188" t="str">
        <f>'DATA PRODUK'!BV13</f>
        <v>(SCREEN) ANTI-BLUE</v>
      </c>
      <c r="DL16" s="89">
        <f>'DATA PRODUK'!BW13</f>
        <v>55000</v>
      </c>
      <c r="DM16" s="152"/>
      <c r="DN16" s="152"/>
      <c r="DO16" s="152"/>
      <c r="DP16" s="152"/>
      <c r="DQ16" s="152">
        <f>SUMIF(TRANSHARI1_HYDROPAGI[PRODUK],DK16,TRANSHARI1_HYDROPAGI[QUANTITY])+SUMIF(TRANSHARI1_HYDROMALAM[PRODUK],DK16,TRANSHARI1_HYDROMALAM[QUANTITY])</f>
        <v>0</v>
      </c>
      <c r="DR16" s="152">
        <f>SUMIF(TRANSHARI2_HYDROPAGI[PRODUK],DK16,TRANSHARI2_HYDROPAGI[QUANTITY])+SUMIF(TRANSHARI2_HYDROMALAM[PRODUK],DK16,TRANSHARI2_HYDROMALAM[QUANTITY])</f>
        <v>0</v>
      </c>
      <c r="DS16" s="152">
        <f>SUMIF(TRANSHARI3_HYDROPAGI[PRODUK],DK16,TRANSHARI3_HYDROPAGI[QUANTITY])+SUMIF(TRANSHARI3_HYDROMALAM[PRODUK],DK16,TRANSHARI3_HYDROMALAM[QUANTITY])</f>
        <v>0</v>
      </c>
      <c r="DT16" s="152">
        <f>SUMIF(TRANSHARI4_HYDROPAGI[PRODUK],DK16,TRANSHARI4_HYDROPAGI[QUANTITY])+SUMIF(TRANSHARI4_HYDROMALAM[PRODUK],DK16,TRANSHARI4_HYDROMALAM[QUANTITY])</f>
        <v>0</v>
      </c>
      <c r="DU16" s="152">
        <f>SUMIF(TRANSHARI5_HYDROPAGI[PRODUK],DK16,TRANSHARI5_HYDROPAGI[QUANTITY])+SUMIF(TRANSHARI5_HYDROMALAM[PRODUK],DK16,TRANSHARI5_HYDROMALAM[QUANTITY])</f>
        <v>0</v>
      </c>
      <c r="DV16" s="152">
        <f>SUMIF(TRANSHARI6_HYDROPAGI[PRODUK],DK16,TRANSHARI6_HYDROPAGI[QUANTITY])+SUMIF(TRANSHARI6_HYDROMALAM[PRODUK],DK16,TRANSHARI6_HYDROMALAM[QUANTITY])</f>
        <v>0</v>
      </c>
      <c r="DW16" s="152">
        <f>SUMIF(TRANSHARI7_HYDROPAGI[PRODUK],DK16,TRANSHARI7_HYDROPAGI[QUANTITY])+SUMIF(TRANSHARI7_HYDROMALAM[PRODUK],DK16,TRANSHARI7_HYDROMALAM[QUANTITY])</f>
        <v>0</v>
      </c>
      <c r="DX16" s="152">
        <f>SUMIF(TRANSHARI8_HYDROPAGI[PRODUK],DK16,TRANSHARI8_HYDROPAGI[QUANTITY])+SUMIF(TRANSHARI8_HYDROMALAM[PRODUK],DK16,TRANSHARI8_HYDROMALAM[QUANTITY])</f>
        <v>0</v>
      </c>
      <c r="DY16" s="152">
        <f>SUMIF(TRANSHARI9_HYDROPAGI[PRODUK],DK16,TRANSHARI9_HYDROPAGI[QUANTITY])+SUMIF(TRANSHARI9_HYDROMALAM[PRODUK],DK16,TRANSHARI9_HYDROMALAM[QUANTITY])</f>
        <v>0</v>
      </c>
      <c r="DZ16" s="152">
        <f>SUMIF(TRANSHARI10_HYDROPAGI[PRODUK],DK16,TRANSHARI10_HYDROPAGI[QUANTITY])+SUMIF(TRANSHARI10_HYDROMALAM[PRODUK],DK16,TRANSHARI10_HYDROMALAM[QUANTITY])</f>
        <v>0</v>
      </c>
      <c r="EA16" s="152">
        <f>SUMIF(TRANSHARI11_HYDROPAGI[PRODUK],DK16,TRANSHARI11_HYDROPAGI[QUANTITY])+SUMIF(TRANSHARI11_HYDROMALAM[PRODUK],DK16,TRANSHARI11_HYDROMALAM[QUANTITY])</f>
        <v>0</v>
      </c>
      <c r="EB16" s="152">
        <f t="shared" ref="EB16:EB35" si="15">SUM(DQ16:EA16)</f>
        <v>0</v>
      </c>
      <c r="EC16" s="152">
        <f t="shared" ref="EC16:EC35" si="16">DM16+DN16+DO16-DP16-EB16</f>
        <v>0</v>
      </c>
      <c r="ED16" s="176">
        <f t="shared" ref="ED16:ED35" si="17">EB16*DL16</f>
        <v>0</v>
      </c>
    </row>
    <row r="17" ht="18" spans="4:134">
      <c r="D17" s="120">
        <v>4</v>
      </c>
      <c r="E17" s="121">
        <f>'HARI 4'!L30+'HARI 4'!AA30</f>
        <v>0</v>
      </c>
      <c r="F17" s="122">
        <f>'HARI 4'!L31+'HARI 4'!AA31</f>
        <v>0</v>
      </c>
      <c r="G17" s="122">
        <f>'HARI 4'!L32+'HARI 4'!AA32</f>
        <v>0</v>
      </c>
      <c r="J17" s="24" t="str">
        <f>'DATA PRODUK'!D14</f>
        <v>MARLBORO KRETEK</v>
      </c>
      <c r="K17" s="150">
        <f>'DATA PRODUK'!E14</f>
        <v>13000</v>
      </c>
      <c r="L17" s="12"/>
      <c r="M17" s="12"/>
      <c r="N17" s="12"/>
      <c r="O17" s="12"/>
      <c r="P17" s="12">
        <f>SUMIF(TRANSHARI1_ROKOKPAGI[PRODUK],J17,TRANSHARI1_ROKOKPAGI[QUANTITY])+SUMIF(TRANSHARI1_ROKOKMALAM[PRODUK],J17,TRANSHARI1_ROKOKMALAM[QUANTITY])</f>
        <v>0</v>
      </c>
      <c r="Q17" s="12">
        <f>SUMIF(TRANSHARI2_ROKOKPAGI[PRODUK],J17,TRANSHARI2_ROKOKPAGI[QUANTITY])+SUMIF(TRANSHARI2_ROKOKMALAM[PRODUK],J17,TRANSHARI2_ROKOKMALAM[QUANTITY])</f>
        <v>0</v>
      </c>
      <c r="R17" s="12">
        <f>SUMIF(TRANSHARI3_ROKOKPAGI[PRODUK],J17,TRANSHARI3_ROKOKPAGI[QUANTITY])+SUMIF(TRANSHARI3_ROKOKMALAM[PRODUK],J17,TRANSHARI3_ROKOKMALAM[QUANTITY])</f>
        <v>0</v>
      </c>
      <c r="S17" s="12">
        <f>SUMIF(TRANSHARI4_ROKOKPAGI[PRODUK],J17,TRANSHARI4_ROKOKPAGI[QUANTITY])+SUMIF(TRANSHARI4_ROKOKMALAM[PRODUK],J17,TRANSHARI4_ROKOKMALAM[QUANTITY])</f>
        <v>0</v>
      </c>
      <c r="T17" s="12">
        <f>SUMIF(TRANSHARI5_ROKOKPAGI[PRODUK],J17,TRANSHARI5_ROKOKPAGI[QUANTITY])+SUMIF(TRANSHARI5_ROKOKMALAM[PRODUK],J17,TRANSHARI5_ROKOKMALAM[QUANTITY])</f>
        <v>0</v>
      </c>
      <c r="U17" s="12">
        <f>SUMIF(TRANSHARI6_ROKOKPAGI[PRODUK],J17,TRANSHARI6_ROKOKPAGI[QUANTITY])+SUMIF(TRANSHARI6_ROKOKMALAM[PRODUK],J17,TRANSHARI6_ROKOKMALAM[QUANTITY])</f>
        <v>0</v>
      </c>
      <c r="V17" s="12">
        <f>SUMIF(TRANSHARI7_ROKOKPAGI[PRODUK],J17,TRANSHARI7_ROKOKPAGI[QUANTITY])+SUMIF(TRANSHARI7_ROKOKMALAM[PRODUK],J17,TRANSHARI7_ROKOKMALAM[QUANTITY])</f>
        <v>0</v>
      </c>
      <c r="W17" s="12">
        <f>SUMIF(TRANSHARI8_ROKOKPAGI[PRODUK],J17,TRANSHARI8_ROKOKPAGI[QUANTITY])+SUMIF(TRANSHARI8_ROKOKMALAM[PRODUK],J17,TRANSHARI8_ROKOKMALAM[QUANTITY])</f>
        <v>0</v>
      </c>
      <c r="X17" s="12">
        <f>SUMIF(TRANSHARI9_ROKOKPAGI[PRODUK],J17,TRANSHARI9_ROKOKPAGI[QUANTITY])+SUMIF(TRANSHARI9_ROKOKMALAM[PRODUK],J17,TRANSHARI9_ROKOKMALAM[QUANTITY])</f>
        <v>0</v>
      </c>
      <c r="Y17" s="12">
        <f>SUMIF(TRANSHARI10_ROKOKPAGI[PRODUK],J17,TRANSHARI10_ROKOKPAGI[QUANTITY])+SUMIF(TRANSHARI10_ROKOKMALAM[PRODUK],J17,TRANSHARI10_ROKOKMALAM[QUANTITY])</f>
        <v>0</v>
      </c>
      <c r="Z17" s="12">
        <f>SUMIF(TRANSHARI11_ROKOKPAGI[PRODUK],J17,TRANSHARI11_ROKOKPAGI[QUANTITY])+SUMIF(TRANSHARI11_ROKOKMALAM[PRODUK],J17,TRANSHARI11_ROKOKMALAM[QUANTITY])</f>
        <v>0</v>
      </c>
      <c r="AA17" s="12">
        <f t="shared" si="0"/>
        <v>0</v>
      </c>
      <c r="AB17" s="12">
        <f t="shared" si="1"/>
        <v>0</v>
      </c>
      <c r="AC17" s="173">
        <f t="shared" si="2"/>
        <v>0</v>
      </c>
      <c r="AE17" s="174" t="str">
        <f>'DATA PRODUK'!R14</f>
        <v>SP TSEL 15 GB</v>
      </c>
      <c r="AF17" s="175">
        <f>'DATA PRODUK'!S14</f>
        <v>40000</v>
      </c>
      <c r="AG17" s="12"/>
      <c r="AH17" s="12"/>
      <c r="AI17" s="12"/>
      <c r="AJ17" s="12"/>
      <c r="AK17" s="12">
        <f>SUMIF(TRANSHARI1_SPVOUPAGI[PRODUK],AE17,TRANSHARI1_SPVOUPAGI[QUANTITY])+SUMIF(TRANSHARI1_SPVOUMALAM[PRODUK],AE17,TRANSHARI1_SPVOUMALAM[QUANTITY])</f>
        <v>0</v>
      </c>
      <c r="AL17" s="12">
        <f>SUMIF(TRANSHARI2_SPVOUPAGI[PRODUK],AE17,TRANSHARI2_SPVOUPAGI[QUANTITY])+SUMIF(TRANSHARI2_SPVOUMALAM[PRODUK],AE17,TRANSHARI2_SPVOUMALAM[QUANTITY])</f>
        <v>0</v>
      </c>
      <c r="AM17" s="12">
        <f>SUMIF(TRANSHARI3_SPVOUPAGI[PRODUK],AE17,TRANSHARI3_SPVOUPAGI[QUANTITY])+SUMIF(TRANSHARI3_SPVOUMALAM[PRODUK],AE17,TRANSHARI3_SPVOUMALAM[QUANTITY])</f>
        <v>0</v>
      </c>
      <c r="AN17" s="12">
        <f>SUMIF(TRANSHARI4_SPVOUPAGI[PRODUK],AE17,TRANSHARI4_SPVOUPAGI[QUANTITY])+SUMIF(TRANSHARI4_SPVOUMALAM[PRODUK],AE17,TRANSHARI4_SPVOUMALAM[QUANTITY])</f>
        <v>0</v>
      </c>
      <c r="AO17" s="12">
        <f>SUMIF(TRANSHARI5_SPVOUPAGI[PRODUK],AE17,TRANSHARI5_SPVOUPAGI[QUANTITY])+SUMIF(TRANSHARI5_SPVOUMALAM[PRODUK],AE17,TRANSHARI5_SPVOUMALAM[QUANTITY])</f>
        <v>0</v>
      </c>
      <c r="AP17" s="12">
        <f>SUMIF(TRANSHARI6_SPVOUPAGI[PRODUK],AE17,TRANSHARI6_SPVOUPAGI[QUANTITY])+SUMIF(TRANSHARI6_SPVOUMALAM[PRODUK],AE17,TRANSHARI6_SPVOUMALAM[QUANTITY])</f>
        <v>0</v>
      </c>
      <c r="AQ17" s="12">
        <f>SUMIF(TRANSHARI7_SPVOUPAGI[PRODUK],AE17,TRANSHARI7_SPVOUPAGI[QUANTITY])+SUMIF(TRANSHARI7_SPVOUMALAM[PRODUK],AE17,TRANSHARI7_SPVOUMALAM[QUANTITY])</f>
        <v>0</v>
      </c>
      <c r="AR17" s="12">
        <f>SUMIF(TRANSHARI8_SPVOUPAGI[PRODUK],AE17,TRANSHARI8_SPVOUPAGI[QUANTITY])+SUMIF(TRANSHARI8_SPVOUMALAM[PRODUK],AE17,TRANSHARI8_SPVOUMALAM[QUANTITY])</f>
        <v>0</v>
      </c>
      <c r="AS17" s="12">
        <f>SUMIF(TRANSHARI9_SPVOUPAGI[PRODUK],AE17,TRANSHARI9_SPVOUPAGI[QUANTITY])+SUMIF(TRANSHARI9_SPVOUMALAM[PRODUK],AE17,TRANSHARI9_SPVOUMALAM[QUANTITY])</f>
        <v>0</v>
      </c>
      <c r="AT17" s="12">
        <f>SUMIF(TRANSHARI10_SPVOUPAGI[PRODUK],AE17,TRANSHARI10_SPVOUPAGI[QUANTITY])+SUMIF(TRANSHARI10_SPVOUMALAM[PRODUK],AE17,TRANSHARI10_SPVOUMALAM[QUANTITY])</f>
        <v>0</v>
      </c>
      <c r="AU17" s="12">
        <f>SUMIF(TRANSHARI11_SPVOUPAGI[PRODUK],AE17,TRANSHARI11_SPVOUPAGI[QUANTITY])+SUMIF(TRANSHARI11_SPVOUMALAM[PRODUK],AE17,TRANSHARI11_SPVOUMALAM[QUANTITY])</f>
        <v>0</v>
      </c>
      <c r="AV17" s="12">
        <f t="shared" si="3"/>
        <v>0</v>
      </c>
      <c r="AW17" s="12">
        <f t="shared" si="4"/>
        <v>0</v>
      </c>
      <c r="AX17" s="173">
        <f t="shared" si="5"/>
        <v>0</v>
      </c>
      <c r="AZ17" s="187" t="str">
        <f>'DATA PRODUK'!AF14</f>
        <v>PULPY ORANGE 300ml</v>
      </c>
      <c r="BA17" s="87">
        <f>'DATA PRODUK'!AG14</f>
        <v>5000</v>
      </c>
      <c r="BB17" s="12"/>
      <c r="BC17" s="12"/>
      <c r="BD17" s="12"/>
      <c r="BE17" s="12"/>
      <c r="BF17" s="12">
        <f>SUMIF(TRANSHARI1_SOFTDRINKPAGI[PRODUK],AZ17,TRANSHARI1_SOFTDRINKPAGI[QUANTITY])+SUMIF(TRANSHARI1_SOFTDRINKMALAM[PRODUK],AZ17,TRANSHARI1_SOFTDRINKMALAM[QUANTITY])</f>
        <v>0</v>
      </c>
      <c r="BG17" s="12">
        <f>SUMIF(TRANSHARI2_SOFTDRINKPAGI[PRODUK],AZ17,TRANSHARI2_SOFTDRINKPAGI[QUANTITY])+SUMIF(TRANSHARI2_SOFTDRINKMALAM[PRODUK],AZ17,TRANSHARI2_SOFTDRINKMALAM[QUANTITY])</f>
        <v>0</v>
      </c>
      <c r="BH17" s="12">
        <f>SUMIF(TRANSHARI3_SOFTDRINKPAGI[PRODUK],AZ17,TRANSHARI3_SOFTDRINKPAGI[QUANTITY])+SUMIF(TRANSHARI3_SOFTDRINKMALAM[PRODUK],AZ17,TRANSHARI3_SOFTDRINKMALAM[QUANTITY])</f>
        <v>0</v>
      </c>
      <c r="BI17" s="12">
        <f>SUMIF(TRANSHARI4_SOFTDRINKPAGI[PRODUK],AZ17,TRANSHARI4_SOFTDRINKPAGI[QUANTITY])+SUMIF(TRANSHARI4_SOFTDRINKMALAM[PRODUK],AZ17,TRANSHARI4_SOFTDRINKMALAM[QUANTITY])</f>
        <v>0</v>
      </c>
      <c r="BJ17" s="12">
        <f>SUMIF(TRANSHARI5_SOFTDRINKPAGI[PRODUK],AZ17,TRANSHARI5_SOFTDRINKPAGI[QUANTITY])+SUMIF(TRANSHARI5_SOFTDRINKMALAM[PRODUK],AZ17,TRANSHARI5_SOFTDRINKMALAM[QUANTITY])</f>
        <v>0</v>
      </c>
      <c r="BK17" s="12">
        <f>SUMIF(TRANSHARI6_SOFTDRINKPAGI[PRODUK],AZ17,TRANSHARI6_SOFTDRINKPAGI[QUANTITY])+SUMIF(TRANSHARI6_SOFTDRINKMALAM[PRODUK],AZ17,TRANSHARI6_SOFTDRINKMALAM[QUANTITY])</f>
        <v>0</v>
      </c>
      <c r="BL17" s="12">
        <f>SUMIF(TRANSHARI7_SOFTDRINKPAGI[PRODUK],AZ17,TRANSHARI7_SOFTDRINKPAGI[QUANTITY])+SUMIF(TRANSHARI7_SOFTDRINKMALAM[PRODUK],AZ17,TRANSHARI7_SOFTDRINKMALAM[QUANTITY])</f>
        <v>0</v>
      </c>
      <c r="BM17" s="12">
        <f>SUMIF(TRANSHARI8_SOFTDRINKPAGI[PRODUK],AZ17,TRANSHARI8_SOFTDRINKPAGI[QUANTITY])+SUMIF(TRANSHARI8_SOFTDRINKMALAM[PRODUK],AZ17,TRANSHARI8_SOFTDRINKMALAM[QUANTITY])</f>
        <v>0</v>
      </c>
      <c r="BN17" s="12">
        <f>SUMIF(TRANSHARI9_SOFTDRINKPAGI[PRODUK],AZ17,TRANSHARI9_SOFTDRINKPAGI[QUANTITY])+SUMIF(TRANSHARI9_SOFTDRINKMALAM[PRODUK],AZ17,TRANSHARI9_SOFTDRINKMALAM[QUANTITY])</f>
        <v>0</v>
      </c>
      <c r="BO17" s="12">
        <f>SUMIF(TRANSHARI10_SOFTDRINKPAGI[PRODUK],AZ17,TRANSHARI10_SOFTDRINKPAGI[QUANTITY])+SUMIF(TRANSHARI10_SOFTDRINKMALAM[PRODUK],AZ17,TRANSHARI10_SOFTDRINKMALAM[QUANTITY])</f>
        <v>0</v>
      </c>
      <c r="BP17" s="12">
        <f>SUMIF(TRANSHARI11_SOFTDRINKPAGI[PRODUK],AZ17,TRANSHARI11_SOFTDRINKPAGI[QUANTITY])+SUMIF(TRANSHARI11_SOFTDRINKMALAM[PRODUK],AZ17,TRANSHARI11_SOFTDRINKMALAM[QUANTITY])</f>
        <v>0</v>
      </c>
      <c r="BQ17" s="12">
        <f t="shared" si="6"/>
        <v>0</v>
      </c>
      <c r="BR17" s="12">
        <f t="shared" si="7"/>
        <v>0</v>
      </c>
      <c r="BS17" s="173">
        <f t="shared" si="8"/>
        <v>0</v>
      </c>
      <c r="BU17" s="177" t="str">
        <f>'DATA PRODUK'!AT14</f>
        <v>(Waku-Waku) Mango Loop</v>
      </c>
      <c r="BV17" s="175">
        <f>'DATA PRODUK'!AU14</f>
        <v>2000</v>
      </c>
      <c r="BW17" s="12"/>
      <c r="BX17" s="12"/>
      <c r="BY17" s="12"/>
      <c r="BZ17" s="12"/>
      <c r="CA17" s="12">
        <f>SUMIF(TRANSHARI1_ICECREAMPAGI[PRODUK],BU17,TRANSHARI1_ICECREAMPAGI[QUANTITY])+SUMIF(TRANSHARI1_ICECREAMMALAM[PRODUK],BU17,TRANSHARI1_ICECREAMMALAM[QUANTITY])</f>
        <v>0</v>
      </c>
      <c r="CB17" s="12">
        <f>SUMIF(TRANSHARI2_ICECREAMPAGI[PRODUK],BU17,TRANSHARI2_ICECREAMPAGI[QUANTITY])+SUMIF(TRANSHARI2_ICECREAMMALAM[PRODUK],BU17,TRANSHARI2_ICECREAMMALAM[QUANTITY])</f>
        <v>0</v>
      </c>
      <c r="CC17" s="12">
        <f>SUMIF(TRANSHARI3_ICECREAMPAGI[PRODUK],BU17,TRANSHARI3_ICECREAMPAGI[QUANTITY])+SUMIF(TRANSHARI3_ICECREAMMALAM[PRODUK],BU17,TRANSHARI3_ICECREAMMALAM[QUANTITY])</f>
        <v>0</v>
      </c>
      <c r="CD17" s="12">
        <f>SUMIF(TRANSHARI4_ICECREAMPAGI[PRODUK],BU17,TRANSHARI4_ICECREAMPAGI[QUANTITY])+SUMIF(TRANSHARI4_ICECREAMMALAM[PRODUK],BU17,TRANSHARI4_ICECREAMMALAM[QUANTITY])</f>
        <v>0</v>
      </c>
      <c r="CE17" s="12">
        <f>SUMIF(TRANSHARI5_ICECREAMPAGI[PRODUK],BU17,TRANSHARI5_ICECREAMPAGI[QUANTITY])+SUMIF(TRANSHARI5_ICECREAMMALAM[PRODUK],BU17,TRANSHARI5_ICECREAMMALAM[QUANTITY])</f>
        <v>0</v>
      </c>
      <c r="CF17" s="12">
        <f>SUMIF(TRANSHARI6_ICECREAMPAGI[PRODUK],BU17,TRANSHARI6_ICECREAMPAGI[QUANTITY])+SUMIF(TRANSHARI6_ICECREAMMALAM[PRODUK],BU17,TRANSHARI6_ICECREAMMALAM[QUANTITY])</f>
        <v>0</v>
      </c>
      <c r="CG17" s="12">
        <f>SUMIF(TRANSHARI7_ICECREAMPAGI[PRODUK],BU17,TRANSHARI7_ICECREAMPAGI[QUANTITY])+SUMIF(TRANSHARI7_ICECREAMMALAM[PRODUK],BU17,TRANSHARI7_ICECREAMMALAM[QUANTITY])</f>
        <v>0</v>
      </c>
      <c r="CH17" s="12">
        <f>SUMIF(TRANSHARI8_ICECREAMPAGI[PRODUK],BU17,TRANSHARI8_ICECREAMPAGI[QUANTITY])+SUMIF(TRANSHARI8_ICECREAMMALAM[PRODUK],BU17,TRANSHARI8_ICECREAMMALAM[QUANTITY])</f>
        <v>0</v>
      </c>
      <c r="CI17" s="12">
        <f>SUMIF(TRANSHARI9_ICECREAMPAGI[PRODUK],BU17,TRANSHARI9_ICECREAMPAGI[QUANTITY])+SUMIF(TRANSHARI9_ICECREAMMALAM[PRODUK],BU17,TRANSHARI9_ICECREAMMALAM[QUANTITY])</f>
        <v>0</v>
      </c>
      <c r="CJ17" s="12">
        <f>SUMIF(TRANSHARI10_ICECREAMPAGI[PRODUK],BU17,TRANSHARI10_ICECREAMPAGI[QUANTITY])+SUMIF(TRANSHARI10_ICECREAMMALAM[PRODUK],BU17,TRANSHARI10_ICECREAMMALAM[QUANTITY])</f>
        <v>0</v>
      </c>
      <c r="CK17" s="12">
        <f>SUMIF(TRANSHARI11_ICECREAMPAGI[PRODUK],BU17,TRANSHARI11_ICECREAMPAGI[QUANTITY])+SUMIF(TRANSHARI11_ICECREAMMALAM[PRODUK],BU17,TRANSHARI11_ICECREAMMALAM[QUANTITY])</f>
        <v>0</v>
      </c>
      <c r="CL17" s="12">
        <f t="shared" si="9"/>
        <v>0</v>
      </c>
      <c r="CM17" s="12">
        <f t="shared" si="10"/>
        <v>0</v>
      </c>
      <c r="CN17" s="173">
        <f t="shared" si="11"/>
        <v>0</v>
      </c>
      <c r="CP17" s="177" t="str">
        <f>'DATA PRODUK'!BH14</f>
        <v>(K.D)(Micro) Robot RGM100</v>
      </c>
      <c r="CQ17" s="175">
        <f>'DATA PRODUK'!BI14</f>
        <v>25000</v>
      </c>
      <c r="CR17" s="12"/>
      <c r="CS17" s="12"/>
      <c r="CT17" s="12"/>
      <c r="CU17" s="12"/>
      <c r="CV17" s="12">
        <f>SUMIF(TRANSHARI1_ACCPAGI[PRODUK],CP17,TRANSHARI1_ACCPAGI[QUANTITY])+SUMIF(TRANSHARI1_ACCMALAM[PRODUK],CP17,TRANSHARI1_ACCMALAM[QUANTITY])</f>
        <v>1</v>
      </c>
      <c r="CW17" s="12">
        <f>SUMIF(TRANSHARI2_ACCPAGI[PRODUK],CP17,TRANSHARI2_ACCPAGI[QUANTITY])+SUMIF(TRANSHARI2_ACCMALAM[PRODUK],CP17,TRANSHARI2_ACCMALAM[QUANTITY])</f>
        <v>0</v>
      </c>
      <c r="CX17" s="12">
        <f>SUMIF(TRANSHARI3_ACCPAGI[PRODUK],CP17,TRANSHARI3_ACCPAGI[QUANTITY])+SUMIF(TRANSHARI3_ACCMALAM[PRODUK],CP17,TRANSHARI3_ACCMALAM[QUANTITY])</f>
        <v>0</v>
      </c>
      <c r="CY17" s="12">
        <f>SUMIF(TRANSHARI4_ACCPAGI[PRODUK],CP17,TRANSHARI4_ACCPAGI[QUANTITY])+SUMIF(TRANSHARI4_ACCMALAM[PRODUK],CP17,TRANSHARI4_ACCMALAM[QUANTITY])</f>
        <v>0</v>
      </c>
      <c r="CZ17" s="12">
        <f>SUMIF(TRANSHARI5_ACCPAGI[PRODUK],CP17,TRANSHARI5_ACCPAGI[QUANTITY])+SUMIF(TRANSHARI5_ACCMALAM[PRODUK],CP17,TRANSHARI5_ACCMALAM[QUANTITY])</f>
        <v>0</v>
      </c>
      <c r="DA17" s="12">
        <f>SUMIF(TRANSHARI6_ACCPAGI[PRODUK],CP17,TRANSHARI6_ACCPAGI[QUANTITY])+SUMIF(TRANSHARI6_ACCMALAM[PRODUK],CP17,TRANSHARI6_ACCMALAM[QUANTITY])</f>
        <v>0</v>
      </c>
      <c r="DB17" s="12">
        <f>SUMIF(TRANSHARI7_ACCPAGI[PRODUK],CP17,TRANSHARI7_ACCPAGI[QUANTITY])+SUMIF(TRANSHARI7_ACCMALAM[PRODUK],CP17,TRANSHARI7_ACCMALAM[QUANTITY])</f>
        <v>0</v>
      </c>
      <c r="DC17" s="12">
        <f>SUMIF(TRANSHARI8_ACCPAGI[PRODUK],CP17,TRANSHARI8_ACCPAGI[QUANTITY])+SUMIF(TRANSHARI8_ACCMALAM[PRODUK],CP17,TRANSHARI8_ACCMALAM[QUANTITY])</f>
        <v>0</v>
      </c>
      <c r="DD17" s="12">
        <f>SUMIF(TRANSHARI9_ACCPAGI[PRODUK],CP17,TRANSHARI9_ACCPAGI[QUANTITY])+SUMIF(TRANSHARI9_ACCMALAM[PRODUK],CP17,TRANSHARI9_ACCMALAM[QUANTITY])</f>
        <v>0</v>
      </c>
      <c r="DE17" s="12">
        <f>SUMIF(TRANSHARI10_ACCPAGI[PRODUK],CP17,TRANSHARI10_ACCPAGI[QUANTITY])+SUMIF(TRANSHARI10_ACCMALAM[PRODUK],CP17,TRANSHARI10_ACCMALAM[QUANTITY])</f>
        <v>0</v>
      </c>
      <c r="DF17" s="12">
        <f>SUMIF(TRANSHARI11_ACCPAGI[PRODUK],CP17,TRANSHARI11_ACCPAGI[QUANTITY])+SUMIF(TRANSHARI11_ACCMALAM[PRODUK],CP17,TRANSHARI11_ACCMALAM[QUANTITY])</f>
        <v>0</v>
      </c>
      <c r="DG17" s="12">
        <f t="shared" si="12"/>
        <v>1</v>
      </c>
      <c r="DH17" s="12">
        <f t="shared" si="13"/>
        <v>-1</v>
      </c>
      <c r="DI17" s="173">
        <f t="shared" si="14"/>
        <v>25000</v>
      </c>
      <c r="DK17" s="187" t="str">
        <f>'DATA PRODUK'!BV14</f>
        <v>(SCREEN) MATTE</v>
      </c>
      <c r="DL17" s="87">
        <f>'DATA PRODUK'!BW14</f>
        <v>65000</v>
      </c>
      <c r="DM17" s="12"/>
      <c r="DN17" s="12"/>
      <c r="DO17" s="12"/>
      <c r="DP17" s="12"/>
      <c r="DQ17" s="12">
        <f>SUMIF(TRANSHARI1_HYDROPAGI[PRODUK],DK17,TRANSHARI1_HYDROPAGI[QUANTITY])+SUMIF(TRANSHARI1_HYDROMALAM[PRODUK],DK17,TRANSHARI1_HYDROMALAM[QUANTITY])</f>
        <v>0</v>
      </c>
      <c r="DR17" s="12">
        <f>SUMIF(TRANSHARI2_HYDROPAGI[PRODUK],DK17,TRANSHARI2_HYDROPAGI[QUANTITY])+SUMIF(TRANSHARI2_HYDROMALAM[PRODUK],DK17,TRANSHARI2_HYDROMALAM[QUANTITY])</f>
        <v>0</v>
      </c>
      <c r="DS17" s="12">
        <f>SUMIF(TRANSHARI3_HYDROPAGI[PRODUK],DK17,TRANSHARI3_HYDROPAGI[QUANTITY])+SUMIF(TRANSHARI3_HYDROMALAM[PRODUK],DK17,TRANSHARI3_HYDROMALAM[QUANTITY])</f>
        <v>0</v>
      </c>
      <c r="DT17" s="12">
        <f>SUMIF(TRANSHARI4_HYDROPAGI[PRODUK],DK17,TRANSHARI4_HYDROPAGI[QUANTITY])+SUMIF(TRANSHARI4_HYDROMALAM[PRODUK],DK17,TRANSHARI4_HYDROMALAM[QUANTITY])</f>
        <v>0</v>
      </c>
      <c r="DU17" s="12">
        <f>SUMIF(TRANSHARI5_HYDROPAGI[PRODUK],DK17,TRANSHARI5_HYDROPAGI[QUANTITY])+SUMIF(TRANSHARI5_HYDROMALAM[PRODUK],DK17,TRANSHARI5_HYDROMALAM[QUANTITY])</f>
        <v>0</v>
      </c>
      <c r="DV17" s="12">
        <f>SUMIF(TRANSHARI6_HYDROPAGI[PRODUK],DK17,TRANSHARI6_HYDROPAGI[QUANTITY])+SUMIF(TRANSHARI6_HYDROMALAM[PRODUK],DK17,TRANSHARI6_HYDROMALAM[QUANTITY])</f>
        <v>0</v>
      </c>
      <c r="DW17" s="12">
        <f>SUMIF(TRANSHARI7_HYDROPAGI[PRODUK],DK17,TRANSHARI7_HYDROPAGI[QUANTITY])+SUMIF(TRANSHARI7_HYDROMALAM[PRODUK],DK17,TRANSHARI7_HYDROMALAM[QUANTITY])</f>
        <v>0</v>
      </c>
      <c r="DX17" s="12">
        <f>SUMIF(TRANSHARI8_HYDROPAGI[PRODUK],DK17,TRANSHARI8_HYDROPAGI[QUANTITY])+SUMIF(TRANSHARI8_HYDROMALAM[PRODUK],DK17,TRANSHARI8_HYDROMALAM[QUANTITY])</f>
        <v>0</v>
      </c>
      <c r="DY17" s="12">
        <f>SUMIF(TRANSHARI9_HYDROPAGI[PRODUK],DK17,TRANSHARI9_HYDROPAGI[QUANTITY])+SUMIF(TRANSHARI9_HYDROMALAM[PRODUK],DK17,TRANSHARI9_HYDROMALAM[QUANTITY])</f>
        <v>0</v>
      </c>
      <c r="DZ17" s="12">
        <f>SUMIF(TRANSHARI10_HYDROPAGI[PRODUK],DK17,TRANSHARI10_HYDROPAGI[QUANTITY])+SUMIF(TRANSHARI10_HYDROMALAM[PRODUK],DK17,TRANSHARI10_HYDROMALAM[QUANTITY])</f>
        <v>0</v>
      </c>
      <c r="EA17" s="12">
        <f>SUMIF(TRANSHARI11_HYDROPAGI[PRODUK],DK17,TRANSHARI11_HYDROPAGI[QUANTITY])+SUMIF(TRANSHARI11_HYDROMALAM[PRODUK],DK17,TRANSHARI11_HYDROMALAM[QUANTITY])</f>
        <v>0</v>
      </c>
      <c r="EB17" s="12">
        <f t="shared" si="15"/>
        <v>0</v>
      </c>
      <c r="EC17" s="12">
        <f t="shared" si="16"/>
        <v>0</v>
      </c>
      <c r="ED17" s="173">
        <f t="shared" si="17"/>
        <v>0</v>
      </c>
    </row>
    <row r="18" ht="18" spans="4:134">
      <c r="D18" s="117">
        <v>5</v>
      </c>
      <c r="E18" s="118">
        <f>'HARI 5'!L30+'HARI 5'!AA30</f>
        <v>0</v>
      </c>
      <c r="F18" s="118">
        <f>'HARI 5'!L31+'HARI 5'!AA31</f>
        <v>0</v>
      </c>
      <c r="G18" s="119">
        <f>'HARI 5'!L32+'HARI 5'!AA32</f>
        <v>0</v>
      </c>
      <c r="J18" s="26" t="str">
        <f>'DATA PRODUK'!D15</f>
        <v>SAMPOERNA 16</v>
      </c>
      <c r="K18" s="151">
        <f>'DATA PRODUK'!E15</f>
        <v>35000</v>
      </c>
      <c r="L18" s="152"/>
      <c r="M18" s="152"/>
      <c r="N18" s="152"/>
      <c r="O18" s="152"/>
      <c r="P18" s="152">
        <f>SUMIF(TRANSHARI1_ROKOKPAGI[PRODUK],J18,TRANSHARI1_ROKOKPAGI[QUANTITY])+SUMIF(TRANSHARI1_ROKOKMALAM[PRODUK],J18,TRANSHARI1_ROKOKMALAM[QUANTITY])</f>
        <v>0</v>
      </c>
      <c r="Q18" s="152">
        <f>SUMIF(TRANSHARI2_ROKOKPAGI[PRODUK],J18,TRANSHARI2_ROKOKPAGI[QUANTITY])+SUMIF(TRANSHARI2_ROKOKMALAM[PRODUK],J18,TRANSHARI2_ROKOKMALAM[QUANTITY])</f>
        <v>0</v>
      </c>
      <c r="R18" s="152">
        <f>SUMIF(TRANSHARI3_ROKOKPAGI[PRODUK],J18,TRANSHARI3_ROKOKPAGI[QUANTITY])+SUMIF(TRANSHARI3_ROKOKMALAM[PRODUK],J18,TRANSHARI3_ROKOKMALAM[QUANTITY])</f>
        <v>0</v>
      </c>
      <c r="S18" s="152">
        <f>SUMIF(TRANSHARI4_ROKOKPAGI[PRODUK],J18,TRANSHARI4_ROKOKPAGI[QUANTITY])+SUMIF(TRANSHARI4_ROKOKMALAM[PRODUK],J18,TRANSHARI4_ROKOKMALAM[QUANTITY])</f>
        <v>0</v>
      </c>
      <c r="T18" s="152">
        <f>SUMIF(TRANSHARI5_ROKOKPAGI[PRODUK],J18,TRANSHARI5_ROKOKPAGI[QUANTITY])+SUMIF(TRANSHARI5_ROKOKMALAM[PRODUK],J18,TRANSHARI5_ROKOKMALAM[QUANTITY])</f>
        <v>0</v>
      </c>
      <c r="U18" s="152">
        <f>SUMIF(TRANSHARI6_ROKOKPAGI[PRODUK],J18,TRANSHARI6_ROKOKPAGI[QUANTITY])+SUMIF(TRANSHARI6_ROKOKMALAM[PRODUK],J18,TRANSHARI6_ROKOKMALAM[QUANTITY])</f>
        <v>0</v>
      </c>
      <c r="V18" s="152">
        <f>SUMIF(TRANSHARI7_ROKOKPAGI[PRODUK],J18,TRANSHARI7_ROKOKPAGI[QUANTITY])+SUMIF(TRANSHARI7_ROKOKMALAM[PRODUK],J18,TRANSHARI7_ROKOKMALAM[QUANTITY])</f>
        <v>0</v>
      </c>
      <c r="W18" s="152">
        <f>SUMIF(TRANSHARI8_ROKOKPAGI[PRODUK],J18,TRANSHARI8_ROKOKPAGI[QUANTITY])+SUMIF(TRANSHARI8_ROKOKMALAM[PRODUK],J18,TRANSHARI8_ROKOKMALAM[QUANTITY])</f>
        <v>0</v>
      </c>
      <c r="X18" s="152">
        <f>SUMIF(TRANSHARI9_ROKOKPAGI[PRODUK],J18,TRANSHARI9_ROKOKPAGI[QUANTITY])+SUMIF(TRANSHARI9_ROKOKMALAM[PRODUK],J18,TRANSHARI9_ROKOKMALAM[QUANTITY])</f>
        <v>0</v>
      </c>
      <c r="Y18" s="152">
        <f>SUMIF(TRANSHARI10_ROKOKPAGI[PRODUK],J18,TRANSHARI10_ROKOKPAGI[QUANTITY])+SUMIF(TRANSHARI10_ROKOKMALAM[PRODUK],J18,TRANSHARI10_ROKOKMALAM[QUANTITY])</f>
        <v>0</v>
      </c>
      <c r="Z18" s="152">
        <f>SUMIF(TRANSHARI11_ROKOKPAGI[PRODUK],J18,TRANSHARI11_ROKOKPAGI[QUANTITY])+SUMIF(TRANSHARI11_ROKOKMALAM[PRODUK],J18,TRANSHARI11_ROKOKMALAM[QUANTITY])</f>
        <v>0</v>
      </c>
      <c r="AA18" s="152">
        <f t="shared" si="0"/>
        <v>0</v>
      </c>
      <c r="AB18" s="152">
        <f t="shared" si="1"/>
        <v>0</v>
      </c>
      <c r="AC18" s="176">
        <f t="shared" si="2"/>
        <v>0</v>
      </c>
      <c r="AE18" s="177" t="str">
        <f>'DATA PRODUK'!R15</f>
        <v>SP TSEL NOCAN</v>
      </c>
      <c r="AF18" s="178">
        <f>'DATA PRODUK'!S15</f>
        <v>35000</v>
      </c>
      <c r="AG18" s="152"/>
      <c r="AH18" s="152"/>
      <c r="AI18" s="152"/>
      <c r="AJ18" s="152"/>
      <c r="AK18" s="152">
        <f>SUMIF(TRANSHARI1_SPVOUPAGI[PRODUK],AE18,TRANSHARI1_SPVOUPAGI[QUANTITY])+SUMIF(TRANSHARI1_SPVOUMALAM[PRODUK],AE18,TRANSHARI1_SPVOUMALAM[QUANTITY])</f>
        <v>0</v>
      </c>
      <c r="AL18" s="152">
        <f>SUMIF(TRANSHARI2_SPVOUPAGI[PRODUK],AE18,TRANSHARI2_SPVOUPAGI[QUANTITY])+SUMIF(TRANSHARI2_SPVOUMALAM[PRODUK],AE18,TRANSHARI2_SPVOUMALAM[QUANTITY])</f>
        <v>0</v>
      </c>
      <c r="AM18" s="152">
        <f>SUMIF(TRANSHARI3_SPVOUPAGI[PRODUK],AE18,TRANSHARI3_SPVOUPAGI[QUANTITY])+SUMIF(TRANSHARI3_SPVOUMALAM[PRODUK],AE18,TRANSHARI3_SPVOUMALAM[QUANTITY])</f>
        <v>0</v>
      </c>
      <c r="AN18" s="152">
        <f>SUMIF(TRANSHARI4_SPVOUPAGI[PRODUK],AE18,TRANSHARI4_SPVOUPAGI[QUANTITY])+SUMIF(TRANSHARI4_SPVOUMALAM[PRODUK],AE18,TRANSHARI4_SPVOUMALAM[QUANTITY])</f>
        <v>0</v>
      </c>
      <c r="AO18" s="152">
        <f>SUMIF(TRANSHARI5_SPVOUPAGI[PRODUK],AE18,TRANSHARI5_SPVOUPAGI[QUANTITY])+SUMIF(TRANSHARI5_SPVOUMALAM[PRODUK],AE18,TRANSHARI5_SPVOUMALAM[QUANTITY])</f>
        <v>0</v>
      </c>
      <c r="AP18" s="152">
        <f>SUMIF(TRANSHARI6_SPVOUPAGI[PRODUK],AE18,TRANSHARI6_SPVOUPAGI[QUANTITY])+SUMIF(TRANSHARI6_SPVOUMALAM[PRODUK],AE18,TRANSHARI6_SPVOUMALAM[QUANTITY])</f>
        <v>0</v>
      </c>
      <c r="AQ18" s="152">
        <f>SUMIF(TRANSHARI7_SPVOUPAGI[PRODUK],AE18,TRANSHARI7_SPVOUPAGI[QUANTITY])+SUMIF(TRANSHARI7_SPVOUMALAM[PRODUK],AE18,TRANSHARI7_SPVOUMALAM[QUANTITY])</f>
        <v>0</v>
      </c>
      <c r="AR18" s="152">
        <f>SUMIF(TRANSHARI8_SPVOUPAGI[PRODUK],AE18,TRANSHARI8_SPVOUPAGI[QUANTITY])+SUMIF(TRANSHARI8_SPVOUMALAM[PRODUK],AE18,TRANSHARI8_SPVOUMALAM[QUANTITY])</f>
        <v>0</v>
      </c>
      <c r="AS18" s="152">
        <f>SUMIF(TRANSHARI9_SPVOUPAGI[PRODUK],AE18,TRANSHARI9_SPVOUPAGI[QUANTITY])+SUMIF(TRANSHARI9_SPVOUMALAM[PRODUK],AE18,TRANSHARI9_SPVOUMALAM[QUANTITY])</f>
        <v>0</v>
      </c>
      <c r="AT18" s="152">
        <f>SUMIF(TRANSHARI10_SPVOUPAGI[PRODUK],AE18,TRANSHARI10_SPVOUPAGI[QUANTITY])+SUMIF(TRANSHARI10_SPVOUMALAM[PRODUK],AE18,TRANSHARI10_SPVOUMALAM[QUANTITY])</f>
        <v>0</v>
      </c>
      <c r="AU18" s="152">
        <f>SUMIF(TRANSHARI11_SPVOUPAGI[PRODUK],AE18,TRANSHARI11_SPVOUPAGI[QUANTITY])+SUMIF(TRANSHARI11_SPVOUMALAM[PRODUK],AE18,TRANSHARI11_SPVOUMALAM[QUANTITY])</f>
        <v>0</v>
      </c>
      <c r="AV18" s="152">
        <f t="shared" si="3"/>
        <v>0</v>
      </c>
      <c r="AW18" s="152">
        <f t="shared" si="4"/>
        <v>0</v>
      </c>
      <c r="AX18" s="176">
        <f t="shared" si="5"/>
        <v>0</v>
      </c>
      <c r="AZ18" s="188" t="str">
        <f>'DATA PRODUK'!AF15</f>
        <v>FANTA (ALL)</v>
      </c>
      <c r="BA18" s="89">
        <f>'DATA PRODUK'!AG15</f>
        <v>5000</v>
      </c>
      <c r="BB18" s="152"/>
      <c r="BC18" s="152"/>
      <c r="BD18" s="152"/>
      <c r="BE18" s="152"/>
      <c r="BF18" s="152">
        <f>SUMIF(TRANSHARI1_SOFTDRINKPAGI[PRODUK],AZ18,TRANSHARI1_SOFTDRINKPAGI[QUANTITY])+SUMIF(TRANSHARI1_SOFTDRINKMALAM[PRODUK],AZ18,TRANSHARI1_SOFTDRINKMALAM[QUANTITY])</f>
        <v>0</v>
      </c>
      <c r="BG18" s="152">
        <f>SUMIF(TRANSHARI2_SOFTDRINKPAGI[PRODUK],AZ18,TRANSHARI2_SOFTDRINKPAGI[QUANTITY])+SUMIF(TRANSHARI2_SOFTDRINKMALAM[PRODUK],AZ18,TRANSHARI2_SOFTDRINKMALAM[QUANTITY])</f>
        <v>0</v>
      </c>
      <c r="BH18" s="152">
        <f>SUMIF(TRANSHARI3_SOFTDRINKPAGI[PRODUK],AZ18,TRANSHARI3_SOFTDRINKPAGI[QUANTITY])+SUMIF(TRANSHARI3_SOFTDRINKMALAM[PRODUK],AZ18,TRANSHARI3_SOFTDRINKMALAM[QUANTITY])</f>
        <v>0</v>
      </c>
      <c r="BI18" s="152">
        <f>SUMIF(TRANSHARI4_SOFTDRINKPAGI[PRODUK],AZ18,TRANSHARI4_SOFTDRINKPAGI[QUANTITY])+SUMIF(TRANSHARI4_SOFTDRINKMALAM[PRODUK],AZ18,TRANSHARI4_SOFTDRINKMALAM[QUANTITY])</f>
        <v>0</v>
      </c>
      <c r="BJ18" s="152">
        <f>SUMIF(TRANSHARI5_SOFTDRINKPAGI[PRODUK],AZ18,TRANSHARI5_SOFTDRINKPAGI[QUANTITY])+SUMIF(TRANSHARI5_SOFTDRINKMALAM[PRODUK],AZ18,TRANSHARI5_SOFTDRINKMALAM[QUANTITY])</f>
        <v>0</v>
      </c>
      <c r="BK18" s="152">
        <f>SUMIF(TRANSHARI6_SOFTDRINKPAGI[PRODUK],AZ18,TRANSHARI6_SOFTDRINKPAGI[QUANTITY])+SUMIF(TRANSHARI6_SOFTDRINKMALAM[PRODUK],AZ18,TRANSHARI6_SOFTDRINKMALAM[QUANTITY])</f>
        <v>0</v>
      </c>
      <c r="BL18" s="152">
        <f>SUMIF(TRANSHARI7_SOFTDRINKPAGI[PRODUK],AZ18,TRANSHARI7_SOFTDRINKPAGI[QUANTITY])+SUMIF(TRANSHARI7_SOFTDRINKMALAM[PRODUK],AZ18,TRANSHARI7_SOFTDRINKMALAM[QUANTITY])</f>
        <v>0</v>
      </c>
      <c r="BM18" s="152">
        <f>SUMIF(TRANSHARI8_SOFTDRINKPAGI[PRODUK],AZ18,TRANSHARI8_SOFTDRINKPAGI[QUANTITY])+SUMIF(TRANSHARI8_SOFTDRINKMALAM[PRODUK],AZ18,TRANSHARI8_SOFTDRINKMALAM[QUANTITY])</f>
        <v>0</v>
      </c>
      <c r="BN18" s="152">
        <f>SUMIF(TRANSHARI9_SOFTDRINKPAGI[PRODUK],AZ18,TRANSHARI9_SOFTDRINKPAGI[QUANTITY])+SUMIF(TRANSHARI9_SOFTDRINKMALAM[PRODUK],AZ18,TRANSHARI9_SOFTDRINKMALAM[QUANTITY])</f>
        <v>0</v>
      </c>
      <c r="BO18" s="152">
        <f>SUMIF(TRANSHARI10_SOFTDRINKPAGI[PRODUK],AZ18,TRANSHARI10_SOFTDRINKPAGI[QUANTITY])+SUMIF(TRANSHARI10_SOFTDRINKMALAM[PRODUK],AZ18,TRANSHARI10_SOFTDRINKMALAM[QUANTITY])</f>
        <v>0</v>
      </c>
      <c r="BP18" s="152">
        <f>SUMIF(TRANSHARI11_SOFTDRINKPAGI[PRODUK],AZ18,TRANSHARI11_SOFTDRINKPAGI[QUANTITY])+SUMIF(TRANSHARI11_SOFTDRINKMALAM[PRODUK],AZ18,TRANSHARI11_SOFTDRINKMALAM[QUANTITY])</f>
        <v>0</v>
      </c>
      <c r="BQ18" s="152">
        <f t="shared" si="6"/>
        <v>0</v>
      </c>
      <c r="BR18" s="152">
        <f t="shared" si="7"/>
        <v>0</v>
      </c>
      <c r="BS18" s="176">
        <f t="shared" si="8"/>
        <v>0</v>
      </c>
      <c r="BU18" s="174" t="str">
        <f>'DATA PRODUK'!AT15</f>
        <v>(Waku-Waku) Nanas</v>
      </c>
      <c r="BV18" s="178">
        <f>'DATA PRODUK'!AU15</f>
        <v>2000</v>
      </c>
      <c r="BW18" s="152"/>
      <c r="BX18" s="152"/>
      <c r="BY18" s="152"/>
      <c r="BZ18" s="152"/>
      <c r="CA18" s="152">
        <f>SUMIF(TRANSHARI1_ICECREAMPAGI[PRODUK],BU18,TRANSHARI1_ICECREAMPAGI[QUANTITY])+SUMIF(TRANSHARI1_ICECREAMMALAM[PRODUK],BU18,TRANSHARI1_ICECREAMMALAM[QUANTITY])</f>
        <v>0</v>
      </c>
      <c r="CB18" s="152">
        <f>SUMIF(TRANSHARI2_ICECREAMPAGI[PRODUK],BU18,TRANSHARI2_ICECREAMPAGI[QUANTITY])+SUMIF(TRANSHARI2_ICECREAMMALAM[PRODUK],BU18,TRANSHARI2_ICECREAMMALAM[QUANTITY])</f>
        <v>0</v>
      </c>
      <c r="CC18" s="152">
        <f>SUMIF(TRANSHARI3_ICECREAMPAGI[PRODUK],BU18,TRANSHARI3_ICECREAMPAGI[QUANTITY])+SUMIF(TRANSHARI3_ICECREAMMALAM[PRODUK],BU18,TRANSHARI3_ICECREAMMALAM[QUANTITY])</f>
        <v>0</v>
      </c>
      <c r="CD18" s="152">
        <f>SUMIF(TRANSHARI4_ICECREAMPAGI[PRODUK],BU18,TRANSHARI4_ICECREAMPAGI[QUANTITY])+SUMIF(TRANSHARI4_ICECREAMMALAM[PRODUK],BU18,TRANSHARI4_ICECREAMMALAM[QUANTITY])</f>
        <v>0</v>
      </c>
      <c r="CE18" s="152">
        <f>SUMIF(TRANSHARI5_ICECREAMPAGI[PRODUK],BU18,TRANSHARI5_ICECREAMPAGI[QUANTITY])+SUMIF(TRANSHARI5_ICECREAMMALAM[PRODUK],BU18,TRANSHARI5_ICECREAMMALAM[QUANTITY])</f>
        <v>0</v>
      </c>
      <c r="CF18" s="152">
        <f>SUMIF(TRANSHARI6_ICECREAMPAGI[PRODUK],BU18,TRANSHARI6_ICECREAMPAGI[QUANTITY])+SUMIF(TRANSHARI6_ICECREAMMALAM[PRODUK],BU18,TRANSHARI6_ICECREAMMALAM[QUANTITY])</f>
        <v>0</v>
      </c>
      <c r="CG18" s="152">
        <f>SUMIF(TRANSHARI7_ICECREAMPAGI[PRODUK],BU18,TRANSHARI7_ICECREAMPAGI[QUANTITY])+SUMIF(TRANSHARI7_ICECREAMMALAM[PRODUK],BU18,TRANSHARI7_ICECREAMMALAM[QUANTITY])</f>
        <v>0</v>
      </c>
      <c r="CH18" s="152">
        <f>SUMIF(TRANSHARI8_ICECREAMPAGI[PRODUK],BU18,TRANSHARI8_ICECREAMPAGI[QUANTITY])+SUMIF(TRANSHARI8_ICECREAMMALAM[PRODUK],BU18,TRANSHARI8_ICECREAMMALAM[QUANTITY])</f>
        <v>0</v>
      </c>
      <c r="CI18" s="152">
        <f>SUMIF(TRANSHARI9_ICECREAMPAGI[PRODUK],BU18,TRANSHARI9_ICECREAMPAGI[QUANTITY])+SUMIF(TRANSHARI9_ICECREAMMALAM[PRODUK],BU18,TRANSHARI9_ICECREAMMALAM[QUANTITY])</f>
        <v>0</v>
      </c>
      <c r="CJ18" s="152">
        <f>SUMIF(TRANSHARI10_ICECREAMPAGI[PRODUK],BU18,TRANSHARI10_ICECREAMPAGI[QUANTITY])+SUMIF(TRANSHARI10_ICECREAMMALAM[PRODUK],BU18,TRANSHARI10_ICECREAMMALAM[QUANTITY])</f>
        <v>0</v>
      </c>
      <c r="CK18" s="152">
        <f>SUMIF(TRANSHARI11_ICECREAMPAGI[PRODUK],BU18,TRANSHARI11_ICECREAMPAGI[QUANTITY])+SUMIF(TRANSHARI11_ICECREAMMALAM[PRODUK],BU18,TRANSHARI11_ICECREAMMALAM[QUANTITY])</f>
        <v>0</v>
      </c>
      <c r="CL18" s="152">
        <f t="shared" si="9"/>
        <v>0</v>
      </c>
      <c r="CM18" s="152">
        <f t="shared" si="10"/>
        <v>0</v>
      </c>
      <c r="CN18" s="176">
        <f t="shared" si="11"/>
        <v>0</v>
      </c>
      <c r="CP18" s="174" t="str">
        <f>'DATA PRODUK'!BH15</f>
        <v>(K.D)(Micro) Vivan CTM-100S</v>
      </c>
      <c r="CQ18" s="178">
        <f>'DATA PRODUK'!BI15</f>
        <v>30000</v>
      </c>
      <c r="CR18" s="152"/>
      <c r="CS18" s="152"/>
      <c r="CT18" s="152"/>
      <c r="CU18" s="152"/>
      <c r="CV18" s="152">
        <f>SUMIF(TRANSHARI1_ACCPAGI[PRODUK],CP18,TRANSHARI1_ACCPAGI[QUANTITY])+SUMIF(TRANSHARI1_ACCMALAM[PRODUK],CP18,TRANSHARI1_ACCMALAM[QUANTITY])</f>
        <v>0</v>
      </c>
      <c r="CW18" s="152">
        <f>SUMIF(TRANSHARI2_ACCPAGI[PRODUK],CP18,TRANSHARI2_ACCPAGI[QUANTITY])+SUMIF(TRANSHARI2_ACCMALAM[PRODUK],CP18,TRANSHARI2_ACCMALAM[QUANTITY])</f>
        <v>0</v>
      </c>
      <c r="CX18" s="152">
        <f>SUMIF(TRANSHARI3_ACCPAGI[PRODUK],CP18,TRANSHARI3_ACCPAGI[QUANTITY])+SUMIF(TRANSHARI3_ACCMALAM[PRODUK],CP18,TRANSHARI3_ACCMALAM[QUANTITY])</f>
        <v>0</v>
      </c>
      <c r="CY18" s="152">
        <f>SUMIF(TRANSHARI4_ACCPAGI[PRODUK],CP18,TRANSHARI4_ACCPAGI[QUANTITY])+SUMIF(TRANSHARI4_ACCMALAM[PRODUK],CP18,TRANSHARI4_ACCMALAM[QUANTITY])</f>
        <v>0</v>
      </c>
      <c r="CZ18" s="152">
        <f>SUMIF(TRANSHARI5_ACCPAGI[PRODUK],CP18,TRANSHARI5_ACCPAGI[QUANTITY])+SUMIF(TRANSHARI5_ACCMALAM[PRODUK],CP18,TRANSHARI5_ACCMALAM[QUANTITY])</f>
        <v>0</v>
      </c>
      <c r="DA18" s="152">
        <f>SUMIF(TRANSHARI6_ACCPAGI[PRODUK],CP18,TRANSHARI6_ACCPAGI[QUANTITY])+SUMIF(TRANSHARI6_ACCMALAM[PRODUK],CP18,TRANSHARI6_ACCMALAM[QUANTITY])</f>
        <v>0</v>
      </c>
      <c r="DB18" s="152">
        <f>SUMIF(TRANSHARI7_ACCPAGI[PRODUK],CP18,TRANSHARI7_ACCPAGI[QUANTITY])+SUMIF(TRANSHARI7_ACCMALAM[PRODUK],CP18,TRANSHARI7_ACCMALAM[QUANTITY])</f>
        <v>0</v>
      </c>
      <c r="DC18" s="152">
        <f>SUMIF(TRANSHARI8_ACCPAGI[PRODUK],CP18,TRANSHARI8_ACCPAGI[QUANTITY])+SUMIF(TRANSHARI8_ACCMALAM[PRODUK],CP18,TRANSHARI8_ACCMALAM[QUANTITY])</f>
        <v>0</v>
      </c>
      <c r="DD18" s="152">
        <f>SUMIF(TRANSHARI9_ACCPAGI[PRODUK],CP18,TRANSHARI9_ACCPAGI[QUANTITY])+SUMIF(TRANSHARI9_ACCMALAM[PRODUK],CP18,TRANSHARI9_ACCMALAM[QUANTITY])</f>
        <v>0</v>
      </c>
      <c r="DE18" s="152">
        <f>SUMIF(TRANSHARI10_ACCPAGI[PRODUK],CP18,TRANSHARI10_ACCPAGI[QUANTITY])+SUMIF(TRANSHARI10_ACCMALAM[PRODUK],CP18,TRANSHARI10_ACCMALAM[QUANTITY])</f>
        <v>0</v>
      </c>
      <c r="DF18" s="152">
        <f>SUMIF(TRANSHARI11_ACCPAGI[PRODUK],CP18,TRANSHARI11_ACCPAGI[QUANTITY])+SUMIF(TRANSHARI11_ACCMALAM[PRODUK],CP18,TRANSHARI11_ACCMALAM[QUANTITY])</f>
        <v>0</v>
      </c>
      <c r="DG18" s="152">
        <f t="shared" si="12"/>
        <v>0</v>
      </c>
      <c r="DH18" s="152">
        <f t="shared" si="13"/>
        <v>0</v>
      </c>
      <c r="DI18" s="176">
        <f t="shared" si="14"/>
        <v>0</v>
      </c>
      <c r="DK18" s="188" t="str">
        <f>'DATA PRODUK'!BV15</f>
        <v>(SCREEN) MATTE ANTI-SPY</v>
      </c>
      <c r="DL18" s="89">
        <f>'DATA PRODUK'!BW15</f>
        <v>95000</v>
      </c>
      <c r="DM18" s="152"/>
      <c r="DN18" s="152"/>
      <c r="DO18" s="152"/>
      <c r="DP18" s="152"/>
      <c r="DQ18" s="152">
        <f>SUMIF(TRANSHARI1_HYDROPAGI[PRODUK],DK18,TRANSHARI1_HYDROPAGI[QUANTITY])+SUMIF(TRANSHARI1_HYDROMALAM[PRODUK],DK18,TRANSHARI1_HYDROMALAM[QUANTITY])</f>
        <v>0</v>
      </c>
      <c r="DR18" s="152">
        <f>SUMIF(TRANSHARI2_HYDROPAGI[PRODUK],DK18,TRANSHARI2_HYDROPAGI[QUANTITY])+SUMIF(TRANSHARI2_HYDROMALAM[PRODUK],DK18,TRANSHARI2_HYDROMALAM[QUANTITY])</f>
        <v>0</v>
      </c>
      <c r="DS18" s="152">
        <f>SUMIF(TRANSHARI3_HYDROPAGI[PRODUK],DK18,TRANSHARI3_HYDROPAGI[QUANTITY])+SUMIF(TRANSHARI3_HYDROMALAM[PRODUK],DK18,TRANSHARI3_HYDROMALAM[QUANTITY])</f>
        <v>0</v>
      </c>
      <c r="DT18" s="152">
        <f>SUMIF(TRANSHARI4_HYDROPAGI[PRODUK],DK18,TRANSHARI4_HYDROPAGI[QUANTITY])+SUMIF(TRANSHARI4_HYDROMALAM[PRODUK],DK18,TRANSHARI4_HYDROMALAM[QUANTITY])</f>
        <v>0</v>
      </c>
      <c r="DU18" s="152">
        <f>SUMIF(TRANSHARI5_HYDROPAGI[PRODUK],DK18,TRANSHARI5_HYDROPAGI[QUANTITY])+SUMIF(TRANSHARI5_HYDROMALAM[PRODUK],DK18,TRANSHARI5_HYDROMALAM[QUANTITY])</f>
        <v>0</v>
      </c>
      <c r="DV18" s="152">
        <f>SUMIF(TRANSHARI6_HYDROPAGI[PRODUK],DK18,TRANSHARI6_HYDROPAGI[QUANTITY])+SUMIF(TRANSHARI6_HYDROMALAM[PRODUK],DK18,TRANSHARI6_HYDROMALAM[QUANTITY])</f>
        <v>0</v>
      </c>
      <c r="DW18" s="152">
        <f>SUMIF(TRANSHARI7_HYDROPAGI[PRODUK],DK18,TRANSHARI7_HYDROPAGI[QUANTITY])+SUMIF(TRANSHARI7_HYDROMALAM[PRODUK],DK18,TRANSHARI7_HYDROMALAM[QUANTITY])</f>
        <v>0</v>
      </c>
      <c r="DX18" s="152">
        <f>SUMIF(TRANSHARI8_HYDROPAGI[PRODUK],DK18,TRANSHARI8_HYDROPAGI[QUANTITY])+SUMIF(TRANSHARI8_HYDROMALAM[PRODUK],DK18,TRANSHARI8_HYDROMALAM[QUANTITY])</f>
        <v>0</v>
      </c>
      <c r="DY18" s="152">
        <f>SUMIF(TRANSHARI9_HYDROPAGI[PRODUK],DK18,TRANSHARI9_HYDROPAGI[QUANTITY])+SUMIF(TRANSHARI9_HYDROMALAM[PRODUK],DK18,TRANSHARI9_HYDROMALAM[QUANTITY])</f>
        <v>0</v>
      </c>
      <c r="DZ18" s="152">
        <f>SUMIF(TRANSHARI10_HYDROPAGI[PRODUK],DK18,TRANSHARI10_HYDROPAGI[QUANTITY])+SUMIF(TRANSHARI10_HYDROMALAM[PRODUK],DK18,TRANSHARI10_HYDROMALAM[QUANTITY])</f>
        <v>0</v>
      </c>
      <c r="EA18" s="152">
        <f>SUMIF(TRANSHARI11_HYDROPAGI[PRODUK],DK18,TRANSHARI11_HYDROPAGI[QUANTITY])+SUMIF(TRANSHARI11_HYDROMALAM[PRODUK],DK18,TRANSHARI11_HYDROMALAM[QUANTITY])</f>
        <v>0</v>
      </c>
      <c r="EB18" s="152">
        <f t="shared" si="15"/>
        <v>0</v>
      </c>
      <c r="EC18" s="152">
        <f t="shared" si="16"/>
        <v>0</v>
      </c>
      <c r="ED18" s="176">
        <f t="shared" si="17"/>
        <v>0</v>
      </c>
    </row>
    <row r="19" ht="18" spans="4:134">
      <c r="D19" s="120">
        <v>6</v>
      </c>
      <c r="E19" s="121">
        <f>'HARI 6'!L30+'HARI 6'!AA30</f>
        <v>0</v>
      </c>
      <c r="F19" s="122">
        <f>'HARI 6'!L31+'HARI 6'!AA31</f>
        <v>0</v>
      </c>
      <c r="G19" s="122">
        <f>'HARI 6'!L32+'HARI 6'!AA32</f>
        <v>0</v>
      </c>
      <c r="J19" s="24" t="str">
        <f>'DATA PRODUK'!D16</f>
        <v>SAMPOERNA MENTHOL</v>
      </c>
      <c r="K19" s="150">
        <f>'DATA PRODUK'!E16</f>
        <v>35000</v>
      </c>
      <c r="L19" s="12"/>
      <c r="M19" s="12"/>
      <c r="N19" s="12"/>
      <c r="O19" s="12"/>
      <c r="P19" s="12">
        <f>SUMIF(TRANSHARI1_ROKOKPAGI[PRODUK],J19,TRANSHARI1_ROKOKPAGI[QUANTITY])+SUMIF(TRANSHARI1_ROKOKMALAM[PRODUK],J19,TRANSHARI1_ROKOKMALAM[QUANTITY])</f>
        <v>0</v>
      </c>
      <c r="Q19" s="12">
        <f>SUMIF(TRANSHARI2_ROKOKPAGI[PRODUK],J19,TRANSHARI2_ROKOKPAGI[QUANTITY])+SUMIF(TRANSHARI2_ROKOKMALAM[PRODUK],J19,TRANSHARI2_ROKOKMALAM[QUANTITY])</f>
        <v>0</v>
      </c>
      <c r="R19" s="12">
        <f>SUMIF(TRANSHARI3_ROKOKPAGI[PRODUK],J19,TRANSHARI3_ROKOKPAGI[QUANTITY])+SUMIF(TRANSHARI3_ROKOKMALAM[PRODUK],J19,TRANSHARI3_ROKOKMALAM[QUANTITY])</f>
        <v>0</v>
      </c>
      <c r="S19" s="12">
        <f>SUMIF(TRANSHARI4_ROKOKPAGI[PRODUK],J19,TRANSHARI4_ROKOKPAGI[QUANTITY])+SUMIF(TRANSHARI4_ROKOKMALAM[PRODUK],J19,TRANSHARI4_ROKOKMALAM[QUANTITY])</f>
        <v>0</v>
      </c>
      <c r="T19" s="12">
        <f>SUMIF(TRANSHARI5_ROKOKPAGI[PRODUK],J19,TRANSHARI5_ROKOKPAGI[QUANTITY])+SUMIF(TRANSHARI5_ROKOKMALAM[PRODUK],J19,TRANSHARI5_ROKOKMALAM[QUANTITY])</f>
        <v>0</v>
      </c>
      <c r="U19" s="12">
        <f>SUMIF(TRANSHARI6_ROKOKPAGI[PRODUK],J19,TRANSHARI6_ROKOKPAGI[QUANTITY])+SUMIF(TRANSHARI6_ROKOKMALAM[PRODUK],J19,TRANSHARI6_ROKOKMALAM[QUANTITY])</f>
        <v>0</v>
      </c>
      <c r="V19" s="12">
        <f>SUMIF(TRANSHARI7_ROKOKPAGI[PRODUK],J19,TRANSHARI7_ROKOKPAGI[QUANTITY])+SUMIF(TRANSHARI7_ROKOKMALAM[PRODUK],J19,TRANSHARI7_ROKOKMALAM[QUANTITY])</f>
        <v>0</v>
      </c>
      <c r="W19" s="12">
        <f>SUMIF(TRANSHARI8_ROKOKPAGI[PRODUK],J19,TRANSHARI8_ROKOKPAGI[QUANTITY])+SUMIF(TRANSHARI8_ROKOKMALAM[PRODUK],J19,TRANSHARI8_ROKOKMALAM[QUANTITY])</f>
        <v>0</v>
      </c>
      <c r="X19" s="12">
        <f>SUMIF(TRANSHARI9_ROKOKPAGI[PRODUK],J19,TRANSHARI9_ROKOKPAGI[QUANTITY])+SUMIF(TRANSHARI9_ROKOKMALAM[PRODUK],J19,TRANSHARI9_ROKOKMALAM[QUANTITY])</f>
        <v>0</v>
      </c>
      <c r="Y19" s="12">
        <f>SUMIF(TRANSHARI10_ROKOKPAGI[PRODUK],J19,TRANSHARI10_ROKOKPAGI[QUANTITY])+SUMIF(TRANSHARI10_ROKOKMALAM[PRODUK],J19,TRANSHARI10_ROKOKMALAM[QUANTITY])</f>
        <v>0</v>
      </c>
      <c r="Z19" s="12">
        <f>SUMIF(TRANSHARI11_ROKOKPAGI[PRODUK],J19,TRANSHARI11_ROKOKPAGI[QUANTITY])+SUMIF(TRANSHARI11_ROKOKMALAM[PRODUK],J19,TRANSHARI11_ROKOKMALAM[QUANTITY])</f>
        <v>0</v>
      </c>
      <c r="AA19" s="12">
        <f t="shared" si="0"/>
        <v>0</v>
      </c>
      <c r="AB19" s="12">
        <f t="shared" si="1"/>
        <v>0</v>
      </c>
      <c r="AC19" s="173">
        <f t="shared" si="2"/>
        <v>0</v>
      </c>
      <c r="AE19" s="174" t="str">
        <f>'DATA PRODUK'!R16</f>
        <v>SP TRI 3 GB</v>
      </c>
      <c r="AF19" s="175">
        <f>'DATA PRODUK'!S16</f>
        <v>18000</v>
      </c>
      <c r="AG19" s="12"/>
      <c r="AH19" s="12"/>
      <c r="AI19" s="12"/>
      <c r="AJ19" s="12"/>
      <c r="AK19" s="12">
        <f>SUMIF(TRANSHARI1_SPVOUPAGI[PRODUK],AE19,TRANSHARI1_SPVOUPAGI[QUANTITY])+SUMIF(TRANSHARI1_SPVOUMALAM[PRODUK],AE19,TRANSHARI1_SPVOUMALAM[QUANTITY])</f>
        <v>0</v>
      </c>
      <c r="AL19" s="12">
        <f>SUMIF(TRANSHARI2_SPVOUPAGI[PRODUK],AE19,TRANSHARI2_SPVOUPAGI[QUANTITY])+SUMIF(TRANSHARI2_SPVOUMALAM[PRODUK],AE19,TRANSHARI2_SPVOUMALAM[QUANTITY])</f>
        <v>0</v>
      </c>
      <c r="AM19" s="12">
        <f>SUMIF(TRANSHARI3_SPVOUPAGI[PRODUK],AE19,TRANSHARI3_SPVOUPAGI[QUANTITY])+SUMIF(TRANSHARI3_SPVOUMALAM[PRODUK],AE19,TRANSHARI3_SPVOUMALAM[QUANTITY])</f>
        <v>0</v>
      </c>
      <c r="AN19" s="12">
        <f>SUMIF(TRANSHARI4_SPVOUPAGI[PRODUK],AE19,TRANSHARI4_SPVOUPAGI[QUANTITY])+SUMIF(TRANSHARI4_SPVOUMALAM[PRODUK],AE19,TRANSHARI4_SPVOUMALAM[QUANTITY])</f>
        <v>0</v>
      </c>
      <c r="AO19" s="12">
        <f>SUMIF(TRANSHARI5_SPVOUPAGI[PRODUK],AE19,TRANSHARI5_SPVOUPAGI[QUANTITY])+SUMIF(TRANSHARI5_SPVOUMALAM[PRODUK],AE19,TRANSHARI5_SPVOUMALAM[QUANTITY])</f>
        <v>0</v>
      </c>
      <c r="AP19" s="12">
        <f>SUMIF(TRANSHARI6_SPVOUPAGI[PRODUK],AE19,TRANSHARI6_SPVOUPAGI[QUANTITY])+SUMIF(TRANSHARI6_SPVOUMALAM[PRODUK],AE19,TRANSHARI6_SPVOUMALAM[QUANTITY])</f>
        <v>0</v>
      </c>
      <c r="AQ19" s="12">
        <f>SUMIF(TRANSHARI7_SPVOUPAGI[PRODUK],AE19,TRANSHARI7_SPVOUPAGI[QUANTITY])+SUMIF(TRANSHARI7_SPVOUMALAM[PRODUK],AE19,TRANSHARI7_SPVOUMALAM[QUANTITY])</f>
        <v>0</v>
      </c>
      <c r="AR19" s="12">
        <f>SUMIF(TRANSHARI8_SPVOUPAGI[PRODUK],AE19,TRANSHARI8_SPVOUPAGI[QUANTITY])+SUMIF(TRANSHARI8_SPVOUMALAM[PRODUK],AE19,TRANSHARI8_SPVOUMALAM[QUANTITY])</f>
        <v>0</v>
      </c>
      <c r="AS19" s="12">
        <f>SUMIF(TRANSHARI9_SPVOUPAGI[PRODUK],AE19,TRANSHARI9_SPVOUPAGI[QUANTITY])+SUMIF(TRANSHARI9_SPVOUMALAM[PRODUK],AE19,TRANSHARI9_SPVOUMALAM[QUANTITY])</f>
        <v>0</v>
      </c>
      <c r="AT19" s="12">
        <f>SUMIF(TRANSHARI10_SPVOUPAGI[PRODUK],AE19,TRANSHARI10_SPVOUPAGI[QUANTITY])+SUMIF(TRANSHARI10_SPVOUMALAM[PRODUK],AE19,TRANSHARI10_SPVOUMALAM[QUANTITY])</f>
        <v>0</v>
      </c>
      <c r="AU19" s="12">
        <f>SUMIF(TRANSHARI11_SPVOUPAGI[PRODUK],AE19,TRANSHARI11_SPVOUPAGI[QUANTITY])+SUMIF(TRANSHARI11_SPVOUMALAM[PRODUK],AE19,TRANSHARI11_SPVOUMALAM[QUANTITY])</f>
        <v>0</v>
      </c>
      <c r="AV19" s="12">
        <f t="shared" si="3"/>
        <v>0</v>
      </c>
      <c r="AW19" s="12">
        <f t="shared" si="4"/>
        <v>0</v>
      </c>
      <c r="AX19" s="173">
        <f t="shared" si="5"/>
        <v>0</v>
      </c>
      <c r="AZ19" s="187" t="str">
        <f>'DATA PRODUK'!AF16</f>
        <v>SPRITE (ALL)</v>
      </c>
      <c r="BA19" s="87">
        <f>'DATA PRODUK'!AG16</f>
        <v>5000</v>
      </c>
      <c r="BB19" s="12"/>
      <c r="BC19" s="12"/>
      <c r="BD19" s="12"/>
      <c r="BE19" s="12"/>
      <c r="BF19" s="12">
        <f>SUMIF(TRANSHARI1_SOFTDRINKPAGI[PRODUK],AZ19,TRANSHARI1_SOFTDRINKPAGI[QUANTITY])+SUMIF(TRANSHARI1_SOFTDRINKMALAM[PRODUK],AZ19,TRANSHARI1_SOFTDRINKMALAM[QUANTITY])</f>
        <v>0</v>
      </c>
      <c r="BG19" s="12">
        <f>SUMIF(TRANSHARI2_SOFTDRINKPAGI[PRODUK],AZ19,TRANSHARI2_SOFTDRINKPAGI[QUANTITY])+SUMIF(TRANSHARI2_SOFTDRINKMALAM[PRODUK],AZ19,TRANSHARI2_SOFTDRINKMALAM[QUANTITY])</f>
        <v>0</v>
      </c>
      <c r="BH19" s="12">
        <f>SUMIF(TRANSHARI3_SOFTDRINKPAGI[PRODUK],AZ19,TRANSHARI3_SOFTDRINKPAGI[QUANTITY])+SUMIF(TRANSHARI3_SOFTDRINKMALAM[PRODUK],AZ19,TRANSHARI3_SOFTDRINKMALAM[QUANTITY])</f>
        <v>0</v>
      </c>
      <c r="BI19" s="12">
        <f>SUMIF(TRANSHARI4_SOFTDRINKPAGI[PRODUK],AZ19,TRANSHARI4_SOFTDRINKPAGI[QUANTITY])+SUMIF(TRANSHARI4_SOFTDRINKMALAM[PRODUK],AZ19,TRANSHARI4_SOFTDRINKMALAM[QUANTITY])</f>
        <v>0</v>
      </c>
      <c r="BJ19" s="12">
        <f>SUMIF(TRANSHARI5_SOFTDRINKPAGI[PRODUK],AZ19,TRANSHARI5_SOFTDRINKPAGI[QUANTITY])+SUMIF(TRANSHARI5_SOFTDRINKMALAM[PRODUK],AZ19,TRANSHARI5_SOFTDRINKMALAM[QUANTITY])</f>
        <v>0</v>
      </c>
      <c r="BK19" s="12">
        <f>SUMIF(TRANSHARI6_SOFTDRINKPAGI[PRODUK],AZ19,TRANSHARI6_SOFTDRINKPAGI[QUANTITY])+SUMIF(TRANSHARI6_SOFTDRINKMALAM[PRODUK],AZ19,TRANSHARI6_SOFTDRINKMALAM[QUANTITY])</f>
        <v>0</v>
      </c>
      <c r="BL19" s="12">
        <f>SUMIF(TRANSHARI7_SOFTDRINKPAGI[PRODUK],AZ19,TRANSHARI7_SOFTDRINKPAGI[QUANTITY])+SUMIF(TRANSHARI7_SOFTDRINKMALAM[PRODUK],AZ19,TRANSHARI7_SOFTDRINKMALAM[QUANTITY])</f>
        <v>0</v>
      </c>
      <c r="BM19" s="12">
        <f>SUMIF(TRANSHARI8_SOFTDRINKPAGI[PRODUK],AZ19,TRANSHARI8_SOFTDRINKPAGI[QUANTITY])+SUMIF(TRANSHARI8_SOFTDRINKMALAM[PRODUK],AZ19,TRANSHARI8_SOFTDRINKMALAM[QUANTITY])</f>
        <v>0</v>
      </c>
      <c r="BN19" s="12">
        <f>SUMIF(TRANSHARI9_SOFTDRINKPAGI[PRODUK],AZ19,TRANSHARI9_SOFTDRINKPAGI[QUANTITY])+SUMIF(TRANSHARI9_SOFTDRINKMALAM[PRODUK],AZ19,TRANSHARI9_SOFTDRINKMALAM[QUANTITY])</f>
        <v>0</v>
      </c>
      <c r="BO19" s="12">
        <f>SUMIF(TRANSHARI10_SOFTDRINKPAGI[PRODUK],AZ19,TRANSHARI10_SOFTDRINKPAGI[QUANTITY])+SUMIF(TRANSHARI10_SOFTDRINKMALAM[PRODUK],AZ19,TRANSHARI10_SOFTDRINKMALAM[QUANTITY])</f>
        <v>0</v>
      </c>
      <c r="BP19" s="12">
        <f>SUMIF(TRANSHARI11_SOFTDRINKPAGI[PRODUK],AZ19,TRANSHARI11_SOFTDRINKPAGI[QUANTITY])+SUMIF(TRANSHARI11_SOFTDRINKMALAM[PRODUK],AZ19,TRANSHARI11_SOFTDRINKMALAM[QUANTITY])</f>
        <v>0</v>
      </c>
      <c r="BQ19" s="12">
        <f t="shared" si="6"/>
        <v>0</v>
      </c>
      <c r="BR19" s="12">
        <f t="shared" si="7"/>
        <v>0</v>
      </c>
      <c r="BS19" s="173">
        <f t="shared" si="8"/>
        <v>0</v>
      </c>
      <c r="BU19" s="177" t="str">
        <f>'DATA PRODUK'!AT16</f>
        <v>(Waku-Waku) Choco Dinosaur</v>
      </c>
      <c r="BV19" s="175">
        <f>'DATA PRODUK'!AU16</f>
        <v>2000</v>
      </c>
      <c r="BW19" s="12"/>
      <c r="BX19" s="12"/>
      <c r="BY19" s="12"/>
      <c r="BZ19" s="12"/>
      <c r="CA19" s="12">
        <f>SUMIF(TRANSHARI1_ICECREAMPAGI[PRODUK],BU19,TRANSHARI1_ICECREAMPAGI[QUANTITY])+SUMIF(TRANSHARI1_ICECREAMMALAM[PRODUK],BU19,TRANSHARI1_ICECREAMMALAM[QUANTITY])</f>
        <v>0</v>
      </c>
      <c r="CB19" s="12">
        <f>SUMIF(TRANSHARI2_ICECREAMPAGI[PRODUK],BU19,TRANSHARI2_ICECREAMPAGI[QUANTITY])+SUMIF(TRANSHARI2_ICECREAMMALAM[PRODUK],BU19,TRANSHARI2_ICECREAMMALAM[QUANTITY])</f>
        <v>0</v>
      </c>
      <c r="CC19" s="12">
        <f>SUMIF(TRANSHARI3_ICECREAMPAGI[PRODUK],BU19,TRANSHARI3_ICECREAMPAGI[QUANTITY])+SUMIF(TRANSHARI3_ICECREAMMALAM[PRODUK],BU19,TRANSHARI3_ICECREAMMALAM[QUANTITY])</f>
        <v>0</v>
      </c>
      <c r="CD19" s="12">
        <f>SUMIF(TRANSHARI4_ICECREAMPAGI[PRODUK],BU19,TRANSHARI4_ICECREAMPAGI[QUANTITY])+SUMIF(TRANSHARI4_ICECREAMMALAM[PRODUK],BU19,TRANSHARI4_ICECREAMMALAM[QUANTITY])</f>
        <v>0</v>
      </c>
      <c r="CE19" s="12">
        <f>SUMIF(TRANSHARI5_ICECREAMPAGI[PRODUK],BU19,TRANSHARI5_ICECREAMPAGI[QUANTITY])+SUMIF(TRANSHARI5_ICECREAMMALAM[PRODUK],BU19,TRANSHARI5_ICECREAMMALAM[QUANTITY])</f>
        <v>0</v>
      </c>
      <c r="CF19" s="12">
        <f>SUMIF(TRANSHARI6_ICECREAMPAGI[PRODUK],BU19,TRANSHARI6_ICECREAMPAGI[QUANTITY])+SUMIF(TRANSHARI6_ICECREAMMALAM[PRODUK],BU19,TRANSHARI6_ICECREAMMALAM[QUANTITY])</f>
        <v>0</v>
      </c>
      <c r="CG19" s="12">
        <f>SUMIF(TRANSHARI7_ICECREAMPAGI[PRODUK],BU19,TRANSHARI7_ICECREAMPAGI[QUANTITY])+SUMIF(TRANSHARI7_ICECREAMMALAM[PRODUK],BU19,TRANSHARI7_ICECREAMMALAM[QUANTITY])</f>
        <v>0</v>
      </c>
      <c r="CH19" s="12">
        <f>SUMIF(TRANSHARI8_ICECREAMPAGI[PRODUK],BU19,TRANSHARI8_ICECREAMPAGI[QUANTITY])+SUMIF(TRANSHARI8_ICECREAMMALAM[PRODUK],BU19,TRANSHARI8_ICECREAMMALAM[QUANTITY])</f>
        <v>0</v>
      </c>
      <c r="CI19" s="12">
        <f>SUMIF(TRANSHARI9_ICECREAMPAGI[PRODUK],BU19,TRANSHARI9_ICECREAMPAGI[QUANTITY])+SUMIF(TRANSHARI9_ICECREAMMALAM[PRODUK],BU19,TRANSHARI9_ICECREAMMALAM[QUANTITY])</f>
        <v>0</v>
      </c>
      <c r="CJ19" s="12">
        <f>SUMIF(TRANSHARI10_ICECREAMPAGI[PRODUK],BU19,TRANSHARI10_ICECREAMPAGI[QUANTITY])+SUMIF(TRANSHARI10_ICECREAMMALAM[PRODUK],BU19,TRANSHARI10_ICECREAMMALAM[QUANTITY])</f>
        <v>0</v>
      </c>
      <c r="CK19" s="12">
        <f>SUMIF(TRANSHARI11_ICECREAMPAGI[PRODUK],BU19,TRANSHARI11_ICECREAMPAGI[QUANTITY])+SUMIF(TRANSHARI11_ICECREAMMALAM[PRODUK],BU19,TRANSHARI11_ICECREAMMALAM[QUANTITY])</f>
        <v>0</v>
      </c>
      <c r="CL19" s="12">
        <f t="shared" si="9"/>
        <v>0</v>
      </c>
      <c r="CM19" s="12">
        <f t="shared" si="10"/>
        <v>0</v>
      </c>
      <c r="CN19" s="173">
        <f t="shared" si="11"/>
        <v>0</v>
      </c>
      <c r="CP19" s="177" t="str">
        <f>'DATA PRODUK'!BH16</f>
        <v>(K.D)(Micro)(Braided) Olike D201M</v>
      </c>
      <c r="CQ19" s="175">
        <f>'DATA PRODUK'!BI16</f>
        <v>35000</v>
      </c>
      <c r="CR19" s="12"/>
      <c r="CS19" s="12"/>
      <c r="CT19" s="12"/>
      <c r="CU19" s="12"/>
      <c r="CV19" s="12">
        <f>SUMIF(TRANSHARI1_ACCPAGI[PRODUK],CP19,TRANSHARI1_ACCPAGI[QUANTITY])+SUMIF(TRANSHARI1_ACCMALAM[PRODUK],CP19,TRANSHARI1_ACCMALAM[QUANTITY])</f>
        <v>0</v>
      </c>
      <c r="CW19" s="12">
        <f>SUMIF(TRANSHARI2_ACCPAGI[PRODUK],CP19,TRANSHARI2_ACCPAGI[QUANTITY])+SUMIF(TRANSHARI2_ACCMALAM[PRODUK],CP19,TRANSHARI2_ACCMALAM[QUANTITY])</f>
        <v>0</v>
      </c>
      <c r="CX19" s="12">
        <f>SUMIF(TRANSHARI3_ACCPAGI[PRODUK],CP19,TRANSHARI3_ACCPAGI[QUANTITY])+SUMIF(TRANSHARI3_ACCMALAM[PRODUK],CP19,TRANSHARI3_ACCMALAM[QUANTITY])</f>
        <v>0</v>
      </c>
      <c r="CY19" s="12">
        <f>SUMIF(TRANSHARI4_ACCPAGI[PRODUK],CP19,TRANSHARI4_ACCPAGI[QUANTITY])+SUMIF(TRANSHARI4_ACCMALAM[PRODUK],CP19,TRANSHARI4_ACCMALAM[QUANTITY])</f>
        <v>0</v>
      </c>
      <c r="CZ19" s="12">
        <f>SUMIF(TRANSHARI5_ACCPAGI[PRODUK],CP19,TRANSHARI5_ACCPAGI[QUANTITY])+SUMIF(TRANSHARI5_ACCMALAM[PRODUK],CP19,TRANSHARI5_ACCMALAM[QUANTITY])</f>
        <v>0</v>
      </c>
      <c r="DA19" s="12">
        <f>SUMIF(TRANSHARI6_ACCPAGI[PRODUK],CP19,TRANSHARI6_ACCPAGI[QUANTITY])+SUMIF(TRANSHARI6_ACCMALAM[PRODUK],CP19,TRANSHARI6_ACCMALAM[QUANTITY])</f>
        <v>0</v>
      </c>
      <c r="DB19" s="12">
        <f>SUMIF(TRANSHARI7_ACCPAGI[PRODUK],CP19,TRANSHARI7_ACCPAGI[QUANTITY])+SUMIF(TRANSHARI7_ACCMALAM[PRODUK],CP19,TRANSHARI7_ACCMALAM[QUANTITY])</f>
        <v>0</v>
      </c>
      <c r="DC19" s="12">
        <f>SUMIF(TRANSHARI8_ACCPAGI[PRODUK],CP19,TRANSHARI8_ACCPAGI[QUANTITY])+SUMIF(TRANSHARI8_ACCMALAM[PRODUK],CP19,TRANSHARI8_ACCMALAM[QUANTITY])</f>
        <v>0</v>
      </c>
      <c r="DD19" s="12">
        <f>SUMIF(TRANSHARI9_ACCPAGI[PRODUK],CP19,TRANSHARI9_ACCPAGI[QUANTITY])+SUMIF(TRANSHARI9_ACCMALAM[PRODUK],CP19,TRANSHARI9_ACCMALAM[QUANTITY])</f>
        <v>0</v>
      </c>
      <c r="DE19" s="12">
        <f>SUMIF(TRANSHARI10_ACCPAGI[PRODUK],CP19,TRANSHARI10_ACCPAGI[QUANTITY])+SUMIF(TRANSHARI10_ACCMALAM[PRODUK],CP19,TRANSHARI10_ACCMALAM[QUANTITY])</f>
        <v>0</v>
      </c>
      <c r="DF19" s="12">
        <f>SUMIF(TRANSHARI11_ACCPAGI[PRODUK],CP19,TRANSHARI11_ACCPAGI[QUANTITY])+SUMIF(TRANSHARI11_ACCMALAM[PRODUK],CP19,TRANSHARI11_ACCMALAM[QUANTITY])</f>
        <v>0</v>
      </c>
      <c r="DG19" s="12">
        <f t="shared" si="12"/>
        <v>0</v>
      </c>
      <c r="DH19" s="12">
        <f t="shared" si="13"/>
        <v>0</v>
      </c>
      <c r="DI19" s="173">
        <f t="shared" si="14"/>
        <v>0</v>
      </c>
      <c r="DK19" s="187" t="str">
        <f>'DATA PRODUK'!BV16</f>
        <v>(WATCH) CLEAR</v>
      </c>
      <c r="DL19" s="87">
        <f>'DATA PRODUK'!BW16</f>
        <v>0</v>
      </c>
      <c r="DM19" s="12"/>
      <c r="DN19" s="12"/>
      <c r="DO19" s="12"/>
      <c r="DP19" s="12"/>
      <c r="DQ19" s="12">
        <f>SUMIF(TRANSHARI1_HYDROPAGI[PRODUK],DK19,TRANSHARI1_HYDROPAGI[QUANTITY])+SUMIF(TRANSHARI1_HYDROMALAM[PRODUK],DK19,TRANSHARI1_HYDROMALAM[QUANTITY])</f>
        <v>0</v>
      </c>
      <c r="DR19" s="12">
        <f>SUMIF(TRANSHARI2_HYDROPAGI[PRODUK],DK19,TRANSHARI2_HYDROPAGI[QUANTITY])+SUMIF(TRANSHARI2_HYDROMALAM[PRODUK],DK19,TRANSHARI2_HYDROMALAM[QUANTITY])</f>
        <v>0</v>
      </c>
      <c r="DS19" s="12">
        <f>SUMIF(TRANSHARI3_HYDROPAGI[PRODUK],DK19,TRANSHARI3_HYDROPAGI[QUANTITY])+SUMIF(TRANSHARI3_HYDROMALAM[PRODUK],DK19,TRANSHARI3_HYDROMALAM[QUANTITY])</f>
        <v>0</v>
      </c>
      <c r="DT19" s="12">
        <f>SUMIF(TRANSHARI4_HYDROPAGI[PRODUK],DK19,TRANSHARI4_HYDROPAGI[QUANTITY])+SUMIF(TRANSHARI4_HYDROMALAM[PRODUK],DK19,TRANSHARI4_HYDROMALAM[QUANTITY])</f>
        <v>0</v>
      </c>
      <c r="DU19" s="12">
        <f>SUMIF(TRANSHARI5_HYDROPAGI[PRODUK],DK19,TRANSHARI5_HYDROPAGI[QUANTITY])+SUMIF(TRANSHARI5_HYDROMALAM[PRODUK],DK19,TRANSHARI5_HYDROMALAM[QUANTITY])</f>
        <v>0</v>
      </c>
      <c r="DV19" s="12">
        <f>SUMIF(TRANSHARI6_HYDROPAGI[PRODUK],DK19,TRANSHARI6_HYDROPAGI[QUANTITY])+SUMIF(TRANSHARI6_HYDROMALAM[PRODUK],DK19,TRANSHARI6_HYDROMALAM[QUANTITY])</f>
        <v>0</v>
      </c>
      <c r="DW19" s="12">
        <f>SUMIF(TRANSHARI7_HYDROPAGI[PRODUK],DK19,TRANSHARI7_HYDROPAGI[QUANTITY])+SUMIF(TRANSHARI7_HYDROMALAM[PRODUK],DK19,TRANSHARI7_HYDROMALAM[QUANTITY])</f>
        <v>0</v>
      </c>
      <c r="DX19" s="12">
        <f>SUMIF(TRANSHARI8_HYDROPAGI[PRODUK],DK19,TRANSHARI8_HYDROPAGI[QUANTITY])+SUMIF(TRANSHARI8_HYDROMALAM[PRODUK],DK19,TRANSHARI8_HYDROMALAM[QUANTITY])</f>
        <v>0</v>
      </c>
      <c r="DY19" s="12">
        <f>SUMIF(TRANSHARI9_HYDROPAGI[PRODUK],DK19,TRANSHARI9_HYDROPAGI[QUANTITY])+SUMIF(TRANSHARI9_HYDROMALAM[PRODUK],DK19,TRANSHARI9_HYDROMALAM[QUANTITY])</f>
        <v>0</v>
      </c>
      <c r="DZ19" s="12">
        <f>SUMIF(TRANSHARI10_HYDROPAGI[PRODUK],DK19,TRANSHARI10_HYDROPAGI[QUANTITY])+SUMIF(TRANSHARI10_HYDROMALAM[PRODUK],DK19,TRANSHARI10_HYDROMALAM[QUANTITY])</f>
        <v>0</v>
      </c>
      <c r="EA19" s="12">
        <f>SUMIF(TRANSHARI11_HYDROPAGI[PRODUK],DK19,TRANSHARI11_HYDROPAGI[QUANTITY])+SUMIF(TRANSHARI11_HYDROMALAM[PRODUK],DK19,TRANSHARI11_HYDROMALAM[QUANTITY])</f>
        <v>0</v>
      </c>
      <c r="EB19" s="12">
        <f t="shared" si="15"/>
        <v>0</v>
      </c>
      <c r="EC19" s="12">
        <f t="shared" si="16"/>
        <v>0</v>
      </c>
      <c r="ED19" s="173">
        <f t="shared" si="17"/>
        <v>0</v>
      </c>
    </row>
    <row r="20" ht="18" spans="4:134">
      <c r="D20" s="117">
        <v>7</v>
      </c>
      <c r="E20" s="118">
        <f>'HARI 7'!L30+'HARI 7'!AA30</f>
        <v>0</v>
      </c>
      <c r="F20" s="118">
        <f>'HARI 7'!L31+'HARI 7'!AA31</f>
        <v>0</v>
      </c>
      <c r="G20" s="119">
        <f>'HARI 7'!L32+'HARI 7'!AA32</f>
        <v>0</v>
      </c>
      <c r="J20" s="26" t="str">
        <f>'DATA PRODUK'!D17</f>
        <v>SAMPOERNA 12</v>
      </c>
      <c r="K20" s="151">
        <f>'DATA PRODUK'!E17</f>
        <v>25000</v>
      </c>
      <c r="L20" s="152"/>
      <c r="M20" s="152"/>
      <c r="N20" s="152"/>
      <c r="O20" s="152"/>
      <c r="P20" s="152">
        <f>SUMIF(TRANSHARI1_ROKOKPAGI[PRODUK],J20,TRANSHARI1_ROKOKPAGI[QUANTITY])+SUMIF(TRANSHARI1_ROKOKMALAM[PRODUK],J20,TRANSHARI1_ROKOKMALAM[QUANTITY])</f>
        <v>0</v>
      </c>
      <c r="Q20" s="152">
        <f>SUMIF(TRANSHARI2_ROKOKPAGI[PRODUK],J20,TRANSHARI2_ROKOKPAGI[QUANTITY])+SUMIF(TRANSHARI2_ROKOKMALAM[PRODUK],J20,TRANSHARI2_ROKOKMALAM[QUANTITY])</f>
        <v>0</v>
      </c>
      <c r="R20" s="152">
        <f>SUMIF(TRANSHARI3_ROKOKPAGI[PRODUK],J20,TRANSHARI3_ROKOKPAGI[QUANTITY])+SUMIF(TRANSHARI3_ROKOKMALAM[PRODUK],J20,TRANSHARI3_ROKOKMALAM[QUANTITY])</f>
        <v>0</v>
      </c>
      <c r="S20" s="152">
        <f>SUMIF(TRANSHARI4_ROKOKPAGI[PRODUK],J20,TRANSHARI4_ROKOKPAGI[QUANTITY])+SUMIF(TRANSHARI4_ROKOKMALAM[PRODUK],J20,TRANSHARI4_ROKOKMALAM[QUANTITY])</f>
        <v>0</v>
      </c>
      <c r="T20" s="152">
        <f>SUMIF(TRANSHARI5_ROKOKPAGI[PRODUK],J20,TRANSHARI5_ROKOKPAGI[QUANTITY])+SUMIF(TRANSHARI5_ROKOKMALAM[PRODUK],J20,TRANSHARI5_ROKOKMALAM[QUANTITY])</f>
        <v>0</v>
      </c>
      <c r="U20" s="152">
        <f>SUMIF(TRANSHARI6_ROKOKPAGI[PRODUK],J20,TRANSHARI6_ROKOKPAGI[QUANTITY])+SUMIF(TRANSHARI6_ROKOKMALAM[PRODUK],J20,TRANSHARI6_ROKOKMALAM[QUANTITY])</f>
        <v>0</v>
      </c>
      <c r="V20" s="152">
        <f>SUMIF(TRANSHARI7_ROKOKPAGI[PRODUK],J20,TRANSHARI7_ROKOKPAGI[QUANTITY])+SUMIF(TRANSHARI7_ROKOKMALAM[PRODUK],J20,TRANSHARI7_ROKOKMALAM[QUANTITY])</f>
        <v>0</v>
      </c>
      <c r="W20" s="152">
        <f>SUMIF(TRANSHARI8_ROKOKPAGI[PRODUK],J20,TRANSHARI8_ROKOKPAGI[QUANTITY])+SUMIF(TRANSHARI8_ROKOKMALAM[PRODUK],J20,TRANSHARI8_ROKOKMALAM[QUANTITY])</f>
        <v>0</v>
      </c>
      <c r="X20" s="152">
        <f>SUMIF(TRANSHARI9_ROKOKPAGI[PRODUK],J20,TRANSHARI9_ROKOKPAGI[QUANTITY])+SUMIF(TRANSHARI9_ROKOKMALAM[PRODUK],J20,TRANSHARI9_ROKOKMALAM[QUANTITY])</f>
        <v>0</v>
      </c>
      <c r="Y20" s="152">
        <f>SUMIF(TRANSHARI10_ROKOKPAGI[PRODUK],J20,TRANSHARI10_ROKOKPAGI[QUANTITY])+SUMIF(TRANSHARI10_ROKOKMALAM[PRODUK],J20,TRANSHARI10_ROKOKMALAM[QUANTITY])</f>
        <v>0</v>
      </c>
      <c r="Z20" s="152">
        <f>SUMIF(TRANSHARI11_ROKOKPAGI[PRODUK],J20,TRANSHARI11_ROKOKPAGI[QUANTITY])+SUMIF(TRANSHARI11_ROKOKMALAM[PRODUK],J20,TRANSHARI11_ROKOKMALAM[QUANTITY])</f>
        <v>0</v>
      </c>
      <c r="AA20" s="152">
        <f t="shared" si="0"/>
        <v>0</v>
      </c>
      <c r="AB20" s="152">
        <f t="shared" si="1"/>
        <v>0</v>
      </c>
      <c r="AC20" s="176">
        <f t="shared" si="2"/>
        <v>0</v>
      </c>
      <c r="AE20" s="177" t="str">
        <f>'DATA PRODUK'!R17</f>
        <v>SP TRI 8.5 GB</v>
      </c>
      <c r="AF20" s="178">
        <f>'DATA PRODUK'!S17</f>
        <v>35000</v>
      </c>
      <c r="AG20" s="152"/>
      <c r="AH20" s="152"/>
      <c r="AI20" s="152"/>
      <c r="AJ20" s="152"/>
      <c r="AK20" s="152">
        <f>SUMIF(TRANSHARI1_SPVOUPAGI[PRODUK],AE20,TRANSHARI1_SPVOUPAGI[QUANTITY])+SUMIF(TRANSHARI1_SPVOUMALAM[PRODUK],AE20,TRANSHARI1_SPVOUMALAM[QUANTITY])</f>
        <v>0</v>
      </c>
      <c r="AL20" s="152">
        <f>SUMIF(TRANSHARI2_SPVOUPAGI[PRODUK],AE20,TRANSHARI2_SPVOUPAGI[QUANTITY])+SUMIF(TRANSHARI2_SPVOUMALAM[PRODUK],AE20,TRANSHARI2_SPVOUMALAM[QUANTITY])</f>
        <v>0</v>
      </c>
      <c r="AM20" s="152">
        <f>SUMIF(TRANSHARI3_SPVOUPAGI[PRODUK],AE20,TRANSHARI3_SPVOUPAGI[QUANTITY])+SUMIF(TRANSHARI3_SPVOUMALAM[PRODUK],AE20,TRANSHARI3_SPVOUMALAM[QUANTITY])</f>
        <v>0</v>
      </c>
      <c r="AN20" s="152">
        <f>SUMIF(TRANSHARI4_SPVOUPAGI[PRODUK],AE20,TRANSHARI4_SPVOUPAGI[QUANTITY])+SUMIF(TRANSHARI4_SPVOUMALAM[PRODUK],AE20,TRANSHARI4_SPVOUMALAM[QUANTITY])</f>
        <v>0</v>
      </c>
      <c r="AO20" s="152">
        <f>SUMIF(TRANSHARI5_SPVOUPAGI[PRODUK],AE20,TRANSHARI5_SPVOUPAGI[QUANTITY])+SUMIF(TRANSHARI5_SPVOUMALAM[PRODUK],AE20,TRANSHARI5_SPVOUMALAM[QUANTITY])</f>
        <v>0</v>
      </c>
      <c r="AP20" s="152">
        <f>SUMIF(TRANSHARI6_SPVOUPAGI[PRODUK],AE20,TRANSHARI6_SPVOUPAGI[QUANTITY])+SUMIF(TRANSHARI6_SPVOUMALAM[PRODUK],AE20,TRANSHARI6_SPVOUMALAM[QUANTITY])</f>
        <v>0</v>
      </c>
      <c r="AQ20" s="152">
        <f>SUMIF(TRANSHARI7_SPVOUPAGI[PRODUK],AE20,TRANSHARI7_SPVOUPAGI[QUANTITY])+SUMIF(TRANSHARI7_SPVOUMALAM[PRODUK],AE20,TRANSHARI7_SPVOUMALAM[QUANTITY])</f>
        <v>0</v>
      </c>
      <c r="AR20" s="152">
        <f>SUMIF(TRANSHARI8_SPVOUPAGI[PRODUK],AE20,TRANSHARI8_SPVOUPAGI[QUANTITY])+SUMIF(TRANSHARI8_SPVOUMALAM[PRODUK],AE20,TRANSHARI8_SPVOUMALAM[QUANTITY])</f>
        <v>0</v>
      </c>
      <c r="AS20" s="152">
        <f>SUMIF(TRANSHARI9_SPVOUPAGI[PRODUK],AE20,TRANSHARI9_SPVOUPAGI[QUANTITY])+SUMIF(TRANSHARI9_SPVOUMALAM[PRODUK],AE20,TRANSHARI9_SPVOUMALAM[QUANTITY])</f>
        <v>0</v>
      </c>
      <c r="AT20" s="152">
        <f>SUMIF(TRANSHARI10_SPVOUPAGI[PRODUK],AE20,TRANSHARI10_SPVOUPAGI[QUANTITY])+SUMIF(TRANSHARI10_SPVOUMALAM[PRODUK],AE20,TRANSHARI10_SPVOUMALAM[QUANTITY])</f>
        <v>0</v>
      </c>
      <c r="AU20" s="152">
        <f>SUMIF(TRANSHARI11_SPVOUPAGI[PRODUK],AE20,TRANSHARI11_SPVOUPAGI[QUANTITY])+SUMIF(TRANSHARI11_SPVOUMALAM[PRODUK],AE20,TRANSHARI11_SPVOUMALAM[QUANTITY])</f>
        <v>0</v>
      </c>
      <c r="AV20" s="152">
        <f t="shared" si="3"/>
        <v>0</v>
      </c>
      <c r="AW20" s="152">
        <f t="shared" si="4"/>
        <v>0</v>
      </c>
      <c r="AX20" s="176">
        <f t="shared" si="5"/>
        <v>0</v>
      </c>
      <c r="AZ20" s="188" t="str">
        <f>'DATA PRODUK'!AF17</f>
        <v>COCA-COLA (ALL)</v>
      </c>
      <c r="BA20" s="89">
        <f>'DATA PRODUK'!AG17</f>
        <v>5000</v>
      </c>
      <c r="BB20" s="152"/>
      <c r="BC20" s="152"/>
      <c r="BD20" s="152"/>
      <c r="BE20" s="152"/>
      <c r="BF20" s="152">
        <f>SUMIF(TRANSHARI1_SOFTDRINKPAGI[PRODUK],AZ20,TRANSHARI1_SOFTDRINKPAGI[QUANTITY])+SUMIF(TRANSHARI1_SOFTDRINKMALAM[PRODUK],AZ20,TRANSHARI1_SOFTDRINKMALAM[QUANTITY])</f>
        <v>0</v>
      </c>
      <c r="BG20" s="152">
        <f>SUMIF(TRANSHARI2_SOFTDRINKPAGI[PRODUK],AZ20,TRANSHARI2_SOFTDRINKPAGI[QUANTITY])+SUMIF(TRANSHARI2_SOFTDRINKMALAM[PRODUK],AZ20,TRANSHARI2_SOFTDRINKMALAM[QUANTITY])</f>
        <v>1</v>
      </c>
      <c r="BH20" s="152">
        <f>SUMIF(TRANSHARI3_SOFTDRINKPAGI[PRODUK],AZ20,TRANSHARI3_SOFTDRINKPAGI[QUANTITY])+SUMIF(TRANSHARI3_SOFTDRINKMALAM[PRODUK],AZ20,TRANSHARI3_SOFTDRINKMALAM[QUANTITY])</f>
        <v>0</v>
      </c>
      <c r="BI20" s="152">
        <f>SUMIF(TRANSHARI4_SOFTDRINKPAGI[PRODUK],AZ20,TRANSHARI4_SOFTDRINKPAGI[QUANTITY])+SUMIF(TRANSHARI4_SOFTDRINKMALAM[PRODUK],AZ20,TRANSHARI4_SOFTDRINKMALAM[QUANTITY])</f>
        <v>0</v>
      </c>
      <c r="BJ20" s="152">
        <f>SUMIF(TRANSHARI5_SOFTDRINKPAGI[PRODUK],AZ20,TRANSHARI5_SOFTDRINKPAGI[QUANTITY])+SUMIF(TRANSHARI5_SOFTDRINKMALAM[PRODUK],AZ20,TRANSHARI5_SOFTDRINKMALAM[QUANTITY])</f>
        <v>0</v>
      </c>
      <c r="BK20" s="152">
        <f>SUMIF(TRANSHARI6_SOFTDRINKPAGI[PRODUK],AZ20,TRANSHARI6_SOFTDRINKPAGI[QUANTITY])+SUMIF(TRANSHARI6_SOFTDRINKMALAM[PRODUK],AZ20,TRANSHARI6_SOFTDRINKMALAM[QUANTITY])</f>
        <v>0</v>
      </c>
      <c r="BL20" s="152">
        <f>SUMIF(TRANSHARI7_SOFTDRINKPAGI[PRODUK],AZ20,TRANSHARI7_SOFTDRINKPAGI[QUANTITY])+SUMIF(TRANSHARI7_SOFTDRINKMALAM[PRODUK],AZ20,TRANSHARI7_SOFTDRINKMALAM[QUANTITY])</f>
        <v>0</v>
      </c>
      <c r="BM20" s="152">
        <f>SUMIF(TRANSHARI8_SOFTDRINKPAGI[PRODUK],AZ20,TRANSHARI8_SOFTDRINKPAGI[QUANTITY])+SUMIF(TRANSHARI8_SOFTDRINKMALAM[PRODUK],AZ20,TRANSHARI8_SOFTDRINKMALAM[QUANTITY])</f>
        <v>0</v>
      </c>
      <c r="BN20" s="152">
        <f>SUMIF(TRANSHARI9_SOFTDRINKPAGI[PRODUK],AZ20,TRANSHARI9_SOFTDRINKPAGI[QUANTITY])+SUMIF(TRANSHARI9_SOFTDRINKMALAM[PRODUK],AZ20,TRANSHARI9_SOFTDRINKMALAM[QUANTITY])</f>
        <v>0</v>
      </c>
      <c r="BO20" s="152">
        <f>SUMIF(TRANSHARI10_SOFTDRINKPAGI[PRODUK],AZ20,TRANSHARI10_SOFTDRINKPAGI[QUANTITY])+SUMIF(TRANSHARI10_SOFTDRINKMALAM[PRODUK],AZ20,TRANSHARI10_SOFTDRINKMALAM[QUANTITY])</f>
        <v>0</v>
      </c>
      <c r="BP20" s="152">
        <f>SUMIF(TRANSHARI11_SOFTDRINKPAGI[PRODUK],AZ20,TRANSHARI11_SOFTDRINKPAGI[QUANTITY])+SUMIF(TRANSHARI11_SOFTDRINKMALAM[PRODUK],AZ20,TRANSHARI11_SOFTDRINKMALAM[QUANTITY])</f>
        <v>0</v>
      </c>
      <c r="BQ20" s="152">
        <f t="shared" si="6"/>
        <v>1</v>
      </c>
      <c r="BR20" s="152">
        <f t="shared" si="7"/>
        <v>-1</v>
      </c>
      <c r="BS20" s="176">
        <f t="shared" si="8"/>
        <v>5000</v>
      </c>
      <c r="BU20" s="174" t="str">
        <f>'DATA PRODUK'!AT17</f>
        <v>(Waku-Waku) Ice Lolly Lychee Melon</v>
      </c>
      <c r="BV20" s="178">
        <f>'DATA PRODUK'!AU17</f>
        <v>2000</v>
      </c>
      <c r="BW20" s="152"/>
      <c r="BX20" s="152"/>
      <c r="BY20" s="152"/>
      <c r="BZ20" s="152"/>
      <c r="CA20" s="152">
        <f>SUMIF(TRANSHARI1_ICECREAMPAGI[PRODUK],BU20,TRANSHARI1_ICECREAMPAGI[QUANTITY])+SUMIF(TRANSHARI1_ICECREAMMALAM[PRODUK],BU20,TRANSHARI1_ICECREAMMALAM[QUANTITY])</f>
        <v>0</v>
      </c>
      <c r="CB20" s="152">
        <f>SUMIF(TRANSHARI2_ICECREAMPAGI[PRODUK],BU20,TRANSHARI2_ICECREAMPAGI[QUANTITY])+SUMIF(TRANSHARI2_ICECREAMMALAM[PRODUK],BU20,TRANSHARI2_ICECREAMMALAM[QUANTITY])</f>
        <v>0</v>
      </c>
      <c r="CC20" s="152">
        <f>SUMIF(TRANSHARI3_ICECREAMPAGI[PRODUK],BU20,TRANSHARI3_ICECREAMPAGI[QUANTITY])+SUMIF(TRANSHARI3_ICECREAMMALAM[PRODUK],BU20,TRANSHARI3_ICECREAMMALAM[QUANTITY])</f>
        <v>0</v>
      </c>
      <c r="CD20" s="152">
        <f>SUMIF(TRANSHARI4_ICECREAMPAGI[PRODUK],BU20,TRANSHARI4_ICECREAMPAGI[QUANTITY])+SUMIF(TRANSHARI4_ICECREAMMALAM[PRODUK],BU20,TRANSHARI4_ICECREAMMALAM[QUANTITY])</f>
        <v>0</v>
      </c>
      <c r="CE20" s="152">
        <f>SUMIF(TRANSHARI5_ICECREAMPAGI[PRODUK],BU20,TRANSHARI5_ICECREAMPAGI[QUANTITY])+SUMIF(TRANSHARI5_ICECREAMMALAM[PRODUK],BU20,TRANSHARI5_ICECREAMMALAM[QUANTITY])</f>
        <v>0</v>
      </c>
      <c r="CF20" s="152">
        <f>SUMIF(TRANSHARI6_ICECREAMPAGI[PRODUK],BU20,TRANSHARI6_ICECREAMPAGI[QUANTITY])+SUMIF(TRANSHARI6_ICECREAMMALAM[PRODUK],BU20,TRANSHARI6_ICECREAMMALAM[QUANTITY])</f>
        <v>0</v>
      </c>
      <c r="CG20" s="152">
        <f>SUMIF(TRANSHARI7_ICECREAMPAGI[PRODUK],BU20,TRANSHARI7_ICECREAMPAGI[QUANTITY])+SUMIF(TRANSHARI7_ICECREAMMALAM[PRODUK],BU20,TRANSHARI7_ICECREAMMALAM[QUANTITY])</f>
        <v>0</v>
      </c>
      <c r="CH20" s="152">
        <f>SUMIF(TRANSHARI8_ICECREAMPAGI[PRODUK],BU20,TRANSHARI8_ICECREAMPAGI[QUANTITY])+SUMIF(TRANSHARI8_ICECREAMMALAM[PRODUK],BU20,TRANSHARI8_ICECREAMMALAM[QUANTITY])</f>
        <v>0</v>
      </c>
      <c r="CI20" s="152">
        <f>SUMIF(TRANSHARI9_ICECREAMPAGI[PRODUK],BU20,TRANSHARI9_ICECREAMPAGI[QUANTITY])+SUMIF(TRANSHARI9_ICECREAMMALAM[PRODUK],BU20,TRANSHARI9_ICECREAMMALAM[QUANTITY])</f>
        <v>0</v>
      </c>
      <c r="CJ20" s="152">
        <f>SUMIF(TRANSHARI10_ICECREAMPAGI[PRODUK],BU20,TRANSHARI10_ICECREAMPAGI[QUANTITY])+SUMIF(TRANSHARI10_ICECREAMMALAM[PRODUK],BU20,TRANSHARI10_ICECREAMMALAM[QUANTITY])</f>
        <v>0</v>
      </c>
      <c r="CK20" s="152">
        <f>SUMIF(TRANSHARI11_ICECREAMPAGI[PRODUK],BU20,TRANSHARI11_ICECREAMPAGI[QUANTITY])+SUMIF(TRANSHARI11_ICECREAMMALAM[PRODUK],BU20,TRANSHARI11_ICECREAMMALAM[QUANTITY])</f>
        <v>0</v>
      </c>
      <c r="CL20" s="152">
        <f t="shared" si="9"/>
        <v>0</v>
      </c>
      <c r="CM20" s="152">
        <f t="shared" si="10"/>
        <v>0</v>
      </c>
      <c r="CN20" s="176">
        <f t="shared" si="11"/>
        <v>0</v>
      </c>
      <c r="CP20" s="174" t="str">
        <f>'DATA PRODUK'!BH17</f>
        <v>(K.D)(Micro)(Braided) Rexi KSC1-M</v>
      </c>
      <c r="CQ20" s="178">
        <f>'DATA PRODUK'!BI17</f>
        <v>40000</v>
      </c>
      <c r="CR20" s="152"/>
      <c r="CS20" s="152"/>
      <c r="CT20" s="152"/>
      <c r="CU20" s="152"/>
      <c r="CV20" s="152">
        <f>SUMIF(TRANSHARI1_ACCPAGI[PRODUK],CP20,TRANSHARI1_ACCPAGI[QUANTITY])+SUMIF(TRANSHARI1_ACCMALAM[PRODUK],CP20,TRANSHARI1_ACCMALAM[QUANTITY])</f>
        <v>0</v>
      </c>
      <c r="CW20" s="152">
        <f>SUMIF(TRANSHARI2_ACCPAGI[PRODUK],CP20,TRANSHARI2_ACCPAGI[QUANTITY])+SUMIF(TRANSHARI2_ACCMALAM[PRODUK],CP20,TRANSHARI2_ACCMALAM[QUANTITY])</f>
        <v>0</v>
      </c>
      <c r="CX20" s="152">
        <f>SUMIF(TRANSHARI3_ACCPAGI[PRODUK],CP20,TRANSHARI3_ACCPAGI[QUANTITY])+SUMIF(TRANSHARI3_ACCMALAM[PRODUK],CP20,TRANSHARI3_ACCMALAM[QUANTITY])</f>
        <v>0</v>
      </c>
      <c r="CY20" s="152">
        <f>SUMIF(TRANSHARI4_ACCPAGI[PRODUK],CP20,TRANSHARI4_ACCPAGI[QUANTITY])+SUMIF(TRANSHARI4_ACCMALAM[PRODUK],CP20,TRANSHARI4_ACCMALAM[QUANTITY])</f>
        <v>0</v>
      </c>
      <c r="CZ20" s="152">
        <f>SUMIF(TRANSHARI5_ACCPAGI[PRODUK],CP20,TRANSHARI5_ACCPAGI[QUANTITY])+SUMIF(TRANSHARI5_ACCMALAM[PRODUK],CP20,TRANSHARI5_ACCMALAM[QUANTITY])</f>
        <v>0</v>
      </c>
      <c r="DA20" s="152">
        <f>SUMIF(TRANSHARI6_ACCPAGI[PRODUK],CP20,TRANSHARI6_ACCPAGI[QUANTITY])+SUMIF(TRANSHARI6_ACCMALAM[PRODUK],CP20,TRANSHARI6_ACCMALAM[QUANTITY])</f>
        <v>0</v>
      </c>
      <c r="DB20" s="152">
        <f>SUMIF(TRANSHARI7_ACCPAGI[PRODUK],CP20,TRANSHARI7_ACCPAGI[QUANTITY])+SUMIF(TRANSHARI7_ACCMALAM[PRODUK],CP20,TRANSHARI7_ACCMALAM[QUANTITY])</f>
        <v>0</v>
      </c>
      <c r="DC20" s="152">
        <f>SUMIF(TRANSHARI8_ACCPAGI[PRODUK],CP20,TRANSHARI8_ACCPAGI[QUANTITY])+SUMIF(TRANSHARI8_ACCMALAM[PRODUK],CP20,TRANSHARI8_ACCMALAM[QUANTITY])</f>
        <v>0</v>
      </c>
      <c r="DD20" s="152">
        <f>SUMIF(TRANSHARI9_ACCPAGI[PRODUK],CP20,TRANSHARI9_ACCPAGI[QUANTITY])+SUMIF(TRANSHARI9_ACCMALAM[PRODUK],CP20,TRANSHARI9_ACCMALAM[QUANTITY])</f>
        <v>0</v>
      </c>
      <c r="DE20" s="152">
        <f>SUMIF(TRANSHARI10_ACCPAGI[PRODUK],CP20,TRANSHARI10_ACCPAGI[QUANTITY])+SUMIF(TRANSHARI10_ACCMALAM[PRODUK],CP20,TRANSHARI10_ACCMALAM[QUANTITY])</f>
        <v>0</v>
      </c>
      <c r="DF20" s="152">
        <f>SUMIF(TRANSHARI11_ACCPAGI[PRODUK],CP20,TRANSHARI11_ACCPAGI[QUANTITY])+SUMIF(TRANSHARI11_ACCMALAM[PRODUK],CP20,TRANSHARI11_ACCMALAM[QUANTITY])</f>
        <v>0</v>
      </c>
      <c r="DG20" s="152">
        <f t="shared" si="12"/>
        <v>0</v>
      </c>
      <c r="DH20" s="152">
        <f t="shared" si="13"/>
        <v>0</v>
      </c>
      <c r="DI20" s="176">
        <f t="shared" si="14"/>
        <v>0</v>
      </c>
      <c r="DK20" s="188" t="str">
        <f>'DATA PRODUK'!BV17</f>
        <v>(WATCH) ANTI-BLUE</v>
      </c>
      <c r="DL20" s="89">
        <f>'DATA PRODUK'!BW17</f>
        <v>0</v>
      </c>
      <c r="DM20" s="152"/>
      <c r="DN20" s="152"/>
      <c r="DO20" s="152"/>
      <c r="DP20" s="152"/>
      <c r="DQ20" s="152">
        <f>SUMIF(TRANSHARI1_HYDROPAGI[PRODUK],DK20,TRANSHARI1_HYDROPAGI[QUANTITY])+SUMIF(TRANSHARI1_HYDROMALAM[PRODUK],DK20,TRANSHARI1_HYDROMALAM[QUANTITY])</f>
        <v>0</v>
      </c>
      <c r="DR20" s="152">
        <f>SUMIF(TRANSHARI2_HYDROPAGI[PRODUK],DK20,TRANSHARI2_HYDROPAGI[QUANTITY])+SUMIF(TRANSHARI2_HYDROMALAM[PRODUK],DK20,TRANSHARI2_HYDROMALAM[QUANTITY])</f>
        <v>0</v>
      </c>
      <c r="DS20" s="152">
        <f>SUMIF(TRANSHARI3_HYDROPAGI[PRODUK],DK20,TRANSHARI3_HYDROPAGI[QUANTITY])+SUMIF(TRANSHARI3_HYDROMALAM[PRODUK],DK20,TRANSHARI3_HYDROMALAM[QUANTITY])</f>
        <v>0</v>
      </c>
      <c r="DT20" s="152">
        <f>SUMIF(TRANSHARI4_HYDROPAGI[PRODUK],DK20,TRANSHARI4_HYDROPAGI[QUANTITY])+SUMIF(TRANSHARI4_HYDROMALAM[PRODUK],DK20,TRANSHARI4_HYDROMALAM[QUANTITY])</f>
        <v>0</v>
      </c>
      <c r="DU20" s="152">
        <f>SUMIF(TRANSHARI5_HYDROPAGI[PRODUK],DK20,TRANSHARI5_HYDROPAGI[QUANTITY])+SUMIF(TRANSHARI5_HYDROMALAM[PRODUK],DK20,TRANSHARI5_HYDROMALAM[QUANTITY])</f>
        <v>0</v>
      </c>
      <c r="DV20" s="152">
        <f>SUMIF(TRANSHARI6_HYDROPAGI[PRODUK],DK20,TRANSHARI6_HYDROPAGI[QUANTITY])+SUMIF(TRANSHARI6_HYDROMALAM[PRODUK],DK20,TRANSHARI6_HYDROMALAM[QUANTITY])</f>
        <v>0</v>
      </c>
      <c r="DW20" s="152">
        <f>SUMIF(TRANSHARI7_HYDROPAGI[PRODUK],DK20,TRANSHARI7_HYDROPAGI[QUANTITY])+SUMIF(TRANSHARI7_HYDROMALAM[PRODUK],DK20,TRANSHARI7_HYDROMALAM[QUANTITY])</f>
        <v>0</v>
      </c>
      <c r="DX20" s="152">
        <f>SUMIF(TRANSHARI8_HYDROPAGI[PRODUK],DK20,TRANSHARI8_HYDROPAGI[QUANTITY])+SUMIF(TRANSHARI8_HYDROMALAM[PRODUK],DK20,TRANSHARI8_HYDROMALAM[QUANTITY])</f>
        <v>0</v>
      </c>
      <c r="DY20" s="152">
        <f>SUMIF(TRANSHARI9_HYDROPAGI[PRODUK],DK20,TRANSHARI9_HYDROPAGI[QUANTITY])+SUMIF(TRANSHARI9_HYDROMALAM[PRODUK],DK20,TRANSHARI9_HYDROMALAM[QUANTITY])</f>
        <v>0</v>
      </c>
      <c r="DZ20" s="152">
        <f>SUMIF(TRANSHARI10_HYDROPAGI[PRODUK],DK20,TRANSHARI10_HYDROPAGI[QUANTITY])+SUMIF(TRANSHARI10_HYDROMALAM[PRODUK],DK20,TRANSHARI10_HYDROMALAM[QUANTITY])</f>
        <v>0</v>
      </c>
      <c r="EA20" s="152">
        <f>SUMIF(TRANSHARI11_HYDROPAGI[PRODUK],DK20,TRANSHARI11_HYDROPAGI[QUANTITY])+SUMIF(TRANSHARI11_HYDROMALAM[PRODUK],DK20,TRANSHARI11_HYDROMALAM[QUANTITY])</f>
        <v>0</v>
      </c>
      <c r="EB20" s="152">
        <f t="shared" si="15"/>
        <v>0</v>
      </c>
      <c r="EC20" s="152">
        <f t="shared" si="16"/>
        <v>0</v>
      </c>
      <c r="ED20" s="176">
        <f t="shared" si="17"/>
        <v>0</v>
      </c>
    </row>
    <row r="21" ht="18" spans="4:134">
      <c r="D21" s="120">
        <v>8</v>
      </c>
      <c r="E21" s="121">
        <f>'HARI 8'!L30+'HARI 8'!AA30</f>
        <v>0</v>
      </c>
      <c r="F21" s="122">
        <f>'HARI 8'!L31+'HARI 8'!AA31</f>
        <v>0</v>
      </c>
      <c r="G21" s="122">
        <f>'HARI 8'!L32+'HARI 8'!AA32</f>
        <v>0</v>
      </c>
      <c r="J21" s="24" t="str">
        <f>'DATA PRODUK'!D18</f>
        <v>SAMPOERNA KRETEK</v>
      </c>
      <c r="K21" s="150">
        <f>'DATA PRODUK'!E18</f>
        <v>16000</v>
      </c>
      <c r="L21" s="12"/>
      <c r="M21" s="12"/>
      <c r="N21" s="12"/>
      <c r="O21" s="12"/>
      <c r="P21" s="12">
        <f>SUMIF(TRANSHARI1_ROKOKPAGI[PRODUK],J21,TRANSHARI1_ROKOKPAGI[QUANTITY])+SUMIF(TRANSHARI1_ROKOKMALAM[PRODUK],J21,TRANSHARI1_ROKOKMALAM[QUANTITY])</f>
        <v>0</v>
      </c>
      <c r="Q21" s="12">
        <f>SUMIF(TRANSHARI2_ROKOKPAGI[PRODUK],J21,TRANSHARI2_ROKOKPAGI[QUANTITY])+SUMIF(TRANSHARI2_ROKOKMALAM[PRODUK],J21,TRANSHARI2_ROKOKMALAM[QUANTITY])</f>
        <v>0</v>
      </c>
      <c r="R21" s="12">
        <f>SUMIF(TRANSHARI3_ROKOKPAGI[PRODUK],J21,TRANSHARI3_ROKOKPAGI[QUANTITY])+SUMIF(TRANSHARI3_ROKOKMALAM[PRODUK],J21,TRANSHARI3_ROKOKMALAM[QUANTITY])</f>
        <v>0</v>
      </c>
      <c r="S21" s="12">
        <f>SUMIF(TRANSHARI4_ROKOKPAGI[PRODUK],J21,TRANSHARI4_ROKOKPAGI[QUANTITY])+SUMIF(TRANSHARI4_ROKOKMALAM[PRODUK],J21,TRANSHARI4_ROKOKMALAM[QUANTITY])</f>
        <v>0</v>
      </c>
      <c r="T21" s="12">
        <f>SUMIF(TRANSHARI5_ROKOKPAGI[PRODUK],J21,TRANSHARI5_ROKOKPAGI[QUANTITY])+SUMIF(TRANSHARI5_ROKOKMALAM[PRODUK],J21,TRANSHARI5_ROKOKMALAM[QUANTITY])</f>
        <v>0</v>
      </c>
      <c r="U21" s="12">
        <f>SUMIF(TRANSHARI6_ROKOKPAGI[PRODUK],J21,TRANSHARI6_ROKOKPAGI[QUANTITY])+SUMIF(TRANSHARI6_ROKOKMALAM[PRODUK],J21,TRANSHARI6_ROKOKMALAM[QUANTITY])</f>
        <v>0</v>
      </c>
      <c r="V21" s="12">
        <f>SUMIF(TRANSHARI7_ROKOKPAGI[PRODUK],J21,TRANSHARI7_ROKOKPAGI[QUANTITY])+SUMIF(TRANSHARI7_ROKOKMALAM[PRODUK],J21,TRANSHARI7_ROKOKMALAM[QUANTITY])</f>
        <v>0</v>
      </c>
      <c r="W21" s="12">
        <f>SUMIF(TRANSHARI8_ROKOKPAGI[PRODUK],J21,TRANSHARI8_ROKOKPAGI[QUANTITY])+SUMIF(TRANSHARI8_ROKOKMALAM[PRODUK],J21,TRANSHARI8_ROKOKMALAM[QUANTITY])</f>
        <v>0</v>
      </c>
      <c r="X21" s="12">
        <f>SUMIF(TRANSHARI9_ROKOKPAGI[PRODUK],J21,TRANSHARI9_ROKOKPAGI[QUANTITY])+SUMIF(TRANSHARI9_ROKOKMALAM[PRODUK],J21,TRANSHARI9_ROKOKMALAM[QUANTITY])</f>
        <v>0</v>
      </c>
      <c r="Y21" s="12">
        <f>SUMIF(TRANSHARI10_ROKOKPAGI[PRODUK],J21,TRANSHARI10_ROKOKPAGI[QUANTITY])+SUMIF(TRANSHARI10_ROKOKMALAM[PRODUK],J21,TRANSHARI10_ROKOKMALAM[QUANTITY])</f>
        <v>0</v>
      </c>
      <c r="Z21" s="12">
        <f>SUMIF(TRANSHARI11_ROKOKPAGI[PRODUK],J21,TRANSHARI11_ROKOKPAGI[QUANTITY])+SUMIF(TRANSHARI11_ROKOKMALAM[PRODUK],J21,TRANSHARI11_ROKOKMALAM[QUANTITY])</f>
        <v>0</v>
      </c>
      <c r="AA21" s="12">
        <f t="shared" si="0"/>
        <v>0</v>
      </c>
      <c r="AB21" s="12">
        <f t="shared" si="1"/>
        <v>0</v>
      </c>
      <c r="AC21" s="173">
        <f t="shared" si="2"/>
        <v>0</v>
      </c>
      <c r="AE21" s="174" t="str">
        <f>'DATA PRODUK'!R18</f>
        <v>SP TRI 14.5 GB </v>
      </c>
      <c r="AF21" s="175">
        <f>'DATA PRODUK'!S18</f>
        <v>45000</v>
      </c>
      <c r="AG21" s="12"/>
      <c r="AH21" s="12"/>
      <c r="AI21" s="12"/>
      <c r="AJ21" s="12"/>
      <c r="AK21" s="12">
        <f>SUMIF(TRANSHARI1_SPVOUPAGI[PRODUK],AE21,TRANSHARI1_SPVOUPAGI[QUANTITY])+SUMIF(TRANSHARI1_SPVOUMALAM[PRODUK],AE21,TRANSHARI1_SPVOUMALAM[QUANTITY])</f>
        <v>0</v>
      </c>
      <c r="AL21" s="12">
        <f>SUMIF(TRANSHARI2_SPVOUPAGI[PRODUK],AE21,TRANSHARI2_SPVOUPAGI[QUANTITY])+SUMIF(TRANSHARI2_SPVOUMALAM[PRODUK],AE21,TRANSHARI2_SPVOUMALAM[QUANTITY])</f>
        <v>0</v>
      </c>
      <c r="AM21" s="12">
        <f>SUMIF(TRANSHARI3_SPVOUPAGI[PRODUK],AE21,TRANSHARI3_SPVOUPAGI[QUANTITY])+SUMIF(TRANSHARI3_SPVOUMALAM[PRODUK],AE21,TRANSHARI3_SPVOUMALAM[QUANTITY])</f>
        <v>0</v>
      </c>
      <c r="AN21" s="12">
        <f>SUMIF(TRANSHARI4_SPVOUPAGI[PRODUK],AE21,TRANSHARI4_SPVOUPAGI[QUANTITY])+SUMIF(TRANSHARI4_SPVOUMALAM[PRODUK],AE21,TRANSHARI4_SPVOUMALAM[QUANTITY])</f>
        <v>0</v>
      </c>
      <c r="AO21" s="12">
        <f>SUMIF(TRANSHARI5_SPVOUPAGI[PRODUK],AE21,TRANSHARI5_SPVOUPAGI[QUANTITY])+SUMIF(TRANSHARI5_SPVOUMALAM[PRODUK],AE21,TRANSHARI5_SPVOUMALAM[QUANTITY])</f>
        <v>0</v>
      </c>
      <c r="AP21" s="12">
        <f>SUMIF(TRANSHARI6_SPVOUPAGI[PRODUK],AE21,TRANSHARI6_SPVOUPAGI[QUANTITY])+SUMIF(TRANSHARI6_SPVOUMALAM[PRODUK],AE21,TRANSHARI6_SPVOUMALAM[QUANTITY])</f>
        <v>0</v>
      </c>
      <c r="AQ21" s="12">
        <f>SUMIF(TRANSHARI7_SPVOUPAGI[PRODUK],AE21,TRANSHARI7_SPVOUPAGI[QUANTITY])+SUMIF(TRANSHARI7_SPVOUMALAM[PRODUK],AE21,TRANSHARI7_SPVOUMALAM[QUANTITY])</f>
        <v>0</v>
      </c>
      <c r="AR21" s="12">
        <f>SUMIF(TRANSHARI8_SPVOUPAGI[PRODUK],AE21,TRANSHARI8_SPVOUPAGI[QUANTITY])+SUMIF(TRANSHARI8_SPVOUMALAM[PRODUK],AE21,TRANSHARI8_SPVOUMALAM[QUANTITY])</f>
        <v>0</v>
      </c>
      <c r="AS21" s="12">
        <f>SUMIF(TRANSHARI9_SPVOUPAGI[PRODUK],AE21,TRANSHARI9_SPVOUPAGI[QUANTITY])+SUMIF(TRANSHARI9_SPVOUMALAM[PRODUK],AE21,TRANSHARI9_SPVOUMALAM[QUANTITY])</f>
        <v>0</v>
      </c>
      <c r="AT21" s="12">
        <f>SUMIF(TRANSHARI10_SPVOUPAGI[PRODUK],AE21,TRANSHARI10_SPVOUPAGI[QUANTITY])+SUMIF(TRANSHARI10_SPVOUMALAM[PRODUK],AE21,TRANSHARI10_SPVOUMALAM[QUANTITY])</f>
        <v>0</v>
      </c>
      <c r="AU21" s="12">
        <f>SUMIF(TRANSHARI11_SPVOUPAGI[PRODUK],AE21,TRANSHARI11_SPVOUPAGI[QUANTITY])+SUMIF(TRANSHARI11_SPVOUMALAM[PRODUK],AE21,TRANSHARI11_SPVOUMALAM[QUANTITY])</f>
        <v>0</v>
      </c>
      <c r="AV21" s="12">
        <f t="shared" si="3"/>
        <v>0</v>
      </c>
      <c r="AW21" s="12">
        <f t="shared" si="4"/>
        <v>0</v>
      </c>
      <c r="AX21" s="173">
        <f t="shared" si="5"/>
        <v>0</v>
      </c>
      <c r="AZ21" s="187" t="str">
        <f>'DATA PRODUK'!AF18</f>
        <v>NUTRIBOOST Strawberry</v>
      </c>
      <c r="BA21" s="87">
        <f>'DATA PRODUK'!AG18</f>
        <v>7000</v>
      </c>
      <c r="BB21" s="12"/>
      <c r="BC21" s="12"/>
      <c r="BD21" s="12"/>
      <c r="BE21" s="12"/>
      <c r="BF21" s="12">
        <f>SUMIF(TRANSHARI1_SOFTDRINKPAGI[PRODUK],AZ21,TRANSHARI1_SOFTDRINKPAGI[QUANTITY])+SUMIF(TRANSHARI1_SOFTDRINKMALAM[PRODUK],AZ21,TRANSHARI1_SOFTDRINKMALAM[QUANTITY])</f>
        <v>1</v>
      </c>
      <c r="BG21" s="12">
        <f>SUMIF(TRANSHARI2_SOFTDRINKPAGI[PRODUK],AZ21,TRANSHARI2_SOFTDRINKPAGI[QUANTITY])+SUMIF(TRANSHARI2_SOFTDRINKMALAM[PRODUK],AZ21,TRANSHARI2_SOFTDRINKMALAM[QUANTITY])</f>
        <v>0</v>
      </c>
      <c r="BH21" s="12">
        <f>SUMIF(TRANSHARI3_SOFTDRINKPAGI[PRODUK],AZ21,TRANSHARI3_SOFTDRINKPAGI[QUANTITY])+SUMIF(TRANSHARI3_SOFTDRINKMALAM[PRODUK],AZ21,TRANSHARI3_SOFTDRINKMALAM[QUANTITY])</f>
        <v>0</v>
      </c>
      <c r="BI21" s="12">
        <f>SUMIF(TRANSHARI4_SOFTDRINKPAGI[PRODUK],AZ21,TRANSHARI4_SOFTDRINKPAGI[QUANTITY])+SUMIF(TRANSHARI4_SOFTDRINKMALAM[PRODUK],AZ21,TRANSHARI4_SOFTDRINKMALAM[QUANTITY])</f>
        <v>0</v>
      </c>
      <c r="BJ21" s="12">
        <f>SUMIF(TRANSHARI5_SOFTDRINKPAGI[PRODUK],AZ21,TRANSHARI5_SOFTDRINKPAGI[QUANTITY])+SUMIF(TRANSHARI5_SOFTDRINKMALAM[PRODUK],AZ21,TRANSHARI5_SOFTDRINKMALAM[QUANTITY])</f>
        <v>0</v>
      </c>
      <c r="BK21" s="12">
        <f>SUMIF(TRANSHARI6_SOFTDRINKPAGI[PRODUK],AZ21,TRANSHARI6_SOFTDRINKPAGI[QUANTITY])+SUMIF(TRANSHARI6_SOFTDRINKMALAM[PRODUK],AZ21,TRANSHARI6_SOFTDRINKMALAM[QUANTITY])</f>
        <v>0</v>
      </c>
      <c r="BL21" s="12">
        <f>SUMIF(TRANSHARI7_SOFTDRINKPAGI[PRODUK],AZ21,TRANSHARI7_SOFTDRINKPAGI[QUANTITY])+SUMIF(TRANSHARI7_SOFTDRINKMALAM[PRODUK],AZ21,TRANSHARI7_SOFTDRINKMALAM[QUANTITY])</f>
        <v>0</v>
      </c>
      <c r="BM21" s="12">
        <f>SUMIF(TRANSHARI8_SOFTDRINKPAGI[PRODUK],AZ21,TRANSHARI8_SOFTDRINKPAGI[QUANTITY])+SUMIF(TRANSHARI8_SOFTDRINKMALAM[PRODUK],AZ21,TRANSHARI8_SOFTDRINKMALAM[QUANTITY])</f>
        <v>0</v>
      </c>
      <c r="BN21" s="12">
        <f>SUMIF(TRANSHARI9_SOFTDRINKPAGI[PRODUK],AZ21,TRANSHARI9_SOFTDRINKPAGI[QUANTITY])+SUMIF(TRANSHARI9_SOFTDRINKMALAM[PRODUK],AZ21,TRANSHARI9_SOFTDRINKMALAM[QUANTITY])</f>
        <v>0</v>
      </c>
      <c r="BO21" s="12">
        <f>SUMIF(TRANSHARI10_SOFTDRINKPAGI[PRODUK],AZ21,TRANSHARI10_SOFTDRINKPAGI[QUANTITY])+SUMIF(TRANSHARI10_SOFTDRINKMALAM[PRODUK],AZ21,TRANSHARI10_SOFTDRINKMALAM[QUANTITY])</f>
        <v>0</v>
      </c>
      <c r="BP21" s="12">
        <f>SUMIF(TRANSHARI11_SOFTDRINKPAGI[PRODUK],AZ21,TRANSHARI11_SOFTDRINKPAGI[QUANTITY])+SUMIF(TRANSHARI11_SOFTDRINKMALAM[PRODUK],AZ21,TRANSHARI11_SOFTDRINKMALAM[QUANTITY])</f>
        <v>0</v>
      </c>
      <c r="BQ21" s="12">
        <f t="shared" si="6"/>
        <v>1</v>
      </c>
      <c r="BR21" s="12">
        <f t="shared" si="7"/>
        <v>-1</v>
      </c>
      <c r="BS21" s="173">
        <f t="shared" si="8"/>
        <v>7000</v>
      </c>
      <c r="BU21" s="177" t="str">
        <f>'DATA PRODUK'!AT18</f>
        <v>(Waku-Waku) Ice Lolly Strawberry Guava</v>
      </c>
      <c r="BV21" s="175">
        <f>'DATA PRODUK'!AU18</f>
        <v>2000</v>
      </c>
      <c r="BW21" s="12"/>
      <c r="BX21" s="12"/>
      <c r="BY21" s="12"/>
      <c r="BZ21" s="12"/>
      <c r="CA21" s="12">
        <f>SUMIF(TRANSHARI1_ICECREAMPAGI[PRODUK],BU21,TRANSHARI1_ICECREAMPAGI[QUANTITY])+SUMIF(TRANSHARI1_ICECREAMMALAM[PRODUK],BU21,TRANSHARI1_ICECREAMMALAM[QUANTITY])</f>
        <v>0</v>
      </c>
      <c r="CB21" s="12">
        <f>SUMIF(TRANSHARI2_ICECREAMPAGI[PRODUK],BU21,TRANSHARI2_ICECREAMPAGI[QUANTITY])+SUMIF(TRANSHARI2_ICECREAMMALAM[PRODUK],BU21,TRANSHARI2_ICECREAMMALAM[QUANTITY])</f>
        <v>0</v>
      </c>
      <c r="CC21" s="12">
        <f>SUMIF(TRANSHARI3_ICECREAMPAGI[PRODUK],BU21,TRANSHARI3_ICECREAMPAGI[QUANTITY])+SUMIF(TRANSHARI3_ICECREAMMALAM[PRODUK],BU21,TRANSHARI3_ICECREAMMALAM[QUANTITY])</f>
        <v>0</v>
      </c>
      <c r="CD21" s="12">
        <f>SUMIF(TRANSHARI4_ICECREAMPAGI[PRODUK],BU21,TRANSHARI4_ICECREAMPAGI[QUANTITY])+SUMIF(TRANSHARI4_ICECREAMMALAM[PRODUK],BU21,TRANSHARI4_ICECREAMMALAM[QUANTITY])</f>
        <v>0</v>
      </c>
      <c r="CE21" s="12">
        <f>SUMIF(TRANSHARI5_ICECREAMPAGI[PRODUK],BU21,TRANSHARI5_ICECREAMPAGI[QUANTITY])+SUMIF(TRANSHARI5_ICECREAMMALAM[PRODUK],BU21,TRANSHARI5_ICECREAMMALAM[QUANTITY])</f>
        <v>0</v>
      </c>
      <c r="CF21" s="12">
        <f>SUMIF(TRANSHARI6_ICECREAMPAGI[PRODUK],BU21,TRANSHARI6_ICECREAMPAGI[QUANTITY])+SUMIF(TRANSHARI6_ICECREAMMALAM[PRODUK],BU21,TRANSHARI6_ICECREAMMALAM[QUANTITY])</f>
        <v>0</v>
      </c>
      <c r="CG21" s="12">
        <f>SUMIF(TRANSHARI7_ICECREAMPAGI[PRODUK],BU21,TRANSHARI7_ICECREAMPAGI[QUANTITY])+SUMIF(TRANSHARI7_ICECREAMMALAM[PRODUK],BU21,TRANSHARI7_ICECREAMMALAM[QUANTITY])</f>
        <v>0</v>
      </c>
      <c r="CH21" s="12">
        <f>SUMIF(TRANSHARI8_ICECREAMPAGI[PRODUK],BU21,TRANSHARI8_ICECREAMPAGI[QUANTITY])+SUMIF(TRANSHARI8_ICECREAMMALAM[PRODUK],BU21,TRANSHARI8_ICECREAMMALAM[QUANTITY])</f>
        <v>0</v>
      </c>
      <c r="CI21" s="12">
        <f>SUMIF(TRANSHARI9_ICECREAMPAGI[PRODUK],BU21,TRANSHARI9_ICECREAMPAGI[QUANTITY])+SUMIF(TRANSHARI9_ICECREAMMALAM[PRODUK],BU21,TRANSHARI9_ICECREAMMALAM[QUANTITY])</f>
        <v>0</v>
      </c>
      <c r="CJ21" s="12">
        <f>SUMIF(TRANSHARI10_ICECREAMPAGI[PRODUK],BU21,TRANSHARI10_ICECREAMPAGI[QUANTITY])+SUMIF(TRANSHARI10_ICECREAMMALAM[PRODUK],BU21,TRANSHARI10_ICECREAMMALAM[QUANTITY])</f>
        <v>0</v>
      </c>
      <c r="CK21" s="12">
        <f>SUMIF(TRANSHARI11_ICECREAMPAGI[PRODUK],BU21,TRANSHARI11_ICECREAMPAGI[QUANTITY])+SUMIF(TRANSHARI11_ICECREAMMALAM[PRODUK],BU21,TRANSHARI11_ICECREAMMALAM[QUANTITY])</f>
        <v>0</v>
      </c>
      <c r="CL21" s="12">
        <f t="shared" si="9"/>
        <v>0</v>
      </c>
      <c r="CM21" s="12">
        <f t="shared" si="10"/>
        <v>0</v>
      </c>
      <c r="CN21" s="173">
        <f t="shared" si="11"/>
        <v>0</v>
      </c>
      <c r="CP21" s="177" t="str">
        <f>'DATA PRODUK'!BH18</f>
        <v>(K.D)(Micro)(Braided) Vivan BTK-M/MS</v>
      </c>
      <c r="CQ21" s="175">
        <f>'DATA PRODUK'!BI18</f>
        <v>45000</v>
      </c>
      <c r="CR21" s="12"/>
      <c r="CS21" s="12"/>
      <c r="CT21" s="12"/>
      <c r="CU21" s="12"/>
      <c r="CV21" s="12">
        <f>SUMIF(TRANSHARI1_ACCPAGI[PRODUK],CP21,TRANSHARI1_ACCPAGI[QUANTITY])+SUMIF(TRANSHARI1_ACCMALAM[PRODUK],CP21,TRANSHARI1_ACCMALAM[QUANTITY])</f>
        <v>0</v>
      </c>
      <c r="CW21" s="12">
        <f>SUMIF(TRANSHARI2_ACCPAGI[PRODUK],CP21,TRANSHARI2_ACCPAGI[QUANTITY])+SUMIF(TRANSHARI2_ACCMALAM[PRODUK],CP21,TRANSHARI2_ACCMALAM[QUANTITY])</f>
        <v>0</v>
      </c>
      <c r="CX21" s="12">
        <f>SUMIF(TRANSHARI3_ACCPAGI[PRODUK],CP21,TRANSHARI3_ACCPAGI[QUANTITY])+SUMIF(TRANSHARI3_ACCMALAM[PRODUK],CP21,TRANSHARI3_ACCMALAM[QUANTITY])</f>
        <v>0</v>
      </c>
      <c r="CY21" s="12">
        <f>SUMIF(TRANSHARI4_ACCPAGI[PRODUK],CP21,TRANSHARI4_ACCPAGI[QUANTITY])+SUMIF(TRANSHARI4_ACCMALAM[PRODUK],CP21,TRANSHARI4_ACCMALAM[QUANTITY])</f>
        <v>0</v>
      </c>
      <c r="CZ21" s="12">
        <f>SUMIF(TRANSHARI5_ACCPAGI[PRODUK],CP21,TRANSHARI5_ACCPAGI[QUANTITY])+SUMIF(TRANSHARI5_ACCMALAM[PRODUK],CP21,TRANSHARI5_ACCMALAM[QUANTITY])</f>
        <v>0</v>
      </c>
      <c r="DA21" s="12">
        <f>SUMIF(TRANSHARI6_ACCPAGI[PRODUK],CP21,TRANSHARI6_ACCPAGI[QUANTITY])+SUMIF(TRANSHARI6_ACCMALAM[PRODUK],CP21,TRANSHARI6_ACCMALAM[QUANTITY])</f>
        <v>0</v>
      </c>
      <c r="DB21" s="12">
        <f>SUMIF(TRANSHARI7_ACCPAGI[PRODUK],CP21,TRANSHARI7_ACCPAGI[QUANTITY])+SUMIF(TRANSHARI7_ACCMALAM[PRODUK],CP21,TRANSHARI7_ACCMALAM[QUANTITY])</f>
        <v>0</v>
      </c>
      <c r="DC21" s="12">
        <f>SUMIF(TRANSHARI8_ACCPAGI[PRODUK],CP21,TRANSHARI8_ACCPAGI[QUANTITY])+SUMIF(TRANSHARI8_ACCMALAM[PRODUK],CP21,TRANSHARI8_ACCMALAM[QUANTITY])</f>
        <v>0</v>
      </c>
      <c r="DD21" s="12">
        <f>SUMIF(TRANSHARI9_ACCPAGI[PRODUK],CP21,TRANSHARI9_ACCPAGI[QUANTITY])+SUMIF(TRANSHARI9_ACCMALAM[PRODUK],CP21,TRANSHARI9_ACCMALAM[QUANTITY])</f>
        <v>0</v>
      </c>
      <c r="DE21" s="12">
        <f>SUMIF(TRANSHARI10_ACCPAGI[PRODUK],CP21,TRANSHARI10_ACCPAGI[QUANTITY])+SUMIF(TRANSHARI10_ACCMALAM[PRODUK],CP21,TRANSHARI10_ACCMALAM[QUANTITY])</f>
        <v>0</v>
      </c>
      <c r="DF21" s="12">
        <f>SUMIF(TRANSHARI11_ACCPAGI[PRODUK],CP21,TRANSHARI11_ACCPAGI[QUANTITY])+SUMIF(TRANSHARI11_ACCMALAM[PRODUK],CP21,TRANSHARI11_ACCMALAM[QUANTITY])</f>
        <v>0</v>
      </c>
      <c r="DG21" s="12">
        <f t="shared" si="12"/>
        <v>0</v>
      </c>
      <c r="DH21" s="12">
        <f t="shared" si="13"/>
        <v>0</v>
      </c>
      <c r="DI21" s="173">
        <f t="shared" si="14"/>
        <v>0</v>
      </c>
      <c r="DK21" s="187" t="str">
        <f>'DATA PRODUK'!BV18</f>
        <v>(WATCH) MATTE</v>
      </c>
      <c r="DL21" s="87">
        <f>'DATA PRODUK'!BW18</f>
        <v>0</v>
      </c>
      <c r="DM21" s="12"/>
      <c r="DN21" s="12"/>
      <c r="DO21" s="12"/>
      <c r="DP21" s="12"/>
      <c r="DQ21" s="12">
        <f>SUMIF(TRANSHARI1_HYDROPAGI[PRODUK],DK21,TRANSHARI1_HYDROPAGI[QUANTITY])+SUMIF(TRANSHARI1_HYDROMALAM[PRODUK],DK21,TRANSHARI1_HYDROMALAM[QUANTITY])</f>
        <v>0</v>
      </c>
      <c r="DR21" s="12">
        <f>SUMIF(TRANSHARI2_HYDROPAGI[PRODUK],DK21,TRANSHARI2_HYDROPAGI[QUANTITY])+SUMIF(TRANSHARI2_HYDROMALAM[PRODUK],DK21,TRANSHARI2_HYDROMALAM[QUANTITY])</f>
        <v>0</v>
      </c>
      <c r="DS21" s="12">
        <f>SUMIF(TRANSHARI3_HYDROPAGI[PRODUK],DK21,TRANSHARI3_HYDROPAGI[QUANTITY])+SUMIF(TRANSHARI3_HYDROMALAM[PRODUK],DK21,TRANSHARI3_HYDROMALAM[QUANTITY])</f>
        <v>0</v>
      </c>
      <c r="DT21" s="12">
        <f>SUMIF(TRANSHARI4_HYDROPAGI[PRODUK],DK21,TRANSHARI4_HYDROPAGI[QUANTITY])+SUMIF(TRANSHARI4_HYDROMALAM[PRODUK],DK21,TRANSHARI4_HYDROMALAM[QUANTITY])</f>
        <v>0</v>
      </c>
      <c r="DU21" s="12">
        <f>SUMIF(TRANSHARI5_HYDROPAGI[PRODUK],DK21,TRANSHARI5_HYDROPAGI[QUANTITY])+SUMIF(TRANSHARI5_HYDROMALAM[PRODUK],DK21,TRANSHARI5_HYDROMALAM[QUANTITY])</f>
        <v>0</v>
      </c>
      <c r="DV21" s="12">
        <f>SUMIF(TRANSHARI6_HYDROPAGI[PRODUK],DK21,TRANSHARI6_HYDROPAGI[QUANTITY])+SUMIF(TRANSHARI6_HYDROMALAM[PRODUK],DK21,TRANSHARI6_HYDROMALAM[QUANTITY])</f>
        <v>0</v>
      </c>
      <c r="DW21" s="12">
        <f>SUMIF(TRANSHARI7_HYDROPAGI[PRODUK],DK21,TRANSHARI7_HYDROPAGI[QUANTITY])+SUMIF(TRANSHARI7_HYDROMALAM[PRODUK],DK21,TRANSHARI7_HYDROMALAM[QUANTITY])</f>
        <v>0</v>
      </c>
      <c r="DX21" s="12">
        <f>SUMIF(TRANSHARI8_HYDROPAGI[PRODUK],DK21,TRANSHARI8_HYDROPAGI[QUANTITY])+SUMIF(TRANSHARI8_HYDROMALAM[PRODUK],DK21,TRANSHARI8_HYDROMALAM[QUANTITY])</f>
        <v>0</v>
      </c>
      <c r="DY21" s="12">
        <f>SUMIF(TRANSHARI9_HYDROPAGI[PRODUK],DK21,TRANSHARI9_HYDROPAGI[QUANTITY])+SUMIF(TRANSHARI9_HYDROMALAM[PRODUK],DK21,TRANSHARI9_HYDROMALAM[QUANTITY])</f>
        <v>0</v>
      </c>
      <c r="DZ21" s="12">
        <f>SUMIF(TRANSHARI10_HYDROPAGI[PRODUK],DK21,TRANSHARI10_HYDROPAGI[QUANTITY])+SUMIF(TRANSHARI10_HYDROMALAM[PRODUK],DK21,TRANSHARI10_HYDROMALAM[QUANTITY])</f>
        <v>0</v>
      </c>
      <c r="EA21" s="12">
        <f>SUMIF(TRANSHARI11_HYDROPAGI[PRODUK],DK21,TRANSHARI11_HYDROPAGI[QUANTITY])+SUMIF(TRANSHARI11_HYDROMALAM[PRODUK],DK21,TRANSHARI11_HYDROMALAM[QUANTITY])</f>
        <v>0</v>
      </c>
      <c r="EB21" s="12">
        <f t="shared" si="15"/>
        <v>0</v>
      </c>
      <c r="EC21" s="12">
        <f t="shared" si="16"/>
        <v>0</v>
      </c>
      <c r="ED21" s="173">
        <f t="shared" si="17"/>
        <v>0</v>
      </c>
    </row>
    <row r="22" ht="18" spans="4:134">
      <c r="D22" s="117">
        <v>9</v>
      </c>
      <c r="E22" s="118">
        <f>'HARI 9'!L30+'HARI 9'!AA30</f>
        <v>0</v>
      </c>
      <c r="F22" s="118">
        <f>'HARI 9'!L31+'HARI 9'!AA31</f>
        <v>0</v>
      </c>
      <c r="G22" s="119">
        <f>'HARI 9'!L32+'HARI 9'!AA32</f>
        <v>0</v>
      </c>
      <c r="J22" s="26" t="str">
        <f>'DATA PRODUK'!D19</f>
        <v>SURYA 12</v>
      </c>
      <c r="K22" s="151">
        <f>'DATA PRODUK'!E19</f>
        <v>26000</v>
      </c>
      <c r="L22" s="152"/>
      <c r="M22" s="152"/>
      <c r="N22" s="152"/>
      <c r="O22" s="152"/>
      <c r="P22" s="152">
        <f>SUMIF(TRANSHARI1_ROKOKPAGI[PRODUK],J22,TRANSHARI1_ROKOKPAGI[QUANTITY])+SUMIF(TRANSHARI1_ROKOKMALAM[PRODUK],J22,TRANSHARI1_ROKOKMALAM[QUANTITY])</f>
        <v>0</v>
      </c>
      <c r="Q22" s="152">
        <f>SUMIF(TRANSHARI2_ROKOKPAGI[PRODUK],J22,TRANSHARI2_ROKOKPAGI[QUANTITY])+SUMIF(TRANSHARI2_ROKOKMALAM[PRODUK],J22,TRANSHARI2_ROKOKMALAM[QUANTITY])</f>
        <v>0</v>
      </c>
      <c r="R22" s="152">
        <f>SUMIF(TRANSHARI3_ROKOKPAGI[PRODUK],J22,TRANSHARI3_ROKOKPAGI[QUANTITY])+SUMIF(TRANSHARI3_ROKOKMALAM[PRODUK],J22,TRANSHARI3_ROKOKMALAM[QUANTITY])</f>
        <v>0</v>
      </c>
      <c r="S22" s="152">
        <f>SUMIF(TRANSHARI4_ROKOKPAGI[PRODUK],J22,TRANSHARI4_ROKOKPAGI[QUANTITY])+SUMIF(TRANSHARI4_ROKOKMALAM[PRODUK],J22,TRANSHARI4_ROKOKMALAM[QUANTITY])</f>
        <v>0</v>
      </c>
      <c r="T22" s="152">
        <f>SUMIF(TRANSHARI5_ROKOKPAGI[PRODUK],J22,TRANSHARI5_ROKOKPAGI[QUANTITY])+SUMIF(TRANSHARI5_ROKOKMALAM[PRODUK],J22,TRANSHARI5_ROKOKMALAM[QUANTITY])</f>
        <v>0</v>
      </c>
      <c r="U22" s="152">
        <f>SUMIF(TRANSHARI6_ROKOKPAGI[PRODUK],J22,TRANSHARI6_ROKOKPAGI[QUANTITY])+SUMIF(TRANSHARI6_ROKOKMALAM[PRODUK],J22,TRANSHARI6_ROKOKMALAM[QUANTITY])</f>
        <v>0</v>
      </c>
      <c r="V22" s="152">
        <f>SUMIF(TRANSHARI7_ROKOKPAGI[PRODUK],J22,TRANSHARI7_ROKOKPAGI[QUANTITY])+SUMIF(TRANSHARI7_ROKOKMALAM[PRODUK],J22,TRANSHARI7_ROKOKMALAM[QUANTITY])</f>
        <v>0</v>
      </c>
      <c r="W22" s="152">
        <f>SUMIF(TRANSHARI8_ROKOKPAGI[PRODUK],J22,TRANSHARI8_ROKOKPAGI[QUANTITY])+SUMIF(TRANSHARI8_ROKOKMALAM[PRODUK],J22,TRANSHARI8_ROKOKMALAM[QUANTITY])</f>
        <v>0</v>
      </c>
      <c r="X22" s="152">
        <f>SUMIF(TRANSHARI9_ROKOKPAGI[PRODUK],J22,TRANSHARI9_ROKOKPAGI[QUANTITY])+SUMIF(TRANSHARI9_ROKOKMALAM[PRODUK],J22,TRANSHARI9_ROKOKMALAM[QUANTITY])</f>
        <v>0</v>
      </c>
      <c r="Y22" s="152">
        <f>SUMIF(TRANSHARI10_ROKOKPAGI[PRODUK],J22,TRANSHARI10_ROKOKPAGI[QUANTITY])+SUMIF(TRANSHARI10_ROKOKMALAM[PRODUK],J22,TRANSHARI10_ROKOKMALAM[QUANTITY])</f>
        <v>0</v>
      </c>
      <c r="Z22" s="152">
        <f>SUMIF(TRANSHARI11_ROKOKPAGI[PRODUK],J22,TRANSHARI11_ROKOKPAGI[QUANTITY])+SUMIF(TRANSHARI11_ROKOKMALAM[PRODUK],J22,TRANSHARI11_ROKOKMALAM[QUANTITY])</f>
        <v>0</v>
      </c>
      <c r="AA22" s="152">
        <f t="shared" si="0"/>
        <v>0</v>
      </c>
      <c r="AB22" s="152">
        <f t="shared" si="1"/>
        <v>0</v>
      </c>
      <c r="AC22" s="176">
        <f t="shared" si="2"/>
        <v>0</v>
      </c>
      <c r="AE22" s="177" t="str">
        <f>'DATA PRODUK'!R19</f>
        <v>SP XL REG</v>
      </c>
      <c r="AF22" s="178">
        <f>'DATA PRODUK'!S19</f>
        <v>15000</v>
      </c>
      <c r="AG22" s="152"/>
      <c r="AH22" s="152"/>
      <c r="AI22" s="152"/>
      <c r="AJ22" s="152"/>
      <c r="AK22" s="152">
        <f>SUMIF(TRANSHARI1_SPVOUPAGI[PRODUK],AE22,TRANSHARI1_SPVOUPAGI[QUANTITY])+SUMIF(TRANSHARI1_SPVOUMALAM[PRODUK],AE22,TRANSHARI1_SPVOUMALAM[QUANTITY])</f>
        <v>0</v>
      </c>
      <c r="AL22" s="152">
        <f>SUMIF(TRANSHARI2_SPVOUPAGI[PRODUK],AE22,TRANSHARI2_SPVOUPAGI[QUANTITY])+SUMIF(TRANSHARI2_SPVOUMALAM[PRODUK],AE22,TRANSHARI2_SPVOUMALAM[QUANTITY])</f>
        <v>0</v>
      </c>
      <c r="AM22" s="152">
        <f>SUMIF(TRANSHARI3_SPVOUPAGI[PRODUK],AE22,TRANSHARI3_SPVOUPAGI[QUANTITY])+SUMIF(TRANSHARI3_SPVOUMALAM[PRODUK],AE22,TRANSHARI3_SPVOUMALAM[QUANTITY])</f>
        <v>0</v>
      </c>
      <c r="AN22" s="152">
        <f>SUMIF(TRANSHARI4_SPVOUPAGI[PRODUK],AE22,TRANSHARI4_SPVOUPAGI[QUANTITY])+SUMIF(TRANSHARI4_SPVOUMALAM[PRODUK],AE22,TRANSHARI4_SPVOUMALAM[QUANTITY])</f>
        <v>0</v>
      </c>
      <c r="AO22" s="152">
        <f>SUMIF(TRANSHARI5_SPVOUPAGI[PRODUK],AE22,TRANSHARI5_SPVOUPAGI[QUANTITY])+SUMIF(TRANSHARI5_SPVOUMALAM[PRODUK],AE22,TRANSHARI5_SPVOUMALAM[QUANTITY])</f>
        <v>0</v>
      </c>
      <c r="AP22" s="152">
        <f>SUMIF(TRANSHARI6_SPVOUPAGI[PRODUK],AE22,TRANSHARI6_SPVOUPAGI[QUANTITY])+SUMIF(TRANSHARI6_SPVOUMALAM[PRODUK],AE22,TRANSHARI6_SPVOUMALAM[QUANTITY])</f>
        <v>0</v>
      </c>
      <c r="AQ22" s="152">
        <f>SUMIF(TRANSHARI7_SPVOUPAGI[PRODUK],AE22,TRANSHARI7_SPVOUPAGI[QUANTITY])+SUMIF(TRANSHARI7_SPVOUMALAM[PRODUK],AE22,TRANSHARI7_SPVOUMALAM[QUANTITY])</f>
        <v>0</v>
      </c>
      <c r="AR22" s="152">
        <f>SUMIF(TRANSHARI8_SPVOUPAGI[PRODUK],AE22,TRANSHARI8_SPVOUPAGI[QUANTITY])+SUMIF(TRANSHARI8_SPVOUMALAM[PRODUK],AE22,TRANSHARI8_SPVOUMALAM[QUANTITY])</f>
        <v>0</v>
      </c>
      <c r="AS22" s="152">
        <f>SUMIF(TRANSHARI9_SPVOUPAGI[PRODUK],AE22,TRANSHARI9_SPVOUPAGI[QUANTITY])+SUMIF(TRANSHARI9_SPVOUMALAM[PRODUK],AE22,TRANSHARI9_SPVOUMALAM[QUANTITY])</f>
        <v>0</v>
      </c>
      <c r="AT22" s="152">
        <f>SUMIF(TRANSHARI10_SPVOUPAGI[PRODUK],AE22,TRANSHARI10_SPVOUPAGI[QUANTITY])+SUMIF(TRANSHARI10_SPVOUMALAM[PRODUK],AE22,TRANSHARI10_SPVOUMALAM[QUANTITY])</f>
        <v>0</v>
      </c>
      <c r="AU22" s="152">
        <f>SUMIF(TRANSHARI11_SPVOUPAGI[PRODUK],AE22,TRANSHARI11_SPVOUPAGI[QUANTITY])+SUMIF(TRANSHARI11_SPVOUMALAM[PRODUK],AE22,TRANSHARI11_SPVOUMALAM[QUANTITY])</f>
        <v>0</v>
      </c>
      <c r="AV22" s="152">
        <f t="shared" si="3"/>
        <v>0</v>
      </c>
      <c r="AW22" s="152">
        <f t="shared" si="4"/>
        <v>0</v>
      </c>
      <c r="AX22" s="176">
        <f t="shared" si="5"/>
        <v>0</v>
      </c>
      <c r="AZ22" s="188" t="str">
        <f>'DATA PRODUK'!AF19</f>
        <v>NUTRIBOOST Orange</v>
      </c>
      <c r="BA22" s="89">
        <f>'DATA PRODUK'!AG19</f>
        <v>7000</v>
      </c>
      <c r="BB22" s="152"/>
      <c r="BC22" s="152"/>
      <c r="BD22" s="152"/>
      <c r="BE22" s="152"/>
      <c r="BF22" s="152">
        <f>SUMIF(TRANSHARI1_SOFTDRINKPAGI[PRODUK],AZ22,TRANSHARI1_SOFTDRINKPAGI[QUANTITY])+SUMIF(TRANSHARI1_SOFTDRINKMALAM[PRODUK],AZ22,TRANSHARI1_SOFTDRINKMALAM[QUANTITY])</f>
        <v>0</v>
      </c>
      <c r="BG22" s="152">
        <f>SUMIF(TRANSHARI2_SOFTDRINKPAGI[PRODUK],AZ22,TRANSHARI2_SOFTDRINKPAGI[QUANTITY])+SUMIF(TRANSHARI2_SOFTDRINKMALAM[PRODUK],AZ22,TRANSHARI2_SOFTDRINKMALAM[QUANTITY])</f>
        <v>0</v>
      </c>
      <c r="BH22" s="152">
        <f>SUMIF(TRANSHARI3_SOFTDRINKPAGI[PRODUK],AZ22,TRANSHARI3_SOFTDRINKPAGI[QUANTITY])+SUMIF(TRANSHARI3_SOFTDRINKMALAM[PRODUK],AZ22,TRANSHARI3_SOFTDRINKMALAM[QUANTITY])</f>
        <v>0</v>
      </c>
      <c r="BI22" s="152">
        <f>SUMIF(TRANSHARI4_SOFTDRINKPAGI[PRODUK],AZ22,TRANSHARI4_SOFTDRINKPAGI[QUANTITY])+SUMIF(TRANSHARI4_SOFTDRINKMALAM[PRODUK],AZ22,TRANSHARI4_SOFTDRINKMALAM[QUANTITY])</f>
        <v>0</v>
      </c>
      <c r="BJ22" s="152">
        <f>SUMIF(TRANSHARI5_SOFTDRINKPAGI[PRODUK],AZ22,TRANSHARI5_SOFTDRINKPAGI[QUANTITY])+SUMIF(TRANSHARI5_SOFTDRINKMALAM[PRODUK],AZ22,TRANSHARI5_SOFTDRINKMALAM[QUANTITY])</f>
        <v>0</v>
      </c>
      <c r="BK22" s="152">
        <f>SUMIF(TRANSHARI6_SOFTDRINKPAGI[PRODUK],AZ22,TRANSHARI6_SOFTDRINKPAGI[QUANTITY])+SUMIF(TRANSHARI6_SOFTDRINKMALAM[PRODUK],AZ22,TRANSHARI6_SOFTDRINKMALAM[QUANTITY])</f>
        <v>0</v>
      </c>
      <c r="BL22" s="152">
        <f>SUMIF(TRANSHARI7_SOFTDRINKPAGI[PRODUK],AZ22,TRANSHARI7_SOFTDRINKPAGI[QUANTITY])+SUMIF(TRANSHARI7_SOFTDRINKMALAM[PRODUK],AZ22,TRANSHARI7_SOFTDRINKMALAM[QUANTITY])</f>
        <v>0</v>
      </c>
      <c r="BM22" s="152">
        <f>SUMIF(TRANSHARI8_SOFTDRINKPAGI[PRODUK],AZ22,TRANSHARI8_SOFTDRINKPAGI[QUANTITY])+SUMIF(TRANSHARI8_SOFTDRINKMALAM[PRODUK],AZ22,TRANSHARI8_SOFTDRINKMALAM[QUANTITY])</f>
        <v>0</v>
      </c>
      <c r="BN22" s="152">
        <f>SUMIF(TRANSHARI9_SOFTDRINKPAGI[PRODUK],AZ22,TRANSHARI9_SOFTDRINKPAGI[QUANTITY])+SUMIF(TRANSHARI9_SOFTDRINKMALAM[PRODUK],AZ22,TRANSHARI9_SOFTDRINKMALAM[QUANTITY])</f>
        <v>0</v>
      </c>
      <c r="BO22" s="152">
        <f>SUMIF(TRANSHARI10_SOFTDRINKPAGI[PRODUK],AZ22,TRANSHARI10_SOFTDRINKPAGI[QUANTITY])+SUMIF(TRANSHARI10_SOFTDRINKMALAM[PRODUK],AZ22,TRANSHARI10_SOFTDRINKMALAM[QUANTITY])</f>
        <v>0</v>
      </c>
      <c r="BP22" s="152">
        <f>SUMIF(TRANSHARI11_SOFTDRINKPAGI[PRODUK],AZ22,TRANSHARI11_SOFTDRINKPAGI[QUANTITY])+SUMIF(TRANSHARI11_SOFTDRINKMALAM[PRODUK],AZ22,TRANSHARI11_SOFTDRINKMALAM[QUANTITY])</f>
        <v>0</v>
      </c>
      <c r="BQ22" s="152">
        <f t="shared" si="6"/>
        <v>0</v>
      </c>
      <c r="BR22" s="152">
        <f t="shared" si="7"/>
        <v>0</v>
      </c>
      <c r="BS22" s="176">
        <f t="shared" si="8"/>
        <v>0</v>
      </c>
      <c r="BU22" s="174" t="str">
        <f>'DATA PRODUK'!AT19</f>
        <v>(Waku-Waku) Ice Lolly Mango Grape</v>
      </c>
      <c r="BV22" s="178">
        <f>'DATA PRODUK'!AU19</f>
        <v>2000</v>
      </c>
      <c r="BW22" s="152"/>
      <c r="BX22" s="152"/>
      <c r="BY22" s="152"/>
      <c r="BZ22" s="152"/>
      <c r="CA22" s="152">
        <f>SUMIF(TRANSHARI1_ICECREAMPAGI[PRODUK],BU22,TRANSHARI1_ICECREAMPAGI[QUANTITY])+SUMIF(TRANSHARI1_ICECREAMMALAM[PRODUK],BU22,TRANSHARI1_ICECREAMMALAM[QUANTITY])</f>
        <v>0</v>
      </c>
      <c r="CB22" s="152">
        <f>SUMIF(TRANSHARI2_ICECREAMPAGI[PRODUK],BU22,TRANSHARI2_ICECREAMPAGI[QUANTITY])+SUMIF(TRANSHARI2_ICECREAMMALAM[PRODUK],BU22,TRANSHARI2_ICECREAMMALAM[QUANTITY])</f>
        <v>0</v>
      </c>
      <c r="CC22" s="152">
        <f>SUMIF(TRANSHARI3_ICECREAMPAGI[PRODUK],BU22,TRANSHARI3_ICECREAMPAGI[QUANTITY])+SUMIF(TRANSHARI3_ICECREAMMALAM[PRODUK],BU22,TRANSHARI3_ICECREAMMALAM[QUANTITY])</f>
        <v>0</v>
      </c>
      <c r="CD22" s="152">
        <f>SUMIF(TRANSHARI4_ICECREAMPAGI[PRODUK],BU22,TRANSHARI4_ICECREAMPAGI[QUANTITY])+SUMIF(TRANSHARI4_ICECREAMMALAM[PRODUK],BU22,TRANSHARI4_ICECREAMMALAM[QUANTITY])</f>
        <v>0</v>
      </c>
      <c r="CE22" s="152">
        <f>SUMIF(TRANSHARI5_ICECREAMPAGI[PRODUK],BU22,TRANSHARI5_ICECREAMPAGI[QUANTITY])+SUMIF(TRANSHARI5_ICECREAMMALAM[PRODUK],BU22,TRANSHARI5_ICECREAMMALAM[QUANTITY])</f>
        <v>0</v>
      </c>
      <c r="CF22" s="152">
        <f>SUMIF(TRANSHARI6_ICECREAMPAGI[PRODUK],BU22,TRANSHARI6_ICECREAMPAGI[QUANTITY])+SUMIF(TRANSHARI6_ICECREAMMALAM[PRODUK],BU22,TRANSHARI6_ICECREAMMALAM[QUANTITY])</f>
        <v>0</v>
      </c>
      <c r="CG22" s="152">
        <f>SUMIF(TRANSHARI7_ICECREAMPAGI[PRODUK],BU22,TRANSHARI7_ICECREAMPAGI[QUANTITY])+SUMIF(TRANSHARI7_ICECREAMMALAM[PRODUK],BU22,TRANSHARI7_ICECREAMMALAM[QUANTITY])</f>
        <v>0</v>
      </c>
      <c r="CH22" s="152">
        <f>SUMIF(TRANSHARI8_ICECREAMPAGI[PRODUK],BU22,TRANSHARI8_ICECREAMPAGI[QUANTITY])+SUMIF(TRANSHARI8_ICECREAMMALAM[PRODUK],BU22,TRANSHARI8_ICECREAMMALAM[QUANTITY])</f>
        <v>0</v>
      </c>
      <c r="CI22" s="152">
        <f>SUMIF(TRANSHARI9_ICECREAMPAGI[PRODUK],BU22,TRANSHARI9_ICECREAMPAGI[QUANTITY])+SUMIF(TRANSHARI9_ICECREAMMALAM[PRODUK],BU22,TRANSHARI9_ICECREAMMALAM[QUANTITY])</f>
        <v>0</v>
      </c>
      <c r="CJ22" s="152">
        <f>SUMIF(TRANSHARI10_ICECREAMPAGI[PRODUK],BU22,TRANSHARI10_ICECREAMPAGI[QUANTITY])+SUMIF(TRANSHARI10_ICECREAMMALAM[PRODUK],BU22,TRANSHARI10_ICECREAMMALAM[QUANTITY])</f>
        <v>0</v>
      </c>
      <c r="CK22" s="152">
        <f>SUMIF(TRANSHARI11_ICECREAMPAGI[PRODUK],BU22,TRANSHARI11_ICECREAMPAGI[QUANTITY])+SUMIF(TRANSHARI11_ICECREAMMALAM[PRODUK],BU22,TRANSHARI11_ICECREAMMALAM[QUANTITY])</f>
        <v>0</v>
      </c>
      <c r="CL22" s="152">
        <f t="shared" si="9"/>
        <v>0</v>
      </c>
      <c r="CM22" s="152">
        <f t="shared" si="10"/>
        <v>0</v>
      </c>
      <c r="CN22" s="176">
        <f t="shared" si="11"/>
        <v>0</v>
      </c>
      <c r="CP22" s="174" t="str">
        <f>'DATA PRODUK'!BH19</f>
        <v>(K.D)(Micro)(Gaming) Vivan BWM100S</v>
      </c>
      <c r="CQ22" s="178">
        <f>'DATA PRODUK'!BI19</f>
        <v>50000</v>
      </c>
      <c r="CR22" s="152"/>
      <c r="CS22" s="152"/>
      <c r="CT22" s="152"/>
      <c r="CU22" s="152"/>
      <c r="CV22" s="152">
        <f>SUMIF(TRANSHARI1_ACCPAGI[PRODUK],CP22,TRANSHARI1_ACCPAGI[QUANTITY])+SUMIF(TRANSHARI1_ACCMALAM[PRODUK],CP22,TRANSHARI1_ACCMALAM[QUANTITY])</f>
        <v>0</v>
      </c>
      <c r="CW22" s="152">
        <f>SUMIF(TRANSHARI2_ACCPAGI[PRODUK],CP22,TRANSHARI2_ACCPAGI[QUANTITY])+SUMIF(TRANSHARI2_ACCMALAM[PRODUK],CP22,TRANSHARI2_ACCMALAM[QUANTITY])</f>
        <v>0</v>
      </c>
      <c r="CX22" s="152">
        <f>SUMIF(TRANSHARI3_ACCPAGI[PRODUK],CP22,TRANSHARI3_ACCPAGI[QUANTITY])+SUMIF(TRANSHARI3_ACCMALAM[PRODUK],CP22,TRANSHARI3_ACCMALAM[QUANTITY])</f>
        <v>0</v>
      </c>
      <c r="CY22" s="152">
        <f>SUMIF(TRANSHARI4_ACCPAGI[PRODUK],CP22,TRANSHARI4_ACCPAGI[QUANTITY])+SUMIF(TRANSHARI4_ACCMALAM[PRODUK],CP22,TRANSHARI4_ACCMALAM[QUANTITY])</f>
        <v>0</v>
      </c>
      <c r="CZ22" s="152">
        <f>SUMIF(TRANSHARI5_ACCPAGI[PRODUK],CP22,TRANSHARI5_ACCPAGI[QUANTITY])+SUMIF(TRANSHARI5_ACCMALAM[PRODUK],CP22,TRANSHARI5_ACCMALAM[QUANTITY])</f>
        <v>0</v>
      </c>
      <c r="DA22" s="152">
        <f>SUMIF(TRANSHARI6_ACCPAGI[PRODUK],CP22,TRANSHARI6_ACCPAGI[QUANTITY])+SUMIF(TRANSHARI6_ACCMALAM[PRODUK],CP22,TRANSHARI6_ACCMALAM[QUANTITY])</f>
        <v>0</v>
      </c>
      <c r="DB22" s="152">
        <f>SUMIF(TRANSHARI7_ACCPAGI[PRODUK],CP22,TRANSHARI7_ACCPAGI[QUANTITY])+SUMIF(TRANSHARI7_ACCMALAM[PRODUK],CP22,TRANSHARI7_ACCMALAM[QUANTITY])</f>
        <v>0</v>
      </c>
      <c r="DC22" s="152">
        <f>SUMIF(TRANSHARI8_ACCPAGI[PRODUK],CP22,TRANSHARI8_ACCPAGI[QUANTITY])+SUMIF(TRANSHARI8_ACCMALAM[PRODUK],CP22,TRANSHARI8_ACCMALAM[QUANTITY])</f>
        <v>0</v>
      </c>
      <c r="DD22" s="152">
        <f>SUMIF(TRANSHARI9_ACCPAGI[PRODUK],CP22,TRANSHARI9_ACCPAGI[QUANTITY])+SUMIF(TRANSHARI9_ACCMALAM[PRODUK],CP22,TRANSHARI9_ACCMALAM[QUANTITY])</f>
        <v>0</v>
      </c>
      <c r="DE22" s="152">
        <f>SUMIF(TRANSHARI10_ACCPAGI[PRODUK],CP22,TRANSHARI10_ACCPAGI[QUANTITY])+SUMIF(TRANSHARI10_ACCMALAM[PRODUK],CP22,TRANSHARI10_ACCMALAM[QUANTITY])</f>
        <v>0</v>
      </c>
      <c r="DF22" s="152">
        <f>SUMIF(TRANSHARI11_ACCPAGI[PRODUK],CP22,TRANSHARI11_ACCPAGI[QUANTITY])+SUMIF(TRANSHARI11_ACCMALAM[PRODUK],CP22,TRANSHARI11_ACCMALAM[QUANTITY])</f>
        <v>0</v>
      </c>
      <c r="DG22" s="152">
        <f t="shared" si="12"/>
        <v>0</v>
      </c>
      <c r="DH22" s="152">
        <f t="shared" si="13"/>
        <v>0</v>
      </c>
      <c r="DI22" s="176">
        <f t="shared" si="14"/>
        <v>0</v>
      </c>
      <c r="DK22" s="188" t="str">
        <f>'DATA PRODUK'!BV19</f>
        <v>(BACK) HM 88 (M)</v>
      </c>
      <c r="DL22" s="89">
        <f>'DATA PRODUK'!BW19</f>
        <v>50000</v>
      </c>
      <c r="DM22" s="152"/>
      <c r="DN22" s="152"/>
      <c r="DO22" s="152"/>
      <c r="DP22" s="152"/>
      <c r="DQ22" s="152">
        <f>SUMIF(TRANSHARI1_HYDROPAGI[PRODUK],DK22,TRANSHARI1_HYDROPAGI[QUANTITY])+SUMIF(TRANSHARI1_HYDROMALAM[PRODUK],DK22,TRANSHARI1_HYDROMALAM[QUANTITY])</f>
        <v>0</v>
      </c>
      <c r="DR22" s="152">
        <f>SUMIF(TRANSHARI2_HYDROPAGI[PRODUK],DK22,TRANSHARI2_HYDROPAGI[QUANTITY])+SUMIF(TRANSHARI2_HYDROMALAM[PRODUK],DK22,TRANSHARI2_HYDROMALAM[QUANTITY])</f>
        <v>0</v>
      </c>
      <c r="DS22" s="152">
        <f>SUMIF(TRANSHARI3_HYDROPAGI[PRODUK],DK22,TRANSHARI3_HYDROPAGI[QUANTITY])+SUMIF(TRANSHARI3_HYDROMALAM[PRODUK],DK22,TRANSHARI3_HYDROMALAM[QUANTITY])</f>
        <v>0</v>
      </c>
      <c r="DT22" s="152">
        <f>SUMIF(TRANSHARI4_HYDROPAGI[PRODUK],DK22,TRANSHARI4_HYDROPAGI[QUANTITY])+SUMIF(TRANSHARI4_HYDROMALAM[PRODUK],DK22,TRANSHARI4_HYDROMALAM[QUANTITY])</f>
        <v>0</v>
      </c>
      <c r="DU22" s="152">
        <f>SUMIF(TRANSHARI5_HYDROPAGI[PRODUK],DK22,TRANSHARI5_HYDROPAGI[QUANTITY])+SUMIF(TRANSHARI5_HYDROMALAM[PRODUK],DK22,TRANSHARI5_HYDROMALAM[QUANTITY])</f>
        <v>0</v>
      </c>
      <c r="DV22" s="152">
        <f>SUMIF(TRANSHARI6_HYDROPAGI[PRODUK],DK22,TRANSHARI6_HYDROPAGI[QUANTITY])+SUMIF(TRANSHARI6_HYDROMALAM[PRODUK],DK22,TRANSHARI6_HYDROMALAM[QUANTITY])</f>
        <v>0</v>
      </c>
      <c r="DW22" s="152">
        <f>SUMIF(TRANSHARI7_HYDROPAGI[PRODUK],DK22,TRANSHARI7_HYDROPAGI[QUANTITY])+SUMIF(TRANSHARI7_HYDROMALAM[PRODUK],DK22,TRANSHARI7_HYDROMALAM[QUANTITY])</f>
        <v>0</v>
      </c>
      <c r="DX22" s="152">
        <f>SUMIF(TRANSHARI8_HYDROPAGI[PRODUK],DK22,TRANSHARI8_HYDROPAGI[QUANTITY])+SUMIF(TRANSHARI8_HYDROMALAM[PRODUK],DK22,TRANSHARI8_HYDROMALAM[QUANTITY])</f>
        <v>0</v>
      </c>
      <c r="DY22" s="152">
        <f>SUMIF(TRANSHARI9_HYDROPAGI[PRODUK],DK22,TRANSHARI9_HYDROPAGI[QUANTITY])+SUMIF(TRANSHARI9_HYDROMALAM[PRODUK],DK22,TRANSHARI9_HYDROMALAM[QUANTITY])</f>
        <v>0</v>
      </c>
      <c r="DZ22" s="152">
        <f>SUMIF(TRANSHARI10_HYDROPAGI[PRODUK],DK22,TRANSHARI10_HYDROPAGI[QUANTITY])+SUMIF(TRANSHARI10_HYDROMALAM[PRODUK],DK22,TRANSHARI10_HYDROMALAM[QUANTITY])</f>
        <v>0</v>
      </c>
      <c r="EA22" s="152">
        <f>SUMIF(TRANSHARI11_HYDROPAGI[PRODUK],DK22,TRANSHARI11_HYDROPAGI[QUANTITY])+SUMIF(TRANSHARI11_HYDROMALAM[PRODUK],DK22,TRANSHARI11_HYDROMALAM[QUANTITY])</f>
        <v>0</v>
      </c>
      <c r="EB22" s="152">
        <f t="shared" si="15"/>
        <v>0</v>
      </c>
      <c r="EC22" s="152">
        <f t="shared" si="16"/>
        <v>0</v>
      </c>
      <c r="ED22" s="176">
        <f t="shared" si="17"/>
        <v>0</v>
      </c>
    </row>
    <row r="23" ht="18" spans="4:134">
      <c r="D23" s="120">
        <v>10</v>
      </c>
      <c r="E23" s="121">
        <f>'HARI 10'!L30+'HARI 10'!AA30</f>
        <v>0</v>
      </c>
      <c r="F23" s="122">
        <f>'HARI 10'!L31+'HARI 10'!AA31</f>
        <v>0</v>
      </c>
      <c r="G23" s="122">
        <f>'HARI 10'!L32+'HARI 10'!AA32</f>
        <v>0</v>
      </c>
      <c r="J23" s="24" t="str">
        <f>'DATA PRODUK'!D20</f>
        <v>SURYA INTER</v>
      </c>
      <c r="K23" s="150">
        <f>'DATA PRODUK'!E20</f>
        <v>26000</v>
      </c>
      <c r="L23" s="12"/>
      <c r="M23" s="12"/>
      <c r="N23" s="12"/>
      <c r="O23" s="12"/>
      <c r="P23" s="12">
        <f>SUMIF(TRANSHARI1_ROKOKPAGI[PRODUK],J23,TRANSHARI1_ROKOKPAGI[QUANTITY])+SUMIF(TRANSHARI1_ROKOKMALAM[PRODUK],J23,TRANSHARI1_ROKOKMALAM[QUANTITY])</f>
        <v>0</v>
      </c>
      <c r="Q23" s="12">
        <f>SUMIF(TRANSHARI2_ROKOKPAGI[PRODUK],J23,TRANSHARI2_ROKOKPAGI[QUANTITY])+SUMIF(TRANSHARI2_ROKOKMALAM[PRODUK],J23,TRANSHARI2_ROKOKMALAM[QUANTITY])</f>
        <v>0</v>
      </c>
      <c r="R23" s="12">
        <f>SUMIF(TRANSHARI3_ROKOKPAGI[PRODUK],J23,TRANSHARI3_ROKOKPAGI[QUANTITY])+SUMIF(TRANSHARI3_ROKOKMALAM[PRODUK],J23,TRANSHARI3_ROKOKMALAM[QUANTITY])</f>
        <v>0</v>
      </c>
      <c r="S23" s="12">
        <f>SUMIF(TRANSHARI4_ROKOKPAGI[PRODUK],J23,TRANSHARI4_ROKOKPAGI[QUANTITY])+SUMIF(TRANSHARI4_ROKOKMALAM[PRODUK],J23,TRANSHARI4_ROKOKMALAM[QUANTITY])</f>
        <v>0</v>
      </c>
      <c r="T23" s="12">
        <f>SUMIF(TRANSHARI5_ROKOKPAGI[PRODUK],J23,TRANSHARI5_ROKOKPAGI[QUANTITY])+SUMIF(TRANSHARI5_ROKOKMALAM[PRODUK],J23,TRANSHARI5_ROKOKMALAM[QUANTITY])</f>
        <v>0</v>
      </c>
      <c r="U23" s="12">
        <f>SUMIF(TRANSHARI6_ROKOKPAGI[PRODUK],J23,TRANSHARI6_ROKOKPAGI[QUANTITY])+SUMIF(TRANSHARI6_ROKOKMALAM[PRODUK],J23,TRANSHARI6_ROKOKMALAM[QUANTITY])</f>
        <v>0</v>
      </c>
      <c r="V23" s="12">
        <f>SUMIF(TRANSHARI7_ROKOKPAGI[PRODUK],J23,TRANSHARI7_ROKOKPAGI[QUANTITY])+SUMIF(TRANSHARI7_ROKOKMALAM[PRODUK],J23,TRANSHARI7_ROKOKMALAM[QUANTITY])</f>
        <v>0</v>
      </c>
      <c r="W23" s="12">
        <f>SUMIF(TRANSHARI8_ROKOKPAGI[PRODUK],J23,TRANSHARI8_ROKOKPAGI[QUANTITY])+SUMIF(TRANSHARI8_ROKOKMALAM[PRODUK],J23,TRANSHARI8_ROKOKMALAM[QUANTITY])</f>
        <v>0</v>
      </c>
      <c r="X23" s="12">
        <f>SUMIF(TRANSHARI9_ROKOKPAGI[PRODUK],J23,TRANSHARI9_ROKOKPAGI[QUANTITY])+SUMIF(TRANSHARI9_ROKOKMALAM[PRODUK],J23,TRANSHARI9_ROKOKMALAM[QUANTITY])</f>
        <v>0</v>
      </c>
      <c r="Y23" s="12">
        <f>SUMIF(TRANSHARI10_ROKOKPAGI[PRODUK],J23,TRANSHARI10_ROKOKPAGI[QUANTITY])+SUMIF(TRANSHARI10_ROKOKMALAM[PRODUK],J23,TRANSHARI10_ROKOKMALAM[QUANTITY])</f>
        <v>0</v>
      </c>
      <c r="Z23" s="12">
        <f>SUMIF(TRANSHARI11_ROKOKPAGI[PRODUK],J23,TRANSHARI11_ROKOKPAGI[QUANTITY])+SUMIF(TRANSHARI11_ROKOKMALAM[PRODUK],J23,TRANSHARI11_ROKOKMALAM[QUANTITY])</f>
        <v>0</v>
      </c>
      <c r="AA23" s="12">
        <f t="shared" si="0"/>
        <v>0</v>
      </c>
      <c r="AB23" s="12">
        <f t="shared" si="1"/>
        <v>0</v>
      </c>
      <c r="AC23" s="173">
        <f t="shared" si="2"/>
        <v>0</v>
      </c>
      <c r="AE23" s="174" t="str">
        <f>'DATA PRODUK'!R20</f>
        <v>SP XL 3 FLEX (XS)</v>
      </c>
      <c r="AF23" s="175">
        <f>'DATA PRODUK'!S20</f>
        <v>20000</v>
      </c>
      <c r="AG23" s="12"/>
      <c r="AH23" s="12"/>
      <c r="AI23" s="12"/>
      <c r="AJ23" s="12"/>
      <c r="AK23" s="12">
        <f>SUMIF(TRANSHARI1_SPVOUPAGI[PRODUK],AE23,TRANSHARI1_SPVOUPAGI[QUANTITY])+SUMIF(TRANSHARI1_SPVOUMALAM[PRODUK],AE23,TRANSHARI1_SPVOUMALAM[QUANTITY])</f>
        <v>0</v>
      </c>
      <c r="AL23" s="12">
        <f>SUMIF(TRANSHARI2_SPVOUPAGI[PRODUK],AE23,TRANSHARI2_SPVOUPAGI[QUANTITY])+SUMIF(TRANSHARI2_SPVOUMALAM[PRODUK],AE23,TRANSHARI2_SPVOUMALAM[QUANTITY])</f>
        <v>0</v>
      </c>
      <c r="AM23" s="12">
        <f>SUMIF(TRANSHARI3_SPVOUPAGI[PRODUK],AE23,TRANSHARI3_SPVOUPAGI[QUANTITY])+SUMIF(TRANSHARI3_SPVOUMALAM[PRODUK],AE23,TRANSHARI3_SPVOUMALAM[QUANTITY])</f>
        <v>0</v>
      </c>
      <c r="AN23" s="12">
        <f>SUMIF(TRANSHARI4_SPVOUPAGI[PRODUK],AE23,TRANSHARI4_SPVOUPAGI[QUANTITY])+SUMIF(TRANSHARI4_SPVOUMALAM[PRODUK],AE23,TRANSHARI4_SPVOUMALAM[QUANTITY])</f>
        <v>0</v>
      </c>
      <c r="AO23" s="12">
        <f>SUMIF(TRANSHARI5_SPVOUPAGI[PRODUK],AE23,TRANSHARI5_SPVOUPAGI[QUANTITY])+SUMIF(TRANSHARI5_SPVOUMALAM[PRODUK],AE23,TRANSHARI5_SPVOUMALAM[QUANTITY])</f>
        <v>0</v>
      </c>
      <c r="AP23" s="12">
        <f>SUMIF(TRANSHARI6_SPVOUPAGI[PRODUK],AE23,TRANSHARI6_SPVOUPAGI[QUANTITY])+SUMIF(TRANSHARI6_SPVOUMALAM[PRODUK],AE23,TRANSHARI6_SPVOUMALAM[QUANTITY])</f>
        <v>0</v>
      </c>
      <c r="AQ23" s="12">
        <f>SUMIF(TRANSHARI7_SPVOUPAGI[PRODUK],AE23,TRANSHARI7_SPVOUPAGI[QUANTITY])+SUMIF(TRANSHARI7_SPVOUMALAM[PRODUK],AE23,TRANSHARI7_SPVOUMALAM[QUANTITY])</f>
        <v>0</v>
      </c>
      <c r="AR23" s="12">
        <f>SUMIF(TRANSHARI8_SPVOUPAGI[PRODUK],AE23,TRANSHARI8_SPVOUPAGI[QUANTITY])+SUMIF(TRANSHARI8_SPVOUMALAM[PRODUK],AE23,TRANSHARI8_SPVOUMALAM[QUANTITY])</f>
        <v>0</v>
      </c>
      <c r="AS23" s="12">
        <f>SUMIF(TRANSHARI9_SPVOUPAGI[PRODUK],AE23,TRANSHARI9_SPVOUPAGI[QUANTITY])+SUMIF(TRANSHARI9_SPVOUMALAM[PRODUK],AE23,TRANSHARI9_SPVOUMALAM[QUANTITY])</f>
        <v>0</v>
      </c>
      <c r="AT23" s="12">
        <f>SUMIF(TRANSHARI10_SPVOUPAGI[PRODUK],AE23,TRANSHARI10_SPVOUPAGI[QUANTITY])+SUMIF(TRANSHARI10_SPVOUMALAM[PRODUK],AE23,TRANSHARI10_SPVOUMALAM[QUANTITY])</f>
        <v>0</v>
      </c>
      <c r="AU23" s="12">
        <f>SUMIF(TRANSHARI11_SPVOUPAGI[PRODUK],AE23,TRANSHARI11_SPVOUPAGI[QUANTITY])+SUMIF(TRANSHARI11_SPVOUMALAM[PRODUK],AE23,TRANSHARI11_SPVOUMALAM[QUANTITY])</f>
        <v>0</v>
      </c>
      <c r="AV23" s="12">
        <f t="shared" si="3"/>
        <v>0</v>
      </c>
      <c r="AW23" s="12">
        <f t="shared" si="4"/>
        <v>0</v>
      </c>
      <c r="AX23" s="173">
        <f t="shared" si="5"/>
        <v>0</v>
      </c>
      <c r="AZ23" s="187" t="str">
        <f>'DATA PRODUK'!AF20</f>
        <v>MILKU (ALL)</v>
      </c>
      <c r="BA23" s="87">
        <f>'DATA PRODUK'!AG20</f>
        <v>4000</v>
      </c>
      <c r="BB23" s="12"/>
      <c r="BC23" s="12"/>
      <c r="BD23" s="12"/>
      <c r="BE23" s="12"/>
      <c r="BF23" s="12">
        <f>SUMIF(TRANSHARI1_SOFTDRINKPAGI[PRODUK],AZ23,TRANSHARI1_SOFTDRINKPAGI[QUANTITY])+SUMIF(TRANSHARI1_SOFTDRINKMALAM[PRODUK],AZ23,TRANSHARI1_SOFTDRINKMALAM[QUANTITY])</f>
        <v>0</v>
      </c>
      <c r="BG23" s="12">
        <f>SUMIF(TRANSHARI2_SOFTDRINKPAGI[PRODUK],AZ23,TRANSHARI2_SOFTDRINKPAGI[QUANTITY])+SUMIF(TRANSHARI2_SOFTDRINKMALAM[PRODUK],AZ23,TRANSHARI2_SOFTDRINKMALAM[QUANTITY])</f>
        <v>0</v>
      </c>
      <c r="BH23" s="12">
        <f>SUMIF(TRANSHARI3_SOFTDRINKPAGI[PRODUK],AZ23,TRANSHARI3_SOFTDRINKPAGI[QUANTITY])+SUMIF(TRANSHARI3_SOFTDRINKMALAM[PRODUK],AZ23,TRANSHARI3_SOFTDRINKMALAM[QUANTITY])</f>
        <v>0</v>
      </c>
      <c r="BI23" s="12">
        <f>SUMIF(TRANSHARI4_SOFTDRINKPAGI[PRODUK],AZ23,TRANSHARI4_SOFTDRINKPAGI[QUANTITY])+SUMIF(TRANSHARI4_SOFTDRINKMALAM[PRODUK],AZ23,TRANSHARI4_SOFTDRINKMALAM[QUANTITY])</f>
        <v>0</v>
      </c>
      <c r="BJ23" s="12">
        <f>SUMIF(TRANSHARI5_SOFTDRINKPAGI[PRODUK],AZ23,TRANSHARI5_SOFTDRINKPAGI[QUANTITY])+SUMIF(TRANSHARI5_SOFTDRINKMALAM[PRODUK],AZ23,TRANSHARI5_SOFTDRINKMALAM[QUANTITY])</f>
        <v>0</v>
      </c>
      <c r="BK23" s="12">
        <f>SUMIF(TRANSHARI6_SOFTDRINKPAGI[PRODUK],AZ23,TRANSHARI6_SOFTDRINKPAGI[QUANTITY])+SUMIF(TRANSHARI6_SOFTDRINKMALAM[PRODUK],AZ23,TRANSHARI6_SOFTDRINKMALAM[QUANTITY])</f>
        <v>0</v>
      </c>
      <c r="BL23" s="12">
        <f>SUMIF(TRANSHARI7_SOFTDRINKPAGI[PRODUK],AZ23,TRANSHARI7_SOFTDRINKPAGI[QUANTITY])+SUMIF(TRANSHARI7_SOFTDRINKMALAM[PRODUK],AZ23,TRANSHARI7_SOFTDRINKMALAM[QUANTITY])</f>
        <v>0</v>
      </c>
      <c r="BM23" s="12">
        <f>SUMIF(TRANSHARI8_SOFTDRINKPAGI[PRODUK],AZ23,TRANSHARI8_SOFTDRINKPAGI[QUANTITY])+SUMIF(TRANSHARI8_SOFTDRINKMALAM[PRODUK],AZ23,TRANSHARI8_SOFTDRINKMALAM[QUANTITY])</f>
        <v>0</v>
      </c>
      <c r="BN23" s="12">
        <f>SUMIF(TRANSHARI9_SOFTDRINKPAGI[PRODUK],AZ23,TRANSHARI9_SOFTDRINKPAGI[QUANTITY])+SUMIF(TRANSHARI9_SOFTDRINKMALAM[PRODUK],AZ23,TRANSHARI9_SOFTDRINKMALAM[QUANTITY])</f>
        <v>0</v>
      </c>
      <c r="BO23" s="12">
        <f>SUMIF(TRANSHARI10_SOFTDRINKPAGI[PRODUK],AZ23,TRANSHARI10_SOFTDRINKPAGI[QUANTITY])+SUMIF(TRANSHARI10_SOFTDRINKMALAM[PRODUK],AZ23,TRANSHARI10_SOFTDRINKMALAM[QUANTITY])</f>
        <v>0</v>
      </c>
      <c r="BP23" s="12">
        <f>SUMIF(TRANSHARI11_SOFTDRINKPAGI[PRODUK],AZ23,TRANSHARI11_SOFTDRINKPAGI[QUANTITY])+SUMIF(TRANSHARI11_SOFTDRINKMALAM[PRODUK],AZ23,TRANSHARI11_SOFTDRINKMALAM[QUANTITY])</f>
        <v>0</v>
      </c>
      <c r="BQ23" s="12">
        <f t="shared" si="6"/>
        <v>0</v>
      </c>
      <c r="BR23" s="12">
        <f t="shared" si="7"/>
        <v>0</v>
      </c>
      <c r="BS23" s="173">
        <f t="shared" si="8"/>
        <v>0</v>
      </c>
      <c r="BU23" s="177" t="str">
        <f>'DATA PRODUK'!AT20</f>
        <v>(Waku-Waku) Dra-Cola</v>
      </c>
      <c r="BV23" s="175">
        <f>'DATA PRODUK'!AU20</f>
        <v>3000</v>
      </c>
      <c r="BW23" s="12"/>
      <c r="BX23" s="12"/>
      <c r="BY23" s="12"/>
      <c r="BZ23" s="12"/>
      <c r="CA23" s="12">
        <f>SUMIF(TRANSHARI1_ICECREAMPAGI[PRODUK],BU23,TRANSHARI1_ICECREAMPAGI[QUANTITY])+SUMIF(TRANSHARI1_ICECREAMMALAM[PRODUK],BU23,TRANSHARI1_ICECREAMMALAM[QUANTITY])</f>
        <v>0</v>
      </c>
      <c r="CB23" s="12">
        <f>SUMIF(TRANSHARI2_ICECREAMPAGI[PRODUK],BU23,TRANSHARI2_ICECREAMPAGI[QUANTITY])+SUMIF(TRANSHARI2_ICECREAMMALAM[PRODUK],BU23,TRANSHARI2_ICECREAMMALAM[QUANTITY])</f>
        <v>0</v>
      </c>
      <c r="CC23" s="12">
        <f>SUMIF(TRANSHARI3_ICECREAMPAGI[PRODUK],BU23,TRANSHARI3_ICECREAMPAGI[QUANTITY])+SUMIF(TRANSHARI3_ICECREAMMALAM[PRODUK],BU23,TRANSHARI3_ICECREAMMALAM[QUANTITY])</f>
        <v>0</v>
      </c>
      <c r="CD23" s="12">
        <f>SUMIF(TRANSHARI4_ICECREAMPAGI[PRODUK],BU23,TRANSHARI4_ICECREAMPAGI[QUANTITY])+SUMIF(TRANSHARI4_ICECREAMMALAM[PRODUK],BU23,TRANSHARI4_ICECREAMMALAM[QUANTITY])</f>
        <v>0</v>
      </c>
      <c r="CE23" s="12">
        <f>SUMIF(TRANSHARI5_ICECREAMPAGI[PRODUK],BU23,TRANSHARI5_ICECREAMPAGI[QUANTITY])+SUMIF(TRANSHARI5_ICECREAMMALAM[PRODUK],BU23,TRANSHARI5_ICECREAMMALAM[QUANTITY])</f>
        <v>0</v>
      </c>
      <c r="CF23" s="12">
        <f>SUMIF(TRANSHARI6_ICECREAMPAGI[PRODUK],BU23,TRANSHARI6_ICECREAMPAGI[QUANTITY])+SUMIF(TRANSHARI6_ICECREAMMALAM[PRODUK],BU23,TRANSHARI6_ICECREAMMALAM[QUANTITY])</f>
        <v>0</v>
      </c>
      <c r="CG23" s="12">
        <f>SUMIF(TRANSHARI7_ICECREAMPAGI[PRODUK],BU23,TRANSHARI7_ICECREAMPAGI[QUANTITY])+SUMIF(TRANSHARI7_ICECREAMMALAM[PRODUK],BU23,TRANSHARI7_ICECREAMMALAM[QUANTITY])</f>
        <v>0</v>
      </c>
      <c r="CH23" s="12">
        <f>SUMIF(TRANSHARI8_ICECREAMPAGI[PRODUK],BU23,TRANSHARI8_ICECREAMPAGI[QUANTITY])+SUMIF(TRANSHARI8_ICECREAMMALAM[PRODUK],BU23,TRANSHARI8_ICECREAMMALAM[QUANTITY])</f>
        <v>0</v>
      </c>
      <c r="CI23" s="12">
        <f>SUMIF(TRANSHARI9_ICECREAMPAGI[PRODUK],BU23,TRANSHARI9_ICECREAMPAGI[QUANTITY])+SUMIF(TRANSHARI9_ICECREAMMALAM[PRODUK],BU23,TRANSHARI9_ICECREAMMALAM[QUANTITY])</f>
        <v>0</v>
      </c>
      <c r="CJ23" s="12">
        <f>SUMIF(TRANSHARI10_ICECREAMPAGI[PRODUK],BU23,TRANSHARI10_ICECREAMPAGI[QUANTITY])+SUMIF(TRANSHARI10_ICECREAMMALAM[PRODUK],BU23,TRANSHARI10_ICECREAMMALAM[QUANTITY])</f>
        <v>0</v>
      </c>
      <c r="CK23" s="12">
        <f>SUMIF(TRANSHARI11_ICECREAMPAGI[PRODUK],BU23,TRANSHARI11_ICECREAMPAGI[QUANTITY])+SUMIF(TRANSHARI11_ICECREAMMALAM[PRODUK],BU23,TRANSHARI11_ICECREAMMALAM[QUANTITY])</f>
        <v>0</v>
      </c>
      <c r="CL23" s="12">
        <f t="shared" si="9"/>
        <v>0</v>
      </c>
      <c r="CM23" s="12">
        <f t="shared" si="10"/>
        <v>0</v>
      </c>
      <c r="CN23" s="173">
        <f t="shared" si="11"/>
        <v>0</v>
      </c>
      <c r="CP23" s="177" t="str">
        <f>'DATA PRODUK'!BH20</f>
        <v>(K.D)(Type C) Olike D306C</v>
      </c>
      <c r="CQ23" s="175">
        <f>'DATA PRODUK'!BI20</f>
        <v>15000</v>
      </c>
      <c r="CR23" s="12"/>
      <c r="CS23" s="12"/>
      <c r="CT23" s="12"/>
      <c r="CU23" s="12"/>
      <c r="CV23" s="12">
        <f>SUMIF(TRANSHARI1_ACCPAGI[PRODUK],CP23,TRANSHARI1_ACCPAGI[QUANTITY])+SUMIF(TRANSHARI1_ACCMALAM[PRODUK],CP23,TRANSHARI1_ACCMALAM[QUANTITY])</f>
        <v>2</v>
      </c>
      <c r="CW23" s="12">
        <f>SUMIF(TRANSHARI2_ACCPAGI[PRODUK],CP23,TRANSHARI2_ACCPAGI[QUANTITY])+SUMIF(TRANSHARI2_ACCMALAM[PRODUK],CP23,TRANSHARI2_ACCMALAM[QUANTITY])</f>
        <v>0</v>
      </c>
      <c r="CX23" s="12">
        <f>SUMIF(TRANSHARI3_ACCPAGI[PRODUK],CP23,TRANSHARI3_ACCPAGI[QUANTITY])+SUMIF(TRANSHARI3_ACCMALAM[PRODUK],CP23,TRANSHARI3_ACCMALAM[QUANTITY])</f>
        <v>0</v>
      </c>
      <c r="CY23" s="12">
        <f>SUMIF(TRANSHARI4_ACCPAGI[PRODUK],CP23,TRANSHARI4_ACCPAGI[QUANTITY])+SUMIF(TRANSHARI4_ACCMALAM[PRODUK],CP23,TRANSHARI4_ACCMALAM[QUANTITY])</f>
        <v>0</v>
      </c>
      <c r="CZ23" s="12">
        <f>SUMIF(TRANSHARI5_ACCPAGI[PRODUK],CP23,TRANSHARI5_ACCPAGI[QUANTITY])+SUMIF(TRANSHARI5_ACCMALAM[PRODUK],CP23,TRANSHARI5_ACCMALAM[QUANTITY])</f>
        <v>0</v>
      </c>
      <c r="DA23" s="12">
        <f>SUMIF(TRANSHARI6_ACCPAGI[PRODUK],CP23,TRANSHARI6_ACCPAGI[QUANTITY])+SUMIF(TRANSHARI6_ACCMALAM[PRODUK],CP23,TRANSHARI6_ACCMALAM[QUANTITY])</f>
        <v>0</v>
      </c>
      <c r="DB23" s="12">
        <f>SUMIF(TRANSHARI7_ACCPAGI[PRODUK],CP23,TRANSHARI7_ACCPAGI[QUANTITY])+SUMIF(TRANSHARI7_ACCMALAM[PRODUK],CP23,TRANSHARI7_ACCMALAM[QUANTITY])</f>
        <v>0</v>
      </c>
      <c r="DC23" s="12">
        <f>SUMIF(TRANSHARI8_ACCPAGI[PRODUK],CP23,TRANSHARI8_ACCPAGI[QUANTITY])+SUMIF(TRANSHARI8_ACCMALAM[PRODUK],CP23,TRANSHARI8_ACCMALAM[QUANTITY])</f>
        <v>0</v>
      </c>
      <c r="DD23" s="12">
        <f>SUMIF(TRANSHARI9_ACCPAGI[PRODUK],CP23,TRANSHARI9_ACCPAGI[QUANTITY])+SUMIF(TRANSHARI9_ACCMALAM[PRODUK],CP23,TRANSHARI9_ACCMALAM[QUANTITY])</f>
        <v>0</v>
      </c>
      <c r="DE23" s="12">
        <f>SUMIF(TRANSHARI10_ACCPAGI[PRODUK],CP23,TRANSHARI10_ACCPAGI[QUANTITY])+SUMIF(TRANSHARI10_ACCMALAM[PRODUK],CP23,TRANSHARI10_ACCMALAM[QUANTITY])</f>
        <v>0</v>
      </c>
      <c r="DF23" s="12">
        <f>SUMIF(TRANSHARI11_ACCPAGI[PRODUK],CP23,TRANSHARI11_ACCPAGI[QUANTITY])+SUMIF(TRANSHARI11_ACCMALAM[PRODUK],CP23,TRANSHARI11_ACCMALAM[QUANTITY])</f>
        <v>0</v>
      </c>
      <c r="DG23" s="12">
        <f t="shared" si="12"/>
        <v>2</v>
      </c>
      <c r="DH23" s="12">
        <f t="shared" si="13"/>
        <v>-2</v>
      </c>
      <c r="DI23" s="173">
        <f t="shared" si="14"/>
        <v>30000</v>
      </c>
      <c r="DK23" s="187" t="str">
        <f>'DATA PRODUK'!BV20</f>
        <v>(BACK) HM 42</v>
      </c>
      <c r="DL23" s="87">
        <f>'DATA PRODUK'!BW20</f>
        <v>50000</v>
      </c>
      <c r="DM23" s="12"/>
      <c r="DN23" s="12"/>
      <c r="DO23" s="12"/>
      <c r="DP23" s="12"/>
      <c r="DQ23" s="12">
        <f>SUMIF(TRANSHARI1_HYDROPAGI[PRODUK],DK23,TRANSHARI1_HYDROPAGI[QUANTITY])+SUMIF(TRANSHARI1_HYDROMALAM[PRODUK],DK23,TRANSHARI1_HYDROMALAM[QUANTITY])</f>
        <v>0</v>
      </c>
      <c r="DR23" s="12">
        <f>SUMIF(TRANSHARI2_HYDROPAGI[PRODUK],DK23,TRANSHARI2_HYDROPAGI[QUANTITY])+SUMIF(TRANSHARI2_HYDROMALAM[PRODUK],DK23,TRANSHARI2_HYDROMALAM[QUANTITY])</f>
        <v>0</v>
      </c>
      <c r="DS23" s="12">
        <f>SUMIF(TRANSHARI3_HYDROPAGI[PRODUK],DK23,TRANSHARI3_HYDROPAGI[QUANTITY])+SUMIF(TRANSHARI3_HYDROMALAM[PRODUK],DK23,TRANSHARI3_HYDROMALAM[QUANTITY])</f>
        <v>0</v>
      </c>
      <c r="DT23" s="12">
        <f>SUMIF(TRANSHARI4_HYDROPAGI[PRODUK],DK23,TRANSHARI4_HYDROPAGI[QUANTITY])+SUMIF(TRANSHARI4_HYDROMALAM[PRODUK],DK23,TRANSHARI4_HYDROMALAM[QUANTITY])</f>
        <v>0</v>
      </c>
      <c r="DU23" s="12">
        <f>SUMIF(TRANSHARI5_HYDROPAGI[PRODUK],DK23,TRANSHARI5_HYDROPAGI[QUANTITY])+SUMIF(TRANSHARI5_HYDROMALAM[PRODUK],DK23,TRANSHARI5_HYDROMALAM[QUANTITY])</f>
        <v>0</v>
      </c>
      <c r="DV23" s="12">
        <f>SUMIF(TRANSHARI6_HYDROPAGI[PRODUK],DK23,TRANSHARI6_HYDROPAGI[QUANTITY])+SUMIF(TRANSHARI6_HYDROMALAM[PRODUK],DK23,TRANSHARI6_HYDROMALAM[QUANTITY])</f>
        <v>0</v>
      </c>
      <c r="DW23" s="12">
        <f>SUMIF(TRANSHARI7_HYDROPAGI[PRODUK],DK23,TRANSHARI7_HYDROPAGI[QUANTITY])+SUMIF(TRANSHARI7_HYDROMALAM[PRODUK],DK23,TRANSHARI7_HYDROMALAM[QUANTITY])</f>
        <v>0</v>
      </c>
      <c r="DX23" s="12">
        <f>SUMIF(TRANSHARI8_HYDROPAGI[PRODUK],DK23,TRANSHARI8_HYDROPAGI[QUANTITY])+SUMIF(TRANSHARI8_HYDROMALAM[PRODUK],DK23,TRANSHARI8_HYDROMALAM[QUANTITY])</f>
        <v>0</v>
      </c>
      <c r="DY23" s="12">
        <f>SUMIF(TRANSHARI9_HYDROPAGI[PRODUK],DK23,TRANSHARI9_HYDROPAGI[QUANTITY])+SUMIF(TRANSHARI9_HYDROMALAM[PRODUK],DK23,TRANSHARI9_HYDROMALAM[QUANTITY])</f>
        <v>0</v>
      </c>
      <c r="DZ23" s="12">
        <f>SUMIF(TRANSHARI10_HYDROPAGI[PRODUK],DK23,TRANSHARI10_HYDROPAGI[QUANTITY])+SUMIF(TRANSHARI10_HYDROMALAM[PRODUK],DK23,TRANSHARI10_HYDROMALAM[QUANTITY])</f>
        <v>0</v>
      </c>
      <c r="EA23" s="12">
        <f>SUMIF(TRANSHARI11_HYDROPAGI[PRODUK],DK23,TRANSHARI11_HYDROPAGI[QUANTITY])+SUMIF(TRANSHARI11_HYDROMALAM[PRODUK],DK23,TRANSHARI11_HYDROMALAM[QUANTITY])</f>
        <v>0</v>
      </c>
      <c r="EB23" s="12">
        <f t="shared" si="15"/>
        <v>0</v>
      </c>
      <c r="EC23" s="12">
        <f t="shared" si="16"/>
        <v>0</v>
      </c>
      <c r="ED23" s="173">
        <f t="shared" si="17"/>
        <v>0</v>
      </c>
    </row>
    <row r="24" ht="14.45" customHeight="1" spans="4:134">
      <c r="D24" s="117">
        <v>11</v>
      </c>
      <c r="E24" s="118">
        <f>'HARI 11'!L30+'HARI 11'!AA30</f>
        <v>0</v>
      </c>
      <c r="F24" s="118">
        <f>'HARI 11'!L31+'HARI 11'!AA31</f>
        <v>0</v>
      </c>
      <c r="G24" s="119">
        <f>'HARI 11'!L32+'HARI 11'!AA32</f>
        <v>0</v>
      </c>
      <c r="J24" s="26" t="str">
        <f>'DATA PRODUK'!D21</f>
        <v>SURYA PRO MERAH</v>
      </c>
      <c r="K24" s="151">
        <f>'DATA PRODUK'!E21</f>
        <v>30000</v>
      </c>
      <c r="L24" s="152"/>
      <c r="M24" s="152"/>
      <c r="N24" s="152"/>
      <c r="O24" s="152"/>
      <c r="P24" s="152">
        <f>SUMIF(TRANSHARI1_ROKOKPAGI[PRODUK],J24,TRANSHARI1_ROKOKPAGI[QUANTITY])+SUMIF(TRANSHARI1_ROKOKMALAM[PRODUK],J24,TRANSHARI1_ROKOKMALAM[QUANTITY])</f>
        <v>0</v>
      </c>
      <c r="Q24" s="152">
        <f>SUMIF(TRANSHARI2_ROKOKPAGI[PRODUK],J24,TRANSHARI2_ROKOKPAGI[QUANTITY])+SUMIF(TRANSHARI2_ROKOKMALAM[PRODUK],J24,TRANSHARI2_ROKOKMALAM[QUANTITY])</f>
        <v>0</v>
      </c>
      <c r="R24" s="152">
        <f>SUMIF(TRANSHARI3_ROKOKPAGI[PRODUK],J24,TRANSHARI3_ROKOKPAGI[QUANTITY])+SUMIF(TRANSHARI3_ROKOKMALAM[PRODUK],J24,TRANSHARI3_ROKOKMALAM[QUANTITY])</f>
        <v>0</v>
      </c>
      <c r="S24" s="152">
        <f>SUMIF(TRANSHARI4_ROKOKPAGI[PRODUK],J24,TRANSHARI4_ROKOKPAGI[QUANTITY])+SUMIF(TRANSHARI4_ROKOKMALAM[PRODUK],J24,TRANSHARI4_ROKOKMALAM[QUANTITY])</f>
        <v>0</v>
      </c>
      <c r="T24" s="152">
        <f>SUMIF(TRANSHARI5_ROKOKPAGI[PRODUK],J24,TRANSHARI5_ROKOKPAGI[QUANTITY])+SUMIF(TRANSHARI5_ROKOKMALAM[PRODUK],J24,TRANSHARI5_ROKOKMALAM[QUANTITY])</f>
        <v>0</v>
      </c>
      <c r="U24" s="152">
        <f>SUMIF(TRANSHARI6_ROKOKPAGI[PRODUK],J24,TRANSHARI6_ROKOKPAGI[QUANTITY])+SUMIF(TRANSHARI6_ROKOKMALAM[PRODUK],J24,TRANSHARI6_ROKOKMALAM[QUANTITY])</f>
        <v>0</v>
      </c>
      <c r="V24" s="152">
        <f>SUMIF(TRANSHARI7_ROKOKPAGI[PRODUK],J24,TRANSHARI7_ROKOKPAGI[QUANTITY])+SUMIF(TRANSHARI7_ROKOKMALAM[PRODUK],J24,TRANSHARI7_ROKOKMALAM[QUANTITY])</f>
        <v>0</v>
      </c>
      <c r="W24" s="152">
        <f>SUMIF(TRANSHARI8_ROKOKPAGI[PRODUK],J24,TRANSHARI8_ROKOKPAGI[QUANTITY])+SUMIF(TRANSHARI8_ROKOKMALAM[PRODUK],J24,TRANSHARI8_ROKOKMALAM[QUANTITY])</f>
        <v>0</v>
      </c>
      <c r="X24" s="152">
        <f>SUMIF(TRANSHARI9_ROKOKPAGI[PRODUK],J24,TRANSHARI9_ROKOKPAGI[QUANTITY])+SUMIF(TRANSHARI9_ROKOKMALAM[PRODUK],J24,TRANSHARI9_ROKOKMALAM[QUANTITY])</f>
        <v>0</v>
      </c>
      <c r="Y24" s="152">
        <f>SUMIF(TRANSHARI10_ROKOKPAGI[PRODUK],J24,TRANSHARI10_ROKOKPAGI[QUANTITY])+SUMIF(TRANSHARI10_ROKOKMALAM[PRODUK],J24,TRANSHARI10_ROKOKMALAM[QUANTITY])</f>
        <v>0</v>
      </c>
      <c r="Z24" s="152">
        <f>SUMIF(TRANSHARI11_ROKOKPAGI[PRODUK],J24,TRANSHARI11_ROKOKPAGI[QUANTITY])+SUMIF(TRANSHARI11_ROKOKMALAM[PRODUK],J24,TRANSHARI11_ROKOKMALAM[QUANTITY])</f>
        <v>0</v>
      </c>
      <c r="AA24" s="152">
        <f t="shared" si="0"/>
        <v>0</v>
      </c>
      <c r="AB24" s="152">
        <f t="shared" si="1"/>
        <v>0</v>
      </c>
      <c r="AC24" s="176">
        <f t="shared" si="2"/>
        <v>0</v>
      </c>
      <c r="AE24" s="177" t="str">
        <f>'DATA PRODUK'!R21</f>
        <v>SP XL 12 FLEX (S)</v>
      </c>
      <c r="AF24" s="178">
        <f>'DATA PRODUK'!S21</f>
        <v>30000</v>
      </c>
      <c r="AG24" s="152"/>
      <c r="AH24" s="152"/>
      <c r="AI24" s="152"/>
      <c r="AJ24" s="152"/>
      <c r="AK24" s="152">
        <f>SUMIF(TRANSHARI1_SPVOUPAGI[PRODUK],AE24,TRANSHARI1_SPVOUPAGI[QUANTITY])+SUMIF(TRANSHARI1_SPVOUMALAM[PRODUK],AE24,TRANSHARI1_SPVOUMALAM[QUANTITY])</f>
        <v>0</v>
      </c>
      <c r="AL24" s="152">
        <f>SUMIF(TRANSHARI2_SPVOUPAGI[PRODUK],AE24,TRANSHARI2_SPVOUPAGI[QUANTITY])+SUMIF(TRANSHARI2_SPVOUMALAM[PRODUK],AE24,TRANSHARI2_SPVOUMALAM[QUANTITY])</f>
        <v>0</v>
      </c>
      <c r="AM24" s="152">
        <f>SUMIF(TRANSHARI3_SPVOUPAGI[PRODUK],AE24,TRANSHARI3_SPVOUPAGI[QUANTITY])+SUMIF(TRANSHARI3_SPVOUMALAM[PRODUK],AE24,TRANSHARI3_SPVOUMALAM[QUANTITY])</f>
        <v>0</v>
      </c>
      <c r="AN24" s="152">
        <f>SUMIF(TRANSHARI4_SPVOUPAGI[PRODUK],AE24,TRANSHARI4_SPVOUPAGI[QUANTITY])+SUMIF(TRANSHARI4_SPVOUMALAM[PRODUK],AE24,TRANSHARI4_SPVOUMALAM[QUANTITY])</f>
        <v>0</v>
      </c>
      <c r="AO24" s="152">
        <f>SUMIF(TRANSHARI5_SPVOUPAGI[PRODUK],AE24,TRANSHARI5_SPVOUPAGI[QUANTITY])+SUMIF(TRANSHARI5_SPVOUMALAM[PRODUK],AE24,TRANSHARI5_SPVOUMALAM[QUANTITY])</f>
        <v>0</v>
      </c>
      <c r="AP24" s="152">
        <f>SUMIF(TRANSHARI6_SPVOUPAGI[PRODUK],AE24,TRANSHARI6_SPVOUPAGI[QUANTITY])+SUMIF(TRANSHARI6_SPVOUMALAM[PRODUK],AE24,TRANSHARI6_SPVOUMALAM[QUANTITY])</f>
        <v>0</v>
      </c>
      <c r="AQ24" s="152">
        <f>SUMIF(TRANSHARI7_SPVOUPAGI[PRODUK],AE24,TRANSHARI7_SPVOUPAGI[QUANTITY])+SUMIF(TRANSHARI7_SPVOUMALAM[PRODUK],AE24,TRANSHARI7_SPVOUMALAM[QUANTITY])</f>
        <v>0</v>
      </c>
      <c r="AR24" s="152">
        <f>SUMIF(TRANSHARI8_SPVOUPAGI[PRODUK],AE24,TRANSHARI8_SPVOUPAGI[QUANTITY])+SUMIF(TRANSHARI8_SPVOUMALAM[PRODUK],AE24,TRANSHARI8_SPVOUMALAM[QUANTITY])</f>
        <v>0</v>
      </c>
      <c r="AS24" s="152">
        <f>SUMIF(TRANSHARI9_SPVOUPAGI[PRODUK],AE24,TRANSHARI9_SPVOUPAGI[QUANTITY])+SUMIF(TRANSHARI9_SPVOUMALAM[PRODUK],AE24,TRANSHARI9_SPVOUMALAM[QUANTITY])</f>
        <v>0</v>
      </c>
      <c r="AT24" s="152">
        <f>SUMIF(TRANSHARI10_SPVOUPAGI[PRODUK],AE24,TRANSHARI10_SPVOUPAGI[QUANTITY])+SUMIF(TRANSHARI10_SPVOUMALAM[PRODUK],AE24,TRANSHARI10_SPVOUMALAM[QUANTITY])</f>
        <v>0</v>
      </c>
      <c r="AU24" s="152">
        <f>SUMIF(TRANSHARI11_SPVOUPAGI[PRODUK],AE24,TRANSHARI11_SPVOUPAGI[QUANTITY])+SUMIF(TRANSHARI11_SPVOUMALAM[PRODUK],AE24,TRANSHARI11_SPVOUMALAM[QUANTITY])</f>
        <v>0</v>
      </c>
      <c r="AV24" s="152">
        <f t="shared" si="3"/>
        <v>0</v>
      </c>
      <c r="AW24" s="152">
        <f t="shared" si="4"/>
        <v>0</v>
      </c>
      <c r="AX24" s="176">
        <f t="shared" si="5"/>
        <v>0</v>
      </c>
      <c r="AZ24" s="188" t="str">
        <f>'DATA PRODUK'!AF21</f>
        <v>KOPIKAP</v>
      </c>
      <c r="BA24" s="89">
        <f>'DATA PRODUK'!AG21</f>
        <v>1000</v>
      </c>
      <c r="BB24" s="152"/>
      <c r="BC24" s="152"/>
      <c r="BD24" s="152"/>
      <c r="BE24" s="152"/>
      <c r="BF24" s="152">
        <f>SUMIF(TRANSHARI1_SOFTDRINKPAGI[PRODUK],AZ24,TRANSHARI1_SOFTDRINKPAGI[QUANTITY])+SUMIF(TRANSHARI1_SOFTDRINKMALAM[PRODUK],AZ24,TRANSHARI1_SOFTDRINKMALAM[QUANTITY])</f>
        <v>7</v>
      </c>
      <c r="BG24" s="152">
        <f>SUMIF(TRANSHARI2_SOFTDRINKPAGI[PRODUK],AZ24,TRANSHARI2_SOFTDRINKPAGI[QUANTITY])+SUMIF(TRANSHARI2_SOFTDRINKMALAM[PRODUK],AZ24,TRANSHARI2_SOFTDRINKMALAM[QUANTITY])</f>
        <v>6</v>
      </c>
      <c r="BH24" s="152">
        <f>SUMIF(TRANSHARI3_SOFTDRINKPAGI[PRODUK],AZ24,TRANSHARI3_SOFTDRINKPAGI[QUANTITY])+SUMIF(TRANSHARI3_SOFTDRINKMALAM[PRODUK],AZ24,TRANSHARI3_SOFTDRINKMALAM[QUANTITY])</f>
        <v>0</v>
      </c>
      <c r="BI24" s="152">
        <f>SUMIF(TRANSHARI4_SOFTDRINKPAGI[PRODUK],AZ24,TRANSHARI4_SOFTDRINKPAGI[QUANTITY])+SUMIF(TRANSHARI4_SOFTDRINKMALAM[PRODUK],AZ24,TRANSHARI4_SOFTDRINKMALAM[QUANTITY])</f>
        <v>0</v>
      </c>
      <c r="BJ24" s="152">
        <f>SUMIF(TRANSHARI5_SOFTDRINKPAGI[PRODUK],AZ24,TRANSHARI5_SOFTDRINKPAGI[QUANTITY])+SUMIF(TRANSHARI5_SOFTDRINKMALAM[PRODUK],AZ24,TRANSHARI5_SOFTDRINKMALAM[QUANTITY])</f>
        <v>0</v>
      </c>
      <c r="BK24" s="152">
        <f>SUMIF(TRANSHARI6_SOFTDRINKPAGI[PRODUK],AZ24,TRANSHARI6_SOFTDRINKPAGI[QUANTITY])+SUMIF(TRANSHARI6_SOFTDRINKMALAM[PRODUK],AZ24,TRANSHARI6_SOFTDRINKMALAM[QUANTITY])</f>
        <v>0</v>
      </c>
      <c r="BL24" s="152">
        <f>SUMIF(TRANSHARI7_SOFTDRINKPAGI[PRODUK],AZ24,TRANSHARI7_SOFTDRINKPAGI[QUANTITY])+SUMIF(TRANSHARI7_SOFTDRINKMALAM[PRODUK],AZ24,TRANSHARI7_SOFTDRINKMALAM[QUANTITY])</f>
        <v>0</v>
      </c>
      <c r="BM24" s="152">
        <f>SUMIF(TRANSHARI8_SOFTDRINKPAGI[PRODUK],AZ24,TRANSHARI8_SOFTDRINKPAGI[QUANTITY])+SUMIF(TRANSHARI8_SOFTDRINKMALAM[PRODUK],AZ24,TRANSHARI8_SOFTDRINKMALAM[QUANTITY])</f>
        <v>0</v>
      </c>
      <c r="BN24" s="152">
        <f>SUMIF(TRANSHARI9_SOFTDRINKPAGI[PRODUK],AZ24,TRANSHARI9_SOFTDRINKPAGI[QUANTITY])+SUMIF(TRANSHARI9_SOFTDRINKMALAM[PRODUK],AZ24,TRANSHARI9_SOFTDRINKMALAM[QUANTITY])</f>
        <v>0</v>
      </c>
      <c r="BO24" s="152">
        <f>SUMIF(TRANSHARI10_SOFTDRINKPAGI[PRODUK],AZ24,TRANSHARI10_SOFTDRINKPAGI[QUANTITY])+SUMIF(TRANSHARI10_SOFTDRINKMALAM[PRODUK],AZ24,TRANSHARI10_SOFTDRINKMALAM[QUANTITY])</f>
        <v>0</v>
      </c>
      <c r="BP24" s="152">
        <f>SUMIF(TRANSHARI11_SOFTDRINKPAGI[PRODUK],AZ24,TRANSHARI11_SOFTDRINKPAGI[QUANTITY])+SUMIF(TRANSHARI11_SOFTDRINKMALAM[PRODUK],AZ24,TRANSHARI11_SOFTDRINKMALAM[QUANTITY])</f>
        <v>0</v>
      </c>
      <c r="BQ24" s="152">
        <f t="shared" si="6"/>
        <v>13</v>
      </c>
      <c r="BR24" s="152">
        <f t="shared" si="7"/>
        <v>-13</v>
      </c>
      <c r="BS24" s="176">
        <f t="shared" si="8"/>
        <v>13000</v>
      </c>
      <c r="BU24" s="174" t="str">
        <f>'DATA PRODUK'!AT21</f>
        <v>(Waku-Waku) Cotton Candy</v>
      </c>
      <c r="BV24" s="178">
        <f>'DATA PRODUK'!AU21</f>
        <v>3000</v>
      </c>
      <c r="BW24" s="152"/>
      <c r="BX24" s="152"/>
      <c r="BY24" s="152"/>
      <c r="BZ24" s="152"/>
      <c r="CA24" s="152">
        <f>SUMIF(TRANSHARI1_ICECREAMPAGI[PRODUK],BU24,TRANSHARI1_ICECREAMPAGI[QUANTITY])+SUMIF(TRANSHARI1_ICECREAMMALAM[PRODUK],BU24,TRANSHARI1_ICECREAMMALAM[QUANTITY])</f>
        <v>0</v>
      </c>
      <c r="CB24" s="152">
        <f>SUMIF(TRANSHARI2_ICECREAMPAGI[PRODUK],BU24,TRANSHARI2_ICECREAMPAGI[QUANTITY])+SUMIF(TRANSHARI2_ICECREAMMALAM[PRODUK],BU24,TRANSHARI2_ICECREAMMALAM[QUANTITY])</f>
        <v>0</v>
      </c>
      <c r="CC24" s="152">
        <f>SUMIF(TRANSHARI3_ICECREAMPAGI[PRODUK],BU24,TRANSHARI3_ICECREAMPAGI[QUANTITY])+SUMIF(TRANSHARI3_ICECREAMMALAM[PRODUK],BU24,TRANSHARI3_ICECREAMMALAM[QUANTITY])</f>
        <v>0</v>
      </c>
      <c r="CD24" s="152">
        <f>SUMIF(TRANSHARI4_ICECREAMPAGI[PRODUK],BU24,TRANSHARI4_ICECREAMPAGI[QUANTITY])+SUMIF(TRANSHARI4_ICECREAMMALAM[PRODUK],BU24,TRANSHARI4_ICECREAMMALAM[QUANTITY])</f>
        <v>0</v>
      </c>
      <c r="CE24" s="152">
        <f>SUMIF(TRANSHARI5_ICECREAMPAGI[PRODUK],BU24,TRANSHARI5_ICECREAMPAGI[QUANTITY])+SUMIF(TRANSHARI5_ICECREAMMALAM[PRODUK],BU24,TRANSHARI5_ICECREAMMALAM[QUANTITY])</f>
        <v>0</v>
      </c>
      <c r="CF24" s="152">
        <f>SUMIF(TRANSHARI6_ICECREAMPAGI[PRODUK],BU24,TRANSHARI6_ICECREAMPAGI[QUANTITY])+SUMIF(TRANSHARI6_ICECREAMMALAM[PRODUK],BU24,TRANSHARI6_ICECREAMMALAM[QUANTITY])</f>
        <v>0</v>
      </c>
      <c r="CG24" s="152">
        <f>SUMIF(TRANSHARI7_ICECREAMPAGI[PRODUK],BU24,TRANSHARI7_ICECREAMPAGI[QUANTITY])+SUMIF(TRANSHARI7_ICECREAMMALAM[PRODUK],BU24,TRANSHARI7_ICECREAMMALAM[QUANTITY])</f>
        <v>0</v>
      </c>
      <c r="CH24" s="152">
        <f>SUMIF(TRANSHARI8_ICECREAMPAGI[PRODUK],BU24,TRANSHARI8_ICECREAMPAGI[QUANTITY])+SUMIF(TRANSHARI8_ICECREAMMALAM[PRODUK],BU24,TRANSHARI8_ICECREAMMALAM[QUANTITY])</f>
        <v>0</v>
      </c>
      <c r="CI24" s="152">
        <f>SUMIF(TRANSHARI9_ICECREAMPAGI[PRODUK],BU24,TRANSHARI9_ICECREAMPAGI[QUANTITY])+SUMIF(TRANSHARI9_ICECREAMMALAM[PRODUK],BU24,TRANSHARI9_ICECREAMMALAM[QUANTITY])</f>
        <v>0</v>
      </c>
      <c r="CJ24" s="152">
        <f>SUMIF(TRANSHARI10_ICECREAMPAGI[PRODUK],BU24,TRANSHARI10_ICECREAMPAGI[QUANTITY])+SUMIF(TRANSHARI10_ICECREAMMALAM[PRODUK],BU24,TRANSHARI10_ICECREAMMALAM[QUANTITY])</f>
        <v>0</v>
      </c>
      <c r="CK24" s="152">
        <f>SUMIF(TRANSHARI11_ICECREAMPAGI[PRODUK],BU24,TRANSHARI11_ICECREAMPAGI[QUANTITY])+SUMIF(TRANSHARI11_ICECREAMMALAM[PRODUK],BU24,TRANSHARI11_ICECREAMMALAM[QUANTITY])</f>
        <v>0</v>
      </c>
      <c r="CL24" s="152">
        <f t="shared" si="9"/>
        <v>0</v>
      </c>
      <c r="CM24" s="152">
        <f t="shared" si="10"/>
        <v>0</v>
      </c>
      <c r="CN24" s="176">
        <f t="shared" si="11"/>
        <v>0</v>
      </c>
      <c r="CP24" s="174" t="str">
        <f>'DATA PRODUK'!BH21</f>
        <v>(K.D)(Type C) Robot RBC100S</v>
      </c>
      <c r="CQ24" s="178">
        <f>'DATA PRODUK'!BI21</f>
        <v>20000</v>
      </c>
      <c r="CR24" s="152"/>
      <c r="CS24" s="152"/>
      <c r="CT24" s="152"/>
      <c r="CU24" s="152"/>
      <c r="CV24" s="152">
        <f>SUMIF(TRANSHARI1_ACCPAGI[PRODUK],CP24,TRANSHARI1_ACCPAGI[QUANTITY])+SUMIF(TRANSHARI1_ACCMALAM[PRODUK],CP24,TRANSHARI1_ACCMALAM[QUANTITY])</f>
        <v>0</v>
      </c>
      <c r="CW24" s="152">
        <f>SUMIF(TRANSHARI2_ACCPAGI[PRODUK],CP24,TRANSHARI2_ACCPAGI[QUANTITY])+SUMIF(TRANSHARI2_ACCMALAM[PRODUK],CP24,TRANSHARI2_ACCMALAM[QUANTITY])</f>
        <v>0</v>
      </c>
      <c r="CX24" s="152">
        <f>SUMIF(TRANSHARI3_ACCPAGI[PRODUK],CP24,TRANSHARI3_ACCPAGI[QUANTITY])+SUMIF(TRANSHARI3_ACCMALAM[PRODUK],CP24,TRANSHARI3_ACCMALAM[QUANTITY])</f>
        <v>0</v>
      </c>
      <c r="CY24" s="152">
        <f>SUMIF(TRANSHARI4_ACCPAGI[PRODUK],CP24,TRANSHARI4_ACCPAGI[QUANTITY])+SUMIF(TRANSHARI4_ACCMALAM[PRODUK],CP24,TRANSHARI4_ACCMALAM[QUANTITY])</f>
        <v>0</v>
      </c>
      <c r="CZ24" s="152">
        <f>SUMIF(TRANSHARI5_ACCPAGI[PRODUK],CP24,TRANSHARI5_ACCPAGI[QUANTITY])+SUMIF(TRANSHARI5_ACCMALAM[PRODUK],CP24,TRANSHARI5_ACCMALAM[QUANTITY])</f>
        <v>0</v>
      </c>
      <c r="DA24" s="152">
        <f>SUMIF(TRANSHARI6_ACCPAGI[PRODUK],CP24,TRANSHARI6_ACCPAGI[QUANTITY])+SUMIF(TRANSHARI6_ACCMALAM[PRODUK],CP24,TRANSHARI6_ACCMALAM[QUANTITY])</f>
        <v>0</v>
      </c>
      <c r="DB24" s="152">
        <f>SUMIF(TRANSHARI7_ACCPAGI[PRODUK],CP24,TRANSHARI7_ACCPAGI[QUANTITY])+SUMIF(TRANSHARI7_ACCMALAM[PRODUK],CP24,TRANSHARI7_ACCMALAM[QUANTITY])</f>
        <v>0</v>
      </c>
      <c r="DC24" s="152">
        <f>SUMIF(TRANSHARI8_ACCPAGI[PRODUK],CP24,TRANSHARI8_ACCPAGI[QUANTITY])+SUMIF(TRANSHARI8_ACCMALAM[PRODUK],CP24,TRANSHARI8_ACCMALAM[QUANTITY])</f>
        <v>0</v>
      </c>
      <c r="DD24" s="152">
        <f>SUMIF(TRANSHARI9_ACCPAGI[PRODUK],CP24,TRANSHARI9_ACCPAGI[QUANTITY])+SUMIF(TRANSHARI9_ACCMALAM[PRODUK],CP24,TRANSHARI9_ACCMALAM[QUANTITY])</f>
        <v>0</v>
      </c>
      <c r="DE24" s="152">
        <f>SUMIF(TRANSHARI10_ACCPAGI[PRODUK],CP24,TRANSHARI10_ACCPAGI[QUANTITY])+SUMIF(TRANSHARI10_ACCMALAM[PRODUK],CP24,TRANSHARI10_ACCMALAM[QUANTITY])</f>
        <v>0</v>
      </c>
      <c r="DF24" s="152">
        <f>SUMIF(TRANSHARI11_ACCPAGI[PRODUK],CP24,TRANSHARI11_ACCPAGI[QUANTITY])+SUMIF(TRANSHARI11_ACCMALAM[PRODUK],CP24,TRANSHARI11_ACCMALAM[QUANTITY])</f>
        <v>0</v>
      </c>
      <c r="DG24" s="152">
        <f t="shared" si="12"/>
        <v>0</v>
      </c>
      <c r="DH24" s="152">
        <f t="shared" si="13"/>
        <v>0</v>
      </c>
      <c r="DI24" s="176">
        <f t="shared" si="14"/>
        <v>0</v>
      </c>
      <c r="DK24" s="188" t="str">
        <f>'DATA PRODUK'!BV21</f>
        <v>(BACK) HM 122 (M)</v>
      </c>
      <c r="DL24" s="89">
        <f>'DATA PRODUK'!BW21</f>
        <v>50000</v>
      </c>
      <c r="DM24" s="152"/>
      <c r="DN24" s="152"/>
      <c r="DO24" s="152"/>
      <c r="DP24" s="152"/>
      <c r="DQ24" s="152">
        <f>SUMIF(TRANSHARI1_HYDROPAGI[PRODUK],DK24,TRANSHARI1_HYDROPAGI[QUANTITY])+SUMIF(TRANSHARI1_HYDROMALAM[PRODUK],DK24,TRANSHARI1_HYDROMALAM[QUANTITY])</f>
        <v>0</v>
      </c>
      <c r="DR24" s="152">
        <f>SUMIF(TRANSHARI2_HYDROPAGI[PRODUK],DK24,TRANSHARI2_HYDROPAGI[QUANTITY])+SUMIF(TRANSHARI2_HYDROMALAM[PRODUK],DK24,TRANSHARI2_HYDROMALAM[QUANTITY])</f>
        <v>0</v>
      </c>
      <c r="DS24" s="152">
        <f>SUMIF(TRANSHARI3_HYDROPAGI[PRODUK],DK24,TRANSHARI3_HYDROPAGI[QUANTITY])+SUMIF(TRANSHARI3_HYDROMALAM[PRODUK],DK24,TRANSHARI3_HYDROMALAM[QUANTITY])</f>
        <v>0</v>
      </c>
      <c r="DT24" s="152">
        <f>SUMIF(TRANSHARI4_HYDROPAGI[PRODUK],DK24,TRANSHARI4_HYDROPAGI[QUANTITY])+SUMIF(TRANSHARI4_HYDROMALAM[PRODUK],DK24,TRANSHARI4_HYDROMALAM[QUANTITY])</f>
        <v>0</v>
      </c>
      <c r="DU24" s="152">
        <f>SUMIF(TRANSHARI5_HYDROPAGI[PRODUK],DK24,TRANSHARI5_HYDROPAGI[QUANTITY])+SUMIF(TRANSHARI5_HYDROMALAM[PRODUK],DK24,TRANSHARI5_HYDROMALAM[QUANTITY])</f>
        <v>0</v>
      </c>
      <c r="DV24" s="152">
        <f>SUMIF(TRANSHARI6_HYDROPAGI[PRODUK],DK24,TRANSHARI6_HYDROPAGI[QUANTITY])+SUMIF(TRANSHARI6_HYDROMALAM[PRODUK],DK24,TRANSHARI6_HYDROMALAM[QUANTITY])</f>
        <v>0</v>
      </c>
      <c r="DW24" s="152">
        <f>SUMIF(TRANSHARI7_HYDROPAGI[PRODUK],DK24,TRANSHARI7_HYDROPAGI[QUANTITY])+SUMIF(TRANSHARI7_HYDROMALAM[PRODUK],DK24,TRANSHARI7_HYDROMALAM[QUANTITY])</f>
        <v>0</v>
      </c>
      <c r="DX24" s="152">
        <f>SUMIF(TRANSHARI8_HYDROPAGI[PRODUK],DK24,TRANSHARI8_HYDROPAGI[QUANTITY])+SUMIF(TRANSHARI8_HYDROMALAM[PRODUK],DK24,TRANSHARI8_HYDROMALAM[QUANTITY])</f>
        <v>0</v>
      </c>
      <c r="DY24" s="152">
        <f>SUMIF(TRANSHARI9_HYDROPAGI[PRODUK],DK24,TRANSHARI9_HYDROPAGI[QUANTITY])+SUMIF(TRANSHARI9_HYDROMALAM[PRODUK],DK24,TRANSHARI9_HYDROMALAM[QUANTITY])</f>
        <v>0</v>
      </c>
      <c r="DZ24" s="152">
        <f>SUMIF(TRANSHARI10_HYDROPAGI[PRODUK],DK24,TRANSHARI10_HYDROPAGI[QUANTITY])+SUMIF(TRANSHARI10_HYDROMALAM[PRODUK],DK24,TRANSHARI10_HYDROMALAM[QUANTITY])</f>
        <v>0</v>
      </c>
      <c r="EA24" s="152">
        <f>SUMIF(TRANSHARI11_HYDROPAGI[PRODUK],DK24,TRANSHARI11_HYDROPAGI[QUANTITY])+SUMIF(TRANSHARI11_HYDROMALAM[PRODUK],DK24,TRANSHARI11_HYDROMALAM[QUANTITY])</f>
        <v>0</v>
      </c>
      <c r="EB24" s="152">
        <f t="shared" si="15"/>
        <v>0</v>
      </c>
      <c r="EC24" s="152">
        <f t="shared" si="16"/>
        <v>0</v>
      </c>
      <c r="ED24" s="176">
        <f t="shared" si="17"/>
        <v>0</v>
      </c>
    </row>
    <row r="25" ht="15.95" customHeight="1" spans="4:134">
      <c r="D25" s="123" t="s">
        <v>141</v>
      </c>
      <c r="E25" s="124">
        <f>SUM(E14:E24)</f>
        <v>705752</v>
      </c>
      <c r="F25" s="124">
        <f>SUM(F14:F24)</f>
        <v>1000132</v>
      </c>
      <c r="G25" s="124">
        <f>SUM(G14:G24)</f>
        <v>0</v>
      </c>
      <c r="J25" s="24" t="str">
        <f>'DATA PRODUK'!D22</f>
        <v>SURYA PRO PUTIH</v>
      </c>
      <c r="K25" s="150">
        <f>'DATA PRODUK'!E22</f>
        <v>30000</v>
      </c>
      <c r="L25" s="12"/>
      <c r="M25" s="12"/>
      <c r="N25" s="12"/>
      <c r="O25" s="12"/>
      <c r="P25" s="12">
        <f>SUMIF(TRANSHARI1_ROKOKPAGI[PRODUK],J25,TRANSHARI1_ROKOKPAGI[QUANTITY])+SUMIF(TRANSHARI1_ROKOKMALAM[PRODUK],J25,TRANSHARI1_ROKOKMALAM[QUANTITY])</f>
        <v>0</v>
      </c>
      <c r="Q25" s="12">
        <f>SUMIF(TRANSHARI2_ROKOKPAGI[PRODUK],J25,TRANSHARI2_ROKOKPAGI[QUANTITY])+SUMIF(TRANSHARI2_ROKOKMALAM[PRODUK],J25,TRANSHARI2_ROKOKMALAM[QUANTITY])</f>
        <v>0</v>
      </c>
      <c r="R25" s="12">
        <f>SUMIF(TRANSHARI3_ROKOKPAGI[PRODUK],J25,TRANSHARI3_ROKOKPAGI[QUANTITY])+SUMIF(TRANSHARI3_ROKOKMALAM[PRODUK],J25,TRANSHARI3_ROKOKMALAM[QUANTITY])</f>
        <v>0</v>
      </c>
      <c r="S25" s="12">
        <f>SUMIF(TRANSHARI4_ROKOKPAGI[PRODUK],J25,TRANSHARI4_ROKOKPAGI[QUANTITY])+SUMIF(TRANSHARI4_ROKOKMALAM[PRODUK],J25,TRANSHARI4_ROKOKMALAM[QUANTITY])</f>
        <v>0</v>
      </c>
      <c r="T25" s="12">
        <f>SUMIF(TRANSHARI5_ROKOKPAGI[PRODUK],J25,TRANSHARI5_ROKOKPAGI[QUANTITY])+SUMIF(TRANSHARI5_ROKOKMALAM[PRODUK],J25,TRANSHARI5_ROKOKMALAM[QUANTITY])</f>
        <v>0</v>
      </c>
      <c r="U25" s="12">
        <f>SUMIF(TRANSHARI6_ROKOKPAGI[PRODUK],J25,TRANSHARI6_ROKOKPAGI[QUANTITY])+SUMIF(TRANSHARI6_ROKOKMALAM[PRODUK],J25,TRANSHARI6_ROKOKMALAM[QUANTITY])</f>
        <v>0</v>
      </c>
      <c r="V25" s="12">
        <f>SUMIF(TRANSHARI7_ROKOKPAGI[PRODUK],J25,TRANSHARI7_ROKOKPAGI[QUANTITY])+SUMIF(TRANSHARI7_ROKOKMALAM[PRODUK],J25,TRANSHARI7_ROKOKMALAM[QUANTITY])</f>
        <v>0</v>
      </c>
      <c r="W25" s="12">
        <f>SUMIF(TRANSHARI8_ROKOKPAGI[PRODUK],J25,TRANSHARI8_ROKOKPAGI[QUANTITY])+SUMIF(TRANSHARI8_ROKOKMALAM[PRODUK],J25,TRANSHARI8_ROKOKMALAM[QUANTITY])</f>
        <v>0</v>
      </c>
      <c r="X25" s="12">
        <f>SUMIF(TRANSHARI9_ROKOKPAGI[PRODUK],J25,TRANSHARI9_ROKOKPAGI[QUANTITY])+SUMIF(TRANSHARI9_ROKOKMALAM[PRODUK],J25,TRANSHARI9_ROKOKMALAM[QUANTITY])</f>
        <v>0</v>
      </c>
      <c r="Y25" s="12">
        <f>SUMIF(TRANSHARI10_ROKOKPAGI[PRODUK],J25,TRANSHARI10_ROKOKPAGI[QUANTITY])+SUMIF(TRANSHARI10_ROKOKMALAM[PRODUK],J25,TRANSHARI10_ROKOKMALAM[QUANTITY])</f>
        <v>0</v>
      </c>
      <c r="Z25" s="12">
        <f>SUMIF(TRANSHARI11_ROKOKPAGI[PRODUK],J25,TRANSHARI11_ROKOKPAGI[QUANTITY])+SUMIF(TRANSHARI11_ROKOKMALAM[PRODUK],J25,TRANSHARI11_ROKOKMALAM[QUANTITY])</f>
        <v>0</v>
      </c>
      <c r="AA25" s="12">
        <f t="shared" si="0"/>
        <v>0</v>
      </c>
      <c r="AB25" s="12">
        <f t="shared" si="1"/>
        <v>0</v>
      </c>
      <c r="AC25" s="173">
        <f t="shared" si="2"/>
        <v>0</v>
      </c>
      <c r="AE25" s="174" t="str">
        <f>'DATA PRODUK'!R22</f>
        <v>SP XL 33 FLEX (M)</v>
      </c>
      <c r="AF25" s="175">
        <f>'DATA PRODUK'!S22</f>
        <v>50000</v>
      </c>
      <c r="AG25" s="12"/>
      <c r="AH25" s="12"/>
      <c r="AI25" s="12"/>
      <c r="AJ25" s="12"/>
      <c r="AK25" s="12">
        <f>SUMIF(TRANSHARI1_SPVOUPAGI[PRODUK],AE25,TRANSHARI1_SPVOUPAGI[QUANTITY])+SUMIF(TRANSHARI1_SPVOUMALAM[PRODUK],AE25,TRANSHARI1_SPVOUMALAM[QUANTITY])</f>
        <v>0</v>
      </c>
      <c r="AL25" s="12">
        <f>SUMIF(TRANSHARI2_SPVOUPAGI[PRODUK],AE25,TRANSHARI2_SPVOUPAGI[QUANTITY])+SUMIF(TRANSHARI2_SPVOUMALAM[PRODUK],AE25,TRANSHARI2_SPVOUMALAM[QUANTITY])</f>
        <v>0</v>
      </c>
      <c r="AM25" s="12">
        <f>SUMIF(TRANSHARI3_SPVOUPAGI[PRODUK],AE25,TRANSHARI3_SPVOUPAGI[QUANTITY])+SUMIF(TRANSHARI3_SPVOUMALAM[PRODUK],AE25,TRANSHARI3_SPVOUMALAM[QUANTITY])</f>
        <v>0</v>
      </c>
      <c r="AN25" s="12">
        <f>SUMIF(TRANSHARI4_SPVOUPAGI[PRODUK],AE25,TRANSHARI4_SPVOUPAGI[QUANTITY])+SUMIF(TRANSHARI4_SPVOUMALAM[PRODUK],AE25,TRANSHARI4_SPVOUMALAM[QUANTITY])</f>
        <v>0</v>
      </c>
      <c r="AO25" s="12">
        <f>SUMIF(TRANSHARI5_SPVOUPAGI[PRODUK],AE25,TRANSHARI5_SPVOUPAGI[QUANTITY])+SUMIF(TRANSHARI5_SPVOUMALAM[PRODUK],AE25,TRANSHARI5_SPVOUMALAM[QUANTITY])</f>
        <v>0</v>
      </c>
      <c r="AP25" s="12">
        <f>SUMIF(TRANSHARI6_SPVOUPAGI[PRODUK],AE25,TRANSHARI6_SPVOUPAGI[QUANTITY])+SUMIF(TRANSHARI6_SPVOUMALAM[PRODUK],AE25,TRANSHARI6_SPVOUMALAM[QUANTITY])</f>
        <v>0</v>
      </c>
      <c r="AQ25" s="12">
        <f>SUMIF(TRANSHARI7_SPVOUPAGI[PRODUK],AE25,TRANSHARI7_SPVOUPAGI[QUANTITY])+SUMIF(TRANSHARI7_SPVOUMALAM[PRODUK],AE25,TRANSHARI7_SPVOUMALAM[QUANTITY])</f>
        <v>0</v>
      </c>
      <c r="AR25" s="12">
        <f>SUMIF(TRANSHARI8_SPVOUPAGI[PRODUK],AE25,TRANSHARI8_SPVOUPAGI[QUANTITY])+SUMIF(TRANSHARI8_SPVOUMALAM[PRODUK],AE25,TRANSHARI8_SPVOUMALAM[QUANTITY])</f>
        <v>0</v>
      </c>
      <c r="AS25" s="12">
        <f>SUMIF(TRANSHARI9_SPVOUPAGI[PRODUK],AE25,TRANSHARI9_SPVOUPAGI[QUANTITY])+SUMIF(TRANSHARI9_SPVOUMALAM[PRODUK],AE25,TRANSHARI9_SPVOUMALAM[QUANTITY])</f>
        <v>0</v>
      </c>
      <c r="AT25" s="12">
        <f>SUMIF(TRANSHARI10_SPVOUPAGI[PRODUK],AE25,TRANSHARI10_SPVOUPAGI[QUANTITY])+SUMIF(TRANSHARI10_SPVOUMALAM[PRODUK],AE25,TRANSHARI10_SPVOUMALAM[QUANTITY])</f>
        <v>0</v>
      </c>
      <c r="AU25" s="12">
        <f>SUMIF(TRANSHARI11_SPVOUPAGI[PRODUK],AE25,TRANSHARI11_SPVOUPAGI[QUANTITY])+SUMIF(TRANSHARI11_SPVOUMALAM[PRODUK],AE25,TRANSHARI11_SPVOUMALAM[QUANTITY])</f>
        <v>0</v>
      </c>
      <c r="AV25" s="12">
        <f t="shared" si="3"/>
        <v>0</v>
      </c>
      <c r="AW25" s="12">
        <f t="shared" si="4"/>
        <v>0</v>
      </c>
      <c r="AX25" s="173">
        <f t="shared" si="5"/>
        <v>0</v>
      </c>
      <c r="AZ25" s="187" t="str">
        <f>'DATA PRODUK'!AF22</f>
        <v>ADES</v>
      </c>
      <c r="BA25" s="87">
        <f>'DATA PRODUK'!AG22</f>
        <v>3000</v>
      </c>
      <c r="BB25" s="12"/>
      <c r="BC25" s="12"/>
      <c r="BD25" s="12"/>
      <c r="BE25" s="12"/>
      <c r="BF25" s="12">
        <f>SUMIF(TRANSHARI1_SOFTDRINKPAGI[PRODUK],AZ25,TRANSHARI1_SOFTDRINKPAGI[QUANTITY])+SUMIF(TRANSHARI1_SOFTDRINKMALAM[PRODUK],AZ25,TRANSHARI1_SOFTDRINKMALAM[QUANTITY])</f>
        <v>1</v>
      </c>
      <c r="BG25" s="12">
        <f>SUMIF(TRANSHARI2_SOFTDRINKPAGI[PRODUK],AZ25,TRANSHARI2_SOFTDRINKPAGI[QUANTITY])+SUMIF(TRANSHARI2_SOFTDRINKMALAM[PRODUK],AZ25,TRANSHARI2_SOFTDRINKMALAM[QUANTITY])</f>
        <v>3</v>
      </c>
      <c r="BH25" s="12">
        <f>SUMIF(TRANSHARI3_SOFTDRINKPAGI[PRODUK],AZ25,TRANSHARI3_SOFTDRINKPAGI[QUANTITY])+SUMIF(TRANSHARI3_SOFTDRINKMALAM[PRODUK],AZ25,TRANSHARI3_SOFTDRINKMALAM[QUANTITY])</f>
        <v>0</v>
      </c>
      <c r="BI25" s="12">
        <f>SUMIF(TRANSHARI4_SOFTDRINKPAGI[PRODUK],AZ25,TRANSHARI4_SOFTDRINKPAGI[QUANTITY])+SUMIF(TRANSHARI4_SOFTDRINKMALAM[PRODUK],AZ25,TRANSHARI4_SOFTDRINKMALAM[QUANTITY])</f>
        <v>0</v>
      </c>
      <c r="BJ25" s="12">
        <f>SUMIF(TRANSHARI5_SOFTDRINKPAGI[PRODUK],AZ25,TRANSHARI5_SOFTDRINKPAGI[QUANTITY])+SUMIF(TRANSHARI5_SOFTDRINKMALAM[PRODUK],AZ25,TRANSHARI5_SOFTDRINKMALAM[QUANTITY])</f>
        <v>0</v>
      </c>
      <c r="BK25" s="12">
        <f>SUMIF(TRANSHARI6_SOFTDRINKPAGI[PRODUK],AZ25,TRANSHARI6_SOFTDRINKPAGI[QUANTITY])+SUMIF(TRANSHARI6_SOFTDRINKMALAM[PRODUK],AZ25,TRANSHARI6_SOFTDRINKMALAM[QUANTITY])</f>
        <v>0</v>
      </c>
      <c r="BL25" s="12">
        <f>SUMIF(TRANSHARI7_SOFTDRINKPAGI[PRODUK],AZ25,TRANSHARI7_SOFTDRINKPAGI[QUANTITY])+SUMIF(TRANSHARI7_SOFTDRINKMALAM[PRODUK],AZ25,TRANSHARI7_SOFTDRINKMALAM[QUANTITY])</f>
        <v>0</v>
      </c>
      <c r="BM25" s="12">
        <f>SUMIF(TRANSHARI8_SOFTDRINKPAGI[PRODUK],AZ25,TRANSHARI8_SOFTDRINKPAGI[QUANTITY])+SUMIF(TRANSHARI8_SOFTDRINKMALAM[PRODUK],AZ25,TRANSHARI8_SOFTDRINKMALAM[QUANTITY])</f>
        <v>0</v>
      </c>
      <c r="BN25" s="12">
        <f>SUMIF(TRANSHARI9_SOFTDRINKPAGI[PRODUK],AZ25,TRANSHARI9_SOFTDRINKPAGI[QUANTITY])+SUMIF(TRANSHARI9_SOFTDRINKMALAM[PRODUK],AZ25,TRANSHARI9_SOFTDRINKMALAM[QUANTITY])</f>
        <v>0</v>
      </c>
      <c r="BO25" s="12">
        <f>SUMIF(TRANSHARI10_SOFTDRINKPAGI[PRODUK],AZ25,TRANSHARI10_SOFTDRINKPAGI[QUANTITY])+SUMIF(TRANSHARI10_SOFTDRINKMALAM[PRODUK],AZ25,TRANSHARI10_SOFTDRINKMALAM[QUANTITY])</f>
        <v>0</v>
      </c>
      <c r="BP25" s="12">
        <f>SUMIF(TRANSHARI11_SOFTDRINKPAGI[PRODUK],AZ25,TRANSHARI11_SOFTDRINKPAGI[QUANTITY])+SUMIF(TRANSHARI11_SOFTDRINKMALAM[PRODUK],AZ25,TRANSHARI11_SOFTDRINKMALAM[QUANTITY])</f>
        <v>0</v>
      </c>
      <c r="BQ25" s="12">
        <f t="shared" si="6"/>
        <v>4</v>
      </c>
      <c r="BR25" s="12">
        <f t="shared" si="7"/>
        <v>-4</v>
      </c>
      <c r="BS25" s="173">
        <f t="shared" si="8"/>
        <v>12000</v>
      </c>
      <c r="BU25" s="177" t="str">
        <f>'DATA PRODUK'!AT22</f>
        <v>(Jcone) Choco Vanilla Rainbow</v>
      </c>
      <c r="BV25" s="175">
        <f>'DATA PRODUK'!AU22</f>
        <v>3000</v>
      </c>
      <c r="BW25" s="12"/>
      <c r="BX25" s="12"/>
      <c r="BY25" s="12"/>
      <c r="BZ25" s="12"/>
      <c r="CA25" s="12">
        <f>SUMIF(TRANSHARI1_ICECREAMPAGI[PRODUK],BU25,TRANSHARI1_ICECREAMPAGI[QUANTITY])+SUMIF(TRANSHARI1_ICECREAMMALAM[PRODUK],BU25,TRANSHARI1_ICECREAMMALAM[QUANTITY])</f>
        <v>0</v>
      </c>
      <c r="CB25" s="12">
        <f>SUMIF(TRANSHARI2_ICECREAMPAGI[PRODUK],BU25,TRANSHARI2_ICECREAMPAGI[QUANTITY])+SUMIF(TRANSHARI2_ICECREAMMALAM[PRODUK],BU25,TRANSHARI2_ICECREAMMALAM[QUANTITY])</f>
        <v>0</v>
      </c>
      <c r="CC25" s="12">
        <f>SUMIF(TRANSHARI3_ICECREAMPAGI[PRODUK],BU25,TRANSHARI3_ICECREAMPAGI[QUANTITY])+SUMIF(TRANSHARI3_ICECREAMMALAM[PRODUK],BU25,TRANSHARI3_ICECREAMMALAM[QUANTITY])</f>
        <v>0</v>
      </c>
      <c r="CD25" s="12">
        <f>SUMIF(TRANSHARI4_ICECREAMPAGI[PRODUK],BU25,TRANSHARI4_ICECREAMPAGI[QUANTITY])+SUMIF(TRANSHARI4_ICECREAMMALAM[PRODUK],BU25,TRANSHARI4_ICECREAMMALAM[QUANTITY])</f>
        <v>0</v>
      </c>
      <c r="CE25" s="12">
        <f>SUMIF(TRANSHARI5_ICECREAMPAGI[PRODUK],BU25,TRANSHARI5_ICECREAMPAGI[QUANTITY])+SUMIF(TRANSHARI5_ICECREAMMALAM[PRODUK],BU25,TRANSHARI5_ICECREAMMALAM[QUANTITY])</f>
        <v>0</v>
      </c>
      <c r="CF25" s="12">
        <f>SUMIF(TRANSHARI6_ICECREAMPAGI[PRODUK],BU25,TRANSHARI6_ICECREAMPAGI[QUANTITY])+SUMIF(TRANSHARI6_ICECREAMMALAM[PRODUK],BU25,TRANSHARI6_ICECREAMMALAM[QUANTITY])</f>
        <v>0</v>
      </c>
      <c r="CG25" s="12">
        <f>SUMIF(TRANSHARI7_ICECREAMPAGI[PRODUK],BU25,TRANSHARI7_ICECREAMPAGI[QUANTITY])+SUMIF(TRANSHARI7_ICECREAMMALAM[PRODUK],BU25,TRANSHARI7_ICECREAMMALAM[QUANTITY])</f>
        <v>0</v>
      </c>
      <c r="CH25" s="12">
        <f>SUMIF(TRANSHARI8_ICECREAMPAGI[PRODUK],BU25,TRANSHARI8_ICECREAMPAGI[QUANTITY])+SUMIF(TRANSHARI8_ICECREAMMALAM[PRODUK],BU25,TRANSHARI8_ICECREAMMALAM[QUANTITY])</f>
        <v>0</v>
      </c>
      <c r="CI25" s="12">
        <f>SUMIF(TRANSHARI9_ICECREAMPAGI[PRODUK],BU25,TRANSHARI9_ICECREAMPAGI[QUANTITY])+SUMIF(TRANSHARI9_ICECREAMMALAM[PRODUK],BU25,TRANSHARI9_ICECREAMMALAM[QUANTITY])</f>
        <v>0</v>
      </c>
      <c r="CJ25" s="12">
        <f>SUMIF(TRANSHARI10_ICECREAMPAGI[PRODUK],BU25,TRANSHARI10_ICECREAMPAGI[QUANTITY])+SUMIF(TRANSHARI10_ICECREAMMALAM[PRODUK],BU25,TRANSHARI10_ICECREAMMALAM[QUANTITY])</f>
        <v>0</v>
      </c>
      <c r="CK25" s="12">
        <f>SUMIF(TRANSHARI11_ICECREAMPAGI[PRODUK],BU25,TRANSHARI11_ICECREAMPAGI[QUANTITY])+SUMIF(TRANSHARI11_ICECREAMMALAM[PRODUK],BU25,TRANSHARI11_ICECREAMMALAM[QUANTITY])</f>
        <v>0</v>
      </c>
      <c r="CL25" s="12">
        <f t="shared" si="9"/>
        <v>0</v>
      </c>
      <c r="CM25" s="12">
        <f t="shared" si="10"/>
        <v>0</v>
      </c>
      <c r="CN25" s="173">
        <f t="shared" si="11"/>
        <v>0</v>
      </c>
      <c r="CP25" s="177" t="str">
        <f>'DATA PRODUK'!BH22</f>
        <v>(K.D)(Type C) Robot RGC100</v>
      </c>
      <c r="CQ25" s="175">
        <f>'DATA PRODUK'!BI22</f>
        <v>25000</v>
      </c>
      <c r="CR25" s="12"/>
      <c r="CS25" s="12"/>
      <c r="CT25" s="12"/>
      <c r="CU25" s="12"/>
      <c r="CV25" s="12">
        <f>SUMIF(TRANSHARI1_ACCPAGI[PRODUK],CP25,TRANSHARI1_ACCPAGI[QUANTITY])+SUMIF(TRANSHARI1_ACCMALAM[PRODUK],CP25,TRANSHARI1_ACCMALAM[QUANTITY])</f>
        <v>0</v>
      </c>
      <c r="CW25" s="12">
        <f>SUMIF(TRANSHARI2_ACCPAGI[PRODUK],CP25,TRANSHARI2_ACCPAGI[QUANTITY])+SUMIF(TRANSHARI2_ACCMALAM[PRODUK],CP25,TRANSHARI2_ACCMALAM[QUANTITY])</f>
        <v>1</v>
      </c>
      <c r="CX25" s="12">
        <f>SUMIF(TRANSHARI3_ACCPAGI[PRODUK],CP25,TRANSHARI3_ACCPAGI[QUANTITY])+SUMIF(TRANSHARI3_ACCMALAM[PRODUK],CP25,TRANSHARI3_ACCMALAM[QUANTITY])</f>
        <v>0</v>
      </c>
      <c r="CY25" s="12">
        <f>SUMIF(TRANSHARI4_ACCPAGI[PRODUK],CP25,TRANSHARI4_ACCPAGI[QUANTITY])+SUMIF(TRANSHARI4_ACCMALAM[PRODUK],CP25,TRANSHARI4_ACCMALAM[QUANTITY])</f>
        <v>0</v>
      </c>
      <c r="CZ25" s="12">
        <f>SUMIF(TRANSHARI5_ACCPAGI[PRODUK],CP25,TRANSHARI5_ACCPAGI[QUANTITY])+SUMIF(TRANSHARI5_ACCMALAM[PRODUK],CP25,TRANSHARI5_ACCMALAM[QUANTITY])</f>
        <v>0</v>
      </c>
      <c r="DA25" s="12">
        <f>SUMIF(TRANSHARI6_ACCPAGI[PRODUK],CP25,TRANSHARI6_ACCPAGI[QUANTITY])+SUMIF(TRANSHARI6_ACCMALAM[PRODUK],CP25,TRANSHARI6_ACCMALAM[QUANTITY])</f>
        <v>0</v>
      </c>
      <c r="DB25" s="12">
        <f>SUMIF(TRANSHARI7_ACCPAGI[PRODUK],CP25,TRANSHARI7_ACCPAGI[QUANTITY])+SUMIF(TRANSHARI7_ACCMALAM[PRODUK],CP25,TRANSHARI7_ACCMALAM[QUANTITY])</f>
        <v>0</v>
      </c>
      <c r="DC25" s="12">
        <f>SUMIF(TRANSHARI8_ACCPAGI[PRODUK],CP25,TRANSHARI8_ACCPAGI[QUANTITY])+SUMIF(TRANSHARI8_ACCMALAM[PRODUK],CP25,TRANSHARI8_ACCMALAM[QUANTITY])</f>
        <v>0</v>
      </c>
      <c r="DD25" s="12">
        <f>SUMIF(TRANSHARI9_ACCPAGI[PRODUK],CP25,TRANSHARI9_ACCPAGI[QUANTITY])+SUMIF(TRANSHARI9_ACCMALAM[PRODUK],CP25,TRANSHARI9_ACCMALAM[QUANTITY])</f>
        <v>0</v>
      </c>
      <c r="DE25" s="12">
        <f>SUMIF(TRANSHARI10_ACCPAGI[PRODUK],CP25,TRANSHARI10_ACCPAGI[QUANTITY])+SUMIF(TRANSHARI10_ACCMALAM[PRODUK],CP25,TRANSHARI10_ACCMALAM[QUANTITY])</f>
        <v>0</v>
      </c>
      <c r="DF25" s="12">
        <f>SUMIF(TRANSHARI11_ACCPAGI[PRODUK],CP25,TRANSHARI11_ACCPAGI[QUANTITY])+SUMIF(TRANSHARI11_ACCMALAM[PRODUK],CP25,TRANSHARI11_ACCMALAM[QUANTITY])</f>
        <v>0</v>
      </c>
      <c r="DG25" s="12">
        <f t="shared" si="12"/>
        <v>1</v>
      </c>
      <c r="DH25" s="12">
        <f t="shared" si="13"/>
        <v>-1</v>
      </c>
      <c r="DI25" s="173">
        <f t="shared" si="14"/>
        <v>25000</v>
      </c>
      <c r="DK25" s="187" t="str">
        <f>'DATA PRODUK'!BV22</f>
        <v>(BACK) HM 60</v>
      </c>
      <c r="DL25" s="87">
        <f>'DATA PRODUK'!BW22</f>
        <v>50000</v>
      </c>
      <c r="DM25" s="12"/>
      <c r="DN25" s="12"/>
      <c r="DO25" s="12"/>
      <c r="DP25" s="12"/>
      <c r="DQ25" s="12">
        <f>SUMIF(TRANSHARI1_HYDROPAGI[PRODUK],DK25,TRANSHARI1_HYDROPAGI[QUANTITY])+SUMIF(TRANSHARI1_HYDROMALAM[PRODUK],DK25,TRANSHARI1_HYDROMALAM[QUANTITY])</f>
        <v>0</v>
      </c>
      <c r="DR25" s="12">
        <f>SUMIF(TRANSHARI2_HYDROPAGI[PRODUK],DK25,TRANSHARI2_HYDROPAGI[QUANTITY])+SUMIF(TRANSHARI2_HYDROMALAM[PRODUK],DK25,TRANSHARI2_HYDROMALAM[QUANTITY])</f>
        <v>0</v>
      </c>
      <c r="DS25" s="12">
        <f>SUMIF(TRANSHARI3_HYDROPAGI[PRODUK],DK25,TRANSHARI3_HYDROPAGI[QUANTITY])+SUMIF(TRANSHARI3_HYDROMALAM[PRODUK],DK25,TRANSHARI3_HYDROMALAM[QUANTITY])</f>
        <v>0</v>
      </c>
      <c r="DT25" s="12">
        <f>SUMIF(TRANSHARI4_HYDROPAGI[PRODUK],DK25,TRANSHARI4_HYDROPAGI[QUANTITY])+SUMIF(TRANSHARI4_HYDROMALAM[PRODUK],DK25,TRANSHARI4_HYDROMALAM[QUANTITY])</f>
        <v>0</v>
      </c>
      <c r="DU25" s="12">
        <f>SUMIF(TRANSHARI5_HYDROPAGI[PRODUK],DK25,TRANSHARI5_HYDROPAGI[QUANTITY])+SUMIF(TRANSHARI5_HYDROMALAM[PRODUK],DK25,TRANSHARI5_HYDROMALAM[QUANTITY])</f>
        <v>0</v>
      </c>
      <c r="DV25" s="12">
        <f>SUMIF(TRANSHARI6_HYDROPAGI[PRODUK],DK25,TRANSHARI6_HYDROPAGI[QUANTITY])+SUMIF(TRANSHARI6_HYDROMALAM[PRODUK],DK25,TRANSHARI6_HYDROMALAM[QUANTITY])</f>
        <v>0</v>
      </c>
      <c r="DW25" s="12">
        <f>SUMIF(TRANSHARI7_HYDROPAGI[PRODUK],DK25,TRANSHARI7_HYDROPAGI[QUANTITY])+SUMIF(TRANSHARI7_HYDROMALAM[PRODUK],DK25,TRANSHARI7_HYDROMALAM[QUANTITY])</f>
        <v>0</v>
      </c>
      <c r="DX25" s="12">
        <f>SUMIF(TRANSHARI8_HYDROPAGI[PRODUK],DK25,TRANSHARI8_HYDROPAGI[QUANTITY])+SUMIF(TRANSHARI8_HYDROMALAM[PRODUK],DK25,TRANSHARI8_HYDROMALAM[QUANTITY])</f>
        <v>0</v>
      </c>
      <c r="DY25" s="12">
        <f>SUMIF(TRANSHARI9_HYDROPAGI[PRODUK],DK25,TRANSHARI9_HYDROPAGI[QUANTITY])+SUMIF(TRANSHARI9_HYDROMALAM[PRODUK],DK25,TRANSHARI9_HYDROMALAM[QUANTITY])</f>
        <v>0</v>
      </c>
      <c r="DZ25" s="12">
        <f>SUMIF(TRANSHARI10_HYDROPAGI[PRODUK],DK25,TRANSHARI10_HYDROPAGI[QUANTITY])+SUMIF(TRANSHARI10_HYDROMALAM[PRODUK],DK25,TRANSHARI10_HYDROMALAM[QUANTITY])</f>
        <v>0</v>
      </c>
      <c r="EA25" s="12">
        <f>SUMIF(TRANSHARI11_HYDROPAGI[PRODUK],DK25,TRANSHARI11_HYDROPAGI[QUANTITY])+SUMIF(TRANSHARI11_HYDROMALAM[PRODUK],DK25,TRANSHARI11_HYDROMALAM[QUANTITY])</f>
        <v>0</v>
      </c>
      <c r="EB25" s="12">
        <f t="shared" si="15"/>
        <v>0</v>
      </c>
      <c r="EC25" s="12">
        <f t="shared" si="16"/>
        <v>0</v>
      </c>
      <c r="ED25" s="173">
        <f t="shared" si="17"/>
        <v>0</v>
      </c>
    </row>
    <row r="26" ht="18" spans="10:134">
      <c r="J26" s="26" t="str">
        <f>'DATA PRODUK'!D23</f>
        <v>TOPPAS 12</v>
      </c>
      <c r="K26" s="151">
        <f>'DATA PRODUK'!E23</f>
        <v>17000</v>
      </c>
      <c r="L26" s="152"/>
      <c r="M26" s="152"/>
      <c r="N26" s="152"/>
      <c r="O26" s="152"/>
      <c r="P26" s="152">
        <f>SUMIF(TRANSHARI1_ROKOKPAGI[PRODUK],J26,TRANSHARI1_ROKOKPAGI[QUANTITY])+SUMIF(TRANSHARI1_ROKOKMALAM[PRODUK],J26,TRANSHARI1_ROKOKMALAM[QUANTITY])</f>
        <v>2</v>
      </c>
      <c r="Q26" s="152">
        <f>SUMIF(TRANSHARI2_ROKOKPAGI[PRODUK],J26,TRANSHARI2_ROKOKPAGI[QUANTITY])+SUMIF(TRANSHARI2_ROKOKMALAM[PRODUK],J26,TRANSHARI2_ROKOKMALAM[QUANTITY])</f>
        <v>0</v>
      </c>
      <c r="R26" s="152">
        <f>SUMIF(TRANSHARI3_ROKOKPAGI[PRODUK],J26,TRANSHARI3_ROKOKPAGI[QUANTITY])+SUMIF(TRANSHARI3_ROKOKMALAM[PRODUK],J26,TRANSHARI3_ROKOKMALAM[QUANTITY])</f>
        <v>0</v>
      </c>
      <c r="S26" s="152">
        <f>SUMIF(TRANSHARI4_ROKOKPAGI[PRODUK],J26,TRANSHARI4_ROKOKPAGI[QUANTITY])+SUMIF(TRANSHARI4_ROKOKMALAM[PRODUK],J26,TRANSHARI4_ROKOKMALAM[QUANTITY])</f>
        <v>0</v>
      </c>
      <c r="T26" s="152">
        <f>SUMIF(TRANSHARI5_ROKOKPAGI[PRODUK],J26,TRANSHARI5_ROKOKPAGI[QUANTITY])+SUMIF(TRANSHARI5_ROKOKMALAM[PRODUK],J26,TRANSHARI5_ROKOKMALAM[QUANTITY])</f>
        <v>0</v>
      </c>
      <c r="U26" s="152">
        <f>SUMIF(TRANSHARI6_ROKOKPAGI[PRODUK],J26,TRANSHARI6_ROKOKPAGI[QUANTITY])+SUMIF(TRANSHARI6_ROKOKMALAM[PRODUK],J26,TRANSHARI6_ROKOKMALAM[QUANTITY])</f>
        <v>0</v>
      </c>
      <c r="V26" s="152">
        <f>SUMIF(TRANSHARI7_ROKOKPAGI[PRODUK],J26,TRANSHARI7_ROKOKPAGI[QUANTITY])+SUMIF(TRANSHARI7_ROKOKMALAM[PRODUK],J26,TRANSHARI7_ROKOKMALAM[QUANTITY])</f>
        <v>0</v>
      </c>
      <c r="W26" s="152">
        <f>SUMIF(TRANSHARI8_ROKOKPAGI[PRODUK],J26,TRANSHARI8_ROKOKPAGI[QUANTITY])+SUMIF(TRANSHARI8_ROKOKMALAM[PRODUK],J26,TRANSHARI8_ROKOKMALAM[QUANTITY])</f>
        <v>0</v>
      </c>
      <c r="X26" s="152">
        <f>SUMIF(TRANSHARI9_ROKOKPAGI[PRODUK],J26,TRANSHARI9_ROKOKPAGI[QUANTITY])+SUMIF(TRANSHARI9_ROKOKMALAM[PRODUK],J26,TRANSHARI9_ROKOKMALAM[QUANTITY])</f>
        <v>0</v>
      </c>
      <c r="Y26" s="152">
        <f>SUMIF(TRANSHARI10_ROKOKPAGI[PRODUK],J26,TRANSHARI10_ROKOKPAGI[QUANTITY])+SUMIF(TRANSHARI10_ROKOKMALAM[PRODUK],J26,TRANSHARI10_ROKOKMALAM[QUANTITY])</f>
        <v>0</v>
      </c>
      <c r="Z26" s="152">
        <f>SUMIF(TRANSHARI11_ROKOKPAGI[PRODUK],J26,TRANSHARI11_ROKOKPAGI[QUANTITY])+SUMIF(TRANSHARI11_ROKOKMALAM[PRODUK],J26,TRANSHARI11_ROKOKMALAM[QUANTITY])</f>
        <v>0</v>
      </c>
      <c r="AA26" s="152">
        <f t="shared" si="0"/>
        <v>2</v>
      </c>
      <c r="AB26" s="152">
        <f t="shared" si="1"/>
        <v>-2</v>
      </c>
      <c r="AC26" s="176">
        <f t="shared" si="2"/>
        <v>34000</v>
      </c>
      <c r="AE26" s="177" t="str">
        <f>'DATA PRODUK'!R23</f>
        <v>SP XL 90 FLEX (L)</v>
      </c>
      <c r="AF26" s="178">
        <f>'DATA PRODUK'!S23</f>
        <v>70000</v>
      </c>
      <c r="AG26" s="152"/>
      <c r="AH26" s="152"/>
      <c r="AI26" s="152"/>
      <c r="AJ26" s="152"/>
      <c r="AK26" s="152">
        <f>SUMIF(TRANSHARI1_SPVOUPAGI[PRODUK],AE26,TRANSHARI1_SPVOUPAGI[QUANTITY])+SUMIF(TRANSHARI1_SPVOUMALAM[PRODUK],AE26,TRANSHARI1_SPVOUMALAM[QUANTITY])</f>
        <v>0</v>
      </c>
      <c r="AL26" s="152">
        <f>SUMIF(TRANSHARI2_SPVOUPAGI[PRODUK],AE26,TRANSHARI2_SPVOUPAGI[QUANTITY])+SUMIF(TRANSHARI2_SPVOUMALAM[PRODUK],AE26,TRANSHARI2_SPVOUMALAM[QUANTITY])</f>
        <v>0</v>
      </c>
      <c r="AM26" s="152">
        <f>SUMIF(TRANSHARI3_SPVOUPAGI[PRODUK],AE26,TRANSHARI3_SPVOUPAGI[QUANTITY])+SUMIF(TRANSHARI3_SPVOUMALAM[PRODUK],AE26,TRANSHARI3_SPVOUMALAM[QUANTITY])</f>
        <v>0</v>
      </c>
      <c r="AN26" s="152">
        <f>SUMIF(TRANSHARI4_SPVOUPAGI[PRODUK],AE26,TRANSHARI4_SPVOUPAGI[QUANTITY])+SUMIF(TRANSHARI4_SPVOUMALAM[PRODUK],AE26,TRANSHARI4_SPVOUMALAM[QUANTITY])</f>
        <v>0</v>
      </c>
      <c r="AO26" s="152">
        <f>SUMIF(TRANSHARI5_SPVOUPAGI[PRODUK],AE26,TRANSHARI5_SPVOUPAGI[QUANTITY])+SUMIF(TRANSHARI5_SPVOUMALAM[PRODUK],AE26,TRANSHARI5_SPVOUMALAM[QUANTITY])</f>
        <v>0</v>
      </c>
      <c r="AP26" s="152">
        <f>SUMIF(TRANSHARI6_SPVOUPAGI[PRODUK],AE26,TRANSHARI6_SPVOUPAGI[QUANTITY])+SUMIF(TRANSHARI6_SPVOUMALAM[PRODUK],AE26,TRANSHARI6_SPVOUMALAM[QUANTITY])</f>
        <v>0</v>
      </c>
      <c r="AQ26" s="152">
        <f>SUMIF(TRANSHARI7_SPVOUPAGI[PRODUK],AE26,TRANSHARI7_SPVOUPAGI[QUANTITY])+SUMIF(TRANSHARI7_SPVOUMALAM[PRODUK],AE26,TRANSHARI7_SPVOUMALAM[QUANTITY])</f>
        <v>0</v>
      </c>
      <c r="AR26" s="152">
        <f>SUMIF(TRANSHARI8_SPVOUPAGI[PRODUK],AE26,TRANSHARI8_SPVOUPAGI[QUANTITY])+SUMIF(TRANSHARI8_SPVOUMALAM[PRODUK],AE26,TRANSHARI8_SPVOUMALAM[QUANTITY])</f>
        <v>0</v>
      </c>
      <c r="AS26" s="152">
        <f>SUMIF(TRANSHARI9_SPVOUPAGI[PRODUK],AE26,TRANSHARI9_SPVOUPAGI[QUANTITY])+SUMIF(TRANSHARI9_SPVOUMALAM[PRODUK],AE26,TRANSHARI9_SPVOUMALAM[QUANTITY])</f>
        <v>0</v>
      </c>
      <c r="AT26" s="152">
        <f>SUMIF(TRANSHARI10_SPVOUPAGI[PRODUK],AE26,TRANSHARI10_SPVOUPAGI[QUANTITY])+SUMIF(TRANSHARI10_SPVOUMALAM[PRODUK],AE26,TRANSHARI10_SPVOUMALAM[QUANTITY])</f>
        <v>0</v>
      </c>
      <c r="AU26" s="152">
        <f>SUMIF(TRANSHARI11_SPVOUPAGI[PRODUK],AE26,TRANSHARI11_SPVOUPAGI[QUANTITY])+SUMIF(TRANSHARI11_SPVOUMALAM[PRODUK],AE26,TRANSHARI11_SPVOUMALAM[QUANTITY])</f>
        <v>0</v>
      </c>
      <c r="AV26" s="152">
        <f t="shared" si="3"/>
        <v>0</v>
      </c>
      <c r="AW26" s="152">
        <f t="shared" si="4"/>
        <v>0</v>
      </c>
      <c r="AX26" s="176">
        <f t="shared" si="5"/>
        <v>0</v>
      </c>
      <c r="AZ26" s="188" t="str">
        <f>'DATA PRODUK'!AF23</f>
        <v>GOLDA (ALL)</v>
      </c>
      <c r="BA26" s="89">
        <f>'DATA PRODUK'!AG23</f>
        <v>4000</v>
      </c>
      <c r="BB26" s="152"/>
      <c r="BC26" s="152"/>
      <c r="BD26" s="152"/>
      <c r="BE26" s="152"/>
      <c r="BF26" s="152">
        <f>SUMIF(TRANSHARI1_SOFTDRINKPAGI[PRODUK],AZ26,TRANSHARI1_SOFTDRINKPAGI[QUANTITY])+SUMIF(TRANSHARI1_SOFTDRINKMALAM[PRODUK],AZ26,TRANSHARI1_SOFTDRINKMALAM[QUANTITY])</f>
        <v>1</v>
      </c>
      <c r="BG26" s="152">
        <f>SUMIF(TRANSHARI2_SOFTDRINKPAGI[PRODUK],AZ26,TRANSHARI2_SOFTDRINKPAGI[QUANTITY])+SUMIF(TRANSHARI2_SOFTDRINKMALAM[PRODUK],AZ26,TRANSHARI2_SOFTDRINKMALAM[QUANTITY])</f>
        <v>1</v>
      </c>
      <c r="BH26" s="152">
        <f>SUMIF(TRANSHARI3_SOFTDRINKPAGI[PRODUK],AZ26,TRANSHARI3_SOFTDRINKPAGI[QUANTITY])+SUMIF(TRANSHARI3_SOFTDRINKMALAM[PRODUK],AZ26,TRANSHARI3_SOFTDRINKMALAM[QUANTITY])</f>
        <v>0</v>
      </c>
      <c r="BI26" s="152">
        <f>SUMIF(TRANSHARI4_SOFTDRINKPAGI[PRODUK],AZ26,TRANSHARI4_SOFTDRINKPAGI[QUANTITY])+SUMIF(TRANSHARI4_SOFTDRINKMALAM[PRODUK],AZ26,TRANSHARI4_SOFTDRINKMALAM[QUANTITY])</f>
        <v>0</v>
      </c>
      <c r="BJ26" s="152">
        <f>SUMIF(TRANSHARI5_SOFTDRINKPAGI[PRODUK],AZ26,TRANSHARI5_SOFTDRINKPAGI[QUANTITY])+SUMIF(TRANSHARI5_SOFTDRINKMALAM[PRODUK],AZ26,TRANSHARI5_SOFTDRINKMALAM[QUANTITY])</f>
        <v>0</v>
      </c>
      <c r="BK26" s="152">
        <f>SUMIF(TRANSHARI6_SOFTDRINKPAGI[PRODUK],AZ26,TRANSHARI6_SOFTDRINKPAGI[QUANTITY])+SUMIF(TRANSHARI6_SOFTDRINKMALAM[PRODUK],AZ26,TRANSHARI6_SOFTDRINKMALAM[QUANTITY])</f>
        <v>0</v>
      </c>
      <c r="BL26" s="152">
        <f>SUMIF(TRANSHARI7_SOFTDRINKPAGI[PRODUK],AZ26,TRANSHARI7_SOFTDRINKPAGI[QUANTITY])+SUMIF(TRANSHARI7_SOFTDRINKMALAM[PRODUK],AZ26,TRANSHARI7_SOFTDRINKMALAM[QUANTITY])</f>
        <v>0</v>
      </c>
      <c r="BM26" s="152">
        <f>SUMIF(TRANSHARI8_SOFTDRINKPAGI[PRODUK],AZ26,TRANSHARI8_SOFTDRINKPAGI[QUANTITY])+SUMIF(TRANSHARI8_SOFTDRINKMALAM[PRODUK],AZ26,TRANSHARI8_SOFTDRINKMALAM[QUANTITY])</f>
        <v>0</v>
      </c>
      <c r="BN26" s="152">
        <f>SUMIF(TRANSHARI9_SOFTDRINKPAGI[PRODUK],AZ26,TRANSHARI9_SOFTDRINKPAGI[QUANTITY])+SUMIF(TRANSHARI9_SOFTDRINKMALAM[PRODUK],AZ26,TRANSHARI9_SOFTDRINKMALAM[QUANTITY])</f>
        <v>0</v>
      </c>
      <c r="BO26" s="152">
        <f>SUMIF(TRANSHARI10_SOFTDRINKPAGI[PRODUK],AZ26,TRANSHARI10_SOFTDRINKPAGI[QUANTITY])+SUMIF(TRANSHARI10_SOFTDRINKMALAM[PRODUK],AZ26,TRANSHARI10_SOFTDRINKMALAM[QUANTITY])</f>
        <v>0</v>
      </c>
      <c r="BP26" s="152">
        <f>SUMIF(TRANSHARI11_SOFTDRINKPAGI[PRODUK],AZ26,TRANSHARI11_SOFTDRINKPAGI[QUANTITY])+SUMIF(TRANSHARI11_SOFTDRINKMALAM[PRODUK],AZ26,TRANSHARI11_SOFTDRINKMALAM[QUANTITY])</f>
        <v>0</v>
      </c>
      <c r="BQ26" s="152">
        <f t="shared" si="6"/>
        <v>2</v>
      </c>
      <c r="BR26" s="152">
        <f t="shared" si="7"/>
        <v>-2</v>
      </c>
      <c r="BS26" s="176">
        <f t="shared" si="8"/>
        <v>8000</v>
      </c>
      <c r="BU26" s="174" t="str">
        <f>'DATA PRODUK'!AT23</f>
        <v>(Frostbite) Yakoo</v>
      </c>
      <c r="BV26" s="178">
        <f>'DATA PRODUK'!AU23</f>
        <v>3000</v>
      </c>
      <c r="BW26" s="152"/>
      <c r="BX26" s="152"/>
      <c r="BY26" s="152"/>
      <c r="BZ26" s="152"/>
      <c r="CA26" s="152">
        <f>SUMIF(TRANSHARI1_ICECREAMPAGI[PRODUK],BU26,TRANSHARI1_ICECREAMPAGI[QUANTITY])+SUMIF(TRANSHARI1_ICECREAMMALAM[PRODUK],BU26,TRANSHARI1_ICECREAMMALAM[QUANTITY])</f>
        <v>0</v>
      </c>
      <c r="CB26" s="152">
        <f>SUMIF(TRANSHARI2_ICECREAMPAGI[PRODUK],BU26,TRANSHARI2_ICECREAMPAGI[QUANTITY])+SUMIF(TRANSHARI2_ICECREAMMALAM[PRODUK],BU26,TRANSHARI2_ICECREAMMALAM[QUANTITY])</f>
        <v>0</v>
      </c>
      <c r="CC26" s="152">
        <f>SUMIF(TRANSHARI3_ICECREAMPAGI[PRODUK],BU26,TRANSHARI3_ICECREAMPAGI[QUANTITY])+SUMIF(TRANSHARI3_ICECREAMMALAM[PRODUK],BU26,TRANSHARI3_ICECREAMMALAM[QUANTITY])</f>
        <v>0</v>
      </c>
      <c r="CD26" s="152">
        <f>SUMIF(TRANSHARI4_ICECREAMPAGI[PRODUK],BU26,TRANSHARI4_ICECREAMPAGI[QUANTITY])+SUMIF(TRANSHARI4_ICECREAMMALAM[PRODUK],BU26,TRANSHARI4_ICECREAMMALAM[QUANTITY])</f>
        <v>0</v>
      </c>
      <c r="CE26" s="152">
        <f>SUMIF(TRANSHARI5_ICECREAMPAGI[PRODUK],BU26,TRANSHARI5_ICECREAMPAGI[QUANTITY])+SUMIF(TRANSHARI5_ICECREAMMALAM[PRODUK],BU26,TRANSHARI5_ICECREAMMALAM[QUANTITY])</f>
        <v>0</v>
      </c>
      <c r="CF26" s="152">
        <f>SUMIF(TRANSHARI6_ICECREAMPAGI[PRODUK],BU26,TRANSHARI6_ICECREAMPAGI[QUANTITY])+SUMIF(TRANSHARI6_ICECREAMMALAM[PRODUK],BU26,TRANSHARI6_ICECREAMMALAM[QUANTITY])</f>
        <v>0</v>
      </c>
      <c r="CG26" s="152">
        <f>SUMIF(TRANSHARI7_ICECREAMPAGI[PRODUK],BU26,TRANSHARI7_ICECREAMPAGI[QUANTITY])+SUMIF(TRANSHARI7_ICECREAMMALAM[PRODUK],BU26,TRANSHARI7_ICECREAMMALAM[QUANTITY])</f>
        <v>0</v>
      </c>
      <c r="CH26" s="152">
        <f>SUMIF(TRANSHARI8_ICECREAMPAGI[PRODUK],BU26,TRANSHARI8_ICECREAMPAGI[QUANTITY])+SUMIF(TRANSHARI8_ICECREAMMALAM[PRODUK],BU26,TRANSHARI8_ICECREAMMALAM[QUANTITY])</f>
        <v>0</v>
      </c>
      <c r="CI26" s="152">
        <f>SUMIF(TRANSHARI9_ICECREAMPAGI[PRODUK],BU26,TRANSHARI9_ICECREAMPAGI[QUANTITY])+SUMIF(TRANSHARI9_ICECREAMMALAM[PRODUK],BU26,TRANSHARI9_ICECREAMMALAM[QUANTITY])</f>
        <v>0</v>
      </c>
      <c r="CJ26" s="152">
        <f>SUMIF(TRANSHARI10_ICECREAMPAGI[PRODUK],BU26,TRANSHARI10_ICECREAMPAGI[QUANTITY])+SUMIF(TRANSHARI10_ICECREAMMALAM[PRODUK],BU26,TRANSHARI10_ICECREAMMALAM[QUANTITY])</f>
        <v>0</v>
      </c>
      <c r="CK26" s="152">
        <f>SUMIF(TRANSHARI11_ICECREAMPAGI[PRODUK],BU26,TRANSHARI11_ICECREAMPAGI[QUANTITY])+SUMIF(TRANSHARI11_ICECREAMMALAM[PRODUK],BU26,TRANSHARI11_ICECREAMMALAM[QUANTITY])</f>
        <v>0</v>
      </c>
      <c r="CL26" s="152">
        <f t="shared" si="9"/>
        <v>0</v>
      </c>
      <c r="CM26" s="152">
        <f t="shared" si="10"/>
        <v>0</v>
      </c>
      <c r="CN26" s="176">
        <f t="shared" si="11"/>
        <v>0</v>
      </c>
      <c r="CP26" s="174" t="str">
        <f>'DATA PRODUK'!BH23</f>
        <v>(K.D)(Type C) Vivan CTC-100S</v>
      </c>
      <c r="CQ26" s="178">
        <f>'DATA PRODUK'!BI23</f>
        <v>35000</v>
      </c>
      <c r="CR26" s="152"/>
      <c r="CS26" s="152"/>
      <c r="CT26" s="152"/>
      <c r="CU26" s="152"/>
      <c r="CV26" s="152">
        <f>SUMIF(TRANSHARI1_ACCPAGI[PRODUK],CP26,TRANSHARI1_ACCPAGI[QUANTITY])+SUMIF(TRANSHARI1_ACCMALAM[PRODUK],CP26,TRANSHARI1_ACCMALAM[QUANTITY])</f>
        <v>0</v>
      </c>
      <c r="CW26" s="152">
        <f>SUMIF(TRANSHARI2_ACCPAGI[PRODUK],CP26,TRANSHARI2_ACCPAGI[QUANTITY])+SUMIF(TRANSHARI2_ACCMALAM[PRODUK],CP26,TRANSHARI2_ACCMALAM[QUANTITY])</f>
        <v>0</v>
      </c>
      <c r="CX26" s="152">
        <f>SUMIF(TRANSHARI3_ACCPAGI[PRODUK],CP26,TRANSHARI3_ACCPAGI[QUANTITY])+SUMIF(TRANSHARI3_ACCMALAM[PRODUK],CP26,TRANSHARI3_ACCMALAM[QUANTITY])</f>
        <v>0</v>
      </c>
      <c r="CY26" s="152">
        <f>SUMIF(TRANSHARI4_ACCPAGI[PRODUK],CP26,TRANSHARI4_ACCPAGI[QUANTITY])+SUMIF(TRANSHARI4_ACCMALAM[PRODUK],CP26,TRANSHARI4_ACCMALAM[QUANTITY])</f>
        <v>0</v>
      </c>
      <c r="CZ26" s="152">
        <f>SUMIF(TRANSHARI5_ACCPAGI[PRODUK],CP26,TRANSHARI5_ACCPAGI[QUANTITY])+SUMIF(TRANSHARI5_ACCMALAM[PRODUK],CP26,TRANSHARI5_ACCMALAM[QUANTITY])</f>
        <v>0</v>
      </c>
      <c r="DA26" s="152">
        <f>SUMIF(TRANSHARI6_ACCPAGI[PRODUK],CP26,TRANSHARI6_ACCPAGI[QUANTITY])+SUMIF(TRANSHARI6_ACCMALAM[PRODUK],CP26,TRANSHARI6_ACCMALAM[QUANTITY])</f>
        <v>0</v>
      </c>
      <c r="DB26" s="152">
        <f>SUMIF(TRANSHARI7_ACCPAGI[PRODUK],CP26,TRANSHARI7_ACCPAGI[QUANTITY])+SUMIF(TRANSHARI7_ACCMALAM[PRODUK],CP26,TRANSHARI7_ACCMALAM[QUANTITY])</f>
        <v>0</v>
      </c>
      <c r="DC26" s="152">
        <f>SUMIF(TRANSHARI8_ACCPAGI[PRODUK],CP26,TRANSHARI8_ACCPAGI[QUANTITY])+SUMIF(TRANSHARI8_ACCMALAM[PRODUK],CP26,TRANSHARI8_ACCMALAM[QUANTITY])</f>
        <v>0</v>
      </c>
      <c r="DD26" s="152">
        <f>SUMIF(TRANSHARI9_ACCPAGI[PRODUK],CP26,TRANSHARI9_ACCPAGI[QUANTITY])+SUMIF(TRANSHARI9_ACCMALAM[PRODUK],CP26,TRANSHARI9_ACCMALAM[QUANTITY])</f>
        <v>0</v>
      </c>
      <c r="DE26" s="152">
        <f>SUMIF(TRANSHARI10_ACCPAGI[PRODUK],CP26,TRANSHARI10_ACCPAGI[QUANTITY])+SUMIF(TRANSHARI10_ACCMALAM[PRODUK],CP26,TRANSHARI10_ACCMALAM[QUANTITY])</f>
        <v>0</v>
      </c>
      <c r="DF26" s="152">
        <f>SUMIF(TRANSHARI11_ACCPAGI[PRODUK],CP26,TRANSHARI11_ACCPAGI[QUANTITY])+SUMIF(TRANSHARI11_ACCMALAM[PRODUK],CP26,TRANSHARI11_ACCMALAM[QUANTITY])</f>
        <v>0</v>
      </c>
      <c r="DG26" s="152">
        <f t="shared" si="12"/>
        <v>0</v>
      </c>
      <c r="DH26" s="152">
        <f t="shared" si="13"/>
        <v>0</v>
      </c>
      <c r="DI26" s="176">
        <f t="shared" si="14"/>
        <v>0</v>
      </c>
      <c r="DK26" s="188" t="str">
        <f>'DATA PRODUK'!BV23</f>
        <v>(BACK) HM 150 S</v>
      </c>
      <c r="DL26" s="89">
        <f>'DATA PRODUK'!BW23</f>
        <v>50000</v>
      </c>
      <c r="DM26" s="152"/>
      <c r="DN26" s="152"/>
      <c r="DO26" s="152"/>
      <c r="DP26" s="152"/>
      <c r="DQ26" s="152">
        <f>SUMIF(TRANSHARI1_HYDROPAGI[PRODUK],DK26,TRANSHARI1_HYDROPAGI[QUANTITY])+SUMIF(TRANSHARI1_HYDROMALAM[PRODUK],DK26,TRANSHARI1_HYDROMALAM[QUANTITY])</f>
        <v>0</v>
      </c>
      <c r="DR26" s="152">
        <f>SUMIF(TRANSHARI2_HYDROPAGI[PRODUK],DK26,TRANSHARI2_HYDROPAGI[QUANTITY])+SUMIF(TRANSHARI2_HYDROMALAM[PRODUK],DK26,TRANSHARI2_HYDROMALAM[QUANTITY])</f>
        <v>0</v>
      </c>
      <c r="DS26" s="152">
        <f>SUMIF(TRANSHARI3_HYDROPAGI[PRODUK],DK26,TRANSHARI3_HYDROPAGI[QUANTITY])+SUMIF(TRANSHARI3_HYDROMALAM[PRODUK],DK26,TRANSHARI3_HYDROMALAM[QUANTITY])</f>
        <v>0</v>
      </c>
      <c r="DT26" s="152">
        <f>SUMIF(TRANSHARI4_HYDROPAGI[PRODUK],DK26,TRANSHARI4_HYDROPAGI[QUANTITY])+SUMIF(TRANSHARI4_HYDROMALAM[PRODUK],DK26,TRANSHARI4_HYDROMALAM[QUANTITY])</f>
        <v>0</v>
      </c>
      <c r="DU26" s="152">
        <f>SUMIF(TRANSHARI5_HYDROPAGI[PRODUK],DK26,TRANSHARI5_HYDROPAGI[QUANTITY])+SUMIF(TRANSHARI5_HYDROMALAM[PRODUK],DK26,TRANSHARI5_HYDROMALAM[QUANTITY])</f>
        <v>0</v>
      </c>
      <c r="DV26" s="152">
        <f>SUMIF(TRANSHARI6_HYDROPAGI[PRODUK],DK26,TRANSHARI6_HYDROPAGI[QUANTITY])+SUMIF(TRANSHARI6_HYDROMALAM[PRODUK],DK26,TRANSHARI6_HYDROMALAM[QUANTITY])</f>
        <v>0</v>
      </c>
      <c r="DW26" s="152">
        <f>SUMIF(TRANSHARI7_HYDROPAGI[PRODUK],DK26,TRANSHARI7_HYDROPAGI[QUANTITY])+SUMIF(TRANSHARI7_HYDROMALAM[PRODUK],DK26,TRANSHARI7_HYDROMALAM[QUANTITY])</f>
        <v>0</v>
      </c>
      <c r="DX26" s="152">
        <f>SUMIF(TRANSHARI8_HYDROPAGI[PRODUK],DK26,TRANSHARI8_HYDROPAGI[QUANTITY])+SUMIF(TRANSHARI8_HYDROMALAM[PRODUK],DK26,TRANSHARI8_HYDROMALAM[QUANTITY])</f>
        <v>0</v>
      </c>
      <c r="DY26" s="152">
        <f>SUMIF(TRANSHARI9_HYDROPAGI[PRODUK],DK26,TRANSHARI9_HYDROPAGI[QUANTITY])+SUMIF(TRANSHARI9_HYDROMALAM[PRODUK],DK26,TRANSHARI9_HYDROMALAM[QUANTITY])</f>
        <v>0</v>
      </c>
      <c r="DZ26" s="152">
        <f>SUMIF(TRANSHARI10_HYDROPAGI[PRODUK],DK26,TRANSHARI10_HYDROPAGI[QUANTITY])+SUMIF(TRANSHARI10_HYDROMALAM[PRODUK],DK26,TRANSHARI10_HYDROMALAM[QUANTITY])</f>
        <v>0</v>
      </c>
      <c r="EA26" s="152">
        <f>SUMIF(TRANSHARI11_HYDROPAGI[PRODUK],DK26,TRANSHARI11_HYDROPAGI[QUANTITY])+SUMIF(TRANSHARI11_HYDROMALAM[PRODUK],DK26,TRANSHARI11_HYDROMALAM[QUANTITY])</f>
        <v>0</v>
      </c>
      <c r="EB26" s="152">
        <f t="shared" si="15"/>
        <v>0</v>
      </c>
      <c r="EC26" s="152">
        <f t="shared" si="16"/>
        <v>0</v>
      </c>
      <c r="ED26" s="176">
        <f t="shared" si="17"/>
        <v>0</v>
      </c>
    </row>
    <row r="27" ht="18" spans="10:134">
      <c r="J27" s="24" t="str">
        <f>'DATA PRODUK'!D24</f>
        <v>TOPPAS 16</v>
      </c>
      <c r="K27" s="150">
        <f>'DATA PRODUK'!E24</f>
        <v>23000</v>
      </c>
      <c r="L27" s="12"/>
      <c r="M27" s="12"/>
      <c r="N27" s="12"/>
      <c r="O27" s="12"/>
      <c r="P27" s="12">
        <f>SUMIF(TRANSHARI1_ROKOKPAGI[PRODUK],J27,TRANSHARI1_ROKOKPAGI[QUANTITY])+SUMIF(TRANSHARI1_ROKOKMALAM[PRODUK],J27,TRANSHARI1_ROKOKMALAM[QUANTITY])</f>
        <v>0</v>
      </c>
      <c r="Q27" s="12">
        <f>SUMIF(TRANSHARI2_ROKOKPAGI[PRODUK],J27,TRANSHARI2_ROKOKPAGI[QUANTITY])+SUMIF(TRANSHARI2_ROKOKMALAM[PRODUK],J27,TRANSHARI2_ROKOKMALAM[QUANTITY])</f>
        <v>0</v>
      </c>
      <c r="R27" s="12">
        <f>SUMIF(TRANSHARI3_ROKOKPAGI[PRODUK],J27,TRANSHARI3_ROKOKPAGI[QUANTITY])+SUMIF(TRANSHARI3_ROKOKMALAM[PRODUK],J27,TRANSHARI3_ROKOKMALAM[QUANTITY])</f>
        <v>0</v>
      </c>
      <c r="S27" s="12">
        <f>SUMIF(TRANSHARI4_ROKOKPAGI[PRODUK],J27,TRANSHARI4_ROKOKPAGI[QUANTITY])+SUMIF(TRANSHARI4_ROKOKMALAM[PRODUK],J27,TRANSHARI4_ROKOKMALAM[QUANTITY])</f>
        <v>0</v>
      </c>
      <c r="T27" s="12">
        <f>SUMIF(TRANSHARI5_ROKOKPAGI[PRODUK],J27,TRANSHARI5_ROKOKPAGI[QUANTITY])+SUMIF(TRANSHARI5_ROKOKMALAM[PRODUK],J27,TRANSHARI5_ROKOKMALAM[QUANTITY])</f>
        <v>0</v>
      </c>
      <c r="U27" s="12">
        <f>SUMIF(TRANSHARI6_ROKOKPAGI[PRODUK],J27,TRANSHARI6_ROKOKPAGI[QUANTITY])+SUMIF(TRANSHARI6_ROKOKMALAM[PRODUK],J27,TRANSHARI6_ROKOKMALAM[QUANTITY])</f>
        <v>0</v>
      </c>
      <c r="V27" s="12">
        <f>SUMIF(TRANSHARI7_ROKOKPAGI[PRODUK],J27,TRANSHARI7_ROKOKPAGI[QUANTITY])+SUMIF(TRANSHARI7_ROKOKMALAM[PRODUK],J27,TRANSHARI7_ROKOKMALAM[QUANTITY])</f>
        <v>0</v>
      </c>
      <c r="W27" s="12">
        <f>SUMIF(TRANSHARI8_ROKOKPAGI[PRODUK],J27,TRANSHARI8_ROKOKPAGI[QUANTITY])+SUMIF(TRANSHARI8_ROKOKMALAM[PRODUK],J27,TRANSHARI8_ROKOKMALAM[QUANTITY])</f>
        <v>0</v>
      </c>
      <c r="X27" s="12">
        <f>SUMIF(TRANSHARI9_ROKOKPAGI[PRODUK],J27,TRANSHARI9_ROKOKPAGI[QUANTITY])+SUMIF(TRANSHARI9_ROKOKMALAM[PRODUK],J27,TRANSHARI9_ROKOKMALAM[QUANTITY])</f>
        <v>0</v>
      </c>
      <c r="Y27" s="12">
        <f>SUMIF(TRANSHARI10_ROKOKPAGI[PRODUK],J27,TRANSHARI10_ROKOKPAGI[QUANTITY])+SUMIF(TRANSHARI10_ROKOKMALAM[PRODUK],J27,TRANSHARI10_ROKOKMALAM[QUANTITY])</f>
        <v>0</v>
      </c>
      <c r="Z27" s="12">
        <f>SUMIF(TRANSHARI11_ROKOKPAGI[PRODUK],J27,TRANSHARI11_ROKOKPAGI[QUANTITY])+SUMIF(TRANSHARI11_ROKOKMALAM[PRODUK],J27,TRANSHARI11_ROKOKMALAM[QUANTITY])</f>
        <v>0</v>
      </c>
      <c r="AA27" s="12">
        <f t="shared" si="0"/>
        <v>0</v>
      </c>
      <c r="AB27" s="12">
        <f t="shared" si="1"/>
        <v>0</v>
      </c>
      <c r="AC27" s="173">
        <f t="shared" si="2"/>
        <v>0</v>
      </c>
      <c r="AE27" s="174" t="str">
        <f>'DATA PRODUK'!R24</f>
        <v>SP ISAT REG</v>
      </c>
      <c r="AF27" s="175">
        <f>'DATA PRODUK'!S24</f>
        <v>15000</v>
      </c>
      <c r="AG27" s="12"/>
      <c r="AH27" s="12"/>
      <c r="AI27" s="12"/>
      <c r="AJ27" s="12"/>
      <c r="AK27" s="12">
        <f>SUMIF(TRANSHARI1_SPVOUPAGI[PRODUK],AE27,TRANSHARI1_SPVOUPAGI[QUANTITY])+SUMIF(TRANSHARI1_SPVOUMALAM[PRODUK],AE27,TRANSHARI1_SPVOUMALAM[QUANTITY])</f>
        <v>3</v>
      </c>
      <c r="AL27" s="12">
        <f>SUMIF(TRANSHARI2_SPVOUPAGI[PRODUK],AE27,TRANSHARI2_SPVOUPAGI[QUANTITY])+SUMIF(TRANSHARI2_SPVOUMALAM[PRODUK],AE27,TRANSHARI2_SPVOUMALAM[QUANTITY])</f>
        <v>0</v>
      </c>
      <c r="AM27" s="12">
        <f>SUMIF(TRANSHARI3_SPVOUPAGI[PRODUK],AE27,TRANSHARI3_SPVOUPAGI[QUANTITY])+SUMIF(TRANSHARI3_SPVOUMALAM[PRODUK],AE27,TRANSHARI3_SPVOUMALAM[QUANTITY])</f>
        <v>0</v>
      </c>
      <c r="AN27" s="12">
        <f>SUMIF(TRANSHARI4_SPVOUPAGI[PRODUK],AE27,TRANSHARI4_SPVOUPAGI[QUANTITY])+SUMIF(TRANSHARI4_SPVOUMALAM[PRODUK],AE27,TRANSHARI4_SPVOUMALAM[QUANTITY])</f>
        <v>0</v>
      </c>
      <c r="AO27" s="12">
        <f>SUMIF(TRANSHARI5_SPVOUPAGI[PRODUK],AE27,TRANSHARI5_SPVOUPAGI[QUANTITY])+SUMIF(TRANSHARI5_SPVOUMALAM[PRODUK],AE27,TRANSHARI5_SPVOUMALAM[QUANTITY])</f>
        <v>0</v>
      </c>
      <c r="AP27" s="12">
        <f>SUMIF(TRANSHARI6_SPVOUPAGI[PRODUK],AE27,TRANSHARI6_SPVOUPAGI[QUANTITY])+SUMIF(TRANSHARI6_SPVOUMALAM[PRODUK],AE27,TRANSHARI6_SPVOUMALAM[QUANTITY])</f>
        <v>0</v>
      </c>
      <c r="AQ27" s="12">
        <f>SUMIF(TRANSHARI7_SPVOUPAGI[PRODUK],AE27,TRANSHARI7_SPVOUPAGI[QUANTITY])+SUMIF(TRANSHARI7_SPVOUMALAM[PRODUK],AE27,TRANSHARI7_SPVOUMALAM[QUANTITY])</f>
        <v>0</v>
      </c>
      <c r="AR27" s="12">
        <f>SUMIF(TRANSHARI8_SPVOUPAGI[PRODUK],AE27,TRANSHARI8_SPVOUPAGI[QUANTITY])+SUMIF(TRANSHARI8_SPVOUMALAM[PRODUK],AE27,TRANSHARI8_SPVOUMALAM[QUANTITY])</f>
        <v>0</v>
      </c>
      <c r="AS27" s="12">
        <f>SUMIF(TRANSHARI9_SPVOUPAGI[PRODUK],AE27,TRANSHARI9_SPVOUPAGI[QUANTITY])+SUMIF(TRANSHARI9_SPVOUMALAM[PRODUK],AE27,TRANSHARI9_SPVOUMALAM[QUANTITY])</f>
        <v>0</v>
      </c>
      <c r="AT27" s="12">
        <f>SUMIF(TRANSHARI10_SPVOUPAGI[PRODUK],AE27,TRANSHARI10_SPVOUPAGI[QUANTITY])+SUMIF(TRANSHARI10_SPVOUMALAM[PRODUK],AE27,TRANSHARI10_SPVOUMALAM[QUANTITY])</f>
        <v>0</v>
      </c>
      <c r="AU27" s="12">
        <f>SUMIF(TRANSHARI11_SPVOUPAGI[PRODUK],AE27,TRANSHARI11_SPVOUPAGI[QUANTITY])+SUMIF(TRANSHARI11_SPVOUMALAM[PRODUK],AE27,TRANSHARI11_SPVOUMALAM[QUANTITY])</f>
        <v>0</v>
      </c>
      <c r="AV27" s="12">
        <f t="shared" si="3"/>
        <v>3</v>
      </c>
      <c r="AW27" s="12">
        <f t="shared" si="4"/>
        <v>-3</v>
      </c>
      <c r="AX27" s="173">
        <f t="shared" si="5"/>
        <v>45000</v>
      </c>
      <c r="AZ27" s="187" t="str">
        <f>'DATA PRODUK'!AF24</f>
        <v>ADEM SARI CINGKU</v>
      </c>
      <c r="BA27" s="87">
        <f>'DATA PRODUK'!AG24</f>
        <v>8000</v>
      </c>
      <c r="BB27" s="12"/>
      <c r="BC27" s="12"/>
      <c r="BD27" s="12"/>
      <c r="BE27" s="12"/>
      <c r="BF27" s="12">
        <f>SUMIF(TRANSHARI1_SOFTDRINKPAGI[PRODUK],AZ27,TRANSHARI1_SOFTDRINKPAGI[QUANTITY])+SUMIF(TRANSHARI1_SOFTDRINKMALAM[PRODUK],AZ27,TRANSHARI1_SOFTDRINKMALAM[QUANTITY])</f>
        <v>0</v>
      </c>
      <c r="BG27" s="12">
        <f>SUMIF(TRANSHARI2_SOFTDRINKPAGI[PRODUK],AZ27,TRANSHARI2_SOFTDRINKPAGI[QUANTITY])+SUMIF(TRANSHARI2_SOFTDRINKMALAM[PRODUK],AZ27,TRANSHARI2_SOFTDRINKMALAM[QUANTITY])</f>
        <v>0</v>
      </c>
      <c r="BH27" s="12">
        <f>SUMIF(TRANSHARI3_SOFTDRINKPAGI[PRODUK],AZ27,TRANSHARI3_SOFTDRINKPAGI[QUANTITY])+SUMIF(TRANSHARI3_SOFTDRINKMALAM[PRODUK],AZ27,TRANSHARI3_SOFTDRINKMALAM[QUANTITY])</f>
        <v>0</v>
      </c>
      <c r="BI27" s="12">
        <f>SUMIF(TRANSHARI4_SOFTDRINKPAGI[PRODUK],AZ27,TRANSHARI4_SOFTDRINKPAGI[QUANTITY])+SUMIF(TRANSHARI4_SOFTDRINKMALAM[PRODUK],AZ27,TRANSHARI4_SOFTDRINKMALAM[QUANTITY])</f>
        <v>0</v>
      </c>
      <c r="BJ27" s="12">
        <f>SUMIF(TRANSHARI5_SOFTDRINKPAGI[PRODUK],AZ27,TRANSHARI5_SOFTDRINKPAGI[QUANTITY])+SUMIF(TRANSHARI5_SOFTDRINKMALAM[PRODUK],AZ27,TRANSHARI5_SOFTDRINKMALAM[QUANTITY])</f>
        <v>0</v>
      </c>
      <c r="BK27" s="12">
        <f>SUMIF(TRANSHARI6_SOFTDRINKPAGI[PRODUK],AZ27,TRANSHARI6_SOFTDRINKPAGI[QUANTITY])+SUMIF(TRANSHARI6_SOFTDRINKMALAM[PRODUK],AZ27,TRANSHARI6_SOFTDRINKMALAM[QUANTITY])</f>
        <v>0</v>
      </c>
      <c r="BL27" s="12">
        <f>SUMIF(TRANSHARI7_SOFTDRINKPAGI[PRODUK],AZ27,TRANSHARI7_SOFTDRINKPAGI[QUANTITY])+SUMIF(TRANSHARI7_SOFTDRINKMALAM[PRODUK],AZ27,TRANSHARI7_SOFTDRINKMALAM[QUANTITY])</f>
        <v>0</v>
      </c>
      <c r="BM27" s="12">
        <f>SUMIF(TRANSHARI8_SOFTDRINKPAGI[PRODUK],AZ27,TRANSHARI8_SOFTDRINKPAGI[QUANTITY])+SUMIF(TRANSHARI8_SOFTDRINKMALAM[PRODUK],AZ27,TRANSHARI8_SOFTDRINKMALAM[QUANTITY])</f>
        <v>0</v>
      </c>
      <c r="BN27" s="12">
        <f>SUMIF(TRANSHARI9_SOFTDRINKPAGI[PRODUK],AZ27,TRANSHARI9_SOFTDRINKPAGI[QUANTITY])+SUMIF(TRANSHARI9_SOFTDRINKMALAM[PRODUK],AZ27,TRANSHARI9_SOFTDRINKMALAM[QUANTITY])</f>
        <v>0</v>
      </c>
      <c r="BO27" s="12">
        <f>SUMIF(TRANSHARI10_SOFTDRINKPAGI[PRODUK],AZ27,TRANSHARI10_SOFTDRINKPAGI[QUANTITY])+SUMIF(TRANSHARI10_SOFTDRINKMALAM[PRODUK],AZ27,TRANSHARI10_SOFTDRINKMALAM[QUANTITY])</f>
        <v>0</v>
      </c>
      <c r="BP27" s="12">
        <f>SUMIF(TRANSHARI11_SOFTDRINKPAGI[PRODUK],AZ27,TRANSHARI11_SOFTDRINKPAGI[QUANTITY])+SUMIF(TRANSHARI11_SOFTDRINKMALAM[PRODUK],AZ27,TRANSHARI11_SOFTDRINKMALAM[QUANTITY])</f>
        <v>0</v>
      </c>
      <c r="BQ27" s="12">
        <f t="shared" si="6"/>
        <v>0</v>
      </c>
      <c r="BR27" s="12">
        <f t="shared" si="7"/>
        <v>0</v>
      </c>
      <c r="BS27" s="173">
        <f t="shared" si="8"/>
        <v>0</v>
      </c>
      <c r="BU27" s="177" t="str">
        <f>'DATA PRODUK'!AT24</f>
        <v>(Frostbite) Strawberry Sakura Mochi</v>
      </c>
      <c r="BV27" s="175">
        <f>'DATA PRODUK'!AU24</f>
        <v>3000</v>
      </c>
      <c r="BW27" s="12"/>
      <c r="BX27" s="12"/>
      <c r="BY27" s="12"/>
      <c r="BZ27" s="12"/>
      <c r="CA27" s="12">
        <f>SUMIF(TRANSHARI1_ICECREAMPAGI[PRODUK],BU27,TRANSHARI1_ICECREAMPAGI[QUANTITY])+SUMIF(TRANSHARI1_ICECREAMMALAM[PRODUK],BU27,TRANSHARI1_ICECREAMMALAM[QUANTITY])</f>
        <v>0</v>
      </c>
      <c r="CB27" s="12">
        <f>SUMIF(TRANSHARI2_ICECREAMPAGI[PRODUK],BU27,TRANSHARI2_ICECREAMPAGI[QUANTITY])+SUMIF(TRANSHARI2_ICECREAMMALAM[PRODUK],BU27,TRANSHARI2_ICECREAMMALAM[QUANTITY])</f>
        <v>0</v>
      </c>
      <c r="CC27" s="12">
        <f>SUMIF(TRANSHARI3_ICECREAMPAGI[PRODUK],BU27,TRANSHARI3_ICECREAMPAGI[QUANTITY])+SUMIF(TRANSHARI3_ICECREAMMALAM[PRODUK],BU27,TRANSHARI3_ICECREAMMALAM[QUANTITY])</f>
        <v>0</v>
      </c>
      <c r="CD27" s="12">
        <f>SUMIF(TRANSHARI4_ICECREAMPAGI[PRODUK],BU27,TRANSHARI4_ICECREAMPAGI[QUANTITY])+SUMIF(TRANSHARI4_ICECREAMMALAM[PRODUK],BU27,TRANSHARI4_ICECREAMMALAM[QUANTITY])</f>
        <v>0</v>
      </c>
      <c r="CE27" s="12">
        <f>SUMIF(TRANSHARI5_ICECREAMPAGI[PRODUK],BU27,TRANSHARI5_ICECREAMPAGI[QUANTITY])+SUMIF(TRANSHARI5_ICECREAMMALAM[PRODUK],BU27,TRANSHARI5_ICECREAMMALAM[QUANTITY])</f>
        <v>0</v>
      </c>
      <c r="CF27" s="12">
        <f>SUMIF(TRANSHARI6_ICECREAMPAGI[PRODUK],BU27,TRANSHARI6_ICECREAMPAGI[QUANTITY])+SUMIF(TRANSHARI6_ICECREAMMALAM[PRODUK],BU27,TRANSHARI6_ICECREAMMALAM[QUANTITY])</f>
        <v>0</v>
      </c>
      <c r="CG27" s="12">
        <f>SUMIF(TRANSHARI7_ICECREAMPAGI[PRODUK],BU27,TRANSHARI7_ICECREAMPAGI[QUANTITY])+SUMIF(TRANSHARI7_ICECREAMMALAM[PRODUK],BU27,TRANSHARI7_ICECREAMMALAM[QUANTITY])</f>
        <v>0</v>
      </c>
      <c r="CH27" s="12">
        <f>SUMIF(TRANSHARI8_ICECREAMPAGI[PRODUK],BU27,TRANSHARI8_ICECREAMPAGI[QUANTITY])+SUMIF(TRANSHARI8_ICECREAMMALAM[PRODUK],BU27,TRANSHARI8_ICECREAMMALAM[QUANTITY])</f>
        <v>0</v>
      </c>
      <c r="CI27" s="12">
        <f>SUMIF(TRANSHARI9_ICECREAMPAGI[PRODUK],BU27,TRANSHARI9_ICECREAMPAGI[QUANTITY])+SUMIF(TRANSHARI9_ICECREAMMALAM[PRODUK],BU27,TRANSHARI9_ICECREAMMALAM[QUANTITY])</f>
        <v>0</v>
      </c>
      <c r="CJ27" s="12">
        <f>SUMIF(TRANSHARI10_ICECREAMPAGI[PRODUK],BU27,TRANSHARI10_ICECREAMPAGI[QUANTITY])+SUMIF(TRANSHARI10_ICECREAMMALAM[PRODUK],BU27,TRANSHARI10_ICECREAMMALAM[QUANTITY])</f>
        <v>0</v>
      </c>
      <c r="CK27" s="12">
        <f>SUMIF(TRANSHARI11_ICECREAMPAGI[PRODUK],BU27,TRANSHARI11_ICECREAMPAGI[QUANTITY])+SUMIF(TRANSHARI11_ICECREAMMALAM[PRODUK],BU27,TRANSHARI11_ICECREAMMALAM[QUANTITY])</f>
        <v>0</v>
      </c>
      <c r="CL27" s="12">
        <f t="shared" si="9"/>
        <v>0</v>
      </c>
      <c r="CM27" s="12">
        <f t="shared" si="10"/>
        <v>0</v>
      </c>
      <c r="CN27" s="173">
        <f t="shared" si="11"/>
        <v>0</v>
      </c>
      <c r="CP27" s="177" t="str">
        <f>'DATA PRODUK'!BH24</f>
        <v>(K.D)(Type C)(Braided) Olike D201C</v>
      </c>
      <c r="CQ27" s="175">
        <f>'DATA PRODUK'!BI24</f>
        <v>40000</v>
      </c>
      <c r="CR27" s="12"/>
      <c r="CS27" s="12"/>
      <c r="CT27" s="12"/>
      <c r="CU27" s="12"/>
      <c r="CV27" s="12">
        <f>SUMIF(TRANSHARI1_ACCPAGI[PRODUK],CP27,TRANSHARI1_ACCPAGI[QUANTITY])+SUMIF(TRANSHARI1_ACCMALAM[PRODUK],CP27,TRANSHARI1_ACCMALAM[QUANTITY])</f>
        <v>0</v>
      </c>
      <c r="CW27" s="12">
        <f>SUMIF(TRANSHARI2_ACCPAGI[PRODUK],CP27,TRANSHARI2_ACCPAGI[QUANTITY])+SUMIF(TRANSHARI2_ACCMALAM[PRODUK],CP27,TRANSHARI2_ACCMALAM[QUANTITY])</f>
        <v>0</v>
      </c>
      <c r="CX27" s="12">
        <f>SUMIF(TRANSHARI3_ACCPAGI[PRODUK],CP27,TRANSHARI3_ACCPAGI[QUANTITY])+SUMIF(TRANSHARI3_ACCMALAM[PRODUK],CP27,TRANSHARI3_ACCMALAM[QUANTITY])</f>
        <v>0</v>
      </c>
      <c r="CY27" s="12">
        <f>SUMIF(TRANSHARI4_ACCPAGI[PRODUK],CP27,TRANSHARI4_ACCPAGI[QUANTITY])+SUMIF(TRANSHARI4_ACCMALAM[PRODUK],CP27,TRANSHARI4_ACCMALAM[QUANTITY])</f>
        <v>0</v>
      </c>
      <c r="CZ27" s="12">
        <f>SUMIF(TRANSHARI5_ACCPAGI[PRODUK],CP27,TRANSHARI5_ACCPAGI[QUANTITY])+SUMIF(TRANSHARI5_ACCMALAM[PRODUK],CP27,TRANSHARI5_ACCMALAM[QUANTITY])</f>
        <v>0</v>
      </c>
      <c r="DA27" s="12">
        <f>SUMIF(TRANSHARI6_ACCPAGI[PRODUK],CP27,TRANSHARI6_ACCPAGI[QUANTITY])+SUMIF(TRANSHARI6_ACCMALAM[PRODUK],CP27,TRANSHARI6_ACCMALAM[QUANTITY])</f>
        <v>0</v>
      </c>
      <c r="DB27" s="12">
        <f>SUMIF(TRANSHARI7_ACCPAGI[PRODUK],CP27,TRANSHARI7_ACCPAGI[QUANTITY])+SUMIF(TRANSHARI7_ACCMALAM[PRODUK],CP27,TRANSHARI7_ACCMALAM[QUANTITY])</f>
        <v>0</v>
      </c>
      <c r="DC27" s="12">
        <f>SUMIF(TRANSHARI8_ACCPAGI[PRODUK],CP27,TRANSHARI8_ACCPAGI[QUANTITY])+SUMIF(TRANSHARI8_ACCMALAM[PRODUK],CP27,TRANSHARI8_ACCMALAM[QUANTITY])</f>
        <v>0</v>
      </c>
      <c r="DD27" s="12">
        <f>SUMIF(TRANSHARI9_ACCPAGI[PRODUK],CP27,TRANSHARI9_ACCPAGI[QUANTITY])+SUMIF(TRANSHARI9_ACCMALAM[PRODUK],CP27,TRANSHARI9_ACCMALAM[QUANTITY])</f>
        <v>0</v>
      </c>
      <c r="DE27" s="12">
        <f>SUMIF(TRANSHARI10_ACCPAGI[PRODUK],CP27,TRANSHARI10_ACCPAGI[QUANTITY])+SUMIF(TRANSHARI10_ACCMALAM[PRODUK],CP27,TRANSHARI10_ACCMALAM[QUANTITY])</f>
        <v>0</v>
      </c>
      <c r="DF27" s="12">
        <f>SUMIF(TRANSHARI11_ACCPAGI[PRODUK],CP27,TRANSHARI11_ACCPAGI[QUANTITY])+SUMIF(TRANSHARI11_ACCMALAM[PRODUK],CP27,TRANSHARI11_ACCMALAM[QUANTITY])</f>
        <v>0</v>
      </c>
      <c r="DG27" s="12">
        <f t="shared" si="12"/>
        <v>0</v>
      </c>
      <c r="DH27" s="12">
        <f t="shared" si="13"/>
        <v>0</v>
      </c>
      <c r="DI27" s="173">
        <f t="shared" si="14"/>
        <v>0</v>
      </c>
      <c r="DK27" s="187" t="str">
        <f>'DATA PRODUK'!BV24</f>
        <v>(BACK) HM-TG 3</v>
      </c>
      <c r="DL27" s="87">
        <f>'DATA PRODUK'!BW24</f>
        <v>50000</v>
      </c>
      <c r="DM27" s="12"/>
      <c r="DN27" s="12"/>
      <c r="DO27" s="12"/>
      <c r="DP27" s="12"/>
      <c r="DQ27" s="12">
        <f>SUMIF(TRANSHARI1_HYDROPAGI[PRODUK],DK27,TRANSHARI1_HYDROPAGI[QUANTITY])+SUMIF(TRANSHARI1_HYDROMALAM[PRODUK],DK27,TRANSHARI1_HYDROMALAM[QUANTITY])</f>
        <v>0</v>
      </c>
      <c r="DR27" s="12">
        <f>SUMIF(TRANSHARI2_HYDROPAGI[PRODUK],DK27,TRANSHARI2_HYDROPAGI[QUANTITY])+SUMIF(TRANSHARI2_HYDROMALAM[PRODUK],DK27,TRANSHARI2_HYDROMALAM[QUANTITY])</f>
        <v>0</v>
      </c>
      <c r="DS27" s="12">
        <f>SUMIF(TRANSHARI3_HYDROPAGI[PRODUK],DK27,TRANSHARI3_HYDROPAGI[QUANTITY])+SUMIF(TRANSHARI3_HYDROMALAM[PRODUK],DK27,TRANSHARI3_HYDROMALAM[QUANTITY])</f>
        <v>0</v>
      </c>
      <c r="DT27" s="12">
        <f>SUMIF(TRANSHARI4_HYDROPAGI[PRODUK],DK27,TRANSHARI4_HYDROPAGI[QUANTITY])+SUMIF(TRANSHARI4_HYDROMALAM[PRODUK],DK27,TRANSHARI4_HYDROMALAM[QUANTITY])</f>
        <v>0</v>
      </c>
      <c r="DU27" s="12">
        <f>SUMIF(TRANSHARI5_HYDROPAGI[PRODUK],DK27,TRANSHARI5_HYDROPAGI[QUANTITY])+SUMIF(TRANSHARI5_HYDROMALAM[PRODUK],DK27,TRANSHARI5_HYDROMALAM[QUANTITY])</f>
        <v>0</v>
      </c>
      <c r="DV27" s="12">
        <f>SUMIF(TRANSHARI6_HYDROPAGI[PRODUK],DK27,TRANSHARI6_HYDROPAGI[QUANTITY])+SUMIF(TRANSHARI6_HYDROMALAM[PRODUK],DK27,TRANSHARI6_HYDROMALAM[QUANTITY])</f>
        <v>0</v>
      </c>
      <c r="DW27" s="12">
        <f>SUMIF(TRANSHARI7_HYDROPAGI[PRODUK],DK27,TRANSHARI7_HYDROPAGI[QUANTITY])+SUMIF(TRANSHARI7_HYDROMALAM[PRODUK],DK27,TRANSHARI7_HYDROMALAM[QUANTITY])</f>
        <v>0</v>
      </c>
      <c r="DX27" s="12">
        <f>SUMIF(TRANSHARI8_HYDROPAGI[PRODUK],DK27,TRANSHARI8_HYDROPAGI[QUANTITY])+SUMIF(TRANSHARI8_HYDROMALAM[PRODUK],DK27,TRANSHARI8_HYDROMALAM[QUANTITY])</f>
        <v>0</v>
      </c>
      <c r="DY27" s="12">
        <f>SUMIF(TRANSHARI9_HYDROPAGI[PRODUK],DK27,TRANSHARI9_HYDROPAGI[QUANTITY])+SUMIF(TRANSHARI9_HYDROMALAM[PRODUK],DK27,TRANSHARI9_HYDROMALAM[QUANTITY])</f>
        <v>0</v>
      </c>
      <c r="DZ27" s="12">
        <f>SUMIF(TRANSHARI10_HYDROPAGI[PRODUK],DK27,TRANSHARI10_HYDROPAGI[QUANTITY])+SUMIF(TRANSHARI10_HYDROMALAM[PRODUK],DK27,TRANSHARI10_HYDROMALAM[QUANTITY])</f>
        <v>0</v>
      </c>
      <c r="EA27" s="12">
        <f>SUMIF(TRANSHARI11_HYDROPAGI[PRODUK],DK27,TRANSHARI11_HYDROPAGI[QUANTITY])+SUMIF(TRANSHARI11_HYDROMALAM[PRODUK],DK27,TRANSHARI11_HYDROMALAM[QUANTITY])</f>
        <v>0</v>
      </c>
      <c r="EB27" s="12">
        <f t="shared" si="15"/>
        <v>0</v>
      </c>
      <c r="EC27" s="12">
        <f t="shared" si="16"/>
        <v>0</v>
      </c>
      <c r="ED27" s="173">
        <f t="shared" si="17"/>
        <v>0</v>
      </c>
    </row>
    <row r="28" ht="18" spans="4:134">
      <c r="D28" s="125" t="s">
        <v>267</v>
      </c>
      <c r="E28" s="125" t="s">
        <v>19</v>
      </c>
      <c r="F28" s="125" t="s">
        <v>268</v>
      </c>
      <c r="G28" s="126" t="s">
        <v>269</v>
      </c>
      <c r="J28" s="26" t="str">
        <f>'DATA PRODUK'!D25</f>
        <v>TOPPAS 20</v>
      </c>
      <c r="K28" s="151">
        <f>'DATA PRODUK'!E25</f>
        <v>28000</v>
      </c>
      <c r="L28" s="152"/>
      <c r="M28" s="152"/>
      <c r="N28" s="152"/>
      <c r="O28" s="152"/>
      <c r="P28" s="152">
        <f>SUMIF(TRANSHARI1_ROKOKPAGI[PRODUK],J28,TRANSHARI1_ROKOKPAGI[QUANTITY])+SUMIF(TRANSHARI1_ROKOKMALAM[PRODUK],J28,TRANSHARI1_ROKOKMALAM[QUANTITY])</f>
        <v>0</v>
      </c>
      <c r="Q28" s="152">
        <f>SUMIF(TRANSHARI2_ROKOKPAGI[PRODUK],J28,TRANSHARI2_ROKOKPAGI[QUANTITY])+SUMIF(TRANSHARI2_ROKOKMALAM[PRODUK],J28,TRANSHARI2_ROKOKMALAM[QUANTITY])</f>
        <v>0</v>
      </c>
      <c r="R28" s="152">
        <f>SUMIF(TRANSHARI3_ROKOKPAGI[PRODUK],J28,TRANSHARI3_ROKOKPAGI[QUANTITY])+SUMIF(TRANSHARI3_ROKOKMALAM[PRODUK],J28,TRANSHARI3_ROKOKMALAM[QUANTITY])</f>
        <v>0</v>
      </c>
      <c r="S28" s="152">
        <f>SUMIF(TRANSHARI4_ROKOKPAGI[PRODUK],J28,TRANSHARI4_ROKOKPAGI[QUANTITY])+SUMIF(TRANSHARI4_ROKOKMALAM[PRODUK],J28,TRANSHARI4_ROKOKMALAM[QUANTITY])</f>
        <v>0</v>
      </c>
      <c r="T28" s="152">
        <f>SUMIF(TRANSHARI5_ROKOKPAGI[PRODUK],J28,TRANSHARI5_ROKOKPAGI[QUANTITY])+SUMIF(TRANSHARI5_ROKOKMALAM[PRODUK],J28,TRANSHARI5_ROKOKMALAM[QUANTITY])</f>
        <v>0</v>
      </c>
      <c r="U28" s="152">
        <f>SUMIF(TRANSHARI6_ROKOKPAGI[PRODUK],J28,TRANSHARI6_ROKOKPAGI[QUANTITY])+SUMIF(TRANSHARI6_ROKOKMALAM[PRODUK],J28,TRANSHARI6_ROKOKMALAM[QUANTITY])</f>
        <v>0</v>
      </c>
      <c r="V28" s="152">
        <f>SUMIF(TRANSHARI7_ROKOKPAGI[PRODUK],J28,TRANSHARI7_ROKOKPAGI[QUANTITY])+SUMIF(TRANSHARI7_ROKOKMALAM[PRODUK],J28,TRANSHARI7_ROKOKMALAM[QUANTITY])</f>
        <v>0</v>
      </c>
      <c r="W28" s="152">
        <f>SUMIF(TRANSHARI8_ROKOKPAGI[PRODUK],J28,TRANSHARI8_ROKOKPAGI[QUANTITY])+SUMIF(TRANSHARI8_ROKOKMALAM[PRODUK],J28,TRANSHARI8_ROKOKMALAM[QUANTITY])</f>
        <v>0</v>
      </c>
      <c r="X28" s="152">
        <f>SUMIF(TRANSHARI9_ROKOKPAGI[PRODUK],J28,TRANSHARI9_ROKOKPAGI[QUANTITY])+SUMIF(TRANSHARI9_ROKOKMALAM[PRODUK],J28,TRANSHARI9_ROKOKMALAM[QUANTITY])</f>
        <v>0</v>
      </c>
      <c r="Y28" s="152">
        <f>SUMIF(TRANSHARI10_ROKOKPAGI[PRODUK],J28,TRANSHARI10_ROKOKPAGI[QUANTITY])+SUMIF(TRANSHARI10_ROKOKMALAM[PRODUK],J28,TRANSHARI10_ROKOKMALAM[QUANTITY])</f>
        <v>0</v>
      </c>
      <c r="Z28" s="152">
        <f>SUMIF(TRANSHARI11_ROKOKPAGI[PRODUK],J28,TRANSHARI11_ROKOKPAGI[QUANTITY])+SUMIF(TRANSHARI11_ROKOKMALAM[PRODUK],J28,TRANSHARI11_ROKOKMALAM[QUANTITY])</f>
        <v>0</v>
      </c>
      <c r="AA28" s="152">
        <f t="shared" si="0"/>
        <v>0</v>
      </c>
      <c r="AB28" s="152">
        <f t="shared" si="1"/>
        <v>0</v>
      </c>
      <c r="AC28" s="176">
        <f t="shared" si="2"/>
        <v>0</v>
      </c>
      <c r="AE28" s="177" t="str">
        <f>'DATA PRODUK'!R25</f>
        <v>SP ISAT 4 GB (8GB)</v>
      </c>
      <c r="AF28" s="178">
        <f>'DATA PRODUK'!S25</f>
        <v>30000</v>
      </c>
      <c r="AG28" s="152"/>
      <c r="AH28" s="152"/>
      <c r="AI28" s="152"/>
      <c r="AJ28" s="152"/>
      <c r="AK28" s="152">
        <f>SUMIF(TRANSHARI1_SPVOUPAGI[PRODUK],AE28,TRANSHARI1_SPVOUPAGI[QUANTITY])+SUMIF(TRANSHARI1_SPVOUMALAM[PRODUK],AE28,TRANSHARI1_SPVOUMALAM[QUANTITY])</f>
        <v>0</v>
      </c>
      <c r="AL28" s="152">
        <f>SUMIF(TRANSHARI2_SPVOUPAGI[PRODUK],AE28,TRANSHARI2_SPVOUPAGI[QUANTITY])+SUMIF(TRANSHARI2_SPVOUMALAM[PRODUK],AE28,TRANSHARI2_SPVOUMALAM[QUANTITY])</f>
        <v>2</v>
      </c>
      <c r="AM28" s="152">
        <f>SUMIF(TRANSHARI3_SPVOUPAGI[PRODUK],AE28,TRANSHARI3_SPVOUPAGI[QUANTITY])+SUMIF(TRANSHARI3_SPVOUMALAM[PRODUK],AE28,TRANSHARI3_SPVOUMALAM[QUANTITY])</f>
        <v>0</v>
      </c>
      <c r="AN28" s="152">
        <f>SUMIF(TRANSHARI4_SPVOUPAGI[PRODUK],AE28,TRANSHARI4_SPVOUPAGI[QUANTITY])+SUMIF(TRANSHARI4_SPVOUMALAM[PRODUK],AE28,TRANSHARI4_SPVOUMALAM[QUANTITY])</f>
        <v>0</v>
      </c>
      <c r="AO28" s="152">
        <f>SUMIF(TRANSHARI5_SPVOUPAGI[PRODUK],AE28,TRANSHARI5_SPVOUPAGI[QUANTITY])+SUMIF(TRANSHARI5_SPVOUMALAM[PRODUK],AE28,TRANSHARI5_SPVOUMALAM[QUANTITY])</f>
        <v>0</v>
      </c>
      <c r="AP28" s="152">
        <f>SUMIF(TRANSHARI6_SPVOUPAGI[PRODUK],AE28,TRANSHARI6_SPVOUPAGI[QUANTITY])+SUMIF(TRANSHARI6_SPVOUMALAM[PRODUK],AE28,TRANSHARI6_SPVOUMALAM[QUANTITY])</f>
        <v>0</v>
      </c>
      <c r="AQ28" s="152">
        <f>SUMIF(TRANSHARI7_SPVOUPAGI[PRODUK],AE28,TRANSHARI7_SPVOUPAGI[QUANTITY])+SUMIF(TRANSHARI7_SPVOUMALAM[PRODUK],AE28,TRANSHARI7_SPVOUMALAM[QUANTITY])</f>
        <v>0</v>
      </c>
      <c r="AR28" s="152">
        <f>SUMIF(TRANSHARI8_SPVOUPAGI[PRODUK],AE28,TRANSHARI8_SPVOUPAGI[QUANTITY])+SUMIF(TRANSHARI8_SPVOUMALAM[PRODUK],AE28,TRANSHARI8_SPVOUMALAM[QUANTITY])</f>
        <v>0</v>
      </c>
      <c r="AS28" s="152">
        <f>SUMIF(TRANSHARI9_SPVOUPAGI[PRODUK],AE28,TRANSHARI9_SPVOUPAGI[QUANTITY])+SUMIF(TRANSHARI9_SPVOUMALAM[PRODUK],AE28,TRANSHARI9_SPVOUMALAM[QUANTITY])</f>
        <v>0</v>
      </c>
      <c r="AT28" s="152">
        <f>SUMIF(TRANSHARI10_SPVOUPAGI[PRODUK],AE28,TRANSHARI10_SPVOUPAGI[QUANTITY])+SUMIF(TRANSHARI10_SPVOUMALAM[PRODUK],AE28,TRANSHARI10_SPVOUMALAM[QUANTITY])</f>
        <v>0</v>
      </c>
      <c r="AU28" s="152">
        <f>SUMIF(TRANSHARI11_SPVOUPAGI[PRODUK],AE28,TRANSHARI11_SPVOUPAGI[QUANTITY])+SUMIF(TRANSHARI11_SPVOUMALAM[PRODUK],AE28,TRANSHARI11_SPVOUMALAM[QUANTITY])</f>
        <v>0</v>
      </c>
      <c r="AV28" s="152">
        <f t="shared" si="3"/>
        <v>2</v>
      </c>
      <c r="AW28" s="152">
        <f t="shared" si="4"/>
        <v>-2</v>
      </c>
      <c r="AX28" s="176">
        <f t="shared" si="5"/>
        <v>60000</v>
      </c>
      <c r="AZ28" s="188" t="str">
        <f>'DATA PRODUK'!AF25</f>
        <v>YAKULT</v>
      </c>
      <c r="BA28" s="89">
        <f>'DATA PRODUK'!AG25</f>
        <v>2500</v>
      </c>
      <c r="BB28" s="152"/>
      <c r="BC28" s="152"/>
      <c r="BD28" s="152"/>
      <c r="BE28" s="152"/>
      <c r="BF28" s="152">
        <f>SUMIF(TRANSHARI1_SOFTDRINKPAGI[PRODUK],AZ28,TRANSHARI1_SOFTDRINKPAGI[QUANTITY])+SUMIF(TRANSHARI1_SOFTDRINKMALAM[PRODUK],AZ28,TRANSHARI1_SOFTDRINKMALAM[QUANTITY])</f>
        <v>1</v>
      </c>
      <c r="BG28" s="152">
        <f>SUMIF(TRANSHARI2_SOFTDRINKPAGI[PRODUK],AZ28,TRANSHARI2_SOFTDRINKPAGI[QUANTITY])+SUMIF(TRANSHARI2_SOFTDRINKMALAM[PRODUK],AZ28,TRANSHARI2_SOFTDRINKMALAM[QUANTITY])</f>
        <v>1</v>
      </c>
      <c r="BH28" s="152">
        <f>SUMIF(TRANSHARI3_SOFTDRINKPAGI[PRODUK],AZ28,TRANSHARI3_SOFTDRINKPAGI[QUANTITY])+SUMIF(TRANSHARI3_SOFTDRINKMALAM[PRODUK],AZ28,TRANSHARI3_SOFTDRINKMALAM[QUANTITY])</f>
        <v>0</v>
      </c>
      <c r="BI28" s="152">
        <f>SUMIF(TRANSHARI4_SOFTDRINKPAGI[PRODUK],AZ28,TRANSHARI4_SOFTDRINKPAGI[QUANTITY])+SUMIF(TRANSHARI4_SOFTDRINKMALAM[PRODUK],AZ28,TRANSHARI4_SOFTDRINKMALAM[QUANTITY])</f>
        <v>0</v>
      </c>
      <c r="BJ28" s="152">
        <f>SUMIF(TRANSHARI5_SOFTDRINKPAGI[PRODUK],AZ28,TRANSHARI5_SOFTDRINKPAGI[QUANTITY])+SUMIF(TRANSHARI5_SOFTDRINKMALAM[PRODUK],AZ28,TRANSHARI5_SOFTDRINKMALAM[QUANTITY])</f>
        <v>0</v>
      </c>
      <c r="BK28" s="152">
        <f>SUMIF(TRANSHARI6_SOFTDRINKPAGI[PRODUK],AZ28,TRANSHARI6_SOFTDRINKPAGI[QUANTITY])+SUMIF(TRANSHARI6_SOFTDRINKMALAM[PRODUK],AZ28,TRANSHARI6_SOFTDRINKMALAM[QUANTITY])</f>
        <v>0</v>
      </c>
      <c r="BL28" s="152">
        <f>SUMIF(TRANSHARI7_SOFTDRINKPAGI[PRODUK],AZ28,TRANSHARI7_SOFTDRINKPAGI[QUANTITY])+SUMIF(TRANSHARI7_SOFTDRINKMALAM[PRODUK],AZ28,TRANSHARI7_SOFTDRINKMALAM[QUANTITY])</f>
        <v>0</v>
      </c>
      <c r="BM28" s="152">
        <f>SUMIF(TRANSHARI8_SOFTDRINKPAGI[PRODUK],AZ28,TRANSHARI8_SOFTDRINKPAGI[QUANTITY])+SUMIF(TRANSHARI8_SOFTDRINKMALAM[PRODUK],AZ28,TRANSHARI8_SOFTDRINKMALAM[QUANTITY])</f>
        <v>0</v>
      </c>
      <c r="BN28" s="152">
        <f>SUMIF(TRANSHARI9_SOFTDRINKPAGI[PRODUK],AZ28,TRANSHARI9_SOFTDRINKPAGI[QUANTITY])+SUMIF(TRANSHARI9_SOFTDRINKMALAM[PRODUK],AZ28,TRANSHARI9_SOFTDRINKMALAM[QUANTITY])</f>
        <v>0</v>
      </c>
      <c r="BO28" s="152">
        <f>SUMIF(TRANSHARI10_SOFTDRINKPAGI[PRODUK],AZ28,TRANSHARI10_SOFTDRINKPAGI[QUANTITY])+SUMIF(TRANSHARI10_SOFTDRINKMALAM[PRODUK],AZ28,TRANSHARI10_SOFTDRINKMALAM[QUANTITY])</f>
        <v>0</v>
      </c>
      <c r="BP28" s="152">
        <f>SUMIF(TRANSHARI11_SOFTDRINKPAGI[PRODUK],AZ28,TRANSHARI11_SOFTDRINKPAGI[QUANTITY])+SUMIF(TRANSHARI11_SOFTDRINKMALAM[PRODUK],AZ28,TRANSHARI11_SOFTDRINKMALAM[QUANTITY])</f>
        <v>0</v>
      </c>
      <c r="BQ28" s="152">
        <f t="shared" si="6"/>
        <v>2</v>
      </c>
      <c r="BR28" s="152">
        <f t="shared" si="7"/>
        <v>-2</v>
      </c>
      <c r="BS28" s="176">
        <f t="shared" si="8"/>
        <v>5000</v>
      </c>
      <c r="BU28" s="174" t="str">
        <f>'DATA PRODUK'!AT25</f>
        <v>(Frostbite) Cookies &amp; Cream Mochi</v>
      </c>
      <c r="BV28" s="178">
        <f>'DATA PRODUK'!AU25</f>
        <v>3000</v>
      </c>
      <c r="BW28" s="152"/>
      <c r="BX28" s="152"/>
      <c r="BY28" s="152"/>
      <c r="BZ28" s="152"/>
      <c r="CA28" s="152">
        <f>SUMIF(TRANSHARI1_ICECREAMPAGI[PRODUK],BU28,TRANSHARI1_ICECREAMPAGI[QUANTITY])+SUMIF(TRANSHARI1_ICECREAMMALAM[PRODUK],BU28,TRANSHARI1_ICECREAMMALAM[QUANTITY])</f>
        <v>1</v>
      </c>
      <c r="CB28" s="152">
        <f>SUMIF(TRANSHARI2_ICECREAMPAGI[PRODUK],BU28,TRANSHARI2_ICECREAMPAGI[QUANTITY])+SUMIF(TRANSHARI2_ICECREAMMALAM[PRODUK],BU28,TRANSHARI2_ICECREAMMALAM[QUANTITY])</f>
        <v>0</v>
      </c>
      <c r="CC28" s="152">
        <f>SUMIF(TRANSHARI3_ICECREAMPAGI[PRODUK],BU28,TRANSHARI3_ICECREAMPAGI[QUANTITY])+SUMIF(TRANSHARI3_ICECREAMMALAM[PRODUK],BU28,TRANSHARI3_ICECREAMMALAM[QUANTITY])</f>
        <v>0</v>
      </c>
      <c r="CD28" s="152">
        <f>SUMIF(TRANSHARI4_ICECREAMPAGI[PRODUK],BU28,TRANSHARI4_ICECREAMPAGI[QUANTITY])+SUMIF(TRANSHARI4_ICECREAMMALAM[PRODUK],BU28,TRANSHARI4_ICECREAMMALAM[QUANTITY])</f>
        <v>0</v>
      </c>
      <c r="CE28" s="152">
        <f>SUMIF(TRANSHARI5_ICECREAMPAGI[PRODUK],BU28,TRANSHARI5_ICECREAMPAGI[QUANTITY])+SUMIF(TRANSHARI5_ICECREAMMALAM[PRODUK],BU28,TRANSHARI5_ICECREAMMALAM[QUANTITY])</f>
        <v>0</v>
      </c>
      <c r="CF28" s="152">
        <f>SUMIF(TRANSHARI6_ICECREAMPAGI[PRODUK],BU28,TRANSHARI6_ICECREAMPAGI[QUANTITY])+SUMIF(TRANSHARI6_ICECREAMMALAM[PRODUK],BU28,TRANSHARI6_ICECREAMMALAM[QUANTITY])</f>
        <v>0</v>
      </c>
      <c r="CG28" s="152">
        <f>SUMIF(TRANSHARI7_ICECREAMPAGI[PRODUK],BU28,TRANSHARI7_ICECREAMPAGI[QUANTITY])+SUMIF(TRANSHARI7_ICECREAMMALAM[PRODUK],BU28,TRANSHARI7_ICECREAMMALAM[QUANTITY])</f>
        <v>0</v>
      </c>
      <c r="CH28" s="152">
        <f>SUMIF(TRANSHARI8_ICECREAMPAGI[PRODUK],BU28,TRANSHARI8_ICECREAMPAGI[QUANTITY])+SUMIF(TRANSHARI8_ICECREAMMALAM[PRODUK],BU28,TRANSHARI8_ICECREAMMALAM[QUANTITY])</f>
        <v>0</v>
      </c>
      <c r="CI28" s="152">
        <f>SUMIF(TRANSHARI9_ICECREAMPAGI[PRODUK],BU28,TRANSHARI9_ICECREAMPAGI[QUANTITY])+SUMIF(TRANSHARI9_ICECREAMMALAM[PRODUK],BU28,TRANSHARI9_ICECREAMMALAM[QUANTITY])</f>
        <v>0</v>
      </c>
      <c r="CJ28" s="152">
        <f>SUMIF(TRANSHARI10_ICECREAMPAGI[PRODUK],BU28,TRANSHARI10_ICECREAMPAGI[QUANTITY])+SUMIF(TRANSHARI10_ICECREAMMALAM[PRODUK],BU28,TRANSHARI10_ICECREAMMALAM[QUANTITY])</f>
        <v>0</v>
      </c>
      <c r="CK28" s="152">
        <f>SUMIF(TRANSHARI11_ICECREAMPAGI[PRODUK],BU28,TRANSHARI11_ICECREAMPAGI[QUANTITY])+SUMIF(TRANSHARI11_ICECREAMMALAM[PRODUK],BU28,TRANSHARI11_ICECREAMMALAM[QUANTITY])</f>
        <v>0</v>
      </c>
      <c r="CL28" s="152">
        <f t="shared" si="9"/>
        <v>1</v>
      </c>
      <c r="CM28" s="152">
        <f t="shared" si="10"/>
        <v>-1</v>
      </c>
      <c r="CN28" s="176">
        <f t="shared" si="11"/>
        <v>3000</v>
      </c>
      <c r="CP28" s="174" t="str">
        <f>'DATA PRODUK'!BH25</f>
        <v>(K.D)(Type C)(Braided) Rexi KSC1-C</v>
      </c>
      <c r="CQ28" s="178">
        <f>'DATA PRODUK'!BI25</f>
        <v>50000</v>
      </c>
      <c r="CR28" s="152"/>
      <c r="CS28" s="152"/>
      <c r="CT28" s="152"/>
      <c r="CU28" s="152"/>
      <c r="CV28" s="152">
        <f>SUMIF(TRANSHARI1_ACCPAGI[PRODUK],CP28,TRANSHARI1_ACCPAGI[QUANTITY])+SUMIF(TRANSHARI1_ACCMALAM[PRODUK],CP28,TRANSHARI1_ACCMALAM[QUANTITY])</f>
        <v>0</v>
      </c>
      <c r="CW28" s="152">
        <f>SUMIF(TRANSHARI2_ACCPAGI[PRODUK],CP28,TRANSHARI2_ACCPAGI[QUANTITY])+SUMIF(TRANSHARI2_ACCMALAM[PRODUK],CP28,TRANSHARI2_ACCMALAM[QUANTITY])</f>
        <v>0</v>
      </c>
      <c r="CX28" s="152">
        <f>SUMIF(TRANSHARI3_ACCPAGI[PRODUK],CP28,TRANSHARI3_ACCPAGI[QUANTITY])+SUMIF(TRANSHARI3_ACCMALAM[PRODUK],CP28,TRANSHARI3_ACCMALAM[QUANTITY])</f>
        <v>0</v>
      </c>
      <c r="CY28" s="152">
        <f>SUMIF(TRANSHARI4_ACCPAGI[PRODUK],CP28,TRANSHARI4_ACCPAGI[QUANTITY])+SUMIF(TRANSHARI4_ACCMALAM[PRODUK],CP28,TRANSHARI4_ACCMALAM[QUANTITY])</f>
        <v>0</v>
      </c>
      <c r="CZ28" s="152">
        <f>SUMIF(TRANSHARI5_ACCPAGI[PRODUK],CP28,TRANSHARI5_ACCPAGI[QUANTITY])+SUMIF(TRANSHARI5_ACCMALAM[PRODUK],CP28,TRANSHARI5_ACCMALAM[QUANTITY])</f>
        <v>0</v>
      </c>
      <c r="DA28" s="152">
        <f>SUMIF(TRANSHARI6_ACCPAGI[PRODUK],CP28,TRANSHARI6_ACCPAGI[QUANTITY])+SUMIF(TRANSHARI6_ACCMALAM[PRODUK],CP28,TRANSHARI6_ACCMALAM[QUANTITY])</f>
        <v>0</v>
      </c>
      <c r="DB28" s="152">
        <f>SUMIF(TRANSHARI7_ACCPAGI[PRODUK],CP28,TRANSHARI7_ACCPAGI[QUANTITY])+SUMIF(TRANSHARI7_ACCMALAM[PRODUK],CP28,TRANSHARI7_ACCMALAM[QUANTITY])</f>
        <v>0</v>
      </c>
      <c r="DC28" s="152">
        <f>SUMIF(TRANSHARI8_ACCPAGI[PRODUK],CP28,TRANSHARI8_ACCPAGI[QUANTITY])+SUMIF(TRANSHARI8_ACCMALAM[PRODUK],CP28,TRANSHARI8_ACCMALAM[QUANTITY])</f>
        <v>0</v>
      </c>
      <c r="DD28" s="152">
        <f>SUMIF(TRANSHARI9_ACCPAGI[PRODUK],CP28,TRANSHARI9_ACCPAGI[QUANTITY])+SUMIF(TRANSHARI9_ACCMALAM[PRODUK],CP28,TRANSHARI9_ACCMALAM[QUANTITY])</f>
        <v>0</v>
      </c>
      <c r="DE28" s="152">
        <f>SUMIF(TRANSHARI10_ACCPAGI[PRODUK],CP28,TRANSHARI10_ACCPAGI[QUANTITY])+SUMIF(TRANSHARI10_ACCMALAM[PRODUK],CP28,TRANSHARI10_ACCMALAM[QUANTITY])</f>
        <v>0</v>
      </c>
      <c r="DF28" s="152">
        <f>SUMIF(TRANSHARI11_ACCPAGI[PRODUK],CP28,TRANSHARI11_ACCPAGI[QUANTITY])+SUMIF(TRANSHARI11_ACCMALAM[PRODUK],CP28,TRANSHARI11_ACCMALAM[QUANTITY])</f>
        <v>0</v>
      </c>
      <c r="DG28" s="152">
        <f t="shared" si="12"/>
        <v>0</v>
      </c>
      <c r="DH28" s="152">
        <f t="shared" si="13"/>
        <v>0</v>
      </c>
      <c r="DI28" s="176">
        <f t="shared" si="14"/>
        <v>0</v>
      </c>
      <c r="DK28" s="188" t="str">
        <f>'DATA PRODUK'!BV25</f>
        <v>(BACK) HM-SP 2</v>
      </c>
      <c r="DL28" s="89">
        <f>'DATA PRODUK'!BW25</f>
        <v>50000</v>
      </c>
      <c r="DM28" s="152"/>
      <c r="DN28" s="152"/>
      <c r="DO28" s="152"/>
      <c r="DP28" s="152"/>
      <c r="DQ28" s="152">
        <f>SUMIF(TRANSHARI1_HYDROPAGI[PRODUK],DK28,TRANSHARI1_HYDROPAGI[QUANTITY])+SUMIF(TRANSHARI1_HYDROMALAM[PRODUK],DK28,TRANSHARI1_HYDROMALAM[QUANTITY])</f>
        <v>0</v>
      </c>
      <c r="DR28" s="152">
        <f>SUMIF(TRANSHARI2_HYDROPAGI[PRODUK],DK28,TRANSHARI2_HYDROPAGI[QUANTITY])+SUMIF(TRANSHARI2_HYDROMALAM[PRODUK],DK28,TRANSHARI2_HYDROMALAM[QUANTITY])</f>
        <v>0</v>
      </c>
      <c r="DS28" s="152">
        <f>SUMIF(TRANSHARI3_HYDROPAGI[PRODUK],DK28,TRANSHARI3_HYDROPAGI[QUANTITY])+SUMIF(TRANSHARI3_HYDROMALAM[PRODUK],DK28,TRANSHARI3_HYDROMALAM[QUANTITY])</f>
        <v>0</v>
      </c>
      <c r="DT28" s="152">
        <f>SUMIF(TRANSHARI4_HYDROPAGI[PRODUK],DK28,TRANSHARI4_HYDROPAGI[QUANTITY])+SUMIF(TRANSHARI4_HYDROMALAM[PRODUK],DK28,TRANSHARI4_HYDROMALAM[QUANTITY])</f>
        <v>0</v>
      </c>
      <c r="DU28" s="152">
        <f>SUMIF(TRANSHARI5_HYDROPAGI[PRODUK],DK28,TRANSHARI5_HYDROPAGI[QUANTITY])+SUMIF(TRANSHARI5_HYDROMALAM[PRODUK],DK28,TRANSHARI5_HYDROMALAM[QUANTITY])</f>
        <v>0</v>
      </c>
      <c r="DV28" s="152">
        <f>SUMIF(TRANSHARI6_HYDROPAGI[PRODUK],DK28,TRANSHARI6_HYDROPAGI[QUANTITY])+SUMIF(TRANSHARI6_HYDROMALAM[PRODUK],DK28,TRANSHARI6_HYDROMALAM[QUANTITY])</f>
        <v>0</v>
      </c>
      <c r="DW28" s="152">
        <f>SUMIF(TRANSHARI7_HYDROPAGI[PRODUK],DK28,TRANSHARI7_HYDROPAGI[QUANTITY])+SUMIF(TRANSHARI7_HYDROMALAM[PRODUK],DK28,TRANSHARI7_HYDROMALAM[QUANTITY])</f>
        <v>0</v>
      </c>
      <c r="DX28" s="152">
        <f>SUMIF(TRANSHARI8_HYDROPAGI[PRODUK],DK28,TRANSHARI8_HYDROPAGI[QUANTITY])+SUMIF(TRANSHARI8_HYDROMALAM[PRODUK],DK28,TRANSHARI8_HYDROMALAM[QUANTITY])</f>
        <v>0</v>
      </c>
      <c r="DY28" s="152">
        <f>SUMIF(TRANSHARI9_HYDROPAGI[PRODUK],DK28,TRANSHARI9_HYDROPAGI[QUANTITY])+SUMIF(TRANSHARI9_HYDROMALAM[PRODUK],DK28,TRANSHARI9_HYDROMALAM[QUANTITY])</f>
        <v>0</v>
      </c>
      <c r="DZ28" s="152">
        <f>SUMIF(TRANSHARI10_HYDROPAGI[PRODUK],DK28,TRANSHARI10_HYDROPAGI[QUANTITY])+SUMIF(TRANSHARI10_HYDROMALAM[PRODUK],DK28,TRANSHARI10_HYDROMALAM[QUANTITY])</f>
        <v>0</v>
      </c>
      <c r="EA28" s="152">
        <f>SUMIF(TRANSHARI11_HYDROPAGI[PRODUK],DK28,TRANSHARI11_HYDROPAGI[QUANTITY])+SUMIF(TRANSHARI11_HYDROMALAM[PRODUK],DK28,TRANSHARI11_HYDROMALAM[QUANTITY])</f>
        <v>0</v>
      </c>
      <c r="EB28" s="152">
        <f t="shared" si="15"/>
        <v>0</v>
      </c>
      <c r="EC28" s="152">
        <f t="shared" si="16"/>
        <v>0</v>
      </c>
      <c r="ED28" s="176">
        <f t="shared" si="17"/>
        <v>0</v>
      </c>
    </row>
    <row r="29" ht="18" spans="4:134">
      <c r="D29" s="127">
        <v>1</v>
      </c>
      <c r="E29" s="128">
        <f>'HARI 1'!L37+'HARI 1'!AA37</f>
        <v>95496</v>
      </c>
      <c r="F29" s="128">
        <f>'HARI 1'!L38+'HARI 1'!AA38</f>
        <v>0</v>
      </c>
      <c r="G29" s="129">
        <f>'HARI 1'!L39+'HARI 1'!AA39</f>
        <v>0</v>
      </c>
      <c r="J29" s="24" t="str">
        <f>'DATA PRODUK'!D26</f>
        <v>TOPPAS KRETEK</v>
      </c>
      <c r="K29" s="150">
        <f>'DATA PRODUK'!E26</f>
        <v>10000</v>
      </c>
      <c r="L29" s="12"/>
      <c r="M29" s="12"/>
      <c r="N29" s="12"/>
      <c r="O29" s="12"/>
      <c r="P29" s="12">
        <f>SUMIF(TRANSHARI1_ROKOKPAGI[PRODUK],J29,TRANSHARI1_ROKOKPAGI[QUANTITY])+SUMIF(TRANSHARI1_ROKOKMALAM[PRODUK],J29,TRANSHARI1_ROKOKMALAM[QUANTITY])</f>
        <v>2</v>
      </c>
      <c r="Q29" s="12">
        <f>SUMIF(TRANSHARI2_ROKOKPAGI[PRODUK],J29,TRANSHARI2_ROKOKPAGI[QUANTITY])+SUMIF(TRANSHARI2_ROKOKMALAM[PRODUK],J29,TRANSHARI2_ROKOKMALAM[QUANTITY])</f>
        <v>0</v>
      </c>
      <c r="R29" s="12">
        <f>SUMIF(TRANSHARI3_ROKOKPAGI[PRODUK],J29,TRANSHARI3_ROKOKPAGI[QUANTITY])+SUMIF(TRANSHARI3_ROKOKMALAM[PRODUK],J29,TRANSHARI3_ROKOKMALAM[QUANTITY])</f>
        <v>0</v>
      </c>
      <c r="S29" s="12">
        <f>SUMIF(TRANSHARI4_ROKOKPAGI[PRODUK],J29,TRANSHARI4_ROKOKPAGI[QUANTITY])+SUMIF(TRANSHARI4_ROKOKMALAM[PRODUK],J29,TRANSHARI4_ROKOKMALAM[QUANTITY])</f>
        <v>0</v>
      </c>
      <c r="T29" s="12">
        <f>SUMIF(TRANSHARI5_ROKOKPAGI[PRODUK],J29,TRANSHARI5_ROKOKPAGI[QUANTITY])+SUMIF(TRANSHARI5_ROKOKMALAM[PRODUK],J29,TRANSHARI5_ROKOKMALAM[QUANTITY])</f>
        <v>0</v>
      </c>
      <c r="U29" s="12">
        <f>SUMIF(TRANSHARI6_ROKOKPAGI[PRODUK],J29,TRANSHARI6_ROKOKPAGI[QUANTITY])+SUMIF(TRANSHARI6_ROKOKMALAM[PRODUK],J29,TRANSHARI6_ROKOKMALAM[QUANTITY])</f>
        <v>0</v>
      </c>
      <c r="V29" s="12">
        <f>SUMIF(TRANSHARI7_ROKOKPAGI[PRODUK],J29,TRANSHARI7_ROKOKPAGI[QUANTITY])+SUMIF(TRANSHARI7_ROKOKMALAM[PRODUK],J29,TRANSHARI7_ROKOKMALAM[QUANTITY])</f>
        <v>0</v>
      </c>
      <c r="W29" s="12">
        <f>SUMIF(TRANSHARI8_ROKOKPAGI[PRODUK],J29,TRANSHARI8_ROKOKPAGI[QUANTITY])+SUMIF(TRANSHARI8_ROKOKMALAM[PRODUK],J29,TRANSHARI8_ROKOKMALAM[QUANTITY])</f>
        <v>0</v>
      </c>
      <c r="X29" s="12">
        <f>SUMIF(TRANSHARI9_ROKOKPAGI[PRODUK],J29,TRANSHARI9_ROKOKPAGI[QUANTITY])+SUMIF(TRANSHARI9_ROKOKMALAM[PRODUK],J29,TRANSHARI9_ROKOKMALAM[QUANTITY])</f>
        <v>0</v>
      </c>
      <c r="Y29" s="12">
        <f>SUMIF(TRANSHARI10_ROKOKPAGI[PRODUK],J29,TRANSHARI10_ROKOKPAGI[QUANTITY])+SUMIF(TRANSHARI10_ROKOKMALAM[PRODUK],J29,TRANSHARI10_ROKOKMALAM[QUANTITY])</f>
        <v>0</v>
      </c>
      <c r="Z29" s="12">
        <f>SUMIF(TRANSHARI11_ROKOKPAGI[PRODUK],J29,TRANSHARI11_ROKOKPAGI[QUANTITY])+SUMIF(TRANSHARI11_ROKOKMALAM[PRODUK],J29,TRANSHARI11_ROKOKMALAM[QUANTITY])</f>
        <v>0</v>
      </c>
      <c r="AA29" s="12">
        <f t="shared" si="0"/>
        <v>2</v>
      </c>
      <c r="AB29" s="12">
        <f t="shared" si="1"/>
        <v>-2</v>
      </c>
      <c r="AC29" s="173">
        <f t="shared" si="2"/>
        <v>20000</v>
      </c>
      <c r="AE29" s="174" t="str">
        <f>'DATA PRODUK'!R26</f>
        <v>SP ISAT 9 GB (25GB)</v>
      </c>
      <c r="AF29" s="175">
        <f>'DATA PRODUK'!S26</f>
        <v>50000</v>
      </c>
      <c r="AG29" s="12"/>
      <c r="AH29" s="12"/>
      <c r="AI29" s="12"/>
      <c r="AJ29" s="12"/>
      <c r="AK29" s="12">
        <f>SUMIF(TRANSHARI1_SPVOUPAGI[PRODUK],AE29,TRANSHARI1_SPVOUPAGI[QUANTITY])+SUMIF(TRANSHARI1_SPVOUMALAM[PRODUK],AE29,TRANSHARI1_SPVOUMALAM[QUANTITY])</f>
        <v>0</v>
      </c>
      <c r="AL29" s="12">
        <f>SUMIF(TRANSHARI2_SPVOUPAGI[PRODUK],AE29,TRANSHARI2_SPVOUPAGI[QUANTITY])+SUMIF(TRANSHARI2_SPVOUMALAM[PRODUK],AE29,TRANSHARI2_SPVOUMALAM[QUANTITY])</f>
        <v>0</v>
      </c>
      <c r="AM29" s="12">
        <f>SUMIF(TRANSHARI3_SPVOUPAGI[PRODUK],AE29,TRANSHARI3_SPVOUPAGI[QUANTITY])+SUMIF(TRANSHARI3_SPVOUMALAM[PRODUK],AE29,TRANSHARI3_SPVOUMALAM[QUANTITY])</f>
        <v>0</v>
      </c>
      <c r="AN29" s="12">
        <f>SUMIF(TRANSHARI4_SPVOUPAGI[PRODUK],AE29,TRANSHARI4_SPVOUPAGI[QUANTITY])+SUMIF(TRANSHARI4_SPVOUMALAM[PRODUK],AE29,TRANSHARI4_SPVOUMALAM[QUANTITY])</f>
        <v>0</v>
      </c>
      <c r="AO29" s="12">
        <f>SUMIF(TRANSHARI5_SPVOUPAGI[PRODUK],AE29,TRANSHARI5_SPVOUPAGI[QUANTITY])+SUMIF(TRANSHARI5_SPVOUMALAM[PRODUK],AE29,TRANSHARI5_SPVOUMALAM[QUANTITY])</f>
        <v>0</v>
      </c>
      <c r="AP29" s="12">
        <f>SUMIF(TRANSHARI6_SPVOUPAGI[PRODUK],AE29,TRANSHARI6_SPVOUPAGI[QUANTITY])+SUMIF(TRANSHARI6_SPVOUMALAM[PRODUK],AE29,TRANSHARI6_SPVOUMALAM[QUANTITY])</f>
        <v>0</v>
      </c>
      <c r="AQ29" s="12">
        <f>SUMIF(TRANSHARI7_SPVOUPAGI[PRODUK],AE29,TRANSHARI7_SPVOUPAGI[QUANTITY])+SUMIF(TRANSHARI7_SPVOUMALAM[PRODUK],AE29,TRANSHARI7_SPVOUMALAM[QUANTITY])</f>
        <v>0</v>
      </c>
      <c r="AR29" s="12">
        <f>SUMIF(TRANSHARI8_SPVOUPAGI[PRODUK],AE29,TRANSHARI8_SPVOUPAGI[QUANTITY])+SUMIF(TRANSHARI8_SPVOUMALAM[PRODUK],AE29,TRANSHARI8_SPVOUMALAM[QUANTITY])</f>
        <v>0</v>
      </c>
      <c r="AS29" s="12">
        <f>SUMIF(TRANSHARI9_SPVOUPAGI[PRODUK],AE29,TRANSHARI9_SPVOUPAGI[QUANTITY])+SUMIF(TRANSHARI9_SPVOUMALAM[PRODUK],AE29,TRANSHARI9_SPVOUMALAM[QUANTITY])</f>
        <v>0</v>
      </c>
      <c r="AT29" s="12">
        <f>SUMIF(TRANSHARI10_SPVOUPAGI[PRODUK],AE29,TRANSHARI10_SPVOUPAGI[QUANTITY])+SUMIF(TRANSHARI10_SPVOUMALAM[PRODUK],AE29,TRANSHARI10_SPVOUMALAM[QUANTITY])</f>
        <v>0</v>
      </c>
      <c r="AU29" s="12">
        <f>SUMIF(TRANSHARI11_SPVOUPAGI[PRODUK],AE29,TRANSHARI11_SPVOUPAGI[QUANTITY])+SUMIF(TRANSHARI11_SPVOUMALAM[PRODUK],AE29,TRANSHARI11_SPVOUMALAM[QUANTITY])</f>
        <v>0</v>
      </c>
      <c r="AV29" s="12">
        <f t="shared" si="3"/>
        <v>0</v>
      </c>
      <c r="AW29" s="12">
        <f t="shared" si="4"/>
        <v>0</v>
      </c>
      <c r="AX29" s="173">
        <f t="shared" si="5"/>
        <v>0</v>
      </c>
      <c r="AZ29" s="187" t="str">
        <f>'DATA PRODUK'!AF26</f>
        <v>YAKULT PACK</v>
      </c>
      <c r="BA29" s="87">
        <f>'DATA PRODUK'!AG26</f>
        <v>11000</v>
      </c>
      <c r="BB29" s="12"/>
      <c r="BC29" s="12"/>
      <c r="BD29" s="12"/>
      <c r="BE29" s="12"/>
      <c r="BF29" s="12">
        <f>SUMIF(TRANSHARI1_SOFTDRINKPAGI[PRODUK],AZ29,TRANSHARI1_SOFTDRINKPAGI[QUANTITY])+SUMIF(TRANSHARI1_SOFTDRINKMALAM[PRODUK],AZ29,TRANSHARI1_SOFTDRINKMALAM[QUANTITY])</f>
        <v>0</v>
      </c>
      <c r="BG29" s="12">
        <f>SUMIF(TRANSHARI2_SOFTDRINKPAGI[PRODUK],AZ29,TRANSHARI2_SOFTDRINKPAGI[QUANTITY])+SUMIF(TRANSHARI2_SOFTDRINKMALAM[PRODUK],AZ29,TRANSHARI2_SOFTDRINKMALAM[QUANTITY])</f>
        <v>0</v>
      </c>
      <c r="BH29" s="12">
        <f>SUMIF(TRANSHARI3_SOFTDRINKPAGI[PRODUK],AZ29,TRANSHARI3_SOFTDRINKPAGI[QUANTITY])+SUMIF(TRANSHARI3_SOFTDRINKMALAM[PRODUK],AZ29,TRANSHARI3_SOFTDRINKMALAM[QUANTITY])</f>
        <v>0</v>
      </c>
      <c r="BI29" s="12">
        <f>SUMIF(TRANSHARI4_SOFTDRINKPAGI[PRODUK],AZ29,TRANSHARI4_SOFTDRINKPAGI[QUANTITY])+SUMIF(TRANSHARI4_SOFTDRINKMALAM[PRODUK],AZ29,TRANSHARI4_SOFTDRINKMALAM[QUANTITY])</f>
        <v>0</v>
      </c>
      <c r="BJ29" s="12">
        <f>SUMIF(TRANSHARI5_SOFTDRINKPAGI[PRODUK],AZ29,TRANSHARI5_SOFTDRINKPAGI[QUANTITY])+SUMIF(TRANSHARI5_SOFTDRINKMALAM[PRODUK],AZ29,TRANSHARI5_SOFTDRINKMALAM[QUANTITY])</f>
        <v>0</v>
      </c>
      <c r="BK29" s="12">
        <f>SUMIF(TRANSHARI6_SOFTDRINKPAGI[PRODUK],AZ29,TRANSHARI6_SOFTDRINKPAGI[QUANTITY])+SUMIF(TRANSHARI6_SOFTDRINKMALAM[PRODUK],AZ29,TRANSHARI6_SOFTDRINKMALAM[QUANTITY])</f>
        <v>0</v>
      </c>
      <c r="BL29" s="12">
        <f>SUMIF(TRANSHARI7_SOFTDRINKPAGI[PRODUK],AZ29,TRANSHARI7_SOFTDRINKPAGI[QUANTITY])+SUMIF(TRANSHARI7_SOFTDRINKMALAM[PRODUK],AZ29,TRANSHARI7_SOFTDRINKMALAM[QUANTITY])</f>
        <v>0</v>
      </c>
      <c r="BM29" s="12">
        <f>SUMIF(TRANSHARI8_SOFTDRINKPAGI[PRODUK],AZ29,TRANSHARI8_SOFTDRINKPAGI[QUANTITY])+SUMIF(TRANSHARI8_SOFTDRINKMALAM[PRODUK],AZ29,TRANSHARI8_SOFTDRINKMALAM[QUANTITY])</f>
        <v>0</v>
      </c>
      <c r="BN29" s="12">
        <f>SUMIF(TRANSHARI9_SOFTDRINKPAGI[PRODUK],AZ29,TRANSHARI9_SOFTDRINKPAGI[QUANTITY])+SUMIF(TRANSHARI9_SOFTDRINKMALAM[PRODUK],AZ29,TRANSHARI9_SOFTDRINKMALAM[QUANTITY])</f>
        <v>0</v>
      </c>
      <c r="BO29" s="12">
        <f>SUMIF(TRANSHARI10_SOFTDRINKPAGI[PRODUK],AZ29,TRANSHARI10_SOFTDRINKPAGI[QUANTITY])+SUMIF(TRANSHARI10_SOFTDRINKMALAM[PRODUK],AZ29,TRANSHARI10_SOFTDRINKMALAM[QUANTITY])</f>
        <v>0</v>
      </c>
      <c r="BP29" s="12">
        <f>SUMIF(TRANSHARI11_SOFTDRINKPAGI[PRODUK],AZ29,TRANSHARI11_SOFTDRINKPAGI[QUANTITY])+SUMIF(TRANSHARI11_SOFTDRINKMALAM[PRODUK],AZ29,TRANSHARI11_SOFTDRINKMALAM[QUANTITY])</f>
        <v>0</v>
      </c>
      <c r="BQ29" s="12">
        <f t="shared" si="6"/>
        <v>0</v>
      </c>
      <c r="BR29" s="12">
        <f t="shared" si="7"/>
        <v>0</v>
      </c>
      <c r="BS29" s="173">
        <f t="shared" si="8"/>
        <v>0</v>
      </c>
      <c r="BU29" s="177" t="str">
        <f>'DATA PRODUK'!AT26</f>
        <v>(Frostbite) Choco Lava Mochi</v>
      </c>
      <c r="BV29" s="175">
        <f>'DATA PRODUK'!AU26</f>
        <v>3000</v>
      </c>
      <c r="BW29" s="12"/>
      <c r="BX29" s="12"/>
      <c r="BY29" s="12"/>
      <c r="BZ29" s="12"/>
      <c r="CA29" s="12">
        <f>SUMIF(TRANSHARI1_ICECREAMPAGI[PRODUK],BU29,TRANSHARI1_ICECREAMPAGI[QUANTITY])+SUMIF(TRANSHARI1_ICECREAMMALAM[PRODUK],BU29,TRANSHARI1_ICECREAMMALAM[QUANTITY])</f>
        <v>0</v>
      </c>
      <c r="CB29" s="12">
        <f>SUMIF(TRANSHARI2_ICECREAMPAGI[PRODUK],BU29,TRANSHARI2_ICECREAMPAGI[QUANTITY])+SUMIF(TRANSHARI2_ICECREAMMALAM[PRODUK],BU29,TRANSHARI2_ICECREAMMALAM[QUANTITY])</f>
        <v>0</v>
      </c>
      <c r="CC29" s="12">
        <f>SUMIF(TRANSHARI3_ICECREAMPAGI[PRODUK],BU29,TRANSHARI3_ICECREAMPAGI[QUANTITY])+SUMIF(TRANSHARI3_ICECREAMMALAM[PRODUK],BU29,TRANSHARI3_ICECREAMMALAM[QUANTITY])</f>
        <v>0</v>
      </c>
      <c r="CD29" s="12">
        <f>SUMIF(TRANSHARI4_ICECREAMPAGI[PRODUK],BU29,TRANSHARI4_ICECREAMPAGI[QUANTITY])+SUMIF(TRANSHARI4_ICECREAMMALAM[PRODUK],BU29,TRANSHARI4_ICECREAMMALAM[QUANTITY])</f>
        <v>0</v>
      </c>
      <c r="CE29" s="12">
        <f>SUMIF(TRANSHARI5_ICECREAMPAGI[PRODUK],BU29,TRANSHARI5_ICECREAMPAGI[QUANTITY])+SUMIF(TRANSHARI5_ICECREAMMALAM[PRODUK],BU29,TRANSHARI5_ICECREAMMALAM[QUANTITY])</f>
        <v>0</v>
      </c>
      <c r="CF29" s="12">
        <f>SUMIF(TRANSHARI6_ICECREAMPAGI[PRODUK],BU29,TRANSHARI6_ICECREAMPAGI[QUANTITY])+SUMIF(TRANSHARI6_ICECREAMMALAM[PRODUK],BU29,TRANSHARI6_ICECREAMMALAM[QUANTITY])</f>
        <v>0</v>
      </c>
      <c r="CG29" s="12">
        <f>SUMIF(TRANSHARI7_ICECREAMPAGI[PRODUK],BU29,TRANSHARI7_ICECREAMPAGI[QUANTITY])+SUMIF(TRANSHARI7_ICECREAMMALAM[PRODUK],BU29,TRANSHARI7_ICECREAMMALAM[QUANTITY])</f>
        <v>0</v>
      </c>
      <c r="CH29" s="12">
        <f>SUMIF(TRANSHARI8_ICECREAMPAGI[PRODUK],BU29,TRANSHARI8_ICECREAMPAGI[QUANTITY])+SUMIF(TRANSHARI8_ICECREAMMALAM[PRODUK],BU29,TRANSHARI8_ICECREAMMALAM[QUANTITY])</f>
        <v>0</v>
      </c>
      <c r="CI29" s="12">
        <f>SUMIF(TRANSHARI9_ICECREAMPAGI[PRODUK],BU29,TRANSHARI9_ICECREAMPAGI[QUANTITY])+SUMIF(TRANSHARI9_ICECREAMMALAM[PRODUK],BU29,TRANSHARI9_ICECREAMMALAM[QUANTITY])</f>
        <v>0</v>
      </c>
      <c r="CJ29" s="12">
        <f>SUMIF(TRANSHARI10_ICECREAMPAGI[PRODUK],BU29,TRANSHARI10_ICECREAMPAGI[QUANTITY])+SUMIF(TRANSHARI10_ICECREAMMALAM[PRODUK],BU29,TRANSHARI10_ICECREAMMALAM[QUANTITY])</f>
        <v>0</v>
      </c>
      <c r="CK29" s="12">
        <f>SUMIF(TRANSHARI11_ICECREAMPAGI[PRODUK],BU29,TRANSHARI11_ICECREAMPAGI[QUANTITY])+SUMIF(TRANSHARI11_ICECREAMMALAM[PRODUK],BU29,TRANSHARI11_ICECREAMMALAM[QUANTITY])</f>
        <v>0</v>
      </c>
      <c r="CL29" s="12">
        <f t="shared" si="9"/>
        <v>0</v>
      </c>
      <c r="CM29" s="12">
        <f t="shared" si="10"/>
        <v>0</v>
      </c>
      <c r="CN29" s="173">
        <f t="shared" si="11"/>
        <v>0</v>
      </c>
      <c r="CP29" s="177" t="str">
        <f>'DATA PRODUK'!BH26</f>
        <v>(K.D)(Type C)(Braided) Vivan BTK-CS</v>
      </c>
      <c r="CQ29" s="175">
        <f>'DATA PRODUK'!BI26</f>
        <v>55000</v>
      </c>
      <c r="CR29" s="12"/>
      <c r="CS29" s="12"/>
      <c r="CT29" s="12"/>
      <c r="CU29" s="12"/>
      <c r="CV29" s="12">
        <f>SUMIF(TRANSHARI1_ACCPAGI[PRODUK],CP29,TRANSHARI1_ACCPAGI[QUANTITY])+SUMIF(TRANSHARI1_ACCMALAM[PRODUK],CP29,TRANSHARI1_ACCMALAM[QUANTITY])</f>
        <v>0</v>
      </c>
      <c r="CW29" s="12">
        <f>SUMIF(TRANSHARI2_ACCPAGI[PRODUK],CP29,TRANSHARI2_ACCPAGI[QUANTITY])+SUMIF(TRANSHARI2_ACCMALAM[PRODUK],CP29,TRANSHARI2_ACCMALAM[QUANTITY])</f>
        <v>0</v>
      </c>
      <c r="CX29" s="12">
        <f>SUMIF(TRANSHARI3_ACCPAGI[PRODUK],CP29,TRANSHARI3_ACCPAGI[QUANTITY])+SUMIF(TRANSHARI3_ACCMALAM[PRODUK],CP29,TRANSHARI3_ACCMALAM[QUANTITY])</f>
        <v>0</v>
      </c>
      <c r="CY29" s="12">
        <f>SUMIF(TRANSHARI4_ACCPAGI[PRODUK],CP29,TRANSHARI4_ACCPAGI[QUANTITY])+SUMIF(TRANSHARI4_ACCMALAM[PRODUK],CP29,TRANSHARI4_ACCMALAM[QUANTITY])</f>
        <v>0</v>
      </c>
      <c r="CZ29" s="12">
        <f>SUMIF(TRANSHARI5_ACCPAGI[PRODUK],CP29,TRANSHARI5_ACCPAGI[QUANTITY])+SUMIF(TRANSHARI5_ACCMALAM[PRODUK],CP29,TRANSHARI5_ACCMALAM[QUANTITY])</f>
        <v>0</v>
      </c>
      <c r="DA29" s="12">
        <f>SUMIF(TRANSHARI6_ACCPAGI[PRODUK],CP29,TRANSHARI6_ACCPAGI[QUANTITY])+SUMIF(TRANSHARI6_ACCMALAM[PRODUK],CP29,TRANSHARI6_ACCMALAM[QUANTITY])</f>
        <v>0</v>
      </c>
      <c r="DB29" s="12">
        <f>SUMIF(TRANSHARI7_ACCPAGI[PRODUK],CP29,TRANSHARI7_ACCPAGI[QUANTITY])+SUMIF(TRANSHARI7_ACCMALAM[PRODUK],CP29,TRANSHARI7_ACCMALAM[QUANTITY])</f>
        <v>0</v>
      </c>
      <c r="DC29" s="12">
        <f>SUMIF(TRANSHARI8_ACCPAGI[PRODUK],CP29,TRANSHARI8_ACCPAGI[QUANTITY])+SUMIF(TRANSHARI8_ACCMALAM[PRODUK],CP29,TRANSHARI8_ACCMALAM[QUANTITY])</f>
        <v>0</v>
      </c>
      <c r="DD29" s="12">
        <f>SUMIF(TRANSHARI9_ACCPAGI[PRODUK],CP29,TRANSHARI9_ACCPAGI[QUANTITY])+SUMIF(TRANSHARI9_ACCMALAM[PRODUK],CP29,TRANSHARI9_ACCMALAM[QUANTITY])</f>
        <v>0</v>
      </c>
      <c r="DE29" s="12">
        <f>SUMIF(TRANSHARI10_ACCPAGI[PRODUK],CP29,TRANSHARI10_ACCPAGI[QUANTITY])+SUMIF(TRANSHARI10_ACCMALAM[PRODUK],CP29,TRANSHARI10_ACCMALAM[QUANTITY])</f>
        <v>0</v>
      </c>
      <c r="DF29" s="12">
        <f>SUMIF(TRANSHARI11_ACCPAGI[PRODUK],CP29,TRANSHARI11_ACCPAGI[QUANTITY])+SUMIF(TRANSHARI11_ACCMALAM[PRODUK],CP29,TRANSHARI11_ACCMALAM[QUANTITY])</f>
        <v>0</v>
      </c>
      <c r="DG29" s="12">
        <f t="shared" si="12"/>
        <v>0</v>
      </c>
      <c r="DH29" s="12">
        <f t="shared" si="13"/>
        <v>0</v>
      </c>
      <c r="DI29" s="173">
        <f t="shared" si="14"/>
        <v>0</v>
      </c>
      <c r="DK29" s="187" t="str">
        <f>'DATA PRODUK'!BV26</f>
        <v>(BACK) HM 86 (M)</v>
      </c>
      <c r="DL29" s="87">
        <f>'DATA PRODUK'!BW26</f>
        <v>50000</v>
      </c>
      <c r="DM29" s="12"/>
      <c r="DN29" s="12"/>
      <c r="DO29" s="12"/>
      <c r="DP29" s="12"/>
      <c r="DQ29" s="12">
        <f>SUMIF(TRANSHARI1_HYDROPAGI[PRODUK],DK29,TRANSHARI1_HYDROPAGI[QUANTITY])+SUMIF(TRANSHARI1_HYDROMALAM[PRODUK],DK29,TRANSHARI1_HYDROMALAM[QUANTITY])</f>
        <v>0</v>
      </c>
      <c r="DR29" s="12">
        <f>SUMIF(TRANSHARI2_HYDROPAGI[PRODUK],DK29,TRANSHARI2_HYDROPAGI[QUANTITY])+SUMIF(TRANSHARI2_HYDROMALAM[PRODUK],DK29,TRANSHARI2_HYDROMALAM[QUANTITY])</f>
        <v>0</v>
      </c>
      <c r="DS29" s="12">
        <f>SUMIF(TRANSHARI3_HYDROPAGI[PRODUK],DK29,TRANSHARI3_HYDROPAGI[QUANTITY])+SUMIF(TRANSHARI3_HYDROMALAM[PRODUK],DK29,TRANSHARI3_HYDROMALAM[QUANTITY])</f>
        <v>0</v>
      </c>
      <c r="DT29" s="12">
        <f>SUMIF(TRANSHARI4_HYDROPAGI[PRODUK],DK29,TRANSHARI4_HYDROPAGI[QUANTITY])+SUMIF(TRANSHARI4_HYDROMALAM[PRODUK],DK29,TRANSHARI4_HYDROMALAM[QUANTITY])</f>
        <v>0</v>
      </c>
      <c r="DU29" s="12">
        <f>SUMIF(TRANSHARI5_HYDROPAGI[PRODUK],DK29,TRANSHARI5_HYDROPAGI[QUANTITY])+SUMIF(TRANSHARI5_HYDROMALAM[PRODUK],DK29,TRANSHARI5_HYDROMALAM[QUANTITY])</f>
        <v>0</v>
      </c>
      <c r="DV29" s="12">
        <f>SUMIF(TRANSHARI6_HYDROPAGI[PRODUK],DK29,TRANSHARI6_HYDROPAGI[QUANTITY])+SUMIF(TRANSHARI6_HYDROMALAM[PRODUK],DK29,TRANSHARI6_HYDROMALAM[QUANTITY])</f>
        <v>0</v>
      </c>
      <c r="DW29" s="12">
        <f>SUMIF(TRANSHARI7_HYDROPAGI[PRODUK],DK29,TRANSHARI7_HYDROPAGI[QUANTITY])+SUMIF(TRANSHARI7_HYDROMALAM[PRODUK],DK29,TRANSHARI7_HYDROMALAM[QUANTITY])</f>
        <v>0</v>
      </c>
      <c r="DX29" s="12">
        <f>SUMIF(TRANSHARI8_HYDROPAGI[PRODUK],DK29,TRANSHARI8_HYDROPAGI[QUANTITY])+SUMIF(TRANSHARI8_HYDROMALAM[PRODUK],DK29,TRANSHARI8_HYDROMALAM[QUANTITY])</f>
        <v>0</v>
      </c>
      <c r="DY29" s="12">
        <f>SUMIF(TRANSHARI9_HYDROPAGI[PRODUK],DK29,TRANSHARI9_HYDROPAGI[QUANTITY])+SUMIF(TRANSHARI9_HYDROMALAM[PRODUK],DK29,TRANSHARI9_HYDROMALAM[QUANTITY])</f>
        <v>0</v>
      </c>
      <c r="DZ29" s="12">
        <f>SUMIF(TRANSHARI10_HYDROPAGI[PRODUK],DK29,TRANSHARI10_HYDROPAGI[QUANTITY])+SUMIF(TRANSHARI10_HYDROMALAM[PRODUK],DK29,TRANSHARI10_HYDROMALAM[QUANTITY])</f>
        <v>0</v>
      </c>
      <c r="EA29" s="12">
        <f>SUMIF(TRANSHARI11_HYDROPAGI[PRODUK],DK29,TRANSHARI11_HYDROPAGI[QUANTITY])+SUMIF(TRANSHARI11_HYDROMALAM[PRODUK],DK29,TRANSHARI11_HYDROMALAM[QUANTITY])</f>
        <v>0</v>
      </c>
      <c r="EB29" s="12">
        <f t="shared" si="15"/>
        <v>0</v>
      </c>
      <c r="EC29" s="12">
        <f t="shared" si="16"/>
        <v>0</v>
      </c>
      <c r="ED29" s="173">
        <f t="shared" si="17"/>
        <v>0</v>
      </c>
    </row>
    <row r="30" ht="18" spans="4:134">
      <c r="D30" s="130">
        <v>2</v>
      </c>
      <c r="E30" s="131">
        <f>'HARI 2'!L37+'HARI 2'!AA37</f>
        <v>67399</v>
      </c>
      <c r="F30" s="132">
        <f>'HARI 2'!L38+'HARI 2'!AA38</f>
        <v>0</v>
      </c>
      <c r="G30" s="132">
        <f>'HARI 2'!L39+'HARI 2'!AA39</f>
        <v>0</v>
      </c>
      <c r="J30" s="26" t="str">
        <f>'DATA PRODUK'!D27</f>
        <v>DJISAMSOE</v>
      </c>
      <c r="K30" s="151">
        <f>'DATA PRODUK'!E27</f>
        <v>20000</v>
      </c>
      <c r="L30" s="152"/>
      <c r="M30" s="152"/>
      <c r="N30" s="152"/>
      <c r="O30" s="152"/>
      <c r="P30" s="152">
        <f>SUMIF(TRANSHARI1_ROKOKPAGI[PRODUK],J30,TRANSHARI1_ROKOKPAGI[QUANTITY])+SUMIF(TRANSHARI1_ROKOKMALAM[PRODUK],J30,TRANSHARI1_ROKOKMALAM[QUANTITY])</f>
        <v>0</v>
      </c>
      <c r="Q30" s="152">
        <f>SUMIF(TRANSHARI2_ROKOKPAGI[PRODUK],J30,TRANSHARI2_ROKOKPAGI[QUANTITY])+SUMIF(TRANSHARI2_ROKOKMALAM[PRODUK],J30,TRANSHARI2_ROKOKMALAM[QUANTITY])</f>
        <v>0</v>
      </c>
      <c r="R30" s="152">
        <f>SUMIF(TRANSHARI3_ROKOKPAGI[PRODUK],J30,TRANSHARI3_ROKOKPAGI[QUANTITY])+SUMIF(TRANSHARI3_ROKOKMALAM[PRODUK],J30,TRANSHARI3_ROKOKMALAM[QUANTITY])</f>
        <v>0</v>
      </c>
      <c r="S30" s="152">
        <f>SUMIF(TRANSHARI4_ROKOKPAGI[PRODUK],J30,TRANSHARI4_ROKOKPAGI[QUANTITY])+SUMIF(TRANSHARI4_ROKOKMALAM[PRODUK],J30,TRANSHARI4_ROKOKMALAM[QUANTITY])</f>
        <v>0</v>
      </c>
      <c r="T30" s="152">
        <f>SUMIF(TRANSHARI5_ROKOKPAGI[PRODUK],J30,TRANSHARI5_ROKOKPAGI[QUANTITY])+SUMIF(TRANSHARI5_ROKOKMALAM[PRODUK],J30,TRANSHARI5_ROKOKMALAM[QUANTITY])</f>
        <v>0</v>
      </c>
      <c r="U30" s="152">
        <f>SUMIF(TRANSHARI6_ROKOKPAGI[PRODUK],J30,TRANSHARI6_ROKOKPAGI[QUANTITY])+SUMIF(TRANSHARI6_ROKOKMALAM[PRODUK],J30,TRANSHARI6_ROKOKMALAM[QUANTITY])</f>
        <v>0</v>
      </c>
      <c r="V30" s="152">
        <f>SUMIF(TRANSHARI7_ROKOKPAGI[PRODUK],J30,TRANSHARI7_ROKOKPAGI[QUANTITY])+SUMIF(TRANSHARI7_ROKOKMALAM[PRODUK],J30,TRANSHARI7_ROKOKMALAM[QUANTITY])</f>
        <v>0</v>
      </c>
      <c r="W30" s="152">
        <f>SUMIF(TRANSHARI8_ROKOKPAGI[PRODUK],J30,TRANSHARI8_ROKOKPAGI[QUANTITY])+SUMIF(TRANSHARI8_ROKOKMALAM[PRODUK],J30,TRANSHARI8_ROKOKMALAM[QUANTITY])</f>
        <v>0</v>
      </c>
      <c r="X30" s="152">
        <f>SUMIF(TRANSHARI9_ROKOKPAGI[PRODUK],J30,TRANSHARI9_ROKOKPAGI[QUANTITY])+SUMIF(TRANSHARI9_ROKOKMALAM[PRODUK],J30,TRANSHARI9_ROKOKMALAM[QUANTITY])</f>
        <v>0</v>
      </c>
      <c r="Y30" s="152">
        <f>SUMIF(TRANSHARI10_ROKOKPAGI[PRODUK],J30,TRANSHARI10_ROKOKPAGI[QUANTITY])+SUMIF(TRANSHARI10_ROKOKMALAM[PRODUK],J30,TRANSHARI10_ROKOKMALAM[QUANTITY])</f>
        <v>0</v>
      </c>
      <c r="Z30" s="152">
        <f>SUMIF(TRANSHARI11_ROKOKPAGI[PRODUK],J30,TRANSHARI11_ROKOKPAGI[QUANTITY])+SUMIF(TRANSHARI11_ROKOKMALAM[PRODUK],J30,TRANSHARI11_ROKOKMALAM[QUANTITY])</f>
        <v>0</v>
      </c>
      <c r="AA30" s="152">
        <f t="shared" si="0"/>
        <v>0</v>
      </c>
      <c r="AB30" s="152">
        <f t="shared" si="1"/>
        <v>0</v>
      </c>
      <c r="AC30" s="176">
        <f t="shared" si="2"/>
        <v>0</v>
      </c>
      <c r="AE30" s="177" t="str">
        <f>'DATA PRODUK'!R27</f>
        <v>SP AXIS REG</v>
      </c>
      <c r="AF30" s="178">
        <f>'DATA PRODUK'!S27</f>
        <v>15000</v>
      </c>
      <c r="AG30" s="152"/>
      <c r="AH30" s="152"/>
      <c r="AI30" s="152"/>
      <c r="AJ30" s="152"/>
      <c r="AK30" s="152">
        <f>SUMIF(TRANSHARI1_SPVOUPAGI[PRODUK],AE30,TRANSHARI1_SPVOUPAGI[QUANTITY])+SUMIF(TRANSHARI1_SPVOUMALAM[PRODUK],AE30,TRANSHARI1_SPVOUMALAM[QUANTITY])</f>
        <v>0</v>
      </c>
      <c r="AL30" s="152">
        <f>SUMIF(TRANSHARI2_SPVOUPAGI[PRODUK],AE30,TRANSHARI2_SPVOUPAGI[QUANTITY])+SUMIF(TRANSHARI2_SPVOUMALAM[PRODUK],AE30,TRANSHARI2_SPVOUMALAM[QUANTITY])</f>
        <v>0</v>
      </c>
      <c r="AM30" s="152">
        <f>SUMIF(TRANSHARI3_SPVOUPAGI[PRODUK],AE30,TRANSHARI3_SPVOUPAGI[QUANTITY])+SUMIF(TRANSHARI3_SPVOUMALAM[PRODUK],AE30,TRANSHARI3_SPVOUMALAM[QUANTITY])</f>
        <v>0</v>
      </c>
      <c r="AN30" s="152">
        <f>SUMIF(TRANSHARI4_SPVOUPAGI[PRODUK],AE30,TRANSHARI4_SPVOUPAGI[QUANTITY])+SUMIF(TRANSHARI4_SPVOUMALAM[PRODUK],AE30,TRANSHARI4_SPVOUMALAM[QUANTITY])</f>
        <v>0</v>
      </c>
      <c r="AO30" s="152">
        <f>SUMIF(TRANSHARI5_SPVOUPAGI[PRODUK],AE30,TRANSHARI5_SPVOUPAGI[QUANTITY])+SUMIF(TRANSHARI5_SPVOUMALAM[PRODUK],AE30,TRANSHARI5_SPVOUMALAM[QUANTITY])</f>
        <v>0</v>
      </c>
      <c r="AP30" s="152">
        <f>SUMIF(TRANSHARI6_SPVOUPAGI[PRODUK],AE30,TRANSHARI6_SPVOUPAGI[QUANTITY])+SUMIF(TRANSHARI6_SPVOUMALAM[PRODUK],AE30,TRANSHARI6_SPVOUMALAM[QUANTITY])</f>
        <v>0</v>
      </c>
      <c r="AQ30" s="152">
        <f>SUMIF(TRANSHARI7_SPVOUPAGI[PRODUK],AE30,TRANSHARI7_SPVOUPAGI[QUANTITY])+SUMIF(TRANSHARI7_SPVOUMALAM[PRODUK],AE30,TRANSHARI7_SPVOUMALAM[QUANTITY])</f>
        <v>0</v>
      </c>
      <c r="AR30" s="152">
        <f>SUMIF(TRANSHARI8_SPVOUPAGI[PRODUK],AE30,TRANSHARI8_SPVOUPAGI[QUANTITY])+SUMIF(TRANSHARI8_SPVOUMALAM[PRODUK],AE30,TRANSHARI8_SPVOUMALAM[QUANTITY])</f>
        <v>0</v>
      </c>
      <c r="AS30" s="152">
        <f>SUMIF(TRANSHARI9_SPVOUPAGI[PRODUK],AE30,TRANSHARI9_SPVOUPAGI[QUANTITY])+SUMIF(TRANSHARI9_SPVOUMALAM[PRODUK],AE30,TRANSHARI9_SPVOUMALAM[QUANTITY])</f>
        <v>0</v>
      </c>
      <c r="AT30" s="152">
        <f>SUMIF(TRANSHARI10_SPVOUPAGI[PRODUK],AE30,TRANSHARI10_SPVOUPAGI[QUANTITY])+SUMIF(TRANSHARI10_SPVOUMALAM[PRODUK],AE30,TRANSHARI10_SPVOUMALAM[QUANTITY])</f>
        <v>0</v>
      </c>
      <c r="AU30" s="152">
        <f>SUMIF(TRANSHARI11_SPVOUPAGI[PRODUK],AE30,TRANSHARI11_SPVOUPAGI[QUANTITY])+SUMIF(TRANSHARI11_SPVOUMALAM[PRODUK],AE30,TRANSHARI11_SPVOUMALAM[QUANTITY])</f>
        <v>0</v>
      </c>
      <c r="AV30" s="152">
        <f t="shared" si="3"/>
        <v>0</v>
      </c>
      <c r="AW30" s="152">
        <f t="shared" si="4"/>
        <v>0</v>
      </c>
      <c r="AX30" s="176">
        <f t="shared" si="5"/>
        <v>0</v>
      </c>
      <c r="AZ30" s="188" t="str">
        <f>'DATA PRODUK'!AF27</f>
        <v>NEW PRODUCT (1)</v>
      </c>
      <c r="BA30" s="89">
        <f>'DATA PRODUK'!AG27</f>
        <v>0</v>
      </c>
      <c r="BB30" s="152"/>
      <c r="BC30" s="152"/>
      <c r="BD30" s="152"/>
      <c r="BE30" s="152"/>
      <c r="BF30" s="152">
        <f>SUMIF(TRANSHARI1_SOFTDRINKPAGI[PRODUK],AZ30,TRANSHARI1_SOFTDRINKPAGI[QUANTITY])+SUMIF(TRANSHARI1_SOFTDRINKMALAM[PRODUK],AZ30,TRANSHARI1_SOFTDRINKMALAM[QUANTITY])</f>
        <v>0</v>
      </c>
      <c r="BG30" s="152">
        <f>SUMIF(TRANSHARI2_SOFTDRINKPAGI[PRODUK],AZ30,TRANSHARI2_SOFTDRINKPAGI[QUANTITY])+SUMIF(TRANSHARI2_SOFTDRINKMALAM[PRODUK],AZ30,TRANSHARI2_SOFTDRINKMALAM[QUANTITY])</f>
        <v>0</v>
      </c>
      <c r="BH30" s="152">
        <f>SUMIF(TRANSHARI3_SOFTDRINKPAGI[PRODUK],AZ30,TRANSHARI3_SOFTDRINKPAGI[QUANTITY])+SUMIF(TRANSHARI3_SOFTDRINKMALAM[PRODUK],AZ30,TRANSHARI3_SOFTDRINKMALAM[QUANTITY])</f>
        <v>0</v>
      </c>
      <c r="BI30" s="152">
        <f>SUMIF(TRANSHARI4_SOFTDRINKPAGI[PRODUK],AZ30,TRANSHARI4_SOFTDRINKPAGI[QUANTITY])+SUMIF(TRANSHARI4_SOFTDRINKMALAM[PRODUK],AZ30,TRANSHARI4_SOFTDRINKMALAM[QUANTITY])</f>
        <v>0</v>
      </c>
      <c r="BJ30" s="152">
        <f>SUMIF(TRANSHARI5_SOFTDRINKPAGI[PRODUK],AZ30,TRANSHARI5_SOFTDRINKPAGI[QUANTITY])+SUMIF(TRANSHARI5_SOFTDRINKMALAM[PRODUK],AZ30,TRANSHARI5_SOFTDRINKMALAM[QUANTITY])</f>
        <v>0</v>
      </c>
      <c r="BK30" s="152">
        <f>SUMIF(TRANSHARI6_SOFTDRINKPAGI[PRODUK],AZ30,TRANSHARI6_SOFTDRINKPAGI[QUANTITY])+SUMIF(TRANSHARI6_SOFTDRINKMALAM[PRODUK],AZ30,TRANSHARI6_SOFTDRINKMALAM[QUANTITY])</f>
        <v>0</v>
      </c>
      <c r="BL30" s="152">
        <f>SUMIF(TRANSHARI7_SOFTDRINKPAGI[PRODUK],AZ30,TRANSHARI7_SOFTDRINKPAGI[QUANTITY])+SUMIF(TRANSHARI7_SOFTDRINKMALAM[PRODUK],AZ30,TRANSHARI7_SOFTDRINKMALAM[QUANTITY])</f>
        <v>0</v>
      </c>
      <c r="BM30" s="152">
        <f>SUMIF(TRANSHARI8_SOFTDRINKPAGI[PRODUK],AZ30,TRANSHARI8_SOFTDRINKPAGI[QUANTITY])+SUMIF(TRANSHARI8_SOFTDRINKMALAM[PRODUK],AZ30,TRANSHARI8_SOFTDRINKMALAM[QUANTITY])</f>
        <v>0</v>
      </c>
      <c r="BN30" s="152">
        <f>SUMIF(TRANSHARI9_SOFTDRINKPAGI[PRODUK],AZ30,TRANSHARI9_SOFTDRINKPAGI[QUANTITY])+SUMIF(TRANSHARI9_SOFTDRINKMALAM[PRODUK],AZ30,TRANSHARI9_SOFTDRINKMALAM[QUANTITY])</f>
        <v>0</v>
      </c>
      <c r="BO30" s="152">
        <f>SUMIF(TRANSHARI10_SOFTDRINKPAGI[PRODUK],AZ30,TRANSHARI10_SOFTDRINKPAGI[QUANTITY])+SUMIF(TRANSHARI10_SOFTDRINKMALAM[PRODUK],AZ30,TRANSHARI10_SOFTDRINKMALAM[QUANTITY])</f>
        <v>0</v>
      </c>
      <c r="BP30" s="152">
        <f>SUMIF(TRANSHARI11_SOFTDRINKPAGI[PRODUK],AZ30,TRANSHARI11_SOFTDRINKPAGI[QUANTITY])+SUMIF(TRANSHARI11_SOFTDRINKMALAM[PRODUK],AZ30,TRANSHARI11_SOFTDRINKMALAM[QUANTITY])</f>
        <v>0</v>
      </c>
      <c r="BQ30" s="152">
        <f t="shared" si="6"/>
        <v>0</v>
      </c>
      <c r="BR30" s="152">
        <f t="shared" si="7"/>
        <v>0</v>
      </c>
      <c r="BS30" s="176">
        <f t="shared" si="8"/>
        <v>0</v>
      </c>
      <c r="BU30" s="174" t="str">
        <f>'DATA PRODUK'!AT27</f>
        <v>(Frostbite) Boba Milk Tea</v>
      </c>
      <c r="BV30" s="178">
        <f>'DATA PRODUK'!AU27</f>
        <v>4000</v>
      </c>
      <c r="BW30" s="152"/>
      <c r="BX30" s="152"/>
      <c r="BY30" s="152"/>
      <c r="BZ30" s="152"/>
      <c r="CA30" s="152">
        <f>SUMIF(TRANSHARI1_ICECREAMPAGI[PRODUK],BU30,TRANSHARI1_ICECREAMPAGI[QUANTITY])+SUMIF(TRANSHARI1_ICECREAMMALAM[PRODUK],BU30,TRANSHARI1_ICECREAMMALAM[QUANTITY])</f>
        <v>1</v>
      </c>
      <c r="CB30" s="152">
        <f>SUMIF(TRANSHARI2_ICECREAMPAGI[PRODUK],BU30,TRANSHARI2_ICECREAMPAGI[QUANTITY])+SUMIF(TRANSHARI2_ICECREAMMALAM[PRODUK],BU30,TRANSHARI2_ICECREAMMALAM[QUANTITY])</f>
        <v>0</v>
      </c>
      <c r="CC30" s="152">
        <f>SUMIF(TRANSHARI3_ICECREAMPAGI[PRODUK],BU30,TRANSHARI3_ICECREAMPAGI[QUANTITY])+SUMIF(TRANSHARI3_ICECREAMMALAM[PRODUK],BU30,TRANSHARI3_ICECREAMMALAM[QUANTITY])</f>
        <v>0</v>
      </c>
      <c r="CD30" s="152">
        <f>SUMIF(TRANSHARI4_ICECREAMPAGI[PRODUK],BU30,TRANSHARI4_ICECREAMPAGI[QUANTITY])+SUMIF(TRANSHARI4_ICECREAMMALAM[PRODUK],BU30,TRANSHARI4_ICECREAMMALAM[QUANTITY])</f>
        <v>0</v>
      </c>
      <c r="CE30" s="152">
        <f>SUMIF(TRANSHARI5_ICECREAMPAGI[PRODUK],BU30,TRANSHARI5_ICECREAMPAGI[QUANTITY])+SUMIF(TRANSHARI5_ICECREAMMALAM[PRODUK],BU30,TRANSHARI5_ICECREAMMALAM[QUANTITY])</f>
        <v>0</v>
      </c>
      <c r="CF30" s="152">
        <f>SUMIF(TRANSHARI6_ICECREAMPAGI[PRODUK],BU30,TRANSHARI6_ICECREAMPAGI[QUANTITY])+SUMIF(TRANSHARI6_ICECREAMMALAM[PRODUK],BU30,TRANSHARI6_ICECREAMMALAM[QUANTITY])</f>
        <v>0</v>
      </c>
      <c r="CG30" s="152">
        <f>SUMIF(TRANSHARI7_ICECREAMPAGI[PRODUK],BU30,TRANSHARI7_ICECREAMPAGI[QUANTITY])+SUMIF(TRANSHARI7_ICECREAMMALAM[PRODUK],BU30,TRANSHARI7_ICECREAMMALAM[QUANTITY])</f>
        <v>0</v>
      </c>
      <c r="CH30" s="152">
        <f>SUMIF(TRANSHARI8_ICECREAMPAGI[PRODUK],BU30,TRANSHARI8_ICECREAMPAGI[QUANTITY])+SUMIF(TRANSHARI8_ICECREAMMALAM[PRODUK],BU30,TRANSHARI8_ICECREAMMALAM[QUANTITY])</f>
        <v>0</v>
      </c>
      <c r="CI30" s="152">
        <f>SUMIF(TRANSHARI9_ICECREAMPAGI[PRODUK],BU30,TRANSHARI9_ICECREAMPAGI[QUANTITY])+SUMIF(TRANSHARI9_ICECREAMMALAM[PRODUK],BU30,TRANSHARI9_ICECREAMMALAM[QUANTITY])</f>
        <v>0</v>
      </c>
      <c r="CJ30" s="152">
        <f>SUMIF(TRANSHARI10_ICECREAMPAGI[PRODUK],BU30,TRANSHARI10_ICECREAMPAGI[QUANTITY])+SUMIF(TRANSHARI10_ICECREAMMALAM[PRODUK],BU30,TRANSHARI10_ICECREAMMALAM[QUANTITY])</f>
        <v>0</v>
      </c>
      <c r="CK30" s="152">
        <f>SUMIF(TRANSHARI11_ICECREAMPAGI[PRODUK],BU30,TRANSHARI11_ICECREAMPAGI[QUANTITY])+SUMIF(TRANSHARI11_ICECREAMMALAM[PRODUK],BU30,TRANSHARI11_ICECREAMMALAM[QUANTITY])</f>
        <v>0</v>
      </c>
      <c r="CL30" s="152">
        <f t="shared" si="9"/>
        <v>1</v>
      </c>
      <c r="CM30" s="152">
        <f t="shared" si="10"/>
        <v>-1</v>
      </c>
      <c r="CN30" s="176">
        <f t="shared" si="11"/>
        <v>4000</v>
      </c>
      <c r="CP30" s="174" t="str">
        <f>'DATA PRODUK'!BH27</f>
        <v>(K.D)(Type C)(Gaming) Vivan BWC100S</v>
      </c>
      <c r="CQ30" s="178">
        <f>'DATA PRODUK'!BI27</f>
        <v>60000</v>
      </c>
      <c r="CR30" s="152"/>
      <c r="CS30" s="152"/>
      <c r="CT30" s="152"/>
      <c r="CU30" s="152"/>
      <c r="CV30" s="152">
        <f>SUMIF(TRANSHARI1_ACCPAGI[PRODUK],CP30,TRANSHARI1_ACCPAGI[QUANTITY])+SUMIF(TRANSHARI1_ACCMALAM[PRODUK],CP30,TRANSHARI1_ACCMALAM[QUANTITY])</f>
        <v>0</v>
      </c>
      <c r="CW30" s="152">
        <f>SUMIF(TRANSHARI2_ACCPAGI[PRODUK],CP30,TRANSHARI2_ACCPAGI[QUANTITY])+SUMIF(TRANSHARI2_ACCMALAM[PRODUK],CP30,TRANSHARI2_ACCMALAM[QUANTITY])</f>
        <v>0</v>
      </c>
      <c r="CX30" s="152">
        <f>SUMIF(TRANSHARI3_ACCPAGI[PRODUK],CP30,TRANSHARI3_ACCPAGI[QUANTITY])+SUMIF(TRANSHARI3_ACCMALAM[PRODUK],CP30,TRANSHARI3_ACCMALAM[QUANTITY])</f>
        <v>0</v>
      </c>
      <c r="CY30" s="152">
        <f>SUMIF(TRANSHARI4_ACCPAGI[PRODUK],CP30,TRANSHARI4_ACCPAGI[QUANTITY])+SUMIF(TRANSHARI4_ACCMALAM[PRODUK],CP30,TRANSHARI4_ACCMALAM[QUANTITY])</f>
        <v>0</v>
      </c>
      <c r="CZ30" s="152">
        <f>SUMIF(TRANSHARI5_ACCPAGI[PRODUK],CP30,TRANSHARI5_ACCPAGI[QUANTITY])+SUMIF(TRANSHARI5_ACCMALAM[PRODUK],CP30,TRANSHARI5_ACCMALAM[QUANTITY])</f>
        <v>0</v>
      </c>
      <c r="DA30" s="152">
        <f>SUMIF(TRANSHARI6_ACCPAGI[PRODUK],CP30,TRANSHARI6_ACCPAGI[QUANTITY])+SUMIF(TRANSHARI6_ACCMALAM[PRODUK],CP30,TRANSHARI6_ACCMALAM[QUANTITY])</f>
        <v>0</v>
      </c>
      <c r="DB30" s="152">
        <f>SUMIF(TRANSHARI7_ACCPAGI[PRODUK],CP30,TRANSHARI7_ACCPAGI[QUANTITY])+SUMIF(TRANSHARI7_ACCMALAM[PRODUK],CP30,TRANSHARI7_ACCMALAM[QUANTITY])</f>
        <v>0</v>
      </c>
      <c r="DC30" s="152">
        <f>SUMIF(TRANSHARI8_ACCPAGI[PRODUK],CP30,TRANSHARI8_ACCPAGI[QUANTITY])+SUMIF(TRANSHARI8_ACCMALAM[PRODUK],CP30,TRANSHARI8_ACCMALAM[QUANTITY])</f>
        <v>0</v>
      </c>
      <c r="DD30" s="152">
        <f>SUMIF(TRANSHARI9_ACCPAGI[PRODUK],CP30,TRANSHARI9_ACCPAGI[QUANTITY])+SUMIF(TRANSHARI9_ACCMALAM[PRODUK],CP30,TRANSHARI9_ACCMALAM[QUANTITY])</f>
        <v>0</v>
      </c>
      <c r="DE30" s="152">
        <f>SUMIF(TRANSHARI10_ACCPAGI[PRODUK],CP30,TRANSHARI10_ACCPAGI[QUANTITY])+SUMIF(TRANSHARI10_ACCMALAM[PRODUK],CP30,TRANSHARI10_ACCMALAM[QUANTITY])</f>
        <v>0</v>
      </c>
      <c r="DF30" s="152">
        <f>SUMIF(TRANSHARI11_ACCPAGI[PRODUK],CP30,TRANSHARI11_ACCPAGI[QUANTITY])+SUMIF(TRANSHARI11_ACCMALAM[PRODUK],CP30,TRANSHARI11_ACCMALAM[QUANTITY])</f>
        <v>0</v>
      </c>
      <c r="DG30" s="152">
        <f t="shared" si="12"/>
        <v>0</v>
      </c>
      <c r="DH30" s="152">
        <f t="shared" si="13"/>
        <v>0</v>
      </c>
      <c r="DI30" s="176">
        <f t="shared" si="14"/>
        <v>0</v>
      </c>
      <c r="DK30" s="188" t="str">
        <f>'DATA PRODUK'!BV27</f>
        <v>(BACK) HM 124 (M)</v>
      </c>
      <c r="DL30" s="89">
        <f>'DATA PRODUK'!BW27</f>
        <v>50000</v>
      </c>
      <c r="DM30" s="152"/>
      <c r="DN30" s="152"/>
      <c r="DO30" s="152"/>
      <c r="DP30" s="152"/>
      <c r="DQ30" s="152">
        <f>SUMIF(TRANSHARI1_HYDROPAGI[PRODUK],DK30,TRANSHARI1_HYDROPAGI[QUANTITY])+SUMIF(TRANSHARI1_HYDROMALAM[PRODUK],DK30,TRANSHARI1_HYDROMALAM[QUANTITY])</f>
        <v>0</v>
      </c>
      <c r="DR30" s="152">
        <f>SUMIF(TRANSHARI2_HYDROPAGI[PRODUK],DK30,TRANSHARI2_HYDROPAGI[QUANTITY])+SUMIF(TRANSHARI2_HYDROMALAM[PRODUK],DK30,TRANSHARI2_HYDROMALAM[QUANTITY])</f>
        <v>0</v>
      </c>
      <c r="DS30" s="152">
        <f>SUMIF(TRANSHARI3_HYDROPAGI[PRODUK],DK30,TRANSHARI3_HYDROPAGI[QUANTITY])+SUMIF(TRANSHARI3_HYDROMALAM[PRODUK],DK30,TRANSHARI3_HYDROMALAM[QUANTITY])</f>
        <v>0</v>
      </c>
      <c r="DT30" s="152">
        <f>SUMIF(TRANSHARI4_HYDROPAGI[PRODUK],DK30,TRANSHARI4_HYDROPAGI[QUANTITY])+SUMIF(TRANSHARI4_HYDROMALAM[PRODUK],DK30,TRANSHARI4_HYDROMALAM[QUANTITY])</f>
        <v>0</v>
      </c>
      <c r="DU30" s="152">
        <f>SUMIF(TRANSHARI5_HYDROPAGI[PRODUK],DK30,TRANSHARI5_HYDROPAGI[QUANTITY])+SUMIF(TRANSHARI5_HYDROMALAM[PRODUK],DK30,TRANSHARI5_HYDROMALAM[QUANTITY])</f>
        <v>0</v>
      </c>
      <c r="DV30" s="152">
        <f>SUMIF(TRANSHARI6_HYDROPAGI[PRODUK],DK30,TRANSHARI6_HYDROPAGI[QUANTITY])+SUMIF(TRANSHARI6_HYDROMALAM[PRODUK],DK30,TRANSHARI6_HYDROMALAM[QUANTITY])</f>
        <v>0</v>
      </c>
      <c r="DW30" s="152">
        <f>SUMIF(TRANSHARI7_HYDROPAGI[PRODUK],DK30,TRANSHARI7_HYDROPAGI[QUANTITY])+SUMIF(TRANSHARI7_HYDROMALAM[PRODUK],DK30,TRANSHARI7_HYDROMALAM[QUANTITY])</f>
        <v>0</v>
      </c>
      <c r="DX30" s="152">
        <f>SUMIF(TRANSHARI8_HYDROPAGI[PRODUK],DK30,TRANSHARI8_HYDROPAGI[QUANTITY])+SUMIF(TRANSHARI8_HYDROMALAM[PRODUK],DK30,TRANSHARI8_HYDROMALAM[QUANTITY])</f>
        <v>0</v>
      </c>
      <c r="DY30" s="152">
        <f>SUMIF(TRANSHARI9_HYDROPAGI[PRODUK],DK30,TRANSHARI9_HYDROPAGI[QUANTITY])+SUMIF(TRANSHARI9_HYDROMALAM[PRODUK],DK30,TRANSHARI9_HYDROMALAM[QUANTITY])</f>
        <v>0</v>
      </c>
      <c r="DZ30" s="152">
        <f>SUMIF(TRANSHARI10_HYDROPAGI[PRODUK],DK30,TRANSHARI10_HYDROPAGI[QUANTITY])+SUMIF(TRANSHARI10_HYDROMALAM[PRODUK],DK30,TRANSHARI10_HYDROMALAM[QUANTITY])</f>
        <v>0</v>
      </c>
      <c r="EA30" s="152">
        <f>SUMIF(TRANSHARI11_HYDROPAGI[PRODUK],DK30,TRANSHARI11_HYDROPAGI[QUANTITY])+SUMIF(TRANSHARI11_HYDROMALAM[PRODUK],DK30,TRANSHARI11_HYDROMALAM[QUANTITY])</f>
        <v>0</v>
      </c>
      <c r="EB30" s="152">
        <f t="shared" si="15"/>
        <v>0</v>
      </c>
      <c r="EC30" s="152">
        <f t="shared" si="16"/>
        <v>0</v>
      </c>
      <c r="ED30" s="176">
        <f t="shared" si="17"/>
        <v>0</v>
      </c>
    </row>
    <row r="31" ht="18" spans="4:134">
      <c r="D31" s="127">
        <v>3</v>
      </c>
      <c r="E31" s="128">
        <f>'HARI 3'!L37+'HARI 3'!AA37</f>
        <v>0</v>
      </c>
      <c r="F31" s="128">
        <f>'HARI 3'!L38+'HARI 3'!AA38</f>
        <v>0</v>
      </c>
      <c r="G31" s="129">
        <f>'HARI 3'!L39+'HARI 3'!AA39</f>
        <v>0</v>
      </c>
      <c r="J31" s="24" t="str">
        <f>'DATA PRODUK'!D28</f>
        <v>DJISAMSOE PREMIUM</v>
      </c>
      <c r="K31" s="150">
        <f>'DATA PRODUK'!E28</f>
        <v>22000</v>
      </c>
      <c r="L31" s="12"/>
      <c r="M31" s="12"/>
      <c r="N31" s="12"/>
      <c r="O31" s="12"/>
      <c r="P31" s="12">
        <f>SUMIF(TRANSHARI1_ROKOKPAGI[PRODUK],J31,TRANSHARI1_ROKOKPAGI[QUANTITY])+SUMIF(TRANSHARI1_ROKOKMALAM[PRODUK],J31,TRANSHARI1_ROKOKMALAM[QUANTITY])</f>
        <v>0</v>
      </c>
      <c r="Q31" s="12">
        <f>SUMIF(TRANSHARI2_ROKOKPAGI[PRODUK],J31,TRANSHARI2_ROKOKPAGI[QUANTITY])+SUMIF(TRANSHARI2_ROKOKMALAM[PRODUK],J31,TRANSHARI2_ROKOKMALAM[QUANTITY])</f>
        <v>0</v>
      </c>
      <c r="R31" s="12">
        <f>SUMIF(TRANSHARI3_ROKOKPAGI[PRODUK],J31,TRANSHARI3_ROKOKPAGI[QUANTITY])+SUMIF(TRANSHARI3_ROKOKMALAM[PRODUK],J31,TRANSHARI3_ROKOKMALAM[QUANTITY])</f>
        <v>0</v>
      </c>
      <c r="S31" s="12">
        <f>SUMIF(TRANSHARI4_ROKOKPAGI[PRODUK],J31,TRANSHARI4_ROKOKPAGI[QUANTITY])+SUMIF(TRANSHARI4_ROKOKMALAM[PRODUK],J31,TRANSHARI4_ROKOKMALAM[QUANTITY])</f>
        <v>0</v>
      </c>
      <c r="T31" s="12">
        <f>SUMIF(TRANSHARI5_ROKOKPAGI[PRODUK],J31,TRANSHARI5_ROKOKPAGI[QUANTITY])+SUMIF(TRANSHARI5_ROKOKMALAM[PRODUK],J31,TRANSHARI5_ROKOKMALAM[QUANTITY])</f>
        <v>0</v>
      </c>
      <c r="U31" s="12">
        <f>SUMIF(TRANSHARI6_ROKOKPAGI[PRODUK],J31,TRANSHARI6_ROKOKPAGI[QUANTITY])+SUMIF(TRANSHARI6_ROKOKMALAM[PRODUK],J31,TRANSHARI6_ROKOKMALAM[QUANTITY])</f>
        <v>0</v>
      </c>
      <c r="V31" s="12">
        <f>SUMIF(TRANSHARI7_ROKOKPAGI[PRODUK],J31,TRANSHARI7_ROKOKPAGI[QUANTITY])+SUMIF(TRANSHARI7_ROKOKMALAM[PRODUK],J31,TRANSHARI7_ROKOKMALAM[QUANTITY])</f>
        <v>0</v>
      </c>
      <c r="W31" s="12">
        <f>SUMIF(TRANSHARI8_ROKOKPAGI[PRODUK],J31,TRANSHARI8_ROKOKPAGI[QUANTITY])+SUMIF(TRANSHARI8_ROKOKMALAM[PRODUK],J31,TRANSHARI8_ROKOKMALAM[QUANTITY])</f>
        <v>0</v>
      </c>
      <c r="X31" s="12">
        <f>SUMIF(TRANSHARI9_ROKOKPAGI[PRODUK],J31,TRANSHARI9_ROKOKPAGI[QUANTITY])+SUMIF(TRANSHARI9_ROKOKMALAM[PRODUK],J31,TRANSHARI9_ROKOKMALAM[QUANTITY])</f>
        <v>0</v>
      </c>
      <c r="Y31" s="12">
        <f>SUMIF(TRANSHARI10_ROKOKPAGI[PRODUK],J31,TRANSHARI10_ROKOKPAGI[QUANTITY])+SUMIF(TRANSHARI10_ROKOKMALAM[PRODUK],J31,TRANSHARI10_ROKOKMALAM[QUANTITY])</f>
        <v>0</v>
      </c>
      <c r="Z31" s="12">
        <f>SUMIF(TRANSHARI11_ROKOKPAGI[PRODUK],J31,TRANSHARI11_ROKOKPAGI[QUANTITY])+SUMIF(TRANSHARI11_ROKOKMALAM[PRODUK],J31,TRANSHARI11_ROKOKMALAM[QUANTITY])</f>
        <v>0</v>
      </c>
      <c r="AA31" s="12">
        <f t="shared" si="0"/>
        <v>0</v>
      </c>
      <c r="AB31" s="12">
        <f t="shared" si="1"/>
        <v>0</v>
      </c>
      <c r="AC31" s="173">
        <f t="shared" si="2"/>
        <v>0</v>
      </c>
      <c r="AE31" s="174" t="str">
        <f>'DATA PRODUK'!R28</f>
        <v>SP AXIS 3 GB</v>
      </c>
      <c r="AF31" s="175">
        <f>'DATA PRODUK'!S28</f>
        <v>20000</v>
      </c>
      <c r="AG31" s="12"/>
      <c r="AH31" s="12"/>
      <c r="AI31" s="12"/>
      <c r="AJ31" s="12"/>
      <c r="AK31" s="12">
        <f>SUMIF(TRANSHARI1_SPVOUPAGI[PRODUK],AE31,TRANSHARI1_SPVOUPAGI[QUANTITY])+SUMIF(TRANSHARI1_SPVOUMALAM[PRODUK],AE31,TRANSHARI1_SPVOUMALAM[QUANTITY])</f>
        <v>0</v>
      </c>
      <c r="AL31" s="12">
        <f>SUMIF(TRANSHARI2_SPVOUPAGI[PRODUK],AE31,TRANSHARI2_SPVOUPAGI[QUANTITY])+SUMIF(TRANSHARI2_SPVOUMALAM[PRODUK],AE31,TRANSHARI2_SPVOUMALAM[QUANTITY])</f>
        <v>0</v>
      </c>
      <c r="AM31" s="12">
        <f>SUMIF(TRANSHARI3_SPVOUPAGI[PRODUK],AE31,TRANSHARI3_SPVOUPAGI[QUANTITY])+SUMIF(TRANSHARI3_SPVOUMALAM[PRODUK],AE31,TRANSHARI3_SPVOUMALAM[QUANTITY])</f>
        <v>0</v>
      </c>
      <c r="AN31" s="12">
        <f>SUMIF(TRANSHARI4_SPVOUPAGI[PRODUK],AE31,TRANSHARI4_SPVOUPAGI[QUANTITY])+SUMIF(TRANSHARI4_SPVOUMALAM[PRODUK],AE31,TRANSHARI4_SPVOUMALAM[QUANTITY])</f>
        <v>0</v>
      </c>
      <c r="AO31" s="12">
        <f>SUMIF(TRANSHARI5_SPVOUPAGI[PRODUK],AE31,TRANSHARI5_SPVOUPAGI[QUANTITY])+SUMIF(TRANSHARI5_SPVOUMALAM[PRODUK],AE31,TRANSHARI5_SPVOUMALAM[QUANTITY])</f>
        <v>0</v>
      </c>
      <c r="AP31" s="12">
        <f>SUMIF(TRANSHARI6_SPVOUPAGI[PRODUK],AE31,TRANSHARI6_SPVOUPAGI[QUANTITY])+SUMIF(TRANSHARI6_SPVOUMALAM[PRODUK],AE31,TRANSHARI6_SPVOUMALAM[QUANTITY])</f>
        <v>0</v>
      </c>
      <c r="AQ31" s="12">
        <f>SUMIF(TRANSHARI7_SPVOUPAGI[PRODUK],AE31,TRANSHARI7_SPVOUPAGI[QUANTITY])+SUMIF(TRANSHARI7_SPVOUMALAM[PRODUK],AE31,TRANSHARI7_SPVOUMALAM[QUANTITY])</f>
        <v>0</v>
      </c>
      <c r="AR31" s="12">
        <f>SUMIF(TRANSHARI8_SPVOUPAGI[PRODUK],AE31,TRANSHARI8_SPVOUPAGI[QUANTITY])+SUMIF(TRANSHARI8_SPVOUMALAM[PRODUK],AE31,TRANSHARI8_SPVOUMALAM[QUANTITY])</f>
        <v>0</v>
      </c>
      <c r="AS31" s="12">
        <f>SUMIF(TRANSHARI9_SPVOUPAGI[PRODUK],AE31,TRANSHARI9_SPVOUPAGI[QUANTITY])+SUMIF(TRANSHARI9_SPVOUMALAM[PRODUK],AE31,TRANSHARI9_SPVOUMALAM[QUANTITY])</f>
        <v>0</v>
      </c>
      <c r="AT31" s="12">
        <f>SUMIF(TRANSHARI10_SPVOUPAGI[PRODUK],AE31,TRANSHARI10_SPVOUPAGI[QUANTITY])+SUMIF(TRANSHARI10_SPVOUMALAM[PRODUK],AE31,TRANSHARI10_SPVOUMALAM[QUANTITY])</f>
        <v>0</v>
      </c>
      <c r="AU31" s="12">
        <f>SUMIF(TRANSHARI11_SPVOUPAGI[PRODUK],AE31,TRANSHARI11_SPVOUPAGI[QUANTITY])+SUMIF(TRANSHARI11_SPVOUMALAM[PRODUK],AE31,TRANSHARI11_SPVOUMALAM[QUANTITY])</f>
        <v>0</v>
      </c>
      <c r="AV31" s="12">
        <f t="shared" si="3"/>
        <v>0</v>
      </c>
      <c r="AW31" s="12">
        <f t="shared" si="4"/>
        <v>0</v>
      </c>
      <c r="AX31" s="173">
        <f t="shared" si="5"/>
        <v>0</v>
      </c>
      <c r="AZ31" s="187" t="str">
        <f>'DATA PRODUK'!AF28</f>
        <v>NEW PRODUCT (2)</v>
      </c>
      <c r="BA31" s="97">
        <f>'DATA PRODUK'!AG28</f>
        <v>0</v>
      </c>
      <c r="BB31" s="12"/>
      <c r="BC31" s="12"/>
      <c r="BD31" s="12"/>
      <c r="BE31" s="12"/>
      <c r="BF31" s="12">
        <f>SUMIF(TRANSHARI1_SOFTDRINKPAGI[PRODUK],AZ31,TRANSHARI1_SOFTDRINKPAGI[QUANTITY])+SUMIF(TRANSHARI1_SOFTDRINKMALAM[PRODUK],AZ31,TRANSHARI1_SOFTDRINKMALAM[QUANTITY])</f>
        <v>0</v>
      </c>
      <c r="BG31" s="12">
        <f>SUMIF(TRANSHARI2_SOFTDRINKPAGI[PRODUK],AZ31,TRANSHARI2_SOFTDRINKPAGI[QUANTITY])+SUMIF(TRANSHARI2_SOFTDRINKMALAM[PRODUK],AZ31,TRANSHARI2_SOFTDRINKMALAM[QUANTITY])</f>
        <v>0</v>
      </c>
      <c r="BH31" s="12">
        <f>SUMIF(TRANSHARI3_SOFTDRINKPAGI[PRODUK],AZ31,TRANSHARI3_SOFTDRINKPAGI[QUANTITY])+SUMIF(TRANSHARI3_SOFTDRINKMALAM[PRODUK],AZ31,TRANSHARI3_SOFTDRINKMALAM[QUANTITY])</f>
        <v>0</v>
      </c>
      <c r="BI31" s="12">
        <f>SUMIF(TRANSHARI4_SOFTDRINKPAGI[PRODUK],AZ31,TRANSHARI4_SOFTDRINKPAGI[QUANTITY])+SUMIF(TRANSHARI4_SOFTDRINKMALAM[PRODUK],AZ31,TRANSHARI4_SOFTDRINKMALAM[QUANTITY])</f>
        <v>0</v>
      </c>
      <c r="BJ31" s="12">
        <f>SUMIF(TRANSHARI5_SOFTDRINKPAGI[PRODUK],AZ31,TRANSHARI5_SOFTDRINKPAGI[QUANTITY])+SUMIF(TRANSHARI5_SOFTDRINKMALAM[PRODUK],AZ31,TRANSHARI5_SOFTDRINKMALAM[QUANTITY])</f>
        <v>0</v>
      </c>
      <c r="BK31" s="12">
        <f>SUMIF(TRANSHARI6_SOFTDRINKPAGI[PRODUK],AZ31,TRANSHARI6_SOFTDRINKPAGI[QUANTITY])+SUMIF(TRANSHARI6_SOFTDRINKMALAM[PRODUK],AZ31,TRANSHARI6_SOFTDRINKMALAM[QUANTITY])</f>
        <v>0</v>
      </c>
      <c r="BL31" s="12">
        <f>SUMIF(TRANSHARI7_SOFTDRINKPAGI[PRODUK],AZ31,TRANSHARI7_SOFTDRINKPAGI[QUANTITY])+SUMIF(TRANSHARI7_SOFTDRINKMALAM[PRODUK],AZ31,TRANSHARI7_SOFTDRINKMALAM[QUANTITY])</f>
        <v>0</v>
      </c>
      <c r="BM31" s="12">
        <f>SUMIF(TRANSHARI8_SOFTDRINKPAGI[PRODUK],AZ31,TRANSHARI8_SOFTDRINKPAGI[QUANTITY])+SUMIF(TRANSHARI8_SOFTDRINKMALAM[PRODUK],AZ31,TRANSHARI8_SOFTDRINKMALAM[QUANTITY])</f>
        <v>0</v>
      </c>
      <c r="BN31" s="12">
        <f>SUMIF(TRANSHARI9_SOFTDRINKPAGI[PRODUK],AZ31,TRANSHARI9_SOFTDRINKPAGI[QUANTITY])+SUMIF(TRANSHARI9_SOFTDRINKMALAM[PRODUK],AZ31,TRANSHARI9_SOFTDRINKMALAM[QUANTITY])</f>
        <v>0</v>
      </c>
      <c r="BO31" s="12">
        <f>SUMIF(TRANSHARI10_SOFTDRINKPAGI[PRODUK],AZ31,TRANSHARI10_SOFTDRINKPAGI[QUANTITY])+SUMIF(TRANSHARI10_SOFTDRINKMALAM[PRODUK],AZ31,TRANSHARI10_SOFTDRINKMALAM[QUANTITY])</f>
        <v>0</v>
      </c>
      <c r="BP31" s="12">
        <f>SUMIF(TRANSHARI11_SOFTDRINKPAGI[PRODUK],AZ31,TRANSHARI11_SOFTDRINKPAGI[QUANTITY])+SUMIF(TRANSHARI11_SOFTDRINKMALAM[PRODUK],AZ31,TRANSHARI11_SOFTDRINKMALAM[QUANTITY])</f>
        <v>0</v>
      </c>
      <c r="BQ31" s="12">
        <f t="shared" si="6"/>
        <v>0</v>
      </c>
      <c r="BR31" s="12">
        <f t="shared" si="7"/>
        <v>0</v>
      </c>
      <c r="BS31" s="173">
        <f t="shared" si="8"/>
        <v>0</v>
      </c>
      <c r="BU31" s="177" t="str">
        <f>'DATA PRODUK'!AT28</f>
        <v>(Frostbite) Coconut Shake Lychee</v>
      </c>
      <c r="BV31" s="175">
        <f>'DATA PRODUK'!AU28</f>
        <v>4000</v>
      </c>
      <c r="BW31" s="12"/>
      <c r="BX31" s="12"/>
      <c r="BY31" s="12"/>
      <c r="BZ31" s="12"/>
      <c r="CA31" s="12">
        <f>SUMIF(TRANSHARI1_ICECREAMPAGI[PRODUK],BU31,TRANSHARI1_ICECREAMPAGI[QUANTITY])+SUMIF(TRANSHARI1_ICECREAMMALAM[PRODUK],BU31,TRANSHARI1_ICECREAMMALAM[QUANTITY])</f>
        <v>0</v>
      </c>
      <c r="CB31" s="12">
        <f>SUMIF(TRANSHARI2_ICECREAMPAGI[PRODUK],BU31,TRANSHARI2_ICECREAMPAGI[QUANTITY])+SUMIF(TRANSHARI2_ICECREAMMALAM[PRODUK],BU31,TRANSHARI2_ICECREAMMALAM[QUANTITY])</f>
        <v>0</v>
      </c>
      <c r="CC31" s="12">
        <f>SUMIF(TRANSHARI3_ICECREAMPAGI[PRODUK],BU31,TRANSHARI3_ICECREAMPAGI[QUANTITY])+SUMIF(TRANSHARI3_ICECREAMMALAM[PRODUK],BU31,TRANSHARI3_ICECREAMMALAM[QUANTITY])</f>
        <v>0</v>
      </c>
      <c r="CD31" s="12">
        <f>SUMIF(TRANSHARI4_ICECREAMPAGI[PRODUK],BU31,TRANSHARI4_ICECREAMPAGI[QUANTITY])+SUMIF(TRANSHARI4_ICECREAMMALAM[PRODUK],BU31,TRANSHARI4_ICECREAMMALAM[QUANTITY])</f>
        <v>0</v>
      </c>
      <c r="CE31" s="12">
        <f>SUMIF(TRANSHARI5_ICECREAMPAGI[PRODUK],BU31,TRANSHARI5_ICECREAMPAGI[QUANTITY])+SUMIF(TRANSHARI5_ICECREAMMALAM[PRODUK],BU31,TRANSHARI5_ICECREAMMALAM[QUANTITY])</f>
        <v>0</v>
      </c>
      <c r="CF31" s="12">
        <f>SUMIF(TRANSHARI6_ICECREAMPAGI[PRODUK],BU31,TRANSHARI6_ICECREAMPAGI[QUANTITY])+SUMIF(TRANSHARI6_ICECREAMMALAM[PRODUK],BU31,TRANSHARI6_ICECREAMMALAM[QUANTITY])</f>
        <v>0</v>
      </c>
      <c r="CG31" s="12">
        <f>SUMIF(TRANSHARI7_ICECREAMPAGI[PRODUK],BU31,TRANSHARI7_ICECREAMPAGI[QUANTITY])+SUMIF(TRANSHARI7_ICECREAMMALAM[PRODUK],BU31,TRANSHARI7_ICECREAMMALAM[QUANTITY])</f>
        <v>0</v>
      </c>
      <c r="CH31" s="12">
        <f>SUMIF(TRANSHARI8_ICECREAMPAGI[PRODUK],BU31,TRANSHARI8_ICECREAMPAGI[QUANTITY])+SUMIF(TRANSHARI8_ICECREAMMALAM[PRODUK],BU31,TRANSHARI8_ICECREAMMALAM[QUANTITY])</f>
        <v>0</v>
      </c>
      <c r="CI31" s="12">
        <f>SUMIF(TRANSHARI9_ICECREAMPAGI[PRODUK],BU31,TRANSHARI9_ICECREAMPAGI[QUANTITY])+SUMIF(TRANSHARI9_ICECREAMMALAM[PRODUK],BU31,TRANSHARI9_ICECREAMMALAM[QUANTITY])</f>
        <v>0</v>
      </c>
      <c r="CJ31" s="12">
        <f>SUMIF(TRANSHARI10_ICECREAMPAGI[PRODUK],BU31,TRANSHARI10_ICECREAMPAGI[QUANTITY])+SUMIF(TRANSHARI10_ICECREAMMALAM[PRODUK],BU31,TRANSHARI10_ICECREAMMALAM[QUANTITY])</f>
        <v>0</v>
      </c>
      <c r="CK31" s="12">
        <f>SUMIF(TRANSHARI11_ICECREAMPAGI[PRODUK],BU31,TRANSHARI11_ICECREAMPAGI[QUANTITY])+SUMIF(TRANSHARI11_ICECREAMMALAM[PRODUK],BU31,TRANSHARI11_ICECREAMMALAM[QUANTITY])</f>
        <v>0</v>
      </c>
      <c r="CL31" s="12">
        <f t="shared" si="9"/>
        <v>0</v>
      </c>
      <c r="CM31" s="12">
        <f t="shared" si="10"/>
        <v>0</v>
      </c>
      <c r="CN31" s="173">
        <f t="shared" si="11"/>
        <v>0</v>
      </c>
      <c r="CP31" s="177" t="str">
        <f>'DATA PRODUK'!BH28</f>
        <v>(K.D)(Type C)(C-C) Rexi TM10-CC</v>
      </c>
      <c r="CQ31" s="175">
        <f>'DATA PRODUK'!BI28</f>
        <v>25000</v>
      </c>
      <c r="CR31" s="12"/>
      <c r="CS31" s="12"/>
      <c r="CT31" s="12"/>
      <c r="CU31" s="12"/>
      <c r="CV31" s="12">
        <f>SUMIF(TRANSHARI1_ACCPAGI[PRODUK],CP31,TRANSHARI1_ACCPAGI[QUANTITY])+SUMIF(TRANSHARI1_ACCMALAM[PRODUK],CP31,TRANSHARI1_ACCMALAM[QUANTITY])</f>
        <v>0</v>
      </c>
      <c r="CW31" s="12">
        <f>SUMIF(TRANSHARI2_ACCPAGI[PRODUK],CP31,TRANSHARI2_ACCPAGI[QUANTITY])+SUMIF(TRANSHARI2_ACCMALAM[PRODUK],CP31,TRANSHARI2_ACCMALAM[QUANTITY])</f>
        <v>0</v>
      </c>
      <c r="CX31" s="12">
        <f>SUMIF(TRANSHARI3_ACCPAGI[PRODUK],CP31,TRANSHARI3_ACCPAGI[QUANTITY])+SUMIF(TRANSHARI3_ACCMALAM[PRODUK],CP31,TRANSHARI3_ACCMALAM[QUANTITY])</f>
        <v>0</v>
      </c>
      <c r="CY31" s="12">
        <f>SUMIF(TRANSHARI4_ACCPAGI[PRODUK],CP31,TRANSHARI4_ACCPAGI[QUANTITY])+SUMIF(TRANSHARI4_ACCMALAM[PRODUK],CP31,TRANSHARI4_ACCMALAM[QUANTITY])</f>
        <v>0</v>
      </c>
      <c r="CZ31" s="12">
        <f>SUMIF(TRANSHARI5_ACCPAGI[PRODUK],CP31,TRANSHARI5_ACCPAGI[QUANTITY])+SUMIF(TRANSHARI5_ACCMALAM[PRODUK],CP31,TRANSHARI5_ACCMALAM[QUANTITY])</f>
        <v>0</v>
      </c>
      <c r="DA31" s="12">
        <f>SUMIF(TRANSHARI6_ACCPAGI[PRODUK],CP31,TRANSHARI6_ACCPAGI[QUANTITY])+SUMIF(TRANSHARI6_ACCMALAM[PRODUK],CP31,TRANSHARI6_ACCMALAM[QUANTITY])</f>
        <v>0</v>
      </c>
      <c r="DB31" s="12">
        <f>SUMIF(TRANSHARI7_ACCPAGI[PRODUK],CP31,TRANSHARI7_ACCPAGI[QUANTITY])+SUMIF(TRANSHARI7_ACCMALAM[PRODUK],CP31,TRANSHARI7_ACCMALAM[QUANTITY])</f>
        <v>0</v>
      </c>
      <c r="DC31" s="12">
        <f>SUMIF(TRANSHARI8_ACCPAGI[PRODUK],CP31,TRANSHARI8_ACCPAGI[QUANTITY])+SUMIF(TRANSHARI8_ACCMALAM[PRODUK],CP31,TRANSHARI8_ACCMALAM[QUANTITY])</f>
        <v>0</v>
      </c>
      <c r="DD31" s="12">
        <f>SUMIF(TRANSHARI9_ACCPAGI[PRODUK],CP31,TRANSHARI9_ACCPAGI[QUANTITY])+SUMIF(TRANSHARI9_ACCMALAM[PRODUK],CP31,TRANSHARI9_ACCMALAM[QUANTITY])</f>
        <v>0</v>
      </c>
      <c r="DE31" s="12">
        <f>SUMIF(TRANSHARI10_ACCPAGI[PRODUK],CP31,TRANSHARI10_ACCPAGI[QUANTITY])+SUMIF(TRANSHARI10_ACCMALAM[PRODUK],CP31,TRANSHARI10_ACCMALAM[QUANTITY])</f>
        <v>0</v>
      </c>
      <c r="DF31" s="12">
        <f>SUMIF(TRANSHARI11_ACCPAGI[PRODUK],CP31,TRANSHARI11_ACCPAGI[QUANTITY])+SUMIF(TRANSHARI11_ACCMALAM[PRODUK],CP31,TRANSHARI11_ACCMALAM[QUANTITY])</f>
        <v>0</v>
      </c>
      <c r="DG31" s="12">
        <f t="shared" si="12"/>
        <v>0</v>
      </c>
      <c r="DH31" s="12">
        <f t="shared" si="13"/>
        <v>0</v>
      </c>
      <c r="DI31" s="173">
        <f t="shared" si="14"/>
        <v>0</v>
      </c>
      <c r="DK31" s="187" t="str">
        <f>'DATA PRODUK'!BV28</f>
        <v>(BACK) HM 159 S</v>
      </c>
      <c r="DL31" s="87">
        <f>'DATA PRODUK'!BW28</f>
        <v>50000</v>
      </c>
      <c r="DM31" s="12"/>
      <c r="DN31" s="12"/>
      <c r="DO31" s="12"/>
      <c r="DP31" s="12"/>
      <c r="DQ31" s="12">
        <f>SUMIF(TRANSHARI1_HYDROPAGI[PRODUK],DK31,TRANSHARI1_HYDROPAGI[QUANTITY])+SUMIF(TRANSHARI1_HYDROMALAM[PRODUK],DK31,TRANSHARI1_HYDROMALAM[QUANTITY])</f>
        <v>0</v>
      </c>
      <c r="DR31" s="12">
        <f>SUMIF(TRANSHARI2_HYDROPAGI[PRODUK],DK31,TRANSHARI2_HYDROPAGI[QUANTITY])+SUMIF(TRANSHARI2_HYDROMALAM[PRODUK],DK31,TRANSHARI2_HYDROMALAM[QUANTITY])</f>
        <v>0</v>
      </c>
      <c r="DS31" s="12">
        <f>SUMIF(TRANSHARI3_HYDROPAGI[PRODUK],DK31,TRANSHARI3_HYDROPAGI[QUANTITY])+SUMIF(TRANSHARI3_HYDROMALAM[PRODUK],DK31,TRANSHARI3_HYDROMALAM[QUANTITY])</f>
        <v>0</v>
      </c>
      <c r="DT31" s="12">
        <f>SUMIF(TRANSHARI4_HYDROPAGI[PRODUK],DK31,TRANSHARI4_HYDROPAGI[QUANTITY])+SUMIF(TRANSHARI4_HYDROMALAM[PRODUK],DK31,TRANSHARI4_HYDROMALAM[QUANTITY])</f>
        <v>0</v>
      </c>
      <c r="DU31" s="12">
        <f>SUMIF(TRANSHARI5_HYDROPAGI[PRODUK],DK31,TRANSHARI5_HYDROPAGI[QUANTITY])+SUMIF(TRANSHARI5_HYDROMALAM[PRODUK],DK31,TRANSHARI5_HYDROMALAM[QUANTITY])</f>
        <v>0</v>
      </c>
      <c r="DV31" s="12">
        <f>SUMIF(TRANSHARI6_HYDROPAGI[PRODUK],DK31,TRANSHARI6_HYDROPAGI[QUANTITY])+SUMIF(TRANSHARI6_HYDROMALAM[PRODUK],DK31,TRANSHARI6_HYDROMALAM[QUANTITY])</f>
        <v>0</v>
      </c>
      <c r="DW31" s="12">
        <f>SUMIF(TRANSHARI7_HYDROPAGI[PRODUK],DK31,TRANSHARI7_HYDROPAGI[QUANTITY])+SUMIF(TRANSHARI7_HYDROMALAM[PRODUK],DK31,TRANSHARI7_HYDROMALAM[QUANTITY])</f>
        <v>0</v>
      </c>
      <c r="DX31" s="12">
        <f>SUMIF(TRANSHARI8_HYDROPAGI[PRODUK],DK31,TRANSHARI8_HYDROPAGI[QUANTITY])+SUMIF(TRANSHARI8_HYDROMALAM[PRODUK],DK31,TRANSHARI8_HYDROMALAM[QUANTITY])</f>
        <v>0</v>
      </c>
      <c r="DY31" s="12">
        <f>SUMIF(TRANSHARI9_HYDROPAGI[PRODUK],DK31,TRANSHARI9_HYDROPAGI[QUANTITY])+SUMIF(TRANSHARI9_HYDROMALAM[PRODUK],DK31,TRANSHARI9_HYDROMALAM[QUANTITY])</f>
        <v>0</v>
      </c>
      <c r="DZ31" s="12">
        <f>SUMIF(TRANSHARI10_HYDROPAGI[PRODUK],DK31,TRANSHARI10_HYDROPAGI[QUANTITY])+SUMIF(TRANSHARI10_HYDROMALAM[PRODUK],DK31,TRANSHARI10_HYDROMALAM[QUANTITY])</f>
        <v>0</v>
      </c>
      <c r="EA31" s="12">
        <f>SUMIF(TRANSHARI11_HYDROPAGI[PRODUK],DK31,TRANSHARI11_HYDROPAGI[QUANTITY])+SUMIF(TRANSHARI11_HYDROMALAM[PRODUK],DK31,TRANSHARI11_HYDROMALAM[QUANTITY])</f>
        <v>0</v>
      </c>
      <c r="EB31" s="12">
        <f t="shared" si="15"/>
        <v>0</v>
      </c>
      <c r="EC31" s="12">
        <f t="shared" si="16"/>
        <v>0</v>
      </c>
      <c r="ED31" s="173">
        <f t="shared" si="17"/>
        <v>0</v>
      </c>
    </row>
    <row r="32" ht="18" spans="4:134">
      <c r="D32" s="130">
        <v>4</v>
      </c>
      <c r="E32" s="131">
        <f>'HARI 4'!L37+'HARI 4'!AA37</f>
        <v>0</v>
      </c>
      <c r="F32" s="132">
        <f>'HARI 4'!L38+'HARI 4'!AA38</f>
        <v>0</v>
      </c>
      <c r="G32" s="132">
        <f>'HARI 4'!L39+'HARI 4'!AA39</f>
        <v>0</v>
      </c>
      <c r="J32" s="26" t="str">
        <f>'DATA PRODUK'!D29</f>
        <v>GEO MILD</v>
      </c>
      <c r="K32" s="151">
        <f>'DATA PRODUK'!E29</f>
        <v>26000</v>
      </c>
      <c r="L32" s="152"/>
      <c r="M32" s="152"/>
      <c r="N32" s="152"/>
      <c r="O32" s="152"/>
      <c r="P32" s="152">
        <f>SUMIF(TRANSHARI1_ROKOKPAGI[PRODUK],J32,TRANSHARI1_ROKOKPAGI[QUANTITY])+SUMIF(TRANSHARI1_ROKOKMALAM[PRODUK],J32,TRANSHARI1_ROKOKMALAM[QUANTITY])</f>
        <v>0</v>
      </c>
      <c r="Q32" s="152">
        <f>SUMIF(TRANSHARI2_ROKOKPAGI[PRODUK],J32,TRANSHARI2_ROKOKPAGI[QUANTITY])+SUMIF(TRANSHARI2_ROKOKMALAM[PRODUK],J32,TRANSHARI2_ROKOKMALAM[QUANTITY])</f>
        <v>0</v>
      </c>
      <c r="R32" s="152">
        <f>SUMIF(TRANSHARI3_ROKOKPAGI[PRODUK],J32,TRANSHARI3_ROKOKPAGI[QUANTITY])+SUMIF(TRANSHARI3_ROKOKMALAM[PRODUK],J32,TRANSHARI3_ROKOKMALAM[QUANTITY])</f>
        <v>0</v>
      </c>
      <c r="S32" s="152">
        <f>SUMIF(TRANSHARI4_ROKOKPAGI[PRODUK],J32,TRANSHARI4_ROKOKPAGI[QUANTITY])+SUMIF(TRANSHARI4_ROKOKMALAM[PRODUK],J32,TRANSHARI4_ROKOKMALAM[QUANTITY])</f>
        <v>0</v>
      </c>
      <c r="T32" s="152">
        <f>SUMIF(TRANSHARI5_ROKOKPAGI[PRODUK],J32,TRANSHARI5_ROKOKPAGI[QUANTITY])+SUMIF(TRANSHARI5_ROKOKMALAM[PRODUK],J32,TRANSHARI5_ROKOKMALAM[QUANTITY])</f>
        <v>0</v>
      </c>
      <c r="U32" s="152">
        <f>SUMIF(TRANSHARI6_ROKOKPAGI[PRODUK],J32,TRANSHARI6_ROKOKPAGI[QUANTITY])+SUMIF(TRANSHARI6_ROKOKMALAM[PRODUK],J32,TRANSHARI6_ROKOKMALAM[QUANTITY])</f>
        <v>0</v>
      </c>
      <c r="V32" s="152">
        <f>SUMIF(TRANSHARI7_ROKOKPAGI[PRODUK],J32,TRANSHARI7_ROKOKPAGI[QUANTITY])+SUMIF(TRANSHARI7_ROKOKMALAM[PRODUK],J32,TRANSHARI7_ROKOKMALAM[QUANTITY])</f>
        <v>0</v>
      </c>
      <c r="W32" s="152">
        <f>SUMIF(TRANSHARI8_ROKOKPAGI[PRODUK],J32,TRANSHARI8_ROKOKPAGI[QUANTITY])+SUMIF(TRANSHARI8_ROKOKMALAM[PRODUK],J32,TRANSHARI8_ROKOKMALAM[QUANTITY])</f>
        <v>0</v>
      </c>
      <c r="X32" s="152">
        <f>SUMIF(TRANSHARI9_ROKOKPAGI[PRODUK],J32,TRANSHARI9_ROKOKPAGI[QUANTITY])+SUMIF(TRANSHARI9_ROKOKMALAM[PRODUK],J32,TRANSHARI9_ROKOKMALAM[QUANTITY])</f>
        <v>0</v>
      </c>
      <c r="Y32" s="152">
        <f>SUMIF(TRANSHARI10_ROKOKPAGI[PRODUK],J32,TRANSHARI10_ROKOKPAGI[QUANTITY])+SUMIF(TRANSHARI10_ROKOKMALAM[PRODUK],J32,TRANSHARI10_ROKOKMALAM[QUANTITY])</f>
        <v>0</v>
      </c>
      <c r="Z32" s="152">
        <f>SUMIF(TRANSHARI11_ROKOKPAGI[PRODUK],J32,TRANSHARI11_ROKOKPAGI[QUANTITY])+SUMIF(TRANSHARI11_ROKOKMALAM[PRODUK],J32,TRANSHARI11_ROKOKMALAM[QUANTITY])</f>
        <v>0</v>
      </c>
      <c r="AA32" s="152">
        <f t="shared" si="0"/>
        <v>0</v>
      </c>
      <c r="AB32" s="152">
        <f t="shared" si="1"/>
        <v>0</v>
      </c>
      <c r="AC32" s="176">
        <f t="shared" si="2"/>
        <v>0</v>
      </c>
      <c r="AE32" s="177" t="str">
        <f>'DATA PRODUK'!R29</f>
        <v>SP AXIS 7 GB</v>
      </c>
      <c r="AF32" s="178">
        <f>'DATA PRODUK'!S29</f>
        <v>30000</v>
      </c>
      <c r="AG32" s="152"/>
      <c r="AH32" s="152"/>
      <c r="AI32" s="152"/>
      <c r="AJ32" s="152"/>
      <c r="AK32" s="152">
        <f>SUMIF(TRANSHARI1_SPVOUPAGI[PRODUK],AE32,TRANSHARI1_SPVOUPAGI[QUANTITY])+SUMIF(TRANSHARI1_SPVOUMALAM[PRODUK],AE32,TRANSHARI1_SPVOUMALAM[QUANTITY])</f>
        <v>0</v>
      </c>
      <c r="AL32" s="152">
        <f>SUMIF(TRANSHARI2_SPVOUPAGI[PRODUK],AE32,TRANSHARI2_SPVOUPAGI[QUANTITY])+SUMIF(TRANSHARI2_SPVOUMALAM[PRODUK],AE32,TRANSHARI2_SPVOUMALAM[QUANTITY])</f>
        <v>0</v>
      </c>
      <c r="AM32" s="152">
        <f>SUMIF(TRANSHARI3_SPVOUPAGI[PRODUK],AE32,TRANSHARI3_SPVOUPAGI[QUANTITY])+SUMIF(TRANSHARI3_SPVOUMALAM[PRODUK],AE32,TRANSHARI3_SPVOUMALAM[QUANTITY])</f>
        <v>0</v>
      </c>
      <c r="AN32" s="152">
        <f>SUMIF(TRANSHARI4_SPVOUPAGI[PRODUK],AE32,TRANSHARI4_SPVOUPAGI[QUANTITY])+SUMIF(TRANSHARI4_SPVOUMALAM[PRODUK],AE32,TRANSHARI4_SPVOUMALAM[QUANTITY])</f>
        <v>0</v>
      </c>
      <c r="AO32" s="152">
        <f>SUMIF(TRANSHARI5_SPVOUPAGI[PRODUK],AE32,TRANSHARI5_SPVOUPAGI[QUANTITY])+SUMIF(TRANSHARI5_SPVOUMALAM[PRODUK],AE32,TRANSHARI5_SPVOUMALAM[QUANTITY])</f>
        <v>0</v>
      </c>
      <c r="AP32" s="152">
        <f>SUMIF(TRANSHARI6_SPVOUPAGI[PRODUK],AE32,TRANSHARI6_SPVOUPAGI[QUANTITY])+SUMIF(TRANSHARI6_SPVOUMALAM[PRODUK],AE32,TRANSHARI6_SPVOUMALAM[QUANTITY])</f>
        <v>0</v>
      </c>
      <c r="AQ32" s="152">
        <f>SUMIF(TRANSHARI7_SPVOUPAGI[PRODUK],AE32,TRANSHARI7_SPVOUPAGI[QUANTITY])+SUMIF(TRANSHARI7_SPVOUMALAM[PRODUK],AE32,TRANSHARI7_SPVOUMALAM[QUANTITY])</f>
        <v>0</v>
      </c>
      <c r="AR32" s="152">
        <f>SUMIF(TRANSHARI8_SPVOUPAGI[PRODUK],AE32,TRANSHARI8_SPVOUPAGI[QUANTITY])+SUMIF(TRANSHARI8_SPVOUMALAM[PRODUK],AE32,TRANSHARI8_SPVOUMALAM[QUANTITY])</f>
        <v>0</v>
      </c>
      <c r="AS32" s="152">
        <f>SUMIF(TRANSHARI9_SPVOUPAGI[PRODUK],AE32,TRANSHARI9_SPVOUPAGI[QUANTITY])+SUMIF(TRANSHARI9_SPVOUMALAM[PRODUK],AE32,TRANSHARI9_SPVOUMALAM[QUANTITY])</f>
        <v>0</v>
      </c>
      <c r="AT32" s="152">
        <f>SUMIF(TRANSHARI10_SPVOUPAGI[PRODUK],AE32,TRANSHARI10_SPVOUPAGI[QUANTITY])+SUMIF(TRANSHARI10_SPVOUMALAM[PRODUK],AE32,TRANSHARI10_SPVOUMALAM[QUANTITY])</f>
        <v>0</v>
      </c>
      <c r="AU32" s="152">
        <f>SUMIF(TRANSHARI11_SPVOUPAGI[PRODUK],AE32,TRANSHARI11_SPVOUPAGI[QUANTITY])+SUMIF(TRANSHARI11_SPVOUMALAM[PRODUK],AE32,TRANSHARI11_SPVOUMALAM[QUANTITY])</f>
        <v>0</v>
      </c>
      <c r="AV32" s="152">
        <f t="shared" si="3"/>
        <v>0</v>
      </c>
      <c r="AW32" s="152">
        <f t="shared" si="4"/>
        <v>0</v>
      </c>
      <c r="AX32" s="176">
        <f t="shared" si="5"/>
        <v>0</v>
      </c>
      <c r="AZ32" s="188" t="str">
        <f>'DATA PRODUK'!AF29</f>
        <v>NEW PRODUCT (3)</v>
      </c>
      <c r="BA32" s="89">
        <f>'DATA PRODUK'!AG29</f>
        <v>0</v>
      </c>
      <c r="BB32" s="152"/>
      <c r="BC32" s="152"/>
      <c r="BD32" s="152"/>
      <c r="BE32" s="152"/>
      <c r="BF32" s="152">
        <f>SUMIF(TRANSHARI1_SOFTDRINKPAGI[PRODUK],AZ32,TRANSHARI1_SOFTDRINKPAGI[QUANTITY])+SUMIF(TRANSHARI1_SOFTDRINKMALAM[PRODUK],AZ32,TRANSHARI1_SOFTDRINKMALAM[QUANTITY])</f>
        <v>0</v>
      </c>
      <c r="BG32" s="152">
        <f>SUMIF(TRANSHARI2_SOFTDRINKPAGI[PRODUK],AZ32,TRANSHARI2_SOFTDRINKPAGI[QUANTITY])+SUMIF(TRANSHARI2_SOFTDRINKMALAM[PRODUK],AZ32,TRANSHARI2_SOFTDRINKMALAM[QUANTITY])</f>
        <v>0</v>
      </c>
      <c r="BH32" s="152">
        <f>SUMIF(TRANSHARI3_SOFTDRINKPAGI[PRODUK],AZ32,TRANSHARI3_SOFTDRINKPAGI[QUANTITY])+SUMIF(TRANSHARI3_SOFTDRINKMALAM[PRODUK],AZ32,TRANSHARI3_SOFTDRINKMALAM[QUANTITY])</f>
        <v>0</v>
      </c>
      <c r="BI32" s="152">
        <f>SUMIF(TRANSHARI4_SOFTDRINKPAGI[PRODUK],AZ32,TRANSHARI4_SOFTDRINKPAGI[QUANTITY])+SUMIF(TRANSHARI4_SOFTDRINKMALAM[PRODUK],AZ32,TRANSHARI4_SOFTDRINKMALAM[QUANTITY])</f>
        <v>0</v>
      </c>
      <c r="BJ32" s="152">
        <f>SUMIF(TRANSHARI5_SOFTDRINKPAGI[PRODUK],AZ32,TRANSHARI5_SOFTDRINKPAGI[QUANTITY])+SUMIF(TRANSHARI5_SOFTDRINKMALAM[PRODUK],AZ32,TRANSHARI5_SOFTDRINKMALAM[QUANTITY])</f>
        <v>0</v>
      </c>
      <c r="BK32" s="152">
        <f>SUMIF(TRANSHARI6_SOFTDRINKPAGI[PRODUK],AZ32,TRANSHARI6_SOFTDRINKPAGI[QUANTITY])+SUMIF(TRANSHARI6_SOFTDRINKMALAM[PRODUK],AZ32,TRANSHARI6_SOFTDRINKMALAM[QUANTITY])</f>
        <v>0</v>
      </c>
      <c r="BL32" s="152">
        <f>SUMIF(TRANSHARI7_SOFTDRINKPAGI[PRODUK],AZ32,TRANSHARI7_SOFTDRINKPAGI[QUANTITY])+SUMIF(TRANSHARI7_SOFTDRINKMALAM[PRODUK],AZ32,TRANSHARI7_SOFTDRINKMALAM[QUANTITY])</f>
        <v>0</v>
      </c>
      <c r="BM32" s="152">
        <f>SUMIF(TRANSHARI8_SOFTDRINKPAGI[PRODUK],AZ32,TRANSHARI8_SOFTDRINKPAGI[QUANTITY])+SUMIF(TRANSHARI8_SOFTDRINKMALAM[PRODUK],AZ32,TRANSHARI8_SOFTDRINKMALAM[QUANTITY])</f>
        <v>0</v>
      </c>
      <c r="BN32" s="152">
        <f>SUMIF(TRANSHARI9_SOFTDRINKPAGI[PRODUK],AZ32,TRANSHARI9_SOFTDRINKPAGI[QUANTITY])+SUMIF(TRANSHARI9_SOFTDRINKMALAM[PRODUK],AZ32,TRANSHARI9_SOFTDRINKMALAM[QUANTITY])</f>
        <v>0</v>
      </c>
      <c r="BO32" s="152">
        <f>SUMIF(TRANSHARI10_SOFTDRINKPAGI[PRODUK],AZ32,TRANSHARI10_SOFTDRINKPAGI[QUANTITY])+SUMIF(TRANSHARI10_SOFTDRINKMALAM[PRODUK],AZ32,TRANSHARI10_SOFTDRINKMALAM[QUANTITY])</f>
        <v>0</v>
      </c>
      <c r="BP32" s="152">
        <f>SUMIF(TRANSHARI11_SOFTDRINKPAGI[PRODUK],AZ32,TRANSHARI11_SOFTDRINKPAGI[QUANTITY])+SUMIF(TRANSHARI11_SOFTDRINKMALAM[PRODUK],AZ32,TRANSHARI11_SOFTDRINKMALAM[QUANTITY])</f>
        <v>0</v>
      </c>
      <c r="BQ32" s="152">
        <f t="shared" si="6"/>
        <v>0</v>
      </c>
      <c r="BR32" s="152">
        <f t="shared" si="7"/>
        <v>0</v>
      </c>
      <c r="BS32" s="176">
        <f t="shared" si="8"/>
        <v>0</v>
      </c>
      <c r="BU32" s="174" t="str">
        <f>'DATA PRODUK'!AT29</f>
        <v>(Frostbite) Cup Strawberry Vanilla</v>
      </c>
      <c r="BV32" s="178">
        <f>'DATA PRODUK'!AU29</f>
        <v>4500</v>
      </c>
      <c r="BW32" s="152"/>
      <c r="BX32" s="152"/>
      <c r="BY32" s="152"/>
      <c r="BZ32" s="152"/>
      <c r="CA32" s="152">
        <f>SUMIF(TRANSHARI1_ICECREAMPAGI[PRODUK],BU32,TRANSHARI1_ICECREAMPAGI[QUANTITY])+SUMIF(TRANSHARI1_ICECREAMMALAM[PRODUK],BU32,TRANSHARI1_ICECREAMMALAM[QUANTITY])</f>
        <v>0</v>
      </c>
      <c r="CB32" s="152">
        <f>SUMIF(TRANSHARI2_ICECREAMPAGI[PRODUK],BU32,TRANSHARI2_ICECREAMPAGI[QUANTITY])+SUMIF(TRANSHARI2_ICECREAMMALAM[PRODUK],BU32,TRANSHARI2_ICECREAMMALAM[QUANTITY])</f>
        <v>0</v>
      </c>
      <c r="CC32" s="152">
        <f>SUMIF(TRANSHARI3_ICECREAMPAGI[PRODUK],BU32,TRANSHARI3_ICECREAMPAGI[QUANTITY])+SUMIF(TRANSHARI3_ICECREAMMALAM[PRODUK],BU32,TRANSHARI3_ICECREAMMALAM[QUANTITY])</f>
        <v>0</v>
      </c>
      <c r="CD32" s="152">
        <f>SUMIF(TRANSHARI4_ICECREAMPAGI[PRODUK],BU32,TRANSHARI4_ICECREAMPAGI[QUANTITY])+SUMIF(TRANSHARI4_ICECREAMMALAM[PRODUK],BU32,TRANSHARI4_ICECREAMMALAM[QUANTITY])</f>
        <v>0</v>
      </c>
      <c r="CE32" s="152">
        <f>SUMIF(TRANSHARI5_ICECREAMPAGI[PRODUK],BU32,TRANSHARI5_ICECREAMPAGI[QUANTITY])+SUMIF(TRANSHARI5_ICECREAMMALAM[PRODUK],BU32,TRANSHARI5_ICECREAMMALAM[QUANTITY])</f>
        <v>0</v>
      </c>
      <c r="CF32" s="152">
        <f>SUMIF(TRANSHARI6_ICECREAMPAGI[PRODUK],BU32,TRANSHARI6_ICECREAMPAGI[QUANTITY])+SUMIF(TRANSHARI6_ICECREAMMALAM[PRODUK],BU32,TRANSHARI6_ICECREAMMALAM[QUANTITY])</f>
        <v>0</v>
      </c>
      <c r="CG32" s="152">
        <f>SUMIF(TRANSHARI7_ICECREAMPAGI[PRODUK],BU32,TRANSHARI7_ICECREAMPAGI[QUANTITY])+SUMIF(TRANSHARI7_ICECREAMMALAM[PRODUK],BU32,TRANSHARI7_ICECREAMMALAM[QUANTITY])</f>
        <v>0</v>
      </c>
      <c r="CH32" s="152">
        <f>SUMIF(TRANSHARI8_ICECREAMPAGI[PRODUK],BU32,TRANSHARI8_ICECREAMPAGI[QUANTITY])+SUMIF(TRANSHARI8_ICECREAMMALAM[PRODUK],BU32,TRANSHARI8_ICECREAMMALAM[QUANTITY])</f>
        <v>0</v>
      </c>
      <c r="CI32" s="152">
        <f>SUMIF(TRANSHARI9_ICECREAMPAGI[PRODUK],BU32,TRANSHARI9_ICECREAMPAGI[QUANTITY])+SUMIF(TRANSHARI9_ICECREAMMALAM[PRODUK],BU32,TRANSHARI9_ICECREAMMALAM[QUANTITY])</f>
        <v>0</v>
      </c>
      <c r="CJ32" s="152">
        <f>SUMIF(TRANSHARI10_ICECREAMPAGI[PRODUK],BU32,TRANSHARI10_ICECREAMPAGI[QUANTITY])+SUMIF(TRANSHARI10_ICECREAMMALAM[PRODUK],BU32,TRANSHARI10_ICECREAMMALAM[QUANTITY])</f>
        <v>0</v>
      </c>
      <c r="CK32" s="152">
        <f>SUMIF(TRANSHARI11_ICECREAMPAGI[PRODUK],BU32,TRANSHARI11_ICECREAMPAGI[QUANTITY])+SUMIF(TRANSHARI11_ICECREAMMALAM[PRODUK],BU32,TRANSHARI11_ICECREAMMALAM[QUANTITY])</f>
        <v>0</v>
      </c>
      <c r="CL32" s="152">
        <f t="shared" ref="CL32:CL47" si="18">SUM(CA32:CK32)</f>
        <v>0</v>
      </c>
      <c r="CM32" s="152">
        <f t="shared" ref="CM32:CM47" si="19">BW32+BX32+BY32-BZ32-CL32</f>
        <v>0</v>
      </c>
      <c r="CN32" s="176">
        <f t="shared" ref="CN32:CN47" si="20">CL32*BV32</f>
        <v>0</v>
      </c>
      <c r="CP32" s="174" t="str">
        <f>'DATA PRODUK'!BH29</f>
        <v>(K.D)(Type C)(C-C) Robot RNCC100</v>
      </c>
      <c r="CQ32" s="178">
        <f>'DATA PRODUK'!BI29</f>
        <v>50000</v>
      </c>
      <c r="CR32" s="152"/>
      <c r="CS32" s="152"/>
      <c r="CT32" s="152"/>
      <c r="CU32" s="152"/>
      <c r="CV32" s="152">
        <f>SUMIF(TRANSHARI1_ACCPAGI[PRODUK],CP32,TRANSHARI1_ACCPAGI[QUANTITY])+SUMIF(TRANSHARI1_ACCMALAM[PRODUK],CP32,TRANSHARI1_ACCMALAM[QUANTITY])</f>
        <v>0</v>
      </c>
      <c r="CW32" s="152">
        <f>SUMIF(TRANSHARI2_ACCPAGI[PRODUK],CP32,TRANSHARI2_ACCPAGI[QUANTITY])+SUMIF(TRANSHARI2_ACCMALAM[PRODUK],CP32,TRANSHARI2_ACCMALAM[QUANTITY])</f>
        <v>0</v>
      </c>
      <c r="CX32" s="152">
        <f>SUMIF(TRANSHARI3_ACCPAGI[PRODUK],CP32,TRANSHARI3_ACCPAGI[QUANTITY])+SUMIF(TRANSHARI3_ACCMALAM[PRODUK],CP32,TRANSHARI3_ACCMALAM[QUANTITY])</f>
        <v>0</v>
      </c>
      <c r="CY32" s="152">
        <f>SUMIF(TRANSHARI4_ACCPAGI[PRODUK],CP32,TRANSHARI4_ACCPAGI[QUANTITY])+SUMIF(TRANSHARI4_ACCMALAM[PRODUK],CP32,TRANSHARI4_ACCMALAM[QUANTITY])</f>
        <v>0</v>
      </c>
      <c r="CZ32" s="152">
        <f>SUMIF(TRANSHARI5_ACCPAGI[PRODUK],CP32,TRANSHARI5_ACCPAGI[QUANTITY])+SUMIF(TRANSHARI5_ACCMALAM[PRODUK],CP32,TRANSHARI5_ACCMALAM[QUANTITY])</f>
        <v>0</v>
      </c>
      <c r="DA32" s="152">
        <f>SUMIF(TRANSHARI6_ACCPAGI[PRODUK],CP32,TRANSHARI6_ACCPAGI[QUANTITY])+SUMIF(TRANSHARI6_ACCMALAM[PRODUK],CP32,TRANSHARI6_ACCMALAM[QUANTITY])</f>
        <v>0</v>
      </c>
      <c r="DB32" s="152">
        <f>SUMIF(TRANSHARI7_ACCPAGI[PRODUK],CP32,TRANSHARI7_ACCPAGI[QUANTITY])+SUMIF(TRANSHARI7_ACCMALAM[PRODUK],CP32,TRANSHARI7_ACCMALAM[QUANTITY])</f>
        <v>0</v>
      </c>
      <c r="DC32" s="152">
        <f>SUMIF(TRANSHARI8_ACCPAGI[PRODUK],CP32,TRANSHARI8_ACCPAGI[QUANTITY])+SUMIF(TRANSHARI8_ACCMALAM[PRODUK],CP32,TRANSHARI8_ACCMALAM[QUANTITY])</f>
        <v>0</v>
      </c>
      <c r="DD32" s="152">
        <f>SUMIF(TRANSHARI9_ACCPAGI[PRODUK],CP32,TRANSHARI9_ACCPAGI[QUANTITY])+SUMIF(TRANSHARI9_ACCMALAM[PRODUK],CP32,TRANSHARI9_ACCMALAM[QUANTITY])</f>
        <v>0</v>
      </c>
      <c r="DE32" s="152">
        <f>SUMIF(TRANSHARI10_ACCPAGI[PRODUK],CP32,TRANSHARI10_ACCPAGI[QUANTITY])+SUMIF(TRANSHARI10_ACCMALAM[PRODUK],CP32,TRANSHARI10_ACCMALAM[QUANTITY])</f>
        <v>0</v>
      </c>
      <c r="DF32" s="152">
        <f>SUMIF(TRANSHARI11_ACCPAGI[PRODUK],CP32,TRANSHARI11_ACCPAGI[QUANTITY])+SUMIF(TRANSHARI11_ACCMALAM[PRODUK],CP32,TRANSHARI11_ACCMALAM[QUANTITY])</f>
        <v>0</v>
      </c>
      <c r="DG32" s="152">
        <f t="shared" si="12"/>
        <v>0</v>
      </c>
      <c r="DH32" s="152">
        <f t="shared" si="13"/>
        <v>0</v>
      </c>
      <c r="DI32" s="176">
        <f t="shared" si="14"/>
        <v>0</v>
      </c>
      <c r="DK32" s="188" t="str">
        <f>'DATA PRODUK'!BV29</f>
        <v>(BACK) Custom Printing Film</v>
      </c>
      <c r="DL32" s="95">
        <f>'DATA PRODUK'!BW29</f>
        <v>60000</v>
      </c>
      <c r="DM32" s="152"/>
      <c r="DN32" s="152"/>
      <c r="DO32" s="152"/>
      <c r="DP32" s="152"/>
      <c r="DQ32" s="152">
        <f>SUMIF(TRANSHARI1_HYDROPAGI[PRODUK],DK32,TRANSHARI1_HYDROPAGI[QUANTITY])+SUMIF(TRANSHARI1_HYDROMALAM[PRODUK],DK32,TRANSHARI1_HYDROMALAM[QUANTITY])</f>
        <v>0</v>
      </c>
      <c r="DR32" s="152">
        <f>SUMIF(TRANSHARI2_HYDROPAGI[PRODUK],DK32,TRANSHARI2_HYDROPAGI[QUANTITY])+SUMIF(TRANSHARI2_HYDROMALAM[PRODUK],DK32,TRANSHARI2_HYDROMALAM[QUANTITY])</f>
        <v>0</v>
      </c>
      <c r="DS32" s="152">
        <f>SUMIF(TRANSHARI3_HYDROPAGI[PRODUK],DK32,TRANSHARI3_HYDROPAGI[QUANTITY])+SUMIF(TRANSHARI3_HYDROMALAM[PRODUK],DK32,TRANSHARI3_HYDROMALAM[QUANTITY])</f>
        <v>0</v>
      </c>
      <c r="DT32" s="152">
        <f>SUMIF(TRANSHARI4_HYDROPAGI[PRODUK],DK32,TRANSHARI4_HYDROPAGI[QUANTITY])+SUMIF(TRANSHARI4_HYDROMALAM[PRODUK],DK32,TRANSHARI4_HYDROMALAM[QUANTITY])</f>
        <v>0</v>
      </c>
      <c r="DU32" s="152">
        <f>SUMIF(TRANSHARI5_HYDROPAGI[PRODUK],DK32,TRANSHARI5_HYDROPAGI[QUANTITY])+SUMIF(TRANSHARI5_HYDROMALAM[PRODUK],DK32,TRANSHARI5_HYDROMALAM[QUANTITY])</f>
        <v>0</v>
      </c>
      <c r="DV32" s="152">
        <f>SUMIF(TRANSHARI6_HYDROPAGI[PRODUK],DK32,TRANSHARI6_HYDROPAGI[QUANTITY])+SUMIF(TRANSHARI6_HYDROMALAM[PRODUK],DK32,TRANSHARI6_HYDROMALAM[QUANTITY])</f>
        <v>0</v>
      </c>
      <c r="DW32" s="152">
        <f>SUMIF(TRANSHARI7_HYDROPAGI[PRODUK],DK32,TRANSHARI7_HYDROPAGI[QUANTITY])+SUMIF(TRANSHARI7_HYDROMALAM[PRODUK],DK32,TRANSHARI7_HYDROMALAM[QUANTITY])</f>
        <v>0</v>
      </c>
      <c r="DX32" s="152">
        <f>SUMIF(TRANSHARI8_HYDROPAGI[PRODUK],DK32,TRANSHARI8_HYDROPAGI[QUANTITY])+SUMIF(TRANSHARI8_HYDROMALAM[PRODUK],DK32,TRANSHARI8_HYDROMALAM[QUANTITY])</f>
        <v>0</v>
      </c>
      <c r="DY32" s="152">
        <f>SUMIF(TRANSHARI9_HYDROPAGI[PRODUK],DK32,TRANSHARI9_HYDROPAGI[QUANTITY])+SUMIF(TRANSHARI9_HYDROMALAM[PRODUK],DK32,TRANSHARI9_HYDROMALAM[QUANTITY])</f>
        <v>0</v>
      </c>
      <c r="DZ32" s="152">
        <f>SUMIF(TRANSHARI10_HYDROPAGI[PRODUK],DK32,TRANSHARI10_HYDROPAGI[QUANTITY])+SUMIF(TRANSHARI10_HYDROMALAM[PRODUK],DK32,TRANSHARI10_HYDROMALAM[QUANTITY])</f>
        <v>0</v>
      </c>
      <c r="EA32" s="152">
        <f>SUMIF(TRANSHARI11_HYDROPAGI[PRODUK],DK32,TRANSHARI11_HYDROPAGI[QUANTITY])+SUMIF(TRANSHARI11_HYDROMALAM[PRODUK],DK32,TRANSHARI11_HYDROMALAM[QUANTITY])</f>
        <v>0</v>
      </c>
      <c r="EB32" s="152">
        <f t="shared" si="15"/>
        <v>0</v>
      </c>
      <c r="EC32" s="152">
        <f t="shared" si="16"/>
        <v>0</v>
      </c>
      <c r="ED32" s="176">
        <f t="shared" si="17"/>
        <v>0</v>
      </c>
    </row>
    <row r="33" ht="18" spans="4:134">
      <c r="D33" s="127">
        <v>5</v>
      </c>
      <c r="E33" s="128">
        <f>'HARI 5'!L37+'HARI 5'!AA37</f>
        <v>0</v>
      </c>
      <c r="F33" s="128">
        <f>'HARI 5'!L38+'HARI 5'!AA38</f>
        <v>0</v>
      </c>
      <c r="G33" s="129">
        <f>'HARI 5'!L39+'HARI 5'!AA39</f>
        <v>0</v>
      </c>
      <c r="J33" s="24" t="str">
        <f>'DATA PRODUK'!D30</f>
        <v>GEO KRETEK</v>
      </c>
      <c r="K33" s="150">
        <f>'DATA PRODUK'!E30</f>
        <v>12000</v>
      </c>
      <c r="L33" s="12"/>
      <c r="M33" s="12"/>
      <c r="N33" s="12"/>
      <c r="O33" s="12"/>
      <c r="P33" s="12">
        <f>SUMIF(TRANSHARI1_ROKOKPAGI[PRODUK],J33,TRANSHARI1_ROKOKPAGI[QUANTITY])+SUMIF(TRANSHARI1_ROKOKMALAM[PRODUK],J33,TRANSHARI1_ROKOKMALAM[QUANTITY])</f>
        <v>0</v>
      </c>
      <c r="Q33" s="12">
        <f>SUMIF(TRANSHARI2_ROKOKPAGI[PRODUK],J33,TRANSHARI2_ROKOKPAGI[QUANTITY])+SUMIF(TRANSHARI2_ROKOKMALAM[PRODUK],J33,TRANSHARI2_ROKOKMALAM[QUANTITY])</f>
        <v>0</v>
      </c>
      <c r="R33" s="12">
        <f>SUMIF(TRANSHARI3_ROKOKPAGI[PRODUK],J33,TRANSHARI3_ROKOKPAGI[QUANTITY])+SUMIF(TRANSHARI3_ROKOKMALAM[PRODUK],J33,TRANSHARI3_ROKOKMALAM[QUANTITY])</f>
        <v>0</v>
      </c>
      <c r="S33" s="12">
        <f>SUMIF(TRANSHARI4_ROKOKPAGI[PRODUK],J33,TRANSHARI4_ROKOKPAGI[QUANTITY])+SUMIF(TRANSHARI4_ROKOKMALAM[PRODUK],J33,TRANSHARI4_ROKOKMALAM[QUANTITY])</f>
        <v>0</v>
      </c>
      <c r="T33" s="12">
        <f>SUMIF(TRANSHARI5_ROKOKPAGI[PRODUK],J33,TRANSHARI5_ROKOKPAGI[QUANTITY])+SUMIF(TRANSHARI5_ROKOKMALAM[PRODUK],J33,TRANSHARI5_ROKOKMALAM[QUANTITY])</f>
        <v>0</v>
      </c>
      <c r="U33" s="12">
        <f>SUMIF(TRANSHARI6_ROKOKPAGI[PRODUK],J33,TRANSHARI6_ROKOKPAGI[QUANTITY])+SUMIF(TRANSHARI6_ROKOKMALAM[PRODUK],J33,TRANSHARI6_ROKOKMALAM[QUANTITY])</f>
        <v>0</v>
      </c>
      <c r="V33" s="12">
        <f>SUMIF(TRANSHARI7_ROKOKPAGI[PRODUK],J33,TRANSHARI7_ROKOKPAGI[QUANTITY])+SUMIF(TRANSHARI7_ROKOKMALAM[PRODUK],J33,TRANSHARI7_ROKOKMALAM[QUANTITY])</f>
        <v>0</v>
      </c>
      <c r="W33" s="12">
        <f>SUMIF(TRANSHARI8_ROKOKPAGI[PRODUK],J33,TRANSHARI8_ROKOKPAGI[QUANTITY])+SUMIF(TRANSHARI8_ROKOKMALAM[PRODUK],J33,TRANSHARI8_ROKOKMALAM[QUANTITY])</f>
        <v>0</v>
      </c>
      <c r="X33" s="12">
        <f>SUMIF(TRANSHARI9_ROKOKPAGI[PRODUK],J33,TRANSHARI9_ROKOKPAGI[QUANTITY])+SUMIF(TRANSHARI9_ROKOKMALAM[PRODUK],J33,TRANSHARI9_ROKOKMALAM[QUANTITY])</f>
        <v>0</v>
      </c>
      <c r="Y33" s="12">
        <f>SUMIF(TRANSHARI10_ROKOKPAGI[PRODUK],J33,TRANSHARI10_ROKOKPAGI[QUANTITY])+SUMIF(TRANSHARI10_ROKOKMALAM[PRODUK],J33,TRANSHARI10_ROKOKMALAM[QUANTITY])</f>
        <v>0</v>
      </c>
      <c r="Z33" s="12">
        <f>SUMIF(TRANSHARI11_ROKOKPAGI[PRODUK],J33,TRANSHARI11_ROKOKPAGI[QUANTITY])+SUMIF(TRANSHARI11_ROKOKMALAM[PRODUK],J33,TRANSHARI11_ROKOKMALAM[QUANTITY])</f>
        <v>0</v>
      </c>
      <c r="AA33" s="12">
        <f t="shared" si="0"/>
        <v>0</v>
      </c>
      <c r="AB33" s="12">
        <f t="shared" si="1"/>
        <v>0</v>
      </c>
      <c r="AC33" s="173">
        <f t="shared" si="2"/>
        <v>0</v>
      </c>
      <c r="AE33" s="174" t="str">
        <f>'DATA PRODUK'!R30</f>
        <v>SP AXIS 12.5 GB</v>
      </c>
      <c r="AF33" s="175">
        <f>'DATA PRODUK'!S30</f>
        <v>40000</v>
      </c>
      <c r="AG33" s="12"/>
      <c r="AH33" s="12"/>
      <c r="AI33" s="12"/>
      <c r="AJ33" s="12"/>
      <c r="AK33" s="12">
        <f>SUMIF(TRANSHARI1_SPVOUPAGI[PRODUK],AE33,TRANSHARI1_SPVOUPAGI[QUANTITY])+SUMIF(TRANSHARI1_SPVOUMALAM[PRODUK],AE33,TRANSHARI1_SPVOUMALAM[QUANTITY])</f>
        <v>0</v>
      </c>
      <c r="AL33" s="12">
        <f>SUMIF(TRANSHARI2_SPVOUPAGI[PRODUK],AE33,TRANSHARI2_SPVOUPAGI[QUANTITY])+SUMIF(TRANSHARI2_SPVOUMALAM[PRODUK],AE33,TRANSHARI2_SPVOUMALAM[QUANTITY])</f>
        <v>0</v>
      </c>
      <c r="AM33" s="12">
        <f>SUMIF(TRANSHARI3_SPVOUPAGI[PRODUK],AE33,TRANSHARI3_SPVOUPAGI[QUANTITY])+SUMIF(TRANSHARI3_SPVOUMALAM[PRODUK],AE33,TRANSHARI3_SPVOUMALAM[QUANTITY])</f>
        <v>0</v>
      </c>
      <c r="AN33" s="12">
        <f>SUMIF(TRANSHARI4_SPVOUPAGI[PRODUK],AE33,TRANSHARI4_SPVOUPAGI[QUANTITY])+SUMIF(TRANSHARI4_SPVOUMALAM[PRODUK],AE33,TRANSHARI4_SPVOUMALAM[QUANTITY])</f>
        <v>0</v>
      </c>
      <c r="AO33" s="12">
        <f>SUMIF(TRANSHARI5_SPVOUPAGI[PRODUK],AE33,TRANSHARI5_SPVOUPAGI[QUANTITY])+SUMIF(TRANSHARI5_SPVOUMALAM[PRODUK],AE33,TRANSHARI5_SPVOUMALAM[QUANTITY])</f>
        <v>0</v>
      </c>
      <c r="AP33" s="12">
        <f>SUMIF(TRANSHARI6_SPVOUPAGI[PRODUK],AE33,TRANSHARI6_SPVOUPAGI[QUANTITY])+SUMIF(TRANSHARI6_SPVOUMALAM[PRODUK],AE33,TRANSHARI6_SPVOUMALAM[QUANTITY])</f>
        <v>0</v>
      </c>
      <c r="AQ33" s="12">
        <f>SUMIF(TRANSHARI7_SPVOUPAGI[PRODUK],AE33,TRANSHARI7_SPVOUPAGI[QUANTITY])+SUMIF(TRANSHARI7_SPVOUMALAM[PRODUK],AE33,TRANSHARI7_SPVOUMALAM[QUANTITY])</f>
        <v>0</v>
      </c>
      <c r="AR33" s="12">
        <f>SUMIF(TRANSHARI8_SPVOUPAGI[PRODUK],AE33,TRANSHARI8_SPVOUPAGI[QUANTITY])+SUMIF(TRANSHARI8_SPVOUMALAM[PRODUK],AE33,TRANSHARI8_SPVOUMALAM[QUANTITY])</f>
        <v>0</v>
      </c>
      <c r="AS33" s="12">
        <f>SUMIF(TRANSHARI9_SPVOUPAGI[PRODUK],AE33,TRANSHARI9_SPVOUPAGI[QUANTITY])+SUMIF(TRANSHARI9_SPVOUMALAM[PRODUK],AE33,TRANSHARI9_SPVOUMALAM[QUANTITY])</f>
        <v>0</v>
      </c>
      <c r="AT33" s="12">
        <f>SUMIF(TRANSHARI10_SPVOUPAGI[PRODUK],AE33,TRANSHARI10_SPVOUPAGI[QUANTITY])+SUMIF(TRANSHARI10_SPVOUMALAM[PRODUK],AE33,TRANSHARI10_SPVOUMALAM[QUANTITY])</f>
        <v>0</v>
      </c>
      <c r="AU33" s="12">
        <f>SUMIF(TRANSHARI11_SPVOUPAGI[PRODUK],AE33,TRANSHARI11_SPVOUPAGI[QUANTITY])+SUMIF(TRANSHARI11_SPVOUMALAM[PRODUK],AE33,TRANSHARI11_SPVOUMALAM[QUANTITY])</f>
        <v>0</v>
      </c>
      <c r="AV33" s="12">
        <f t="shared" si="3"/>
        <v>0</v>
      </c>
      <c r="AW33" s="12">
        <f t="shared" si="4"/>
        <v>0</v>
      </c>
      <c r="AX33" s="173">
        <f t="shared" si="5"/>
        <v>0</v>
      </c>
      <c r="AZ33" s="157" t="s">
        <v>141</v>
      </c>
      <c r="BA33" s="157"/>
      <c r="BB33" s="11">
        <f t="shared" ref="BB33:BS33" si="21">SUM(BB15:BB32)</f>
        <v>0</v>
      </c>
      <c r="BC33" s="145">
        <f t="shared" si="21"/>
        <v>0</v>
      </c>
      <c r="BD33" s="159">
        <f t="shared" si="21"/>
        <v>0</v>
      </c>
      <c r="BE33" s="160">
        <f t="shared" si="21"/>
        <v>0</v>
      </c>
      <c r="BF33" s="11">
        <f t="shared" si="21"/>
        <v>11</v>
      </c>
      <c r="BG33" s="172">
        <f t="shared" si="21"/>
        <v>12</v>
      </c>
      <c r="BH33" s="11">
        <f t="shared" si="21"/>
        <v>0</v>
      </c>
      <c r="BI33" s="172">
        <f t="shared" si="21"/>
        <v>0</v>
      </c>
      <c r="BJ33" s="11">
        <f t="shared" si="21"/>
        <v>0</v>
      </c>
      <c r="BK33" s="172">
        <f t="shared" si="21"/>
        <v>0</v>
      </c>
      <c r="BL33" s="11">
        <f t="shared" si="21"/>
        <v>0</v>
      </c>
      <c r="BM33" s="172">
        <f t="shared" si="21"/>
        <v>0</v>
      </c>
      <c r="BN33" s="11">
        <f t="shared" si="21"/>
        <v>0</v>
      </c>
      <c r="BO33" s="172">
        <f t="shared" si="21"/>
        <v>0</v>
      </c>
      <c r="BP33" s="11">
        <f t="shared" si="21"/>
        <v>0</v>
      </c>
      <c r="BQ33" s="181">
        <f t="shared" si="21"/>
        <v>23</v>
      </c>
      <c r="BR33" s="182">
        <f t="shared" si="21"/>
        <v>-23</v>
      </c>
      <c r="BS33" s="183">
        <f t="shared" si="21"/>
        <v>50000</v>
      </c>
      <c r="BU33" s="177" t="str">
        <f>'DATA PRODUK'!AT30</f>
        <v>(Frostbite) Cup Chocolate Vanilla</v>
      </c>
      <c r="BV33" s="175">
        <f>'DATA PRODUK'!AU30</f>
        <v>4500</v>
      </c>
      <c r="BW33" s="12"/>
      <c r="BX33" s="12"/>
      <c r="BY33" s="12"/>
      <c r="BZ33" s="12"/>
      <c r="CA33" s="12">
        <f>SUMIF(TRANSHARI1_ICECREAMPAGI[PRODUK],BU33,TRANSHARI1_ICECREAMPAGI[QUANTITY])+SUMIF(TRANSHARI1_ICECREAMMALAM[PRODUK],BU33,TRANSHARI1_ICECREAMMALAM[QUANTITY])</f>
        <v>1</v>
      </c>
      <c r="CB33" s="12">
        <f>SUMIF(TRANSHARI2_ICECREAMPAGI[PRODUK],BU33,TRANSHARI2_ICECREAMPAGI[QUANTITY])+SUMIF(TRANSHARI2_ICECREAMMALAM[PRODUK],BU33,TRANSHARI2_ICECREAMMALAM[QUANTITY])</f>
        <v>0</v>
      </c>
      <c r="CC33" s="12">
        <f>SUMIF(TRANSHARI3_ICECREAMPAGI[PRODUK],BU33,TRANSHARI3_ICECREAMPAGI[QUANTITY])+SUMIF(TRANSHARI3_ICECREAMMALAM[PRODUK],BU33,TRANSHARI3_ICECREAMMALAM[QUANTITY])</f>
        <v>0</v>
      </c>
      <c r="CD33" s="12">
        <f>SUMIF(TRANSHARI4_ICECREAMPAGI[PRODUK],BU33,TRANSHARI4_ICECREAMPAGI[QUANTITY])+SUMIF(TRANSHARI4_ICECREAMMALAM[PRODUK],BU33,TRANSHARI4_ICECREAMMALAM[QUANTITY])</f>
        <v>0</v>
      </c>
      <c r="CE33" s="12">
        <f>SUMIF(TRANSHARI5_ICECREAMPAGI[PRODUK],BU33,TRANSHARI5_ICECREAMPAGI[QUANTITY])+SUMIF(TRANSHARI5_ICECREAMMALAM[PRODUK],BU33,TRANSHARI5_ICECREAMMALAM[QUANTITY])</f>
        <v>0</v>
      </c>
      <c r="CF33" s="12">
        <f>SUMIF(TRANSHARI6_ICECREAMPAGI[PRODUK],BU33,TRANSHARI6_ICECREAMPAGI[QUANTITY])+SUMIF(TRANSHARI6_ICECREAMMALAM[PRODUK],BU33,TRANSHARI6_ICECREAMMALAM[QUANTITY])</f>
        <v>0</v>
      </c>
      <c r="CG33" s="12">
        <f>SUMIF(TRANSHARI7_ICECREAMPAGI[PRODUK],BU33,TRANSHARI7_ICECREAMPAGI[QUANTITY])+SUMIF(TRANSHARI7_ICECREAMMALAM[PRODUK],BU33,TRANSHARI7_ICECREAMMALAM[QUANTITY])</f>
        <v>0</v>
      </c>
      <c r="CH33" s="12">
        <f>SUMIF(TRANSHARI8_ICECREAMPAGI[PRODUK],BU33,TRANSHARI8_ICECREAMPAGI[QUANTITY])+SUMIF(TRANSHARI8_ICECREAMMALAM[PRODUK],BU33,TRANSHARI8_ICECREAMMALAM[QUANTITY])</f>
        <v>0</v>
      </c>
      <c r="CI33" s="12">
        <f>SUMIF(TRANSHARI9_ICECREAMPAGI[PRODUK],BU33,TRANSHARI9_ICECREAMPAGI[QUANTITY])+SUMIF(TRANSHARI9_ICECREAMMALAM[PRODUK],BU33,TRANSHARI9_ICECREAMMALAM[QUANTITY])</f>
        <v>0</v>
      </c>
      <c r="CJ33" s="12">
        <f>SUMIF(TRANSHARI10_ICECREAMPAGI[PRODUK],BU33,TRANSHARI10_ICECREAMPAGI[QUANTITY])+SUMIF(TRANSHARI10_ICECREAMMALAM[PRODUK],BU33,TRANSHARI10_ICECREAMMALAM[QUANTITY])</f>
        <v>0</v>
      </c>
      <c r="CK33" s="12">
        <f>SUMIF(TRANSHARI11_ICECREAMPAGI[PRODUK],BU33,TRANSHARI11_ICECREAMPAGI[QUANTITY])+SUMIF(TRANSHARI11_ICECREAMMALAM[PRODUK],BU33,TRANSHARI11_ICECREAMMALAM[QUANTITY])</f>
        <v>0</v>
      </c>
      <c r="CL33" s="12">
        <f t="shared" si="18"/>
        <v>1</v>
      </c>
      <c r="CM33" s="12">
        <f t="shared" si="19"/>
        <v>-1</v>
      </c>
      <c r="CN33" s="173">
        <f t="shared" si="20"/>
        <v>4500</v>
      </c>
      <c r="CP33" s="177" t="str">
        <f>'DATA PRODUK'!BH30</f>
        <v>(K.D)(Type C)(C-C) Robot RZCC100</v>
      </c>
      <c r="CQ33" s="175">
        <f>'DATA PRODUK'!BI30</f>
        <v>65000</v>
      </c>
      <c r="CR33" s="12"/>
      <c r="CS33" s="12"/>
      <c r="CT33" s="12"/>
      <c r="CU33" s="12"/>
      <c r="CV33" s="12">
        <f>SUMIF(TRANSHARI1_ACCPAGI[PRODUK],CP33,TRANSHARI1_ACCPAGI[QUANTITY])+SUMIF(TRANSHARI1_ACCMALAM[PRODUK],CP33,TRANSHARI1_ACCMALAM[QUANTITY])</f>
        <v>0</v>
      </c>
      <c r="CW33" s="12">
        <f>SUMIF(TRANSHARI2_ACCPAGI[PRODUK],CP33,TRANSHARI2_ACCPAGI[QUANTITY])+SUMIF(TRANSHARI2_ACCMALAM[PRODUK],CP33,TRANSHARI2_ACCMALAM[QUANTITY])</f>
        <v>0</v>
      </c>
      <c r="CX33" s="12">
        <f>SUMIF(TRANSHARI3_ACCPAGI[PRODUK],CP33,TRANSHARI3_ACCPAGI[QUANTITY])+SUMIF(TRANSHARI3_ACCMALAM[PRODUK],CP33,TRANSHARI3_ACCMALAM[QUANTITY])</f>
        <v>0</v>
      </c>
      <c r="CY33" s="12">
        <f>SUMIF(TRANSHARI4_ACCPAGI[PRODUK],CP33,TRANSHARI4_ACCPAGI[QUANTITY])+SUMIF(TRANSHARI4_ACCMALAM[PRODUK],CP33,TRANSHARI4_ACCMALAM[QUANTITY])</f>
        <v>0</v>
      </c>
      <c r="CZ33" s="12">
        <f>SUMIF(TRANSHARI5_ACCPAGI[PRODUK],CP33,TRANSHARI5_ACCPAGI[QUANTITY])+SUMIF(TRANSHARI5_ACCMALAM[PRODUK],CP33,TRANSHARI5_ACCMALAM[QUANTITY])</f>
        <v>0</v>
      </c>
      <c r="DA33" s="12">
        <f>SUMIF(TRANSHARI6_ACCPAGI[PRODUK],CP33,TRANSHARI6_ACCPAGI[QUANTITY])+SUMIF(TRANSHARI6_ACCMALAM[PRODUK],CP33,TRANSHARI6_ACCMALAM[QUANTITY])</f>
        <v>0</v>
      </c>
      <c r="DB33" s="12">
        <f>SUMIF(TRANSHARI7_ACCPAGI[PRODUK],CP33,TRANSHARI7_ACCPAGI[QUANTITY])+SUMIF(TRANSHARI7_ACCMALAM[PRODUK],CP33,TRANSHARI7_ACCMALAM[QUANTITY])</f>
        <v>0</v>
      </c>
      <c r="DC33" s="12">
        <f>SUMIF(TRANSHARI8_ACCPAGI[PRODUK],CP33,TRANSHARI8_ACCPAGI[QUANTITY])+SUMIF(TRANSHARI8_ACCMALAM[PRODUK],CP33,TRANSHARI8_ACCMALAM[QUANTITY])</f>
        <v>0</v>
      </c>
      <c r="DD33" s="12">
        <f>SUMIF(TRANSHARI9_ACCPAGI[PRODUK],CP33,TRANSHARI9_ACCPAGI[QUANTITY])+SUMIF(TRANSHARI9_ACCMALAM[PRODUK],CP33,TRANSHARI9_ACCMALAM[QUANTITY])</f>
        <v>0</v>
      </c>
      <c r="DE33" s="12">
        <f>SUMIF(TRANSHARI10_ACCPAGI[PRODUK],CP33,TRANSHARI10_ACCPAGI[QUANTITY])+SUMIF(TRANSHARI10_ACCMALAM[PRODUK],CP33,TRANSHARI10_ACCMALAM[QUANTITY])</f>
        <v>0</v>
      </c>
      <c r="DF33" s="12">
        <f>SUMIF(TRANSHARI11_ACCPAGI[PRODUK],CP33,TRANSHARI11_ACCPAGI[QUANTITY])+SUMIF(TRANSHARI11_ACCMALAM[PRODUK],CP33,TRANSHARI11_ACCMALAM[QUANTITY])</f>
        <v>0</v>
      </c>
      <c r="DG33" s="12">
        <f t="shared" si="12"/>
        <v>0</v>
      </c>
      <c r="DH33" s="12">
        <f t="shared" si="13"/>
        <v>0</v>
      </c>
      <c r="DI33" s="173">
        <f t="shared" si="14"/>
        <v>0</v>
      </c>
      <c r="DK33" s="187" t="str">
        <f>'DATA PRODUK'!BV30</f>
        <v>NEW PRODUCT (1)</v>
      </c>
      <c r="DL33" s="96">
        <f>'DATA PRODUK'!BW30</f>
        <v>0</v>
      </c>
      <c r="DM33" s="12"/>
      <c r="DN33" s="12"/>
      <c r="DO33" s="12"/>
      <c r="DP33" s="12"/>
      <c r="DQ33" s="12">
        <f>SUMIF(TRANSHARI1_HYDROPAGI[PRODUK],DK33,TRANSHARI1_HYDROPAGI[QUANTITY])+SUMIF(TRANSHARI1_HYDROMALAM[PRODUK],DK33,TRANSHARI1_HYDROMALAM[QUANTITY])</f>
        <v>0</v>
      </c>
      <c r="DR33" s="12">
        <f>SUMIF(TRANSHARI2_HYDROPAGI[PRODUK],DK33,TRANSHARI2_HYDROPAGI[QUANTITY])+SUMIF(TRANSHARI2_HYDROMALAM[PRODUK],DK33,TRANSHARI2_HYDROMALAM[QUANTITY])</f>
        <v>0</v>
      </c>
      <c r="DS33" s="12">
        <f>SUMIF(TRANSHARI3_HYDROPAGI[PRODUK],DK33,TRANSHARI3_HYDROPAGI[QUANTITY])+SUMIF(TRANSHARI3_HYDROMALAM[PRODUK],DK33,TRANSHARI3_HYDROMALAM[QUANTITY])</f>
        <v>0</v>
      </c>
      <c r="DT33" s="12">
        <f>SUMIF(TRANSHARI4_HYDROPAGI[PRODUK],DK33,TRANSHARI4_HYDROPAGI[QUANTITY])+SUMIF(TRANSHARI4_HYDROMALAM[PRODUK],DK33,TRANSHARI4_HYDROMALAM[QUANTITY])</f>
        <v>0</v>
      </c>
      <c r="DU33" s="12">
        <f>SUMIF(TRANSHARI5_HYDROPAGI[PRODUK],DK33,TRANSHARI5_HYDROPAGI[QUANTITY])+SUMIF(TRANSHARI5_HYDROMALAM[PRODUK],DK33,TRANSHARI5_HYDROMALAM[QUANTITY])</f>
        <v>0</v>
      </c>
      <c r="DV33" s="12">
        <f>SUMIF(TRANSHARI6_HYDROPAGI[PRODUK],DK33,TRANSHARI6_HYDROPAGI[QUANTITY])+SUMIF(TRANSHARI6_HYDROMALAM[PRODUK],DK33,TRANSHARI6_HYDROMALAM[QUANTITY])</f>
        <v>0</v>
      </c>
      <c r="DW33" s="12">
        <f>SUMIF(TRANSHARI7_HYDROPAGI[PRODUK],DK33,TRANSHARI7_HYDROPAGI[QUANTITY])+SUMIF(TRANSHARI7_HYDROMALAM[PRODUK],DK33,TRANSHARI7_HYDROMALAM[QUANTITY])</f>
        <v>0</v>
      </c>
      <c r="DX33" s="12">
        <f>SUMIF(TRANSHARI8_HYDROPAGI[PRODUK],DK33,TRANSHARI8_HYDROPAGI[QUANTITY])+SUMIF(TRANSHARI8_HYDROMALAM[PRODUK],DK33,TRANSHARI8_HYDROMALAM[QUANTITY])</f>
        <v>0</v>
      </c>
      <c r="DY33" s="12">
        <f>SUMIF(TRANSHARI9_HYDROPAGI[PRODUK],DK33,TRANSHARI9_HYDROPAGI[QUANTITY])+SUMIF(TRANSHARI9_HYDROMALAM[PRODUK],DK33,TRANSHARI9_HYDROMALAM[QUANTITY])</f>
        <v>0</v>
      </c>
      <c r="DZ33" s="12">
        <f>SUMIF(TRANSHARI10_HYDROPAGI[PRODUK],DK33,TRANSHARI10_HYDROPAGI[QUANTITY])+SUMIF(TRANSHARI10_HYDROMALAM[PRODUK],DK33,TRANSHARI10_HYDROMALAM[QUANTITY])</f>
        <v>0</v>
      </c>
      <c r="EA33" s="12">
        <f>SUMIF(TRANSHARI11_HYDROPAGI[PRODUK],DK33,TRANSHARI11_HYDROPAGI[QUANTITY])+SUMIF(TRANSHARI11_HYDROMALAM[PRODUK],DK33,TRANSHARI11_HYDROMALAM[QUANTITY])</f>
        <v>0</v>
      </c>
      <c r="EB33" s="12">
        <f t="shared" si="15"/>
        <v>0</v>
      </c>
      <c r="EC33" s="12">
        <f t="shared" si="16"/>
        <v>0</v>
      </c>
      <c r="ED33" s="173">
        <f t="shared" si="17"/>
        <v>0</v>
      </c>
    </row>
    <row r="34" ht="18" spans="4:134">
      <c r="D34" s="130">
        <v>6</v>
      </c>
      <c r="E34" s="131">
        <f>'HARI 6'!L37+'HARI 6'!AA37</f>
        <v>0</v>
      </c>
      <c r="F34" s="132">
        <f>'HARI 6'!L38+'HARI 6'!AA38</f>
        <v>0</v>
      </c>
      <c r="G34" s="132">
        <f>'HARI 6'!L39+'HARI 6'!AA39</f>
        <v>0</v>
      </c>
      <c r="J34" s="26" t="str">
        <f>'DATA PRODUK'!D31</f>
        <v>LA 16</v>
      </c>
      <c r="K34" s="151">
        <f>'DATA PRODUK'!E31</f>
        <v>34000</v>
      </c>
      <c r="L34" s="152"/>
      <c r="M34" s="152"/>
      <c r="N34" s="152"/>
      <c r="O34" s="152"/>
      <c r="P34" s="152">
        <f>SUMIF(TRANSHARI1_ROKOKPAGI[PRODUK],J34,TRANSHARI1_ROKOKPAGI[QUANTITY])+SUMIF(TRANSHARI1_ROKOKMALAM[PRODUK],J34,TRANSHARI1_ROKOKMALAM[QUANTITY])</f>
        <v>0</v>
      </c>
      <c r="Q34" s="152">
        <f>SUMIF(TRANSHARI2_ROKOKPAGI[PRODUK],J34,TRANSHARI2_ROKOKPAGI[QUANTITY])+SUMIF(TRANSHARI2_ROKOKMALAM[PRODUK],J34,TRANSHARI2_ROKOKMALAM[QUANTITY])</f>
        <v>0</v>
      </c>
      <c r="R34" s="152">
        <f>SUMIF(TRANSHARI3_ROKOKPAGI[PRODUK],J34,TRANSHARI3_ROKOKPAGI[QUANTITY])+SUMIF(TRANSHARI3_ROKOKMALAM[PRODUK],J34,TRANSHARI3_ROKOKMALAM[QUANTITY])</f>
        <v>0</v>
      </c>
      <c r="S34" s="152">
        <f>SUMIF(TRANSHARI4_ROKOKPAGI[PRODUK],J34,TRANSHARI4_ROKOKPAGI[QUANTITY])+SUMIF(TRANSHARI4_ROKOKMALAM[PRODUK],J34,TRANSHARI4_ROKOKMALAM[QUANTITY])</f>
        <v>0</v>
      </c>
      <c r="T34" s="152">
        <f>SUMIF(TRANSHARI5_ROKOKPAGI[PRODUK],J34,TRANSHARI5_ROKOKPAGI[QUANTITY])+SUMIF(TRANSHARI5_ROKOKMALAM[PRODUK],J34,TRANSHARI5_ROKOKMALAM[QUANTITY])</f>
        <v>0</v>
      </c>
      <c r="U34" s="152">
        <f>SUMIF(TRANSHARI6_ROKOKPAGI[PRODUK],J34,TRANSHARI6_ROKOKPAGI[QUANTITY])+SUMIF(TRANSHARI6_ROKOKMALAM[PRODUK],J34,TRANSHARI6_ROKOKMALAM[QUANTITY])</f>
        <v>0</v>
      </c>
      <c r="V34" s="152">
        <f>SUMIF(TRANSHARI7_ROKOKPAGI[PRODUK],J34,TRANSHARI7_ROKOKPAGI[QUANTITY])+SUMIF(TRANSHARI7_ROKOKMALAM[PRODUK],J34,TRANSHARI7_ROKOKMALAM[QUANTITY])</f>
        <v>0</v>
      </c>
      <c r="W34" s="152">
        <f>SUMIF(TRANSHARI8_ROKOKPAGI[PRODUK],J34,TRANSHARI8_ROKOKPAGI[QUANTITY])+SUMIF(TRANSHARI8_ROKOKMALAM[PRODUK],J34,TRANSHARI8_ROKOKMALAM[QUANTITY])</f>
        <v>0</v>
      </c>
      <c r="X34" s="152">
        <f>SUMIF(TRANSHARI9_ROKOKPAGI[PRODUK],J34,TRANSHARI9_ROKOKPAGI[QUANTITY])+SUMIF(TRANSHARI9_ROKOKMALAM[PRODUK],J34,TRANSHARI9_ROKOKMALAM[QUANTITY])</f>
        <v>0</v>
      </c>
      <c r="Y34" s="152">
        <f>SUMIF(TRANSHARI10_ROKOKPAGI[PRODUK],J34,TRANSHARI10_ROKOKPAGI[QUANTITY])+SUMIF(TRANSHARI10_ROKOKMALAM[PRODUK],J34,TRANSHARI10_ROKOKMALAM[QUANTITY])</f>
        <v>0</v>
      </c>
      <c r="Z34" s="152">
        <f>SUMIF(TRANSHARI11_ROKOKPAGI[PRODUK],J34,TRANSHARI11_ROKOKPAGI[QUANTITY])+SUMIF(TRANSHARI11_ROKOKMALAM[PRODUK],J34,TRANSHARI11_ROKOKMALAM[QUANTITY])</f>
        <v>0</v>
      </c>
      <c r="AA34" s="152">
        <f t="shared" si="0"/>
        <v>0</v>
      </c>
      <c r="AB34" s="152">
        <f t="shared" si="1"/>
        <v>0</v>
      </c>
      <c r="AC34" s="176">
        <f t="shared" si="2"/>
        <v>0</v>
      </c>
      <c r="AE34" s="177" t="str">
        <f>'DATA PRODUK'!R31</f>
        <v>SP SMART 3/14hr</v>
      </c>
      <c r="AF34" s="178">
        <f>'DATA PRODUK'!S31</f>
        <v>22000</v>
      </c>
      <c r="AG34" s="152"/>
      <c r="AH34" s="152"/>
      <c r="AI34" s="152"/>
      <c r="AJ34" s="152"/>
      <c r="AK34" s="152">
        <f>SUMIF(TRANSHARI1_SPVOUPAGI[PRODUK],AE34,TRANSHARI1_SPVOUPAGI[QUANTITY])+SUMIF(TRANSHARI1_SPVOUMALAM[PRODUK],AE34,TRANSHARI1_SPVOUMALAM[QUANTITY])</f>
        <v>0</v>
      </c>
      <c r="AL34" s="152">
        <f>SUMIF(TRANSHARI2_SPVOUPAGI[PRODUK],AE34,TRANSHARI2_SPVOUPAGI[QUANTITY])+SUMIF(TRANSHARI2_SPVOUMALAM[PRODUK],AE34,TRANSHARI2_SPVOUMALAM[QUANTITY])</f>
        <v>0</v>
      </c>
      <c r="AM34" s="152">
        <f>SUMIF(TRANSHARI3_SPVOUPAGI[PRODUK],AE34,TRANSHARI3_SPVOUPAGI[QUANTITY])+SUMIF(TRANSHARI3_SPVOUMALAM[PRODUK],AE34,TRANSHARI3_SPVOUMALAM[QUANTITY])</f>
        <v>0</v>
      </c>
      <c r="AN34" s="152">
        <f>SUMIF(TRANSHARI4_SPVOUPAGI[PRODUK],AE34,TRANSHARI4_SPVOUPAGI[QUANTITY])+SUMIF(TRANSHARI4_SPVOUMALAM[PRODUK],AE34,TRANSHARI4_SPVOUMALAM[QUANTITY])</f>
        <v>0</v>
      </c>
      <c r="AO34" s="152">
        <f>SUMIF(TRANSHARI5_SPVOUPAGI[PRODUK],AE34,TRANSHARI5_SPVOUPAGI[QUANTITY])+SUMIF(TRANSHARI5_SPVOUMALAM[PRODUK],AE34,TRANSHARI5_SPVOUMALAM[QUANTITY])</f>
        <v>0</v>
      </c>
      <c r="AP34" s="152">
        <f>SUMIF(TRANSHARI6_SPVOUPAGI[PRODUK],AE34,TRANSHARI6_SPVOUPAGI[QUANTITY])+SUMIF(TRANSHARI6_SPVOUMALAM[PRODUK],AE34,TRANSHARI6_SPVOUMALAM[QUANTITY])</f>
        <v>0</v>
      </c>
      <c r="AQ34" s="152">
        <f>SUMIF(TRANSHARI7_SPVOUPAGI[PRODUK],AE34,TRANSHARI7_SPVOUPAGI[QUANTITY])+SUMIF(TRANSHARI7_SPVOUMALAM[PRODUK],AE34,TRANSHARI7_SPVOUMALAM[QUANTITY])</f>
        <v>0</v>
      </c>
      <c r="AR34" s="152">
        <f>SUMIF(TRANSHARI8_SPVOUPAGI[PRODUK],AE34,TRANSHARI8_SPVOUPAGI[QUANTITY])+SUMIF(TRANSHARI8_SPVOUMALAM[PRODUK],AE34,TRANSHARI8_SPVOUMALAM[QUANTITY])</f>
        <v>0</v>
      </c>
      <c r="AS34" s="152">
        <f>SUMIF(TRANSHARI9_SPVOUPAGI[PRODUK],AE34,TRANSHARI9_SPVOUPAGI[QUANTITY])+SUMIF(TRANSHARI9_SPVOUMALAM[PRODUK],AE34,TRANSHARI9_SPVOUMALAM[QUANTITY])</f>
        <v>0</v>
      </c>
      <c r="AT34" s="152">
        <f>SUMIF(TRANSHARI10_SPVOUPAGI[PRODUK],AE34,TRANSHARI10_SPVOUPAGI[QUANTITY])+SUMIF(TRANSHARI10_SPVOUMALAM[PRODUK],AE34,TRANSHARI10_SPVOUMALAM[QUANTITY])</f>
        <v>0</v>
      </c>
      <c r="AU34" s="152">
        <f>SUMIF(TRANSHARI11_SPVOUPAGI[PRODUK],AE34,TRANSHARI11_SPVOUPAGI[QUANTITY])+SUMIF(TRANSHARI11_SPVOUMALAM[PRODUK],AE34,TRANSHARI11_SPVOUMALAM[QUANTITY])</f>
        <v>0</v>
      </c>
      <c r="AV34" s="152">
        <f t="shared" si="3"/>
        <v>0</v>
      </c>
      <c r="AW34" s="152">
        <f t="shared" si="4"/>
        <v>0</v>
      </c>
      <c r="AX34" s="176">
        <f t="shared" si="5"/>
        <v>0</v>
      </c>
      <c r="AZ34" s="162"/>
      <c r="BA34" s="162"/>
      <c r="BB34" s="11"/>
      <c r="BC34" s="145"/>
      <c r="BD34" s="164"/>
      <c r="BE34" s="165"/>
      <c r="BF34" s="11"/>
      <c r="BG34" s="172"/>
      <c r="BH34" s="11"/>
      <c r="BI34" s="172"/>
      <c r="BJ34" s="11"/>
      <c r="BK34" s="172"/>
      <c r="BL34" s="11"/>
      <c r="BM34" s="172"/>
      <c r="BN34" s="11"/>
      <c r="BO34" s="172"/>
      <c r="BP34" s="11"/>
      <c r="BQ34" s="184"/>
      <c r="BR34" s="185"/>
      <c r="BS34" s="183"/>
      <c r="BU34" s="174" t="str">
        <f>'DATA PRODUK'!AT31</f>
        <v>(Frostbite) Cup Tutti Frutti</v>
      </c>
      <c r="BV34" s="178">
        <f>'DATA PRODUK'!AU31</f>
        <v>4500</v>
      </c>
      <c r="BW34" s="152"/>
      <c r="BX34" s="152"/>
      <c r="BY34" s="152"/>
      <c r="BZ34" s="152"/>
      <c r="CA34" s="152">
        <f>SUMIF(TRANSHARI1_ICECREAMPAGI[PRODUK],BU34,TRANSHARI1_ICECREAMPAGI[QUANTITY])+SUMIF(TRANSHARI1_ICECREAMMALAM[PRODUK],BU34,TRANSHARI1_ICECREAMMALAM[QUANTITY])</f>
        <v>0</v>
      </c>
      <c r="CB34" s="152">
        <f>SUMIF(TRANSHARI2_ICECREAMPAGI[PRODUK],BU34,TRANSHARI2_ICECREAMPAGI[QUANTITY])+SUMIF(TRANSHARI2_ICECREAMMALAM[PRODUK],BU34,TRANSHARI2_ICECREAMMALAM[QUANTITY])</f>
        <v>0</v>
      </c>
      <c r="CC34" s="152">
        <f>SUMIF(TRANSHARI3_ICECREAMPAGI[PRODUK],BU34,TRANSHARI3_ICECREAMPAGI[QUANTITY])+SUMIF(TRANSHARI3_ICECREAMMALAM[PRODUK],BU34,TRANSHARI3_ICECREAMMALAM[QUANTITY])</f>
        <v>0</v>
      </c>
      <c r="CD34" s="152">
        <f>SUMIF(TRANSHARI4_ICECREAMPAGI[PRODUK],BU34,TRANSHARI4_ICECREAMPAGI[QUANTITY])+SUMIF(TRANSHARI4_ICECREAMMALAM[PRODUK],BU34,TRANSHARI4_ICECREAMMALAM[QUANTITY])</f>
        <v>0</v>
      </c>
      <c r="CE34" s="152">
        <f>SUMIF(TRANSHARI5_ICECREAMPAGI[PRODUK],BU34,TRANSHARI5_ICECREAMPAGI[QUANTITY])+SUMIF(TRANSHARI5_ICECREAMMALAM[PRODUK],BU34,TRANSHARI5_ICECREAMMALAM[QUANTITY])</f>
        <v>0</v>
      </c>
      <c r="CF34" s="152">
        <f>SUMIF(TRANSHARI6_ICECREAMPAGI[PRODUK],BU34,TRANSHARI6_ICECREAMPAGI[QUANTITY])+SUMIF(TRANSHARI6_ICECREAMMALAM[PRODUK],BU34,TRANSHARI6_ICECREAMMALAM[QUANTITY])</f>
        <v>0</v>
      </c>
      <c r="CG34" s="152">
        <f>SUMIF(TRANSHARI7_ICECREAMPAGI[PRODUK],BU34,TRANSHARI7_ICECREAMPAGI[QUANTITY])+SUMIF(TRANSHARI7_ICECREAMMALAM[PRODUK],BU34,TRANSHARI7_ICECREAMMALAM[QUANTITY])</f>
        <v>0</v>
      </c>
      <c r="CH34" s="152">
        <f>SUMIF(TRANSHARI8_ICECREAMPAGI[PRODUK],BU34,TRANSHARI8_ICECREAMPAGI[QUANTITY])+SUMIF(TRANSHARI8_ICECREAMMALAM[PRODUK],BU34,TRANSHARI8_ICECREAMMALAM[QUANTITY])</f>
        <v>0</v>
      </c>
      <c r="CI34" s="152">
        <f>SUMIF(TRANSHARI9_ICECREAMPAGI[PRODUK],BU34,TRANSHARI9_ICECREAMPAGI[QUANTITY])+SUMIF(TRANSHARI9_ICECREAMMALAM[PRODUK],BU34,TRANSHARI9_ICECREAMMALAM[QUANTITY])</f>
        <v>0</v>
      </c>
      <c r="CJ34" s="152">
        <f>SUMIF(TRANSHARI10_ICECREAMPAGI[PRODUK],BU34,TRANSHARI10_ICECREAMPAGI[QUANTITY])+SUMIF(TRANSHARI10_ICECREAMMALAM[PRODUK],BU34,TRANSHARI10_ICECREAMMALAM[QUANTITY])</f>
        <v>0</v>
      </c>
      <c r="CK34" s="152">
        <f>SUMIF(TRANSHARI11_ICECREAMPAGI[PRODUK],BU34,TRANSHARI11_ICECREAMPAGI[QUANTITY])+SUMIF(TRANSHARI11_ICECREAMMALAM[PRODUK],BU34,TRANSHARI11_ICECREAMMALAM[QUANTITY])</f>
        <v>0</v>
      </c>
      <c r="CL34" s="152">
        <f t="shared" si="18"/>
        <v>0</v>
      </c>
      <c r="CM34" s="152">
        <f t="shared" si="19"/>
        <v>0</v>
      </c>
      <c r="CN34" s="176">
        <f t="shared" si="20"/>
        <v>0</v>
      </c>
      <c r="CP34" s="174" t="str">
        <f>'DATA PRODUK'!BH31</f>
        <v>(K.D)(Type C)(C-C) Vivan KPD100S</v>
      </c>
      <c r="CQ34" s="178">
        <f>'DATA PRODUK'!BI31</f>
        <v>75000</v>
      </c>
      <c r="CR34" s="152"/>
      <c r="CS34" s="152"/>
      <c r="CT34" s="152"/>
      <c r="CU34" s="152"/>
      <c r="CV34" s="152">
        <f>SUMIF(TRANSHARI1_ACCPAGI[PRODUK],CP34,TRANSHARI1_ACCPAGI[QUANTITY])+SUMIF(TRANSHARI1_ACCMALAM[PRODUK],CP34,TRANSHARI1_ACCMALAM[QUANTITY])</f>
        <v>0</v>
      </c>
      <c r="CW34" s="152">
        <f>SUMIF(TRANSHARI2_ACCPAGI[PRODUK],CP34,TRANSHARI2_ACCPAGI[QUANTITY])+SUMIF(TRANSHARI2_ACCMALAM[PRODUK],CP34,TRANSHARI2_ACCMALAM[QUANTITY])</f>
        <v>0</v>
      </c>
      <c r="CX34" s="152">
        <f>SUMIF(TRANSHARI3_ACCPAGI[PRODUK],CP34,TRANSHARI3_ACCPAGI[QUANTITY])+SUMIF(TRANSHARI3_ACCMALAM[PRODUK],CP34,TRANSHARI3_ACCMALAM[QUANTITY])</f>
        <v>0</v>
      </c>
      <c r="CY34" s="152">
        <f>SUMIF(TRANSHARI4_ACCPAGI[PRODUK],CP34,TRANSHARI4_ACCPAGI[QUANTITY])+SUMIF(TRANSHARI4_ACCMALAM[PRODUK],CP34,TRANSHARI4_ACCMALAM[QUANTITY])</f>
        <v>0</v>
      </c>
      <c r="CZ34" s="152">
        <f>SUMIF(TRANSHARI5_ACCPAGI[PRODUK],CP34,TRANSHARI5_ACCPAGI[QUANTITY])+SUMIF(TRANSHARI5_ACCMALAM[PRODUK],CP34,TRANSHARI5_ACCMALAM[QUANTITY])</f>
        <v>0</v>
      </c>
      <c r="DA34" s="152">
        <f>SUMIF(TRANSHARI6_ACCPAGI[PRODUK],CP34,TRANSHARI6_ACCPAGI[QUANTITY])+SUMIF(TRANSHARI6_ACCMALAM[PRODUK],CP34,TRANSHARI6_ACCMALAM[QUANTITY])</f>
        <v>0</v>
      </c>
      <c r="DB34" s="152">
        <f>SUMIF(TRANSHARI7_ACCPAGI[PRODUK],CP34,TRANSHARI7_ACCPAGI[QUANTITY])+SUMIF(TRANSHARI7_ACCMALAM[PRODUK],CP34,TRANSHARI7_ACCMALAM[QUANTITY])</f>
        <v>0</v>
      </c>
      <c r="DC34" s="152">
        <f>SUMIF(TRANSHARI8_ACCPAGI[PRODUK],CP34,TRANSHARI8_ACCPAGI[QUANTITY])+SUMIF(TRANSHARI8_ACCMALAM[PRODUK],CP34,TRANSHARI8_ACCMALAM[QUANTITY])</f>
        <v>0</v>
      </c>
      <c r="DD34" s="152">
        <f>SUMIF(TRANSHARI9_ACCPAGI[PRODUK],CP34,TRANSHARI9_ACCPAGI[QUANTITY])+SUMIF(TRANSHARI9_ACCMALAM[PRODUK],CP34,TRANSHARI9_ACCMALAM[QUANTITY])</f>
        <v>0</v>
      </c>
      <c r="DE34" s="152">
        <f>SUMIF(TRANSHARI10_ACCPAGI[PRODUK],CP34,TRANSHARI10_ACCPAGI[QUANTITY])+SUMIF(TRANSHARI10_ACCMALAM[PRODUK],CP34,TRANSHARI10_ACCMALAM[QUANTITY])</f>
        <v>0</v>
      </c>
      <c r="DF34" s="152">
        <f>SUMIF(TRANSHARI11_ACCPAGI[PRODUK],CP34,TRANSHARI11_ACCPAGI[QUANTITY])+SUMIF(TRANSHARI11_ACCMALAM[PRODUK],CP34,TRANSHARI11_ACCMALAM[QUANTITY])</f>
        <v>0</v>
      </c>
      <c r="DG34" s="152">
        <f t="shared" si="12"/>
        <v>0</v>
      </c>
      <c r="DH34" s="152">
        <f t="shared" si="13"/>
        <v>0</v>
      </c>
      <c r="DI34" s="176">
        <f t="shared" si="14"/>
        <v>0</v>
      </c>
      <c r="DK34" s="188" t="str">
        <f>'DATA PRODUK'!BV31</f>
        <v>NEW PRODUCT (2)</v>
      </c>
      <c r="DL34" s="95">
        <f>'DATA PRODUK'!BW31</f>
        <v>0</v>
      </c>
      <c r="DM34" s="152"/>
      <c r="DN34" s="152"/>
      <c r="DO34" s="152"/>
      <c r="DP34" s="152"/>
      <c r="DQ34" s="152">
        <f>SUMIF(TRANSHARI1_HYDROPAGI[PRODUK],DK34,TRANSHARI1_HYDROPAGI[QUANTITY])+SUMIF(TRANSHARI1_HYDROMALAM[PRODUK],DK34,TRANSHARI1_HYDROMALAM[QUANTITY])</f>
        <v>0</v>
      </c>
      <c r="DR34" s="152">
        <f>SUMIF(TRANSHARI2_HYDROPAGI[PRODUK],DK34,TRANSHARI2_HYDROPAGI[QUANTITY])+SUMIF(TRANSHARI2_HYDROMALAM[PRODUK],DK34,TRANSHARI2_HYDROMALAM[QUANTITY])</f>
        <v>0</v>
      </c>
      <c r="DS34" s="152">
        <f>SUMIF(TRANSHARI3_HYDROPAGI[PRODUK],DK34,TRANSHARI3_HYDROPAGI[QUANTITY])+SUMIF(TRANSHARI3_HYDROMALAM[PRODUK],DK34,TRANSHARI3_HYDROMALAM[QUANTITY])</f>
        <v>0</v>
      </c>
      <c r="DT34" s="152">
        <f>SUMIF(TRANSHARI4_HYDROPAGI[PRODUK],DK34,TRANSHARI4_HYDROPAGI[QUANTITY])+SUMIF(TRANSHARI4_HYDROMALAM[PRODUK],DK34,TRANSHARI4_HYDROMALAM[QUANTITY])</f>
        <v>0</v>
      </c>
      <c r="DU34" s="152">
        <f>SUMIF(TRANSHARI5_HYDROPAGI[PRODUK],DK34,TRANSHARI5_HYDROPAGI[QUANTITY])+SUMIF(TRANSHARI5_HYDROMALAM[PRODUK],DK34,TRANSHARI5_HYDROMALAM[QUANTITY])</f>
        <v>0</v>
      </c>
      <c r="DV34" s="152">
        <f>SUMIF(TRANSHARI6_HYDROPAGI[PRODUK],DK34,TRANSHARI6_HYDROPAGI[QUANTITY])+SUMIF(TRANSHARI6_HYDROMALAM[PRODUK],DK34,TRANSHARI6_HYDROMALAM[QUANTITY])</f>
        <v>0</v>
      </c>
      <c r="DW34" s="152">
        <f>SUMIF(TRANSHARI7_HYDROPAGI[PRODUK],DK34,TRANSHARI7_HYDROPAGI[QUANTITY])+SUMIF(TRANSHARI7_HYDROMALAM[PRODUK],DK34,TRANSHARI7_HYDROMALAM[QUANTITY])</f>
        <v>0</v>
      </c>
      <c r="DX34" s="152">
        <f>SUMIF(TRANSHARI8_HYDROPAGI[PRODUK],DK34,TRANSHARI8_HYDROPAGI[QUANTITY])+SUMIF(TRANSHARI8_HYDROMALAM[PRODUK],DK34,TRANSHARI8_HYDROMALAM[QUANTITY])</f>
        <v>0</v>
      </c>
      <c r="DY34" s="152">
        <f>SUMIF(TRANSHARI9_HYDROPAGI[PRODUK],DK34,TRANSHARI9_HYDROPAGI[QUANTITY])+SUMIF(TRANSHARI9_HYDROMALAM[PRODUK],DK34,TRANSHARI9_HYDROMALAM[QUANTITY])</f>
        <v>0</v>
      </c>
      <c r="DZ34" s="152">
        <f>SUMIF(TRANSHARI10_HYDROPAGI[PRODUK],DK34,TRANSHARI10_HYDROPAGI[QUANTITY])+SUMIF(TRANSHARI10_HYDROMALAM[PRODUK],DK34,TRANSHARI10_HYDROMALAM[QUANTITY])</f>
        <v>0</v>
      </c>
      <c r="EA34" s="152">
        <f>SUMIF(TRANSHARI11_HYDROPAGI[PRODUK],DK34,TRANSHARI11_HYDROPAGI[QUANTITY])+SUMIF(TRANSHARI11_HYDROMALAM[PRODUK],DK34,TRANSHARI11_HYDROMALAM[QUANTITY])</f>
        <v>0</v>
      </c>
      <c r="EB34" s="152">
        <f t="shared" si="15"/>
        <v>0</v>
      </c>
      <c r="EC34" s="152">
        <f t="shared" si="16"/>
        <v>0</v>
      </c>
      <c r="ED34" s="176">
        <f t="shared" si="17"/>
        <v>0</v>
      </c>
    </row>
    <row r="35" ht="18" spans="4:134">
      <c r="D35" s="127">
        <v>7</v>
      </c>
      <c r="E35" s="128">
        <f>'HARI 7'!L37+'HARI 7'!AA37</f>
        <v>0</v>
      </c>
      <c r="F35" s="128">
        <f>'HARI 7'!L38+'HARI 7'!AA38</f>
        <v>0</v>
      </c>
      <c r="G35" s="129">
        <f>'HARI 7'!L39+'HARI 7'!AA39</f>
        <v>0</v>
      </c>
      <c r="J35" s="24" t="str">
        <f>'DATA PRODUK'!D32</f>
        <v>LA BOLD 20</v>
      </c>
      <c r="K35" s="150">
        <f>'DATA PRODUK'!E32</f>
        <v>38000</v>
      </c>
      <c r="L35" s="12"/>
      <c r="M35" s="12"/>
      <c r="N35" s="12"/>
      <c r="O35" s="12"/>
      <c r="P35" s="12">
        <f>SUMIF(TRANSHARI1_ROKOKPAGI[PRODUK],J35,TRANSHARI1_ROKOKPAGI[QUANTITY])+SUMIF(TRANSHARI1_ROKOKMALAM[PRODUK],J35,TRANSHARI1_ROKOKMALAM[QUANTITY])</f>
        <v>0</v>
      </c>
      <c r="Q35" s="12">
        <f>SUMIF(TRANSHARI2_ROKOKPAGI[PRODUK],J35,TRANSHARI2_ROKOKPAGI[QUANTITY])+SUMIF(TRANSHARI2_ROKOKMALAM[PRODUK],J35,TRANSHARI2_ROKOKMALAM[QUANTITY])</f>
        <v>2</v>
      </c>
      <c r="R35" s="12">
        <f>SUMIF(TRANSHARI3_ROKOKPAGI[PRODUK],J35,TRANSHARI3_ROKOKPAGI[QUANTITY])+SUMIF(TRANSHARI3_ROKOKMALAM[PRODUK],J35,TRANSHARI3_ROKOKMALAM[QUANTITY])</f>
        <v>0</v>
      </c>
      <c r="S35" s="12">
        <f>SUMIF(TRANSHARI4_ROKOKPAGI[PRODUK],J35,TRANSHARI4_ROKOKPAGI[QUANTITY])+SUMIF(TRANSHARI4_ROKOKMALAM[PRODUK],J35,TRANSHARI4_ROKOKMALAM[QUANTITY])</f>
        <v>0</v>
      </c>
      <c r="T35" s="12">
        <f>SUMIF(TRANSHARI5_ROKOKPAGI[PRODUK],J35,TRANSHARI5_ROKOKPAGI[QUANTITY])+SUMIF(TRANSHARI5_ROKOKMALAM[PRODUK],J35,TRANSHARI5_ROKOKMALAM[QUANTITY])</f>
        <v>0</v>
      </c>
      <c r="U35" s="12">
        <f>SUMIF(TRANSHARI6_ROKOKPAGI[PRODUK],J35,TRANSHARI6_ROKOKPAGI[QUANTITY])+SUMIF(TRANSHARI6_ROKOKMALAM[PRODUK],J35,TRANSHARI6_ROKOKMALAM[QUANTITY])</f>
        <v>0</v>
      </c>
      <c r="V35" s="12">
        <f>SUMIF(TRANSHARI7_ROKOKPAGI[PRODUK],J35,TRANSHARI7_ROKOKPAGI[QUANTITY])+SUMIF(TRANSHARI7_ROKOKMALAM[PRODUK],J35,TRANSHARI7_ROKOKMALAM[QUANTITY])</f>
        <v>0</v>
      </c>
      <c r="W35" s="12">
        <f>SUMIF(TRANSHARI8_ROKOKPAGI[PRODUK],J35,TRANSHARI8_ROKOKPAGI[QUANTITY])+SUMIF(TRANSHARI8_ROKOKMALAM[PRODUK],J35,TRANSHARI8_ROKOKMALAM[QUANTITY])</f>
        <v>0</v>
      </c>
      <c r="X35" s="12">
        <f>SUMIF(TRANSHARI9_ROKOKPAGI[PRODUK],J35,TRANSHARI9_ROKOKPAGI[QUANTITY])+SUMIF(TRANSHARI9_ROKOKMALAM[PRODUK],J35,TRANSHARI9_ROKOKMALAM[QUANTITY])</f>
        <v>0</v>
      </c>
      <c r="Y35" s="12">
        <f>SUMIF(TRANSHARI10_ROKOKPAGI[PRODUK],J35,TRANSHARI10_ROKOKPAGI[QUANTITY])+SUMIF(TRANSHARI10_ROKOKMALAM[PRODUK],J35,TRANSHARI10_ROKOKMALAM[QUANTITY])</f>
        <v>0</v>
      </c>
      <c r="Z35" s="12">
        <f>SUMIF(TRANSHARI11_ROKOKPAGI[PRODUK],J35,TRANSHARI11_ROKOKPAGI[QUANTITY])+SUMIF(TRANSHARI11_ROKOKMALAM[PRODUK],J35,TRANSHARI11_ROKOKMALAM[QUANTITY])</f>
        <v>0</v>
      </c>
      <c r="AA35" s="12">
        <f t="shared" si="0"/>
        <v>2</v>
      </c>
      <c r="AB35" s="12">
        <f t="shared" si="1"/>
        <v>-2</v>
      </c>
      <c r="AC35" s="173">
        <f t="shared" si="2"/>
        <v>76000</v>
      </c>
      <c r="AE35" s="174" t="str">
        <f>'DATA PRODUK'!R32</f>
        <v>SP SMART 10 GB</v>
      </c>
      <c r="AF35" s="175">
        <f>'DATA PRODUK'!S32</f>
        <v>28000</v>
      </c>
      <c r="AG35" s="12"/>
      <c r="AH35" s="12"/>
      <c r="AI35" s="12"/>
      <c r="AJ35" s="12"/>
      <c r="AK35" s="12">
        <f>SUMIF(TRANSHARI1_SPVOUPAGI[PRODUK],AE35,TRANSHARI1_SPVOUPAGI[QUANTITY])+SUMIF(TRANSHARI1_SPVOUMALAM[PRODUK],AE35,TRANSHARI1_SPVOUMALAM[QUANTITY])</f>
        <v>0</v>
      </c>
      <c r="AL35" s="12">
        <f>SUMIF(TRANSHARI2_SPVOUPAGI[PRODUK],AE35,TRANSHARI2_SPVOUPAGI[QUANTITY])+SUMIF(TRANSHARI2_SPVOUMALAM[PRODUK],AE35,TRANSHARI2_SPVOUMALAM[QUANTITY])</f>
        <v>0</v>
      </c>
      <c r="AM35" s="12">
        <f>SUMIF(TRANSHARI3_SPVOUPAGI[PRODUK],AE35,TRANSHARI3_SPVOUPAGI[QUANTITY])+SUMIF(TRANSHARI3_SPVOUMALAM[PRODUK],AE35,TRANSHARI3_SPVOUMALAM[QUANTITY])</f>
        <v>0</v>
      </c>
      <c r="AN35" s="12">
        <f>SUMIF(TRANSHARI4_SPVOUPAGI[PRODUK],AE35,TRANSHARI4_SPVOUPAGI[QUANTITY])+SUMIF(TRANSHARI4_SPVOUMALAM[PRODUK],AE35,TRANSHARI4_SPVOUMALAM[QUANTITY])</f>
        <v>0</v>
      </c>
      <c r="AO35" s="12">
        <f>SUMIF(TRANSHARI5_SPVOUPAGI[PRODUK],AE35,TRANSHARI5_SPVOUPAGI[QUANTITY])+SUMIF(TRANSHARI5_SPVOUMALAM[PRODUK],AE35,TRANSHARI5_SPVOUMALAM[QUANTITY])</f>
        <v>0</v>
      </c>
      <c r="AP35" s="12">
        <f>SUMIF(TRANSHARI6_SPVOUPAGI[PRODUK],AE35,TRANSHARI6_SPVOUPAGI[QUANTITY])+SUMIF(TRANSHARI6_SPVOUMALAM[PRODUK],AE35,TRANSHARI6_SPVOUMALAM[QUANTITY])</f>
        <v>0</v>
      </c>
      <c r="AQ35" s="12">
        <f>SUMIF(TRANSHARI7_SPVOUPAGI[PRODUK],AE35,TRANSHARI7_SPVOUPAGI[QUANTITY])+SUMIF(TRANSHARI7_SPVOUMALAM[PRODUK],AE35,TRANSHARI7_SPVOUMALAM[QUANTITY])</f>
        <v>0</v>
      </c>
      <c r="AR35" s="12">
        <f>SUMIF(TRANSHARI8_SPVOUPAGI[PRODUK],AE35,TRANSHARI8_SPVOUPAGI[QUANTITY])+SUMIF(TRANSHARI8_SPVOUMALAM[PRODUK],AE35,TRANSHARI8_SPVOUMALAM[QUANTITY])</f>
        <v>0</v>
      </c>
      <c r="AS35" s="12">
        <f>SUMIF(TRANSHARI9_SPVOUPAGI[PRODUK],AE35,TRANSHARI9_SPVOUPAGI[QUANTITY])+SUMIF(TRANSHARI9_SPVOUMALAM[PRODUK],AE35,TRANSHARI9_SPVOUMALAM[QUANTITY])</f>
        <v>0</v>
      </c>
      <c r="AT35" s="12">
        <f>SUMIF(TRANSHARI10_SPVOUPAGI[PRODUK],AE35,TRANSHARI10_SPVOUPAGI[QUANTITY])+SUMIF(TRANSHARI10_SPVOUMALAM[PRODUK],AE35,TRANSHARI10_SPVOUMALAM[QUANTITY])</f>
        <v>0</v>
      </c>
      <c r="AU35" s="12">
        <f>SUMIF(TRANSHARI11_SPVOUPAGI[PRODUK],AE35,TRANSHARI11_SPVOUPAGI[QUANTITY])+SUMIF(TRANSHARI11_SPVOUMALAM[PRODUK],AE35,TRANSHARI11_SPVOUMALAM[QUANTITY])</f>
        <v>0</v>
      </c>
      <c r="AV35" s="12">
        <f t="shared" si="3"/>
        <v>0</v>
      </c>
      <c r="AW35" s="12">
        <f t="shared" si="4"/>
        <v>0</v>
      </c>
      <c r="AX35" s="173">
        <f t="shared" si="5"/>
        <v>0</v>
      </c>
      <c r="BB35" s="167"/>
      <c r="BC35" s="167"/>
      <c r="BD35" s="167"/>
      <c r="BE35" s="167"/>
      <c r="BF35" s="12" t="s">
        <v>246</v>
      </c>
      <c r="BG35" s="12" t="s">
        <v>247</v>
      </c>
      <c r="BH35" s="12" t="s">
        <v>248</v>
      </c>
      <c r="BI35" s="12" t="s">
        <v>249</v>
      </c>
      <c r="BJ35" s="12" t="s">
        <v>250</v>
      </c>
      <c r="BK35" s="12" t="s">
        <v>251</v>
      </c>
      <c r="BL35" s="12" t="s">
        <v>252</v>
      </c>
      <c r="BM35" s="12" t="s">
        <v>253</v>
      </c>
      <c r="BN35" s="12" t="s">
        <v>254</v>
      </c>
      <c r="BO35" s="12" t="s">
        <v>255</v>
      </c>
      <c r="BP35" s="12" t="s">
        <v>256</v>
      </c>
      <c r="BQ35" s="167"/>
      <c r="BR35" s="167"/>
      <c r="BS35" s="167"/>
      <c r="BU35" s="177" t="str">
        <f>'DATA PRODUK'!AT32</f>
        <v>(Frostbite) Cup Cookies &amp; Cream</v>
      </c>
      <c r="BV35" s="175">
        <f>'DATA PRODUK'!AU32</f>
        <v>4500</v>
      </c>
      <c r="BW35" s="12"/>
      <c r="BX35" s="12"/>
      <c r="BY35" s="12"/>
      <c r="BZ35" s="12"/>
      <c r="CA35" s="12">
        <f>SUMIF(TRANSHARI1_ICECREAMPAGI[PRODUK],BU35,TRANSHARI1_ICECREAMPAGI[QUANTITY])+SUMIF(TRANSHARI1_ICECREAMMALAM[PRODUK],BU35,TRANSHARI1_ICECREAMMALAM[QUANTITY])</f>
        <v>0</v>
      </c>
      <c r="CB35" s="12">
        <f>SUMIF(TRANSHARI2_ICECREAMPAGI[PRODUK],BU35,TRANSHARI2_ICECREAMPAGI[QUANTITY])+SUMIF(TRANSHARI2_ICECREAMMALAM[PRODUK],BU35,TRANSHARI2_ICECREAMMALAM[QUANTITY])</f>
        <v>0</v>
      </c>
      <c r="CC35" s="12">
        <f>SUMIF(TRANSHARI3_ICECREAMPAGI[PRODUK],BU35,TRANSHARI3_ICECREAMPAGI[QUANTITY])+SUMIF(TRANSHARI3_ICECREAMMALAM[PRODUK],BU35,TRANSHARI3_ICECREAMMALAM[QUANTITY])</f>
        <v>0</v>
      </c>
      <c r="CD35" s="12">
        <f>SUMIF(TRANSHARI4_ICECREAMPAGI[PRODUK],BU35,TRANSHARI4_ICECREAMPAGI[QUANTITY])+SUMIF(TRANSHARI4_ICECREAMMALAM[PRODUK],BU35,TRANSHARI4_ICECREAMMALAM[QUANTITY])</f>
        <v>0</v>
      </c>
      <c r="CE35" s="12">
        <f>SUMIF(TRANSHARI5_ICECREAMPAGI[PRODUK],BU35,TRANSHARI5_ICECREAMPAGI[QUANTITY])+SUMIF(TRANSHARI5_ICECREAMMALAM[PRODUK],BU35,TRANSHARI5_ICECREAMMALAM[QUANTITY])</f>
        <v>0</v>
      </c>
      <c r="CF35" s="12">
        <f>SUMIF(TRANSHARI6_ICECREAMPAGI[PRODUK],BU35,TRANSHARI6_ICECREAMPAGI[QUANTITY])+SUMIF(TRANSHARI6_ICECREAMMALAM[PRODUK],BU35,TRANSHARI6_ICECREAMMALAM[QUANTITY])</f>
        <v>0</v>
      </c>
      <c r="CG35" s="12">
        <f>SUMIF(TRANSHARI7_ICECREAMPAGI[PRODUK],BU35,TRANSHARI7_ICECREAMPAGI[QUANTITY])+SUMIF(TRANSHARI7_ICECREAMMALAM[PRODUK],BU35,TRANSHARI7_ICECREAMMALAM[QUANTITY])</f>
        <v>0</v>
      </c>
      <c r="CH35" s="12">
        <f>SUMIF(TRANSHARI8_ICECREAMPAGI[PRODUK],BU35,TRANSHARI8_ICECREAMPAGI[QUANTITY])+SUMIF(TRANSHARI8_ICECREAMMALAM[PRODUK],BU35,TRANSHARI8_ICECREAMMALAM[QUANTITY])</f>
        <v>0</v>
      </c>
      <c r="CI35" s="12">
        <f>SUMIF(TRANSHARI9_ICECREAMPAGI[PRODUK],BU35,TRANSHARI9_ICECREAMPAGI[QUANTITY])+SUMIF(TRANSHARI9_ICECREAMMALAM[PRODUK],BU35,TRANSHARI9_ICECREAMMALAM[QUANTITY])</f>
        <v>0</v>
      </c>
      <c r="CJ35" s="12">
        <f>SUMIF(TRANSHARI10_ICECREAMPAGI[PRODUK],BU35,TRANSHARI10_ICECREAMPAGI[QUANTITY])+SUMIF(TRANSHARI10_ICECREAMMALAM[PRODUK],BU35,TRANSHARI10_ICECREAMMALAM[QUANTITY])</f>
        <v>0</v>
      </c>
      <c r="CK35" s="12">
        <f>SUMIF(TRANSHARI11_ICECREAMPAGI[PRODUK],BU35,TRANSHARI11_ICECREAMPAGI[QUANTITY])+SUMIF(TRANSHARI11_ICECREAMMALAM[PRODUK],BU35,TRANSHARI11_ICECREAMMALAM[QUANTITY])</f>
        <v>0</v>
      </c>
      <c r="CL35" s="12">
        <f t="shared" si="18"/>
        <v>0</v>
      </c>
      <c r="CM35" s="12">
        <f t="shared" si="19"/>
        <v>0</v>
      </c>
      <c r="CN35" s="173">
        <f t="shared" si="20"/>
        <v>0</v>
      </c>
      <c r="CP35" s="177" t="str">
        <f>'DATA PRODUK'!BH32</f>
        <v>(K.D)(Type C)(C-C) Vivan VDCC120</v>
      </c>
      <c r="CQ35" s="175">
        <f>'DATA PRODUK'!BI32</f>
        <v>85000</v>
      </c>
      <c r="CR35" s="12"/>
      <c r="CS35" s="12"/>
      <c r="CT35" s="12"/>
      <c r="CU35" s="12"/>
      <c r="CV35" s="12">
        <f>SUMIF(TRANSHARI1_ACCPAGI[PRODUK],CP35,TRANSHARI1_ACCPAGI[QUANTITY])+SUMIF(TRANSHARI1_ACCMALAM[PRODUK],CP35,TRANSHARI1_ACCMALAM[QUANTITY])</f>
        <v>0</v>
      </c>
      <c r="CW35" s="12">
        <f>SUMIF(TRANSHARI2_ACCPAGI[PRODUK],CP35,TRANSHARI2_ACCPAGI[QUANTITY])+SUMIF(TRANSHARI2_ACCMALAM[PRODUK],CP35,TRANSHARI2_ACCMALAM[QUANTITY])</f>
        <v>0</v>
      </c>
      <c r="CX35" s="12">
        <f>SUMIF(TRANSHARI3_ACCPAGI[PRODUK],CP35,TRANSHARI3_ACCPAGI[QUANTITY])+SUMIF(TRANSHARI3_ACCMALAM[PRODUK],CP35,TRANSHARI3_ACCMALAM[QUANTITY])</f>
        <v>0</v>
      </c>
      <c r="CY35" s="12">
        <f>SUMIF(TRANSHARI4_ACCPAGI[PRODUK],CP35,TRANSHARI4_ACCPAGI[QUANTITY])+SUMIF(TRANSHARI4_ACCMALAM[PRODUK],CP35,TRANSHARI4_ACCMALAM[QUANTITY])</f>
        <v>0</v>
      </c>
      <c r="CZ35" s="12">
        <f>SUMIF(TRANSHARI5_ACCPAGI[PRODUK],CP35,TRANSHARI5_ACCPAGI[QUANTITY])+SUMIF(TRANSHARI5_ACCMALAM[PRODUK],CP35,TRANSHARI5_ACCMALAM[QUANTITY])</f>
        <v>0</v>
      </c>
      <c r="DA35" s="12">
        <f>SUMIF(TRANSHARI6_ACCPAGI[PRODUK],CP35,TRANSHARI6_ACCPAGI[QUANTITY])+SUMIF(TRANSHARI6_ACCMALAM[PRODUK],CP35,TRANSHARI6_ACCMALAM[QUANTITY])</f>
        <v>0</v>
      </c>
      <c r="DB35" s="12">
        <f>SUMIF(TRANSHARI7_ACCPAGI[PRODUK],CP35,TRANSHARI7_ACCPAGI[QUANTITY])+SUMIF(TRANSHARI7_ACCMALAM[PRODUK],CP35,TRANSHARI7_ACCMALAM[QUANTITY])</f>
        <v>0</v>
      </c>
      <c r="DC35" s="12">
        <f>SUMIF(TRANSHARI8_ACCPAGI[PRODUK],CP35,TRANSHARI8_ACCPAGI[QUANTITY])+SUMIF(TRANSHARI8_ACCMALAM[PRODUK],CP35,TRANSHARI8_ACCMALAM[QUANTITY])</f>
        <v>0</v>
      </c>
      <c r="DD35" s="12">
        <f>SUMIF(TRANSHARI9_ACCPAGI[PRODUK],CP35,TRANSHARI9_ACCPAGI[QUANTITY])+SUMIF(TRANSHARI9_ACCMALAM[PRODUK],CP35,TRANSHARI9_ACCMALAM[QUANTITY])</f>
        <v>0</v>
      </c>
      <c r="DE35" s="12">
        <f>SUMIF(TRANSHARI10_ACCPAGI[PRODUK],CP35,TRANSHARI10_ACCPAGI[QUANTITY])+SUMIF(TRANSHARI10_ACCMALAM[PRODUK],CP35,TRANSHARI10_ACCMALAM[QUANTITY])</f>
        <v>0</v>
      </c>
      <c r="DF35" s="12">
        <f>SUMIF(TRANSHARI11_ACCPAGI[PRODUK],CP35,TRANSHARI11_ACCPAGI[QUANTITY])+SUMIF(TRANSHARI11_ACCMALAM[PRODUK],CP35,TRANSHARI11_ACCMALAM[QUANTITY])</f>
        <v>0</v>
      </c>
      <c r="DG35" s="12">
        <f t="shared" si="12"/>
        <v>0</v>
      </c>
      <c r="DH35" s="12">
        <f t="shared" si="13"/>
        <v>0</v>
      </c>
      <c r="DI35" s="173">
        <f t="shared" si="14"/>
        <v>0</v>
      </c>
      <c r="DK35" s="187" t="str">
        <f>'DATA PRODUK'!BV32</f>
        <v>NEW PRODUCT (3)</v>
      </c>
      <c r="DL35" s="193">
        <f>'DATA PRODUK'!BW32</f>
        <v>0</v>
      </c>
      <c r="DM35" s="12"/>
      <c r="DN35" s="12"/>
      <c r="DO35" s="12"/>
      <c r="DP35" s="12"/>
      <c r="DQ35" s="12">
        <f>SUMIF(TRANSHARI1_HYDROPAGI[PRODUK],DK35,TRANSHARI1_HYDROPAGI[QUANTITY])+SUMIF(TRANSHARI1_HYDROMALAM[PRODUK],DK35,TRANSHARI1_HYDROMALAM[QUANTITY])</f>
        <v>0</v>
      </c>
      <c r="DR35" s="12">
        <f>SUMIF(TRANSHARI2_HYDROPAGI[PRODUK],DK35,TRANSHARI2_HYDROPAGI[QUANTITY])+SUMIF(TRANSHARI2_HYDROMALAM[PRODUK],DK35,TRANSHARI2_HYDROMALAM[QUANTITY])</f>
        <v>0</v>
      </c>
      <c r="DS35" s="12">
        <f>SUMIF(TRANSHARI3_HYDROPAGI[PRODUK],DK35,TRANSHARI3_HYDROPAGI[QUANTITY])+SUMIF(TRANSHARI3_HYDROMALAM[PRODUK],DK35,TRANSHARI3_HYDROMALAM[QUANTITY])</f>
        <v>0</v>
      </c>
      <c r="DT35" s="12">
        <f>SUMIF(TRANSHARI4_HYDROPAGI[PRODUK],DK35,TRANSHARI4_HYDROPAGI[QUANTITY])+SUMIF(TRANSHARI4_HYDROMALAM[PRODUK],DK35,TRANSHARI4_HYDROMALAM[QUANTITY])</f>
        <v>0</v>
      </c>
      <c r="DU35" s="12">
        <f>SUMIF(TRANSHARI5_HYDROPAGI[PRODUK],DL35,TRANSHARI5_HYDROPAGI[QUANTITY])+SUMIF(TRANSHARI5_HYDROMALAM[PRODUK],DL35,TRANSHARI5_HYDROMALAM[QUANTITY])</f>
        <v>0</v>
      </c>
      <c r="DV35" s="12">
        <f>SUMIF(TRANSHARI6_HYDROPAGI[PRODUK],DK35,TRANSHARI6_HYDROPAGI[QUANTITY])+SUMIF(TRANSHARI6_HYDROMALAM[PRODUK],DK35,TRANSHARI6_HYDROMALAM[QUANTITY])</f>
        <v>0</v>
      </c>
      <c r="DW35" s="12">
        <f>SUMIF(TRANSHARI7_HYDROPAGI[PRODUK],DK35,TRANSHARI7_HYDROPAGI[QUANTITY])+SUMIF(TRANSHARI7_HYDROMALAM[PRODUK],DK35,TRANSHARI7_HYDROMALAM[QUANTITY])</f>
        <v>0</v>
      </c>
      <c r="DX35" s="12">
        <f>SUMIF(TRANSHARI8_HYDROPAGI[PRODUK],DK35,TRANSHARI8_HYDROPAGI[QUANTITY])+SUMIF(TRANSHARI8_HYDROMALAM[PRODUK],DK35,TRANSHARI8_HYDROMALAM[QUANTITY])</f>
        <v>0</v>
      </c>
      <c r="DY35" s="12">
        <f>SUMIF(TRANSHARI9_HYDROPAGI[PRODUK],DK35,TRANSHARI9_HYDROPAGI[QUANTITY])+SUMIF(TRANSHARI9_HYDROMALAM[PRODUK],DK35,TRANSHARI9_HYDROMALAM[QUANTITY])</f>
        <v>0</v>
      </c>
      <c r="DZ35" s="12">
        <f>SUMIF(TRANSHARI10_HYDROPAGI[PRODUK],DK35,TRANSHARI10_HYDROPAGI[QUANTITY])+SUMIF(TRANSHARI10_HYDROMALAM[PRODUK],DK35,TRANSHARI10_HYDROMALAM[QUANTITY])</f>
        <v>0</v>
      </c>
      <c r="EA35" s="12">
        <f>SUMIF(TRANSHARI11_HYDROPAGI[PRODUK],DK35,TRANSHARI11_HYDROPAGI[QUANTITY])+SUMIF(TRANSHARI11_HYDROMALAM[PRODUK],DK35,TRANSHARI11_HYDROMALAM[QUANTITY])</f>
        <v>0</v>
      </c>
      <c r="EB35" s="12">
        <f t="shared" si="15"/>
        <v>0</v>
      </c>
      <c r="EC35" s="12">
        <f t="shared" si="16"/>
        <v>0</v>
      </c>
      <c r="ED35" s="173">
        <f t="shared" si="17"/>
        <v>0</v>
      </c>
    </row>
    <row r="36" ht="18" spans="4:134">
      <c r="D36" s="130">
        <v>8</v>
      </c>
      <c r="E36" s="131">
        <f>'HARI 8'!L37+'HARI 8'!AA37</f>
        <v>0</v>
      </c>
      <c r="F36" s="132">
        <f>'HARI 8'!L38+'HARI 8'!AA38</f>
        <v>0</v>
      </c>
      <c r="G36" s="132">
        <f>'HARI 8'!L39+'HARI 8'!AA39</f>
        <v>0</v>
      </c>
      <c r="J36" s="26" t="str">
        <f>'DATA PRODUK'!D33</f>
        <v>CAMEL UNGU 12</v>
      </c>
      <c r="K36" s="151">
        <f>'DATA PRODUK'!E33</f>
        <v>20000</v>
      </c>
      <c r="L36" s="152"/>
      <c r="M36" s="152"/>
      <c r="N36" s="152"/>
      <c r="O36" s="152"/>
      <c r="P36" s="152">
        <f>SUMIF(TRANSHARI1_ROKOKPAGI[PRODUK],J36,TRANSHARI1_ROKOKPAGI[QUANTITY])+SUMIF(TRANSHARI1_ROKOKMALAM[PRODUK],J36,TRANSHARI1_ROKOKMALAM[QUANTITY])</f>
        <v>0</v>
      </c>
      <c r="Q36" s="152">
        <f>SUMIF(TRANSHARI2_ROKOKPAGI[PRODUK],J36,TRANSHARI2_ROKOKPAGI[QUANTITY])+SUMIF(TRANSHARI2_ROKOKMALAM[PRODUK],J36,TRANSHARI2_ROKOKMALAM[QUANTITY])</f>
        <v>0</v>
      </c>
      <c r="R36" s="152">
        <f>SUMIF(TRANSHARI3_ROKOKPAGI[PRODUK],J36,TRANSHARI3_ROKOKPAGI[QUANTITY])+SUMIF(TRANSHARI3_ROKOKMALAM[PRODUK],J36,TRANSHARI3_ROKOKMALAM[QUANTITY])</f>
        <v>0</v>
      </c>
      <c r="S36" s="152">
        <f>SUMIF(TRANSHARI4_ROKOKPAGI[PRODUK],J36,TRANSHARI4_ROKOKPAGI[QUANTITY])+SUMIF(TRANSHARI4_ROKOKMALAM[PRODUK],J36,TRANSHARI4_ROKOKMALAM[QUANTITY])</f>
        <v>0</v>
      </c>
      <c r="T36" s="152">
        <f>SUMIF(TRANSHARI5_ROKOKPAGI[PRODUK],J36,TRANSHARI5_ROKOKPAGI[QUANTITY])+SUMIF(TRANSHARI5_ROKOKMALAM[PRODUK],J36,TRANSHARI5_ROKOKMALAM[QUANTITY])</f>
        <v>0</v>
      </c>
      <c r="U36" s="152">
        <f>SUMIF(TRANSHARI6_ROKOKPAGI[PRODUK],J36,TRANSHARI6_ROKOKPAGI[QUANTITY])+SUMIF(TRANSHARI6_ROKOKMALAM[PRODUK],J36,TRANSHARI6_ROKOKMALAM[QUANTITY])</f>
        <v>0</v>
      </c>
      <c r="V36" s="152">
        <f>SUMIF(TRANSHARI7_ROKOKPAGI[PRODUK],J36,TRANSHARI7_ROKOKPAGI[QUANTITY])+SUMIF(TRANSHARI7_ROKOKMALAM[PRODUK],J36,TRANSHARI7_ROKOKMALAM[QUANTITY])</f>
        <v>0</v>
      </c>
      <c r="W36" s="152">
        <f>SUMIF(TRANSHARI8_ROKOKPAGI[PRODUK],J36,TRANSHARI8_ROKOKPAGI[QUANTITY])+SUMIF(TRANSHARI8_ROKOKMALAM[PRODUK],J36,TRANSHARI8_ROKOKMALAM[QUANTITY])</f>
        <v>0</v>
      </c>
      <c r="X36" s="152">
        <f>SUMIF(TRANSHARI9_ROKOKPAGI[PRODUK],J36,TRANSHARI9_ROKOKPAGI[QUANTITY])+SUMIF(TRANSHARI9_ROKOKMALAM[PRODUK],J36,TRANSHARI9_ROKOKMALAM[QUANTITY])</f>
        <v>0</v>
      </c>
      <c r="Y36" s="152">
        <f>SUMIF(TRANSHARI10_ROKOKPAGI[PRODUK],J36,TRANSHARI10_ROKOKPAGI[QUANTITY])+SUMIF(TRANSHARI10_ROKOKMALAM[PRODUK],J36,TRANSHARI10_ROKOKMALAM[QUANTITY])</f>
        <v>0</v>
      </c>
      <c r="Z36" s="152">
        <f>SUMIF(TRANSHARI11_ROKOKPAGI[PRODUK],J36,TRANSHARI11_ROKOKPAGI[QUANTITY])+SUMIF(TRANSHARI11_ROKOKMALAM[PRODUK],J36,TRANSHARI11_ROKOKMALAM[QUANTITY])</f>
        <v>0</v>
      </c>
      <c r="AA36" s="152">
        <f t="shared" si="0"/>
        <v>0</v>
      </c>
      <c r="AB36" s="152">
        <f t="shared" si="1"/>
        <v>0</v>
      </c>
      <c r="AC36" s="176">
        <f t="shared" si="2"/>
        <v>0</v>
      </c>
      <c r="AE36" s="177" t="str">
        <f>'DATA PRODUK'!R33</f>
        <v>SP SMART UNLI</v>
      </c>
      <c r="AF36" s="178">
        <f>'DATA PRODUK'!S33</f>
        <v>89000</v>
      </c>
      <c r="AG36" s="152"/>
      <c r="AH36" s="152"/>
      <c r="AI36" s="152"/>
      <c r="AJ36" s="152"/>
      <c r="AK36" s="152">
        <f>SUMIF(TRANSHARI1_SPVOUPAGI[PRODUK],AE36,TRANSHARI1_SPVOUPAGI[QUANTITY])+SUMIF(TRANSHARI1_SPVOUMALAM[PRODUK],AE36,TRANSHARI1_SPVOUMALAM[QUANTITY])</f>
        <v>0</v>
      </c>
      <c r="AL36" s="152">
        <f>SUMIF(TRANSHARI2_SPVOUPAGI[PRODUK],AE36,TRANSHARI2_SPVOUPAGI[QUANTITY])+SUMIF(TRANSHARI2_SPVOUMALAM[PRODUK],AE36,TRANSHARI2_SPVOUMALAM[QUANTITY])</f>
        <v>0</v>
      </c>
      <c r="AM36" s="152">
        <f>SUMIF(TRANSHARI3_SPVOUPAGI[PRODUK],AE36,TRANSHARI3_SPVOUPAGI[QUANTITY])+SUMIF(TRANSHARI3_SPVOUMALAM[PRODUK],AE36,TRANSHARI3_SPVOUMALAM[QUANTITY])</f>
        <v>0</v>
      </c>
      <c r="AN36" s="152">
        <f>SUMIF(TRANSHARI4_SPVOUPAGI[PRODUK],AE36,TRANSHARI4_SPVOUPAGI[QUANTITY])+SUMIF(TRANSHARI4_SPVOUMALAM[PRODUK],AE36,TRANSHARI4_SPVOUMALAM[QUANTITY])</f>
        <v>0</v>
      </c>
      <c r="AO36" s="152">
        <f>SUMIF(TRANSHARI5_SPVOUPAGI[PRODUK],AE36,TRANSHARI5_SPVOUPAGI[QUANTITY])+SUMIF(TRANSHARI5_SPVOUMALAM[PRODUK],AE36,TRANSHARI5_SPVOUMALAM[QUANTITY])</f>
        <v>0</v>
      </c>
      <c r="AP36" s="152">
        <f>SUMIF(TRANSHARI6_SPVOUPAGI[PRODUK],AE36,TRANSHARI6_SPVOUPAGI[QUANTITY])+SUMIF(TRANSHARI6_SPVOUMALAM[PRODUK],AE36,TRANSHARI6_SPVOUMALAM[QUANTITY])</f>
        <v>0</v>
      </c>
      <c r="AQ36" s="152">
        <f>SUMIF(TRANSHARI7_SPVOUPAGI[PRODUK],AE36,TRANSHARI7_SPVOUPAGI[QUANTITY])+SUMIF(TRANSHARI7_SPVOUMALAM[PRODUK],AE36,TRANSHARI7_SPVOUMALAM[QUANTITY])</f>
        <v>0</v>
      </c>
      <c r="AR36" s="152">
        <f>SUMIF(TRANSHARI8_SPVOUPAGI[PRODUK],AE36,TRANSHARI8_SPVOUPAGI[QUANTITY])+SUMIF(TRANSHARI8_SPVOUMALAM[PRODUK],AE36,TRANSHARI8_SPVOUMALAM[QUANTITY])</f>
        <v>0</v>
      </c>
      <c r="AS36" s="152">
        <f>SUMIF(TRANSHARI9_SPVOUPAGI[PRODUK],AE36,TRANSHARI9_SPVOUPAGI[QUANTITY])+SUMIF(TRANSHARI9_SPVOUMALAM[PRODUK],AE36,TRANSHARI9_SPVOUMALAM[QUANTITY])</f>
        <v>0</v>
      </c>
      <c r="AT36" s="152">
        <f>SUMIF(TRANSHARI10_SPVOUPAGI[PRODUK],AE36,TRANSHARI10_SPVOUPAGI[QUANTITY])+SUMIF(TRANSHARI10_SPVOUMALAM[PRODUK],AE36,TRANSHARI10_SPVOUMALAM[QUANTITY])</f>
        <v>0</v>
      </c>
      <c r="AU36" s="152">
        <f>SUMIF(TRANSHARI11_SPVOUPAGI[PRODUK],AE36,TRANSHARI11_SPVOUPAGI[QUANTITY])+SUMIF(TRANSHARI11_SPVOUMALAM[PRODUK],AE36,TRANSHARI11_SPVOUMALAM[QUANTITY])</f>
        <v>0</v>
      </c>
      <c r="AV36" s="152">
        <f t="shared" si="3"/>
        <v>0</v>
      </c>
      <c r="AW36" s="152">
        <f t="shared" si="4"/>
        <v>0</v>
      </c>
      <c r="AX36" s="176">
        <f t="shared" si="5"/>
        <v>0</v>
      </c>
      <c r="AZ36" s="167">
        <f>COUNTA(AZ15:AZ32)</f>
        <v>18</v>
      </c>
      <c r="BA36" s="189">
        <f>SUM(BA15:BA32)</f>
        <v>79500</v>
      </c>
      <c r="BU36" s="174" t="str">
        <f>'DATA PRODUK'!AT33</f>
        <v>(Frostbite) Choco Nut &amp; Cashew</v>
      </c>
      <c r="BV36" s="178">
        <f>'DATA PRODUK'!AU33</f>
        <v>5000</v>
      </c>
      <c r="BW36" s="152"/>
      <c r="BX36" s="152"/>
      <c r="BY36" s="152"/>
      <c r="BZ36" s="152"/>
      <c r="CA36" s="152">
        <f>SUMIF(TRANSHARI1_ICECREAMPAGI[PRODUK],BU36,TRANSHARI1_ICECREAMPAGI[QUANTITY])+SUMIF(TRANSHARI1_ICECREAMMALAM[PRODUK],BU36,TRANSHARI1_ICECREAMMALAM[QUANTITY])</f>
        <v>0</v>
      </c>
      <c r="CB36" s="152">
        <f>SUMIF(TRANSHARI2_ICECREAMPAGI[PRODUK],BU36,TRANSHARI2_ICECREAMPAGI[QUANTITY])+SUMIF(TRANSHARI2_ICECREAMMALAM[PRODUK],BU36,TRANSHARI2_ICECREAMMALAM[QUANTITY])</f>
        <v>0</v>
      </c>
      <c r="CC36" s="152">
        <f>SUMIF(TRANSHARI3_ICECREAMPAGI[PRODUK],BU36,TRANSHARI3_ICECREAMPAGI[QUANTITY])+SUMIF(TRANSHARI3_ICECREAMMALAM[PRODUK],BU36,TRANSHARI3_ICECREAMMALAM[QUANTITY])</f>
        <v>0</v>
      </c>
      <c r="CD36" s="152">
        <f>SUMIF(TRANSHARI4_ICECREAMPAGI[PRODUK],BU36,TRANSHARI4_ICECREAMPAGI[QUANTITY])+SUMIF(TRANSHARI4_ICECREAMMALAM[PRODUK],BU36,TRANSHARI4_ICECREAMMALAM[QUANTITY])</f>
        <v>0</v>
      </c>
      <c r="CE36" s="152">
        <f>SUMIF(TRANSHARI5_ICECREAMPAGI[PRODUK],BU36,TRANSHARI5_ICECREAMPAGI[QUANTITY])+SUMIF(TRANSHARI5_ICECREAMMALAM[PRODUK],BU36,TRANSHARI5_ICECREAMMALAM[QUANTITY])</f>
        <v>0</v>
      </c>
      <c r="CF36" s="152">
        <f>SUMIF(TRANSHARI6_ICECREAMPAGI[PRODUK],BU36,TRANSHARI6_ICECREAMPAGI[QUANTITY])+SUMIF(TRANSHARI6_ICECREAMMALAM[PRODUK],BU36,TRANSHARI6_ICECREAMMALAM[QUANTITY])</f>
        <v>0</v>
      </c>
      <c r="CG36" s="152">
        <f>SUMIF(TRANSHARI7_ICECREAMPAGI[PRODUK],BU36,TRANSHARI7_ICECREAMPAGI[QUANTITY])+SUMIF(TRANSHARI7_ICECREAMMALAM[PRODUK],BU36,TRANSHARI7_ICECREAMMALAM[QUANTITY])</f>
        <v>0</v>
      </c>
      <c r="CH36" s="152">
        <f>SUMIF(TRANSHARI8_ICECREAMPAGI[PRODUK],BU36,TRANSHARI8_ICECREAMPAGI[QUANTITY])+SUMIF(TRANSHARI8_ICECREAMMALAM[PRODUK],BU36,TRANSHARI8_ICECREAMMALAM[QUANTITY])</f>
        <v>0</v>
      </c>
      <c r="CI36" s="152">
        <f>SUMIF(TRANSHARI9_ICECREAMPAGI[PRODUK],BU36,TRANSHARI9_ICECREAMPAGI[QUANTITY])+SUMIF(TRANSHARI9_ICECREAMMALAM[PRODUK],BU36,TRANSHARI9_ICECREAMMALAM[QUANTITY])</f>
        <v>0</v>
      </c>
      <c r="CJ36" s="152">
        <f>SUMIF(TRANSHARI10_ICECREAMPAGI[PRODUK],BU36,TRANSHARI10_ICECREAMPAGI[QUANTITY])+SUMIF(TRANSHARI10_ICECREAMMALAM[PRODUK],BU36,TRANSHARI10_ICECREAMMALAM[QUANTITY])</f>
        <v>0</v>
      </c>
      <c r="CK36" s="152">
        <f>SUMIF(TRANSHARI11_ICECREAMPAGI[PRODUK],BU36,TRANSHARI11_ICECREAMPAGI[QUANTITY])+SUMIF(TRANSHARI11_ICECREAMMALAM[PRODUK],BU36,TRANSHARI11_ICECREAMMALAM[QUANTITY])</f>
        <v>0</v>
      </c>
      <c r="CL36" s="152">
        <f t="shared" si="18"/>
        <v>0</v>
      </c>
      <c r="CM36" s="152">
        <f t="shared" si="19"/>
        <v>0</v>
      </c>
      <c r="CN36" s="176">
        <f t="shared" si="20"/>
        <v>0</v>
      </c>
      <c r="CP36" s="174" t="str">
        <f>'DATA PRODUK'!BH33</f>
        <v>(K.D)(Iphone) Olike D306L</v>
      </c>
      <c r="CQ36" s="178">
        <f>'DATA PRODUK'!BI33</f>
        <v>15000</v>
      </c>
      <c r="CR36" s="152"/>
      <c r="CS36" s="152"/>
      <c r="CT36" s="152"/>
      <c r="CU36" s="152"/>
      <c r="CV36" s="152">
        <f>SUMIF(TRANSHARI1_ACCPAGI[PRODUK],CP36,TRANSHARI1_ACCPAGI[QUANTITY])+SUMIF(TRANSHARI1_ACCMALAM[PRODUK],CP36,TRANSHARI1_ACCMALAM[QUANTITY])</f>
        <v>0</v>
      </c>
      <c r="CW36" s="152">
        <f>SUMIF(TRANSHARI2_ACCPAGI[PRODUK],CP36,TRANSHARI2_ACCPAGI[QUANTITY])+SUMIF(TRANSHARI2_ACCMALAM[PRODUK],CP36,TRANSHARI2_ACCMALAM[QUANTITY])</f>
        <v>0</v>
      </c>
      <c r="CX36" s="152">
        <f>SUMIF(TRANSHARI3_ACCPAGI[PRODUK],CP36,TRANSHARI3_ACCPAGI[QUANTITY])+SUMIF(TRANSHARI3_ACCMALAM[PRODUK],CP36,TRANSHARI3_ACCMALAM[QUANTITY])</f>
        <v>0</v>
      </c>
      <c r="CY36" s="152">
        <f>SUMIF(TRANSHARI4_ACCPAGI[PRODUK],CP36,TRANSHARI4_ACCPAGI[QUANTITY])+SUMIF(TRANSHARI4_ACCMALAM[PRODUK],CP36,TRANSHARI4_ACCMALAM[QUANTITY])</f>
        <v>0</v>
      </c>
      <c r="CZ36" s="152">
        <f>SUMIF(TRANSHARI5_ACCPAGI[PRODUK],CP36,TRANSHARI5_ACCPAGI[QUANTITY])+SUMIF(TRANSHARI5_ACCMALAM[PRODUK],CP36,TRANSHARI5_ACCMALAM[QUANTITY])</f>
        <v>0</v>
      </c>
      <c r="DA36" s="152">
        <f>SUMIF(TRANSHARI6_ACCPAGI[PRODUK],CP36,TRANSHARI6_ACCPAGI[QUANTITY])+SUMIF(TRANSHARI6_ACCMALAM[PRODUK],CP36,TRANSHARI6_ACCMALAM[QUANTITY])</f>
        <v>0</v>
      </c>
      <c r="DB36" s="152">
        <f>SUMIF(TRANSHARI7_ACCPAGI[PRODUK],CP36,TRANSHARI7_ACCPAGI[QUANTITY])+SUMIF(TRANSHARI7_ACCMALAM[PRODUK],CP36,TRANSHARI7_ACCMALAM[QUANTITY])</f>
        <v>0</v>
      </c>
      <c r="DC36" s="152">
        <f>SUMIF(TRANSHARI8_ACCPAGI[PRODUK],CP36,TRANSHARI8_ACCPAGI[QUANTITY])+SUMIF(TRANSHARI8_ACCMALAM[PRODUK],CP36,TRANSHARI8_ACCMALAM[QUANTITY])</f>
        <v>0</v>
      </c>
      <c r="DD36" s="152">
        <f>SUMIF(TRANSHARI9_ACCPAGI[PRODUK],CP36,TRANSHARI9_ACCPAGI[QUANTITY])+SUMIF(TRANSHARI9_ACCMALAM[PRODUK],CP36,TRANSHARI9_ACCMALAM[QUANTITY])</f>
        <v>0</v>
      </c>
      <c r="DE36" s="152">
        <f>SUMIF(TRANSHARI10_ACCPAGI[PRODUK],CP36,TRANSHARI10_ACCPAGI[QUANTITY])+SUMIF(TRANSHARI10_ACCMALAM[PRODUK],CP36,TRANSHARI10_ACCMALAM[QUANTITY])</f>
        <v>0</v>
      </c>
      <c r="DF36" s="152">
        <f>SUMIF(TRANSHARI11_ACCPAGI[PRODUK],CP36,TRANSHARI11_ACCPAGI[QUANTITY])+SUMIF(TRANSHARI11_ACCMALAM[PRODUK],CP36,TRANSHARI11_ACCMALAM[QUANTITY])</f>
        <v>0</v>
      </c>
      <c r="DG36" s="152">
        <f t="shared" si="12"/>
        <v>0</v>
      </c>
      <c r="DH36" s="152">
        <f t="shared" si="13"/>
        <v>0</v>
      </c>
      <c r="DI36" s="176">
        <f t="shared" si="14"/>
        <v>0</v>
      </c>
      <c r="DK36" s="157" t="s">
        <v>141</v>
      </c>
      <c r="DL36" s="157"/>
      <c r="DM36" s="11">
        <f t="shared" ref="DM36:ED36" si="22">SUM(DM15:DM35)</f>
        <v>0</v>
      </c>
      <c r="DN36" s="158">
        <f t="shared" si="22"/>
        <v>0</v>
      </c>
      <c r="DO36" s="159">
        <f t="shared" si="22"/>
        <v>0</v>
      </c>
      <c r="DP36" s="160">
        <f t="shared" si="22"/>
        <v>0</v>
      </c>
      <c r="DQ36" s="161">
        <f t="shared" si="22"/>
        <v>0</v>
      </c>
      <c r="DR36" s="169">
        <f t="shared" si="22"/>
        <v>0</v>
      </c>
      <c r="DS36" s="161">
        <f t="shared" si="22"/>
        <v>0</v>
      </c>
      <c r="DT36" s="169">
        <f t="shared" si="22"/>
        <v>0</v>
      </c>
      <c r="DU36" s="161">
        <f t="shared" si="22"/>
        <v>0</v>
      </c>
      <c r="DV36" s="169">
        <f t="shared" si="22"/>
        <v>0</v>
      </c>
      <c r="DW36" s="161">
        <f t="shared" si="22"/>
        <v>0</v>
      </c>
      <c r="DX36" s="169">
        <f t="shared" si="22"/>
        <v>0</v>
      </c>
      <c r="DY36" s="161">
        <f t="shared" si="22"/>
        <v>0</v>
      </c>
      <c r="DZ36" s="169">
        <f t="shared" si="22"/>
        <v>0</v>
      </c>
      <c r="EA36" s="161">
        <f t="shared" si="22"/>
        <v>0</v>
      </c>
      <c r="EB36" s="181">
        <f t="shared" si="22"/>
        <v>0</v>
      </c>
      <c r="EC36" s="182">
        <f t="shared" si="22"/>
        <v>0</v>
      </c>
      <c r="ED36" s="191">
        <f t="shared" si="22"/>
        <v>0</v>
      </c>
    </row>
    <row r="37" ht="18" spans="4:134">
      <c r="D37" s="127">
        <v>9</v>
      </c>
      <c r="E37" s="128">
        <f>'HARI 9'!L37+'HARI 9'!AA37</f>
        <v>0</v>
      </c>
      <c r="F37" s="128">
        <f>'HARI 9'!L38+'HARI 9'!AA38</f>
        <v>0</v>
      </c>
      <c r="G37" s="129">
        <f>'HARI 9'!L39+'HARI 9'!AA39</f>
        <v>0</v>
      </c>
      <c r="J37" s="24" t="str">
        <f>'DATA PRODUK'!D34</f>
        <v>MLD HITAM 12</v>
      </c>
      <c r="K37" s="150">
        <f>'DATA PRODUK'!E34</f>
        <v>24000</v>
      </c>
      <c r="L37" s="12"/>
      <c r="M37" s="12"/>
      <c r="N37" s="12"/>
      <c r="O37" s="12"/>
      <c r="P37" s="12">
        <f>SUMIF(TRANSHARI1_ROKOKPAGI[PRODUK],J37,TRANSHARI1_ROKOKPAGI[QUANTITY])+SUMIF(TRANSHARI1_ROKOKMALAM[PRODUK],J37,TRANSHARI1_ROKOKMALAM[QUANTITY])</f>
        <v>0</v>
      </c>
      <c r="Q37" s="12">
        <f>SUMIF(TRANSHARI2_ROKOKPAGI[PRODUK],J37,TRANSHARI2_ROKOKPAGI[QUANTITY])+SUMIF(TRANSHARI2_ROKOKMALAM[PRODUK],J37,TRANSHARI2_ROKOKMALAM[QUANTITY])</f>
        <v>0</v>
      </c>
      <c r="R37" s="12">
        <f>SUMIF(TRANSHARI3_ROKOKPAGI[PRODUK],J37,TRANSHARI3_ROKOKPAGI[QUANTITY])+SUMIF(TRANSHARI3_ROKOKMALAM[PRODUK],J37,TRANSHARI3_ROKOKMALAM[QUANTITY])</f>
        <v>0</v>
      </c>
      <c r="S37" s="12">
        <f>SUMIF(TRANSHARI4_ROKOKPAGI[PRODUK],J37,TRANSHARI4_ROKOKPAGI[QUANTITY])+SUMIF(TRANSHARI4_ROKOKMALAM[PRODUK],J37,TRANSHARI4_ROKOKMALAM[QUANTITY])</f>
        <v>0</v>
      </c>
      <c r="T37" s="12">
        <f>SUMIF(TRANSHARI5_ROKOKPAGI[PRODUK],J37,TRANSHARI5_ROKOKPAGI[QUANTITY])+SUMIF(TRANSHARI5_ROKOKMALAM[PRODUK],J37,TRANSHARI5_ROKOKMALAM[QUANTITY])</f>
        <v>0</v>
      </c>
      <c r="U37" s="12">
        <f>SUMIF(TRANSHARI6_ROKOKPAGI[PRODUK],J37,TRANSHARI6_ROKOKPAGI[QUANTITY])+SUMIF(TRANSHARI6_ROKOKMALAM[PRODUK],J37,TRANSHARI6_ROKOKMALAM[QUANTITY])</f>
        <v>0</v>
      </c>
      <c r="V37" s="12">
        <f>SUMIF(TRANSHARI7_ROKOKPAGI[PRODUK],J37,TRANSHARI7_ROKOKPAGI[QUANTITY])+SUMIF(TRANSHARI7_ROKOKMALAM[PRODUK],J37,TRANSHARI7_ROKOKMALAM[QUANTITY])</f>
        <v>0</v>
      </c>
      <c r="W37" s="12">
        <f>SUMIF(TRANSHARI8_ROKOKPAGI[PRODUK],J37,TRANSHARI8_ROKOKPAGI[QUANTITY])+SUMIF(TRANSHARI8_ROKOKMALAM[PRODUK],J37,TRANSHARI8_ROKOKMALAM[QUANTITY])</f>
        <v>0</v>
      </c>
      <c r="X37" s="12">
        <f>SUMIF(TRANSHARI9_ROKOKPAGI[PRODUK],J37,TRANSHARI9_ROKOKPAGI[QUANTITY])+SUMIF(TRANSHARI9_ROKOKMALAM[PRODUK],J37,TRANSHARI9_ROKOKMALAM[QUANTITY])</f>
        <v>0</v>
      </c>
      <c r="Y37" s="12">
        <f>SUMIF(TRANSHARI10_ROKOKPAGI[PRODUK],J37,TRANSHARI10_ROKOKPAGI[QUANTITY])+SUMIF(TRANSHARI10_ROKOKMALAM[PRODUK],J37,TRANSHARI10_ROKOKMALAM[QUANTITY])</f>
        <v>0</v>
      </c>
      <c r="Z37" s="12">
        <f>SUMIF(TRANSHARI11_ROKOKPAGI[PRODUK],J37,TRANSHARI11_ROKOKPAGI[QUANTITY])+SUMIF(TRANSHARI11_ROKOKMALAM[PRODUK],J37,TRANSHARI11_ROKOKMALAM[QUANTITY])</f>
        <v>0</v>
      </c>
      <c r="AA37" s="12">
        <f t="shared" si="0"/>
        <v>0</v>
      </c>
      <c r="AB37" s="12">
        <f t="shared" si="1"/>
        <v>0</v>
      </c>
      <c r="AC37" s="173">
        <f t="shared" si="2"/>
        <v>0</v>
      </c>
      <c r="AE37" s="174" t="str">
        <f>'DATA PRODUK'!R34</f>
        <v>SP by.U 3 GB</v>
      </c>
      <c r="AF37" s="175">
        <f>'DATA PRODUK'!S34</f>
        <v>24000</v>
      </c>
      <c r="AG37" s="12"/>
      <c r="AH37" s="12"/>
      <c r="AI37" s="12"/>
      <c r="AJ37" s="12"/>
      <c r="AK37" s="12">
        <f>SUMIF(TRANSHARI1_SPVOUPAGI[PRODUK],AE37,TRANSHARI1_SPVOUPAGI[QUANTITY])+SUMIF(TRANSHARI1_SPVOUMALAM[PRODUK],AE37,TRANSHARI1_SPVOUMALAM[QUANTITY])</f>
        <v>0</v>
      </c>
      <c r="AL37" s="12">
        <f>SUMIF(TRANSHARI2_SPVOUPAGI[PRODUK],AE37,TRANSHARI2_SPVOUPAGI[QUANTITY])+SUMIF(TRANSHARI2_SPVOUMALAM[PRODUK],AE37,TRANSHARI2_SPVOUMALAM[QUANTITY])</f>
        <v>0</v>
      </c>
      <c r="AM37" s="12">
        <f>SUMIF(TRANSHARI3_SPVOUPAGI[PRODUK],AE37,TRANSHARI3_SPVOUPAGI[QUANTITY])+SUMIF(TRANSHARI3_SPVOUMALAM[PRODUK],AE37,TRANSHARI3_SPVOUMALAM[QUANTITY])</f>
        <v>0</v>
      </c>
      <c r="AN37" s="12">
        <f>SUMIF(TRANSHARI4_SPVOUPAGI[PRODUK],AE37,TRANSHARI4_SPVOUPAGI[QUANTITY])+SUMIF(TRANSHARI4_SPVOUMALAM[PRODUK],AE37,TRANSHARI4_SPVOUMALAM[QUANTITY])</f>
        <v>0</v>
      </c>
      <c r="AO37" s="12">
        <f>SUMIF(TRANSHARI5_SPVOUPAGI[PRODUK],AE37,TRANSHARI5_SPVOUPAGI[QUANTITY])+SUMIF(TRANSHARI5_SPVOUMALAM[PRODUK],AE37,TRANSHARI5_SPVOUMALAM[QUANTITY])</f>
        <v>0</v>
      </c>
      <c r="AP37" s="12">
        <f>SUMIF(TRANSHARI6_SPVOUPAGI[PRODUK],AE37,TRANSHARI6_SPVOUPAGI[QUANTITY])+SUMIF(TRANSHARI6_SPVOUMALAM[PRODUK],AE37,TRANSHARI6_SPVOUMALAM[QUANTITY])</f>
        <v>0</v>
      </c>
      <c r="AQ37" s="12">
        <f>SUMIF(TRANSHARI7_SPVOUPAGI[PRODUK],AE37,TRANSHARI7_SPVOUPAGI[QUANTITY])+SUMIF(TRANSHARI7_SPVOUMALAM[PRODUK],AE37,TRANSHARI7_SPVOUMALAM[QUANTITY])</f>
        <v>0</v>
      </c>
      <c r="AR37" s="12">
        <f>SUMIF(TRANSHARI8_SPVOUPAGI[PRODUK],AE37,TRANSHARI8_SPVOUPAGI[QUANTITY])+SUMIF(TRANSHARI8_SPVOUMALAM[PRODUK],AE37,TRANSHARI8_SPVOUMALAM[QUANTITY])</f>
        <v>0</v>
      </c>
      <c r="AS37" s="12">
        <f>SUMIF(TRANSHARI9_SPVOUPAGI[PRODUK],AE37,TRANSHARI9_SPVOUPAGI[QUANTITY])+SUMIF(TRANSHARI9_SPVOUMALAM[PRODUK],AE37,TRANSHARI9_SPVOUMALAM[QUANTITY])</f>
        <v>0</v>
      </c>
      <c r="AT37" s="12">
        <f>SUMIF(TRANSHARI10_SPVOUPAGI[PRODUK],AE37,TRANSHARI10_SPVOUPAGI[QUANTITY])+SUMIF(TRANSHARI10_SPVOUMALAM[PRODUK],AE37,TRANSHARI10_SPVOUMALAM[QUANTITY])</f>
        <v>0</v>
      </c>
      <c r="AU37" s="12">
        <f>SUMIF(TRANSHARI11_SPVOUPAGI[PRODUK],AE37,TRANSHARI11_SPVOUPAGI[QUANTITY])+SUMIF(TRANSHARI11_SPVOUMALAM[PRODUK],AE37,TRANSHARI11_SPVOUMALAM[QUANTITY])</f>
        <v>0</v>
      </c>
      <c r="AV37" s="12">
        <f t="shared" si="3"/>
        <v>0</v>
      </c>
      <c r="AW37" s="12">
        <f t="shared" si="4"/>
        <v>0</v>
      </c>
      <c r="AX37" s="173">
        <f t="shared" si="5"/>
        <v>0</v>
      </c>
      <c r="BU37" s="177" t="str">
        <f>'DATA PRODUK'!AT34</f>
        <v>(Jcone) Black &amp; Pink</v>
      </c>
      <c r="BV37" s="175">
        <f>'DATA PRODUK'!AU34</f>
        <v>5000</v>
      </c>
      <c r="BW37" s="12"/>
      <c r="BX37" s="12"/>
      <c r="BY37" s="12"/>
      <c r="BZ37" s="12"/>
      <c r="CA37" s="12">
        <f>SUMIF(TRANSHARI1_ICECREAMPAGI[PRODUK],BU37,TRANSHARI1_ICECREAMPAGI[QUANTITY])+SUMIF(TRANSHARI1_ICECREAMMALAM[PRODUK],BU37,TRANSHARI1_ICECREAMMALAM[QUANTITY])</f>
        <v>0</v>
      </c>
      <c r="CB37" s="12">
        <f>SUMIF(TRANSHARI2_ICECREAMPAGI[PRODUK],BU37,TRANSHARI2_ICECREAMPAGI[QUANTITY])+SUMIF(TRANSHARI2_ICECREAMMALAM[PRODUK],BU37,TRANSHARI2_ICECREAMMALAM[QUANTITY])</f>
        <v>0</v>
      </c>
      <c r="CC37" s="12">
        <f>SUMIF(TRANSHARI3_ICECREAMPAGI[PRODUK],BU37,TRANSHARI3_ICECREAMPAGI[QUANTITY])+SUMIF(TRANSHARI3_ICECREAMMALAM[PRODUK],BU37,TRANSHARI3_ICECREAMMALAM[QUANTITY])</f>
        <v>0</v>
      </c>
      <c r="CD37" s="12">
        <f>SUMIF(TRANSHARI4_ICECREAMPAGI[PRODUK],BU37,TRANSHARI4_ICECREAMPAGI[QUANTITY])+SUMIF(TRANSHARI4_ICECREAMMALAM[PRODUK],BU37,TRANSHARI4_ICECREAMMALAM[QUANTITY])</f>
        <v>0</v>
      </c>
      <c r="CE37" s="12">
        <f>SUMIF(TRANSHARI5_ICECREAMPAGI[PRODUK],BU37,TRANSHARI5_ICECREAMPAGI[QUANTITY])+SUMIF(TRANSHARI5_ICECREAMMALAM[PRODUK],BU37,TRANSHARI5_ICECREAMMALAM[QUANTITY])</f>
        <v>0</v>
      </c>
      <c r="CF37" s="12">
        <f>SUMIF(TRANSHARI6_ICECREAMPAGI[PRODUK],BU37,TRANSHARI6_ICECREAMPAGI[QUANTITY])+SUMIF(TRANSHARI6_ICECREAMMALAM[PRODUK],BU37,TRANSHARI6_ICECREAMMALAM[QUANTITY])</f>
        <v>0</v>
      </c>
      <c r="CG37" s="12">
        <f>SUMIF(TRANSHARI7_ICECREAMPAGI[PRODUK],BU37,TRANSHARI7_ICECREAMPAGI[QUANTITY])+SUMIF(TRANSHARI7_ICECREAMMALAM[PRODUK],BU37,TRANSHARI7_ICECREAMMALAM[QUANTITY])</f>
        <v>0</v>
      </c>
      <c r="CH37" s="12">
        <f>SUMIF(TRANSHARI8_ICECREAMPAGI[PRODUK],BU37,TRANSHARI8_ICECREAMPAGI[QUANTITY])+SUMIF(TRANSHARI8_ICECREAMMALAM[PRODUK],BU37,TRANSHARI8_ICECREAMMALAM[QUANTITY])</f>
        <v>0</v>
      </c>
      <c r="CI37" s="12">
        <f>SUMIF(TRANSHARI9_ICECREAMPAGI[PRODUK],BU37,TRANSHARI9_ICECREAMPAGI[QUANTITY])+SUMIF(TRANSHARI9_ICECREAMMALAM[PRODUK],BU37,TRANSHARI9_ICECREAMMALAM[QUANTITY])</f>
        <v>0</v>
      </c>
      <c r="CJ37" s="12">
        <f>SUMIF(TRANSHARI10_ICECREAMPAGI[PRODUK],BU37,TRANSHARI10_ICECREAMPAGI[QUANTITY])+SUMIF(TRANSHARI10_ICECREAMMALAM[PRODUK],BU37,TRANSHARI10_ICECREAMMALAM[QUANTITY])</f>
        <v>0</v>
      </c>
      <c r="CK37" s="12">
        <f>SUMIF(TRANSHARI11_ICECREAMPAGI[PRODUK],BU37,TRANSHARI11_ICECREAMPAGI[QUANTITY])+SUMIF(TRANSHARI11_ICECREAMMALAM[PRODUK],BU37,TRANSHARI11_ICECREAMMALAM[QUANTITY])</f>
        <v>0</v>
      </c>
      <c r="CL37" s="12">
        <f t="shared" si="18"/>
        <v>0</v>
      </c>
      <c r="CM37" s="12">
        <f t="shared" si="19"/>
        <v>0</v>
      </c>
      <c r="CN37" s="173">
        <f t="shared" si="20"/>
        <v>0</v>
      </c>
      <c r="CP37" s="177" t="str">
        <f>'DATA PRODUK'!BH34</f>
        <v>(K.D)(Iphone) Olike D304L</v>
      </c>
      <c r="CQ37" s="175">
        <f>'DATA PRODUK'!BI34</f>
        <v>20000</v>
      </c>
      <c r="CR37" s="12"/>
      <c r="CS37" s="12"/>
      <c r="CT37" s="12"/>
      <c r="CU37" s="12"/>
      <c r="CV37" s="12">
        <f>SUMIF(TRANSHARI1_ACCPAGI[PRODUK],CP37,TRANSHARI1_ACCPAGI[QUANTITY])+SUMIF(TRANSHARI1_ACCMALAM[PRODUK],CP37,TRANSHARI1_ACCMALAM[QUANTITY])</f>
        <v>0</v>
      </c>
      <c r="CW37" s="12">
        <f>SUMIF(TRANSHARI2_ACCPAGI[PRODUK],CP37,TRANSHARI2_ACCPAGI[QUANTITY])+SUMIF(TRANSHARI2_ACCMALAM[PRODUK],CP37,TRANSHARI2_ACCMALAM[QUANTITY])</f>
        <v>0</v>
      </c>
      <c r="CX37" s="12">
        <f>SUMIF(TRANSHARI3_ACCPAGI[PRODUK],CP37,TRANSHARI3_ACCPAGI[QUANTITY])+SUMIF(TRANSHARI3_ACCMALAM[PRODUK],CP37,TRANSHARI3_ACCMALAM[QUANTITY])</f>
        <v>0</v>
      </c>
      <c r="CY37" s="12">
        <f>SUMIF(TRANSHARI4_ACCPAGI[PRODUK],CP37,TRANSHARI4_ACCPAGI[QUANTITY])+SUMIF(TRANSHARI4_ACCMALAM[PRODUK],CP37,TRANSHARI4_ACCMALAM[QUANTITY])</f>
        <v>0</v>
      </c>
      <c r="CZ37" s="12">
        <f>SUMIF(TRANSHARI5_ACCPAGI[PRODUK],CP37,TRANSHARI5_ACCPAGI[QUANTITY])+SUMIF(TRANSHARI5_ACCMALAM[PRODUK],CP37,TRANSHARI5_ACCMALAM[QUANTITY])</f>
        <v>0</v>
      </c>
      <c r="DA37" s="12">
        <f>SUMIF(TRANSHARI6_ACCPAGI[PRODUK],CP37,TRANSHARI6_ACCPAGI[QUANTITY])+SUMIF(TRANSHARI6_ACCMALAM[PRODUK],CP37,TRANSHARI6_ACCMALAM[QUANTITY])</f>
        <v>0</v>
      </c>
      <c r="DB37" s="12">
        <f>SUMIF(TRANSHARI7_ACCPAGI[PRODUK],CP37,TRANSHARI7_ACCPAGI[QUANTITY])+SUMIF(TRANSHARI7_ACCMALAM[PRODUK],CP37,TRANSHARI7_ACCMALAM[QUANTITY])</f>
        <v>0</v>
      </c>
      <c r="DC37" s="12">
        <f>SUMIF(TRANSHARI8_ACCPAGI[PRODUK],CP37,TRANSHARI8_ACCPAGI[QUANTITY])+SUMIF(TRANSHARI8_ACCMALAM[PRODUK],CP37,TRANSHARI8_ACCMALAM[QUANTITY])</f>
        <v>0</v>
      </c>
      <c r="DD37" s="12">
        <f>SUMIF(TRANSHARI9_ACCPAGI[PRODUK],CP37,TRANSHARI9_ACCPAGI[QUANTITY])+SUMIF(TRANSHARI9_ACCMALAM[PRODUK],CP37,TRANSHARI9_ACCMALAM[QUANTITY])</f>
        <v>0</v>
      </c>
      <c r="DE37" s="12">
        <f>SUMIF(TRANSHARI10_ACCPAGI[PRODUK],CP37,TRANSHARI10_ACCPAGI[QUANTITY])+SUMIF(TRANSHARI10_ACCMALAM[PRODUK],CP37,TRANSHARI10_ACCMALAM[QUANTITY])</f>
        <v>0</v>
      </c>
      <c r="DF37" s="12">
        <f>SUMIF(TRANSHARI11_ACCPAGI[PRODUK],CP37,TRANSHARI11_ACCPAGI[QUANTITY])+SUMIF(TRANSHARI11_ACCMALAM[PRODUK],CP37,TRANSHARI11_ACCMALAM[QUANTITY])</f>
        <v>0</v>
      </c>
      <c r="DG37" s="12">
        <f t="shared" si="12"/>
        <v>0</v>
      </c>
      <c r="DH37" s="12">
        <f t="shared" si="13"/>
        <v>0</v>
      </c>
      <c r="DI37" s="173">
        <f t="shared" si="14"/>
        <v>0</v>
      </c>
      <c r="DK37" s="162"/>
      <c r="DL37" s="162"/>
      <c r="DM37" s="11"/>
      <c r="DN37" s="163"/>
      <c r="DO37" s="164"/>
      <c r="DP37" s="165"/>
      <c r="DQ37" s="166"/>
      <c r="DR37" s="170"/>
      <c r="DS37" s="166"/>
      <c r="DT37" s="170"/>
      <c r="DU37" s="166"/>
      <c r="DV37" s="170"/>
      <c r="DW37" s="166"/>
      <c r="DX37" s="170"/>
      <c r="DY37" s="166"/>
      <c r="DZ37" s="170"/>
      <c r="EA37" s="166"/>
      <c r="EB37" s="184"/>
      <c r="EC37" s="185"/>
      <c r="ED37" s="192"/>
    </row>
    <row r="38" ht="18" spans="4:134">
      <c r="D38" s="130">
        <v>10</v>
      </c>
      <c r="E38" s="131">
        <f>'HARI 10'!L37+'HARI 10'!AA37</f>
        <v>0</v>
      </c>
      <c r="F38" s="132">
        <f>'HARI 10'!L38+'HARI 10'!AA38</f>
        <v>0</v>
      </c>
      <c r="G38" s="132">
        <f>'HARI 10'!L39+'HARI 10'!AA39</f>
        <v>0</v>
      </c>
      <c r="J38" s="26" t="str">
        <f>'DATA PRODUK'!D35</f>
        <v>DJARUM SUPER 12</v>
      </c>
      <c r="K38" s="151">
        <f>'DATA PRODUK'!E35</f>
        <v>26000</v>
      </c>
      <c r="L38" s="152"/>
      <c r="M38" s="152"/>
      <c r="N38" s="152"/>
      <c r="O38" s="152"/>
      <c r="P38" s="152">
        <f>SUMIF(TRANSHARI1_ROKOKPAGI[PRODUK],J38,TRANSHARI1_ROKOKPAGI[QUANTITY])+SUMIF(TRANSHARI1_ROKOKMALAM[PRODUK],J38,TRANSHARI1_ROKOKMALAM[QUANTITY])</f>
        <v>0</v>
      </c>
      <c r="Q38" s="152">
        <f>SUMIF(TRANSHARI2_ROKOKPAGI[PRODUK],J38,TRANSHARI2_ROKOKPAGI[QUANTITY])+SUMIF(TRANSHARI2_ROKOKMALAM[PRODUK],J38,TRANSHARI2_ROKOKMALAM[QUANTITY])</f>
        <v>0</v>
      </c>
      <c r="R38" s="152">
        <f>SUMIF(TRANSHARI3_ROKOKPAGI[PRODUK],J38,TRANSHARI3_ROKOKPAGI[QUANTITY])+SUMIF(TRANSHARI3_ROKOKMALAM[PRODUK],J38,TRANSHARI3_ROKOKMALAM[QUANTITY])</f>
        <v>0</v>
      </c>
      <c r="S38" s="152">
        <f>SUMIF(TRANSHARI4_ROKOKPAGI[PRODUK],J38,TRANSHARI4_ROKOKPAGI[QUANTITY])+SUMIF(TRANSHARI4_ROKOKMALAM[PRODUK],J38,TRANSHARI4_ROKOKMALAM[QUANTITY])</f>
        <v>0</v>
      </c>
      <c r="T38" s="152">
        <f>SUMIF(TRANSHARI5_ROKOKPAGI[PRODUK],J38,TRANSHARI5_ROKOKPAGI[QUANTITY])+SUMIF(TRANSHARI5_ROKOKMALAM[PRODUK],J38,TRANSHARI5_ROKOKMALAM[QUANTITY])</f>
        <v>0</v>
      </c>
      <c r="U38" s="152">
        <f>SUMIF(TRANSHARI6_ROKOKPAGI[PRODUK],J38,TRANSHARI6_ROKOKPAGI[QUANTITY])+SUMIF(TRANSHARI6_ROKOKMALAM[PRODUK],J38,TRANSHARI6_ROKOKMALAM[QUANTITY])</f>
        <v>0</v>
      </c>
      <c r="V38" s="152">
        <f>SUMIF(TRANSHARI7_ROKOKPAGI[PRODUK],J38,TRANSHARI7_ROKOKPAGI[QUANTITY])+SUMIF(TRANSHARI7_ROKOKMALAM[PRODUK],J38,TRANSHARI7_ROKOKMALAM[QUANTITY])</f>
        <v>0</v>
      </c>
      <c r="W38" s="152">
        <f>SUMIF(TRANSHARI8_ROKOKPAGI[PRODUK],J38,TRANSHARI8_ROKOKPAGI[QUANTITY])+SUMIF(TRANSHARI8_ROKOKMALAM[PRODUK],J38,TRANSHARI8_ROKOKMALAM[QUANTITY])</f>
        <v>0</v>
      </c>
      <c r="X38" s="152">
        <f>SUMIF(TRANSHARI9_ROKOKPAGI[PRODUK],J38,TRANSHARI9_ROKOKPAGI[QUANTITY])+SUMIF(TRANSHARI9_ROKOKMALAM[PRODUK],J38,TRANSHARI9_ROKOKMALAM[QUANTITY])</f>
        <v>0</v>
      </c>
      <c r="Y38" s="152">
        <f>SUMIF(TRANSHARI10_ROKOKPAGI[PRODUK],J38,TRANSHARI10_ROKOKPAGI[QUANTITY])+SUMIF(TRANSHARI10_ROKOKMALAM[PRODUK],J38,TRANSHARI10_ROKOKMALAM[QUANTITY])</f>
        <v>0</v>
      </c>
      <c r="Z38" s="152">
        <f>SUMIF(TRANSHARI11_ROKOKPAGI[PRODUK],J38,TRANSHARI11_ROKOKPAGI[QUANTITY])+SUMIF(TRANSHARI11_ROKOKMALAM[PRODUK],J38,TRANSHARI11_ROKOKMALAM[QUANTITY])</f>
        <v>0</v>
      </c>
      <c r="AA38" s="152">
        <f t="shared" si="0"/>
        <v>0</v>
      </c>
      <c r="AB38" s="152">
        <f t="shared" si="1"/>
        <v>0</v>
      </c>
      <c r="AC38" s="176">
        <f t="shared" si="2"/>
        <v>0</v>
      </c>
      <c r="AE38" s="177" t="str">
        <f>'DATA PRODUK'!R35</f>
        <v>SP by.U 7 GB</v>
      </c>
      <c r="AF38" s="178">
        <f>'DATA PRODUK'!S35</f>
        <v>30000</v>
      </c>
      <c r="AG38" s="152"/>
      <c r="AH38" s="152"/>
      <c r="AI38" s="152"/>
      <c r="AJ38" s="152"/>
      <c r="AK38" s="152">
        <f>SUMIF(TRANSHARI1_SPVOUPAGI[PRODUK],AE38,TRANSHARI1_SPVOUPAGI[QUANTITY])+SUMIF(TRANSHARI1_SPVOUMALAM[PRODUK],AE38,TRANSHARI1_SPVOUMALAM[QUANTITY])</f>
        <v>0</v>
      </c>
      <c r="AL38" s="152">
        <f>SUMIF(TRANSHARI2_SPVOUPAGI[PRODUK],AE38,TRANSHARI2_SPVOUPAGI[QUANTITY])+SUMIF(TRANSHARI2_SPVOUMALAM[PRODUK],AE38,TRANSHARI2_SPVOUMALAM[QUANTITY])</f>
        <v>0</v>
      </c>
      <c r="AM38" s="152">
        <f>SUMIF(TRANSHARI3_SPVOUPAGI[PRODUK],AE38,TRANSHARI3_SPVOUPAGI[QUANTITY])+SUMIF(TRANSHARI3_SPVOUMALAM[PRODUK],AE38,TRANSHARI3_SPVOUMALAM[QUANTITY])</f>
        <v>0</v>
      </c>
      <c r="AN38" s="152">
        <f>SUMIF(TRANSHARI4_SPVOUPAGI[PRODUK],AE38,TRANSHARI4_SPVOUPAGI[QUANTITY])+SUMIF(TRANSHARI4_SPVOUMALAM[PRODUK],AE38,TRANSHARI4_SPVOUMALAM[QUANTITY])</f>
        <v>0</v>
      </c>
      <c r="AO38" s="152">
        <f>SUMIF(TRANSHARI5_SPVOUPAGI[PRODUK],AE38,TRANSHARI5_SPVOUPAGI[QUANTITY])+SUMIF(TRANSHARI5_SPVOUMALAM[PRODUK],AE38,TRANSHARI5_SPVOUMALAM[QUANTITY])</f>
        <v>0</v>
      </c>
      <c r="AP38" s="152">
        <f>SUMIF(TRANSHARI6_SPVOUPAGI[PRODUK],AE38,TRANSHARI6_SPVOUPAGI[QUANTITY])+SUMIF(TRANSHARI6_SPVOUMALAM[PRODUK],AE38,TRANSHARI6_SPVOUMALAM[QUANTITY])</f>
        <v>0</v>
      </c>
      <c r="AQ38" s="152">
        <f>SUMIF(TRANSHARI7_SPVOUPAGI[PRODUK],AE38,TRANSHARI7_SPVOUPAGI[QUANTITY])+SUMIF(TRANSHARI7_SPVOUMALAM[PRODUK],AE38,TRANSHARI7_SPVOUMALAM[QUANTITY])</f>
        <v>0</v>
      </c>
      <c r="AR38" s="152">
        <f>SUMIF(TRANSHARI8_SPVOUPAGI[PRODUK],AE38,TRANSHARI8_SPVOUPAGI[QUANTITY])+SUMIF(TRANSHARI8_SPVOUMALAM[PRODUK],AE38,TRANSHARI8_SPVOUMALAM[QUANTITY])</f>
        <v>0</v>
      </c>
      <c r="AS38" s="152">
        <f>SUMIF(TRANSHARI9_SPVOUPAGI[PRODUK],AE38,TRANSHARI9_SPVOUPAGI[QUANTITY])+SUMIF(TRANSHARI9_SPVOUMALAM[PRODUK],AE38,TRANSHARI9_SPVOUMALAM[QUANTITY])</f>
        <v>0</v>
      </c>
      <c r="AT38" s="152">
        <f>SUMIF(TRANSHARI10_SPVOUPAGI[PRODUK],AE38,TRANSHARI10_SPVOUPAGI[QUANTITY])+SUMIF(TRANSHARI10_SPVOUMALAM[PRODUK],AE38,TRANSHARI10_SPVOUMALAM[QUANTITY])</f>
        <v>0</v>
      </c>
      <c r="AU38" s="152">
        <f>SUMIF(TRANSHARI11_SPVOUPAGI[PRODUK],AE38,TRANSHARI11_SPVOUPAGI[QUANTITY])+SUMIF(TRANSHARI11_SPVOUMALAM[PRODUK],AE38,TRANSHARI11_SPVOUMALAM[QUANTITY])</f>
        <v>0</v>
      </c>
      <c r="AV38" s="152">
        <f t="shared" si="3"/>
        <v>0</v>
      </c>
      <c r="AW38" s="152">
        <f t="shared" si="4"/>
        <v>0</v>
      </c>
      <c r="AX38" s="176">
        <f t="shared" si="5"/>
        <v>0</v>
      </c>
      <c r="AZ38" s="167" t="str">
        <f>IF(AZ36='DATA PRODUK'!AF31,"MATCHED","NOT MATCHED")</f>
        <v>MATCHED</v>
      </c>
      <c r="BA38" s="167" t="str">
        <f>IF(BA36='DATA PRODUK'!AG31,"MATCHED","NOT MATCHED")</f>
        <v>MATCHED</v>
      </c>
      <c r="BU38" s="174" t="str">
        <f>'DATA PRODUK'!AT35</f>
        <v>(Frostbite) Jcone Cookies &amp; Cream</v>
      </c>
      <c r="BV38" s="178">
        <f>'DATA PRODUK'!AU35</f>
        <v>5000</v>
      </c>
      <c r="BW38" s="152"/>
      <c r="BX38" s="152"/>
      <c r="BY38" s="152"/>
      <c r="BZ38" s="152"/>
      <c r="CA38" s="152">
        <f>SUMIF(TRANSHARI1_ICECREAMPAGI[PRODUK],BU38,TRANSHARI1_ICECREAMPAGI[QUANTITY])+SUMIF(TRANSHARI1_ICECREAMMALAM[PRODUK],BU38,TRANSHARI1_ICECREAMMALAM[QUANTITY])</f>
        <v>0</v>
      </c>
      <c r="CB38" s="152">
        <f>SUMIF(TRANSHARI2_ICECREAMPAGI[PRODUK],BU38,TRANSHARI2_ICECREAMPAGI[QUANTITY])+SUMIF(TRANSHARI2_ICECREAMMALAM[PRODUK],BU38,TRANSHARI2_ICECREAMMALAM[QUANTITY])</f>
        <v>0</v>
      </c>
      <c r="CC38" s="152">
        <f>SUMIF(TRANSHARI3_ICECREAMPAGI[PRODUK],BU38,TRANSHARI3_ICECREAMPAGI[QUANTITY])+SUMIF(TRANSHARI3_ICECREAMMALAM[PRODUK],BU38,TRANSHARI3_ICECREAMMALAM[QUANTITY])</f>
        <v>0</v>
      </c>
      <c r="CD38" s="152">
        <f>SUMIF(TRANSHARI4_ICECREAMPAGI[PRODUK],BU38,TRANSHARI4_ICECREAMPAGI[QUANTITY])+SUMIF(TRANSHARI4_ICECREAMMALAM[PRODUK],BU38,TRANSHARI4_ICECREAMMALAM[QUANTITY])</f>
        <v>0</v>
      </c>
      <c r="CE38" s="152">
        <f>SUMIF(TRANSHARI5_ICECREAMPAGI[PRODUK],BU38,TRANSHARI5_ICECREAMPAGI[QUANTITY])+SUMIF(TRANSHARI5_ICECREAMMALAM[PRODUK],BU38,TRANSHARI5_ICECREAMMALAM[QUANTITY])</f>
        <v>0</v>
      </c>
      <c r="CF38" s="152">
        <f>SUMIF(TRANSHARI6_ICECREAMPAGI[PRODUK],BU38,TRANSHARI6_ICECREAMPAGI[QUANTITY])+SUMIF(TRANSHARI6_ICECREAMMALAM[PRODUK],BU38,TRANSHARI6_ICECREAMMALAM[QUANTITY])</f>
        <v>0</v>
      </c>
      <c r="CG38" s="152">
        <f>SUMIF(TRANSHARI7_ICECREAMPAGI[PRODUK],BU38,TRANSHARI7_ICECREAMPAGI[QUANTITY])+SUMIF(TRANSHARI7_ICECREAMMALAM[PRODUK],BU38,TRANSHARI7_ICECREAMMALAM[QUANTITY])</f>
        <v>0</v>
      </c>
      <c r="CH38" s="152">
        <f>SUMIF(TRANSHARI8_ICECREAMPAGI[PRODUK],BU38,TRANSHARI8_ICECREAMPAGI[QUANTITY])+SUMIF(TRANSHARI8_ICECREAMMALAM[PRODUK],BU38,TRANSHARI8_ICECREAMMALAM[QUANTITY])</f>
        <v>0</v>
      </c>
      <c r="CI38" s="152">
        <f>SUMIF(TRANSHARI9_ICECREAMPAGI[PRODUK],BU38,TRANSHARI9_ICECREAMPAGI[QUANTITY])+SUMIF(TRANSHARI9_ICECREAMMALAM[PRODUK],BU38,TRANSHARI9_ICECREAMMALAM[QUANTITY])</f>
        <v>0</v>
      </c>
      <c r="CJ38" s="152">
        <f>SUMIF(TRANSHARI10_ICECREAMPAGI[PRODUK],BU38,TRANSHARI10_ICECREAMPAGI[QUANTITY])+SUMIF(TRANSHARI10_ICECREAMMALAM[PRODUK],BU38,TRANSHARI10_ICECREAMMALAM[QUANTITY])</f>
        <v>0</v>
      </c>
      <c r="CK38" s="152">
        <f>SUMIF(TRANSHARI11_ICECREAMPAGI[PRODUK],BU38,TRANSHARI11_ICECREAMPAGI[QUANTITY])+SUMIF(TRANSHARI11_ICECREAMMALAM[PRODUK],BU38,TRANSHARI11_ICECREAMMALAM[QUANTITY])</f>
        <v>0</v>
      </c>
      <c r="CL38" s="152">
        <f t="shared" si="18"/>
        <v>0</v>
      </c>
      <c r="CM38" s="152">
        <f t="shared" si="19"/>
        <v>0</v>
      </c>
      <c r="CN38" s="176">
        <f t="shared" si="20"/>
        <v>0</v>
      </c>
      <c r="CP38" s="174" t="str">
        <f>'DATA PRODUK'!BH35</f>
        <v>(K.D)(Iphone) Robot RGL100</v>
      </c>
      <c r="CQ38" s="178">
        <f>'DATA PRODUK'!BI35</f>
        <v>25000</v>
      </c>
      <c r="CR38" s="152"/>
      <c r="CS38" s="152"/>
      <c r="CT38" s="152"/>
      <c r="CU38" s="152"/>
      <c r="CV38" s="152">
        <f>SUMIF(TRANSHARI1_ACCPAGI[PRODUK],CP38,TRANSHARI1_ACCPAGI[QUANTITY])+SUMIF(TRANSHARI1_ACCMALAM[PRODUK],CP38,TRANSHARI1_ACCMALAM[QUANTITY])</f>
        <v>0</v>
      </c>
      <c r="CW38" s="152">
        <f>SUMIF(TRANSHARI2_ACCPAGI[PRODUK],CP38,TRANSHARI2_ACCPAGI[QUANTITY])+SUMIF(TRANSHARI2_ACCMALAM[PRODUK],CP38,TRANSHARI2_ACCMALAM[QUANTITY])</f>
        <v>0</v>
      </c>
      <c r="CX38" s="152">
        <f>SUMIF(TRANSHARI3_ACCPAGI[PRODUK],CP38,TRANSHARI3_ACCPAGI[QUANTITY])+SUMIF(TRANSHARI3_ACCMALAM[PRODUK],CP38,TRANSHARI3_ACCMALAM[QUANTITY])</f>
        <v>0</v>
      </c>
      <c r="CY38" s="152">
        <f>SUMIF(TRANSHARI4_ACCPAGI[PRODUK],CP38,TRANSHARI4_ACCPAGI[QUANTITY])+SUMIF(TRANSHARI4_ACCMALAM[PRODUK],CP38,TRANSHARI4_ACCMALAM[QUANTITY])</f>
        <v>0</v>
      </c>
      <c r="CZ38" s="152">
        <f>SUMIF(TRANSHARI5_ACCPAGI[PRODUK],CP38,TRANSHARI5_ACCPAGI[QUANTITY])+SUMIF(TRANSHARI5_ACCMALAM[PRODUK],CP38,TRANSHARI5_ACCMALAM[QUANTITY])</f>
        <v>0</v>
      </c>
      <c r="DA38" s="152">
        <f>SUMIF(TRANSHARI6_ACCPAGI[PRODUK],CP38,TRANSHARI6_ACCPAGI[QUANTITY])+SUMIF(TRANSHARI6_ACCMALAM[PRODUK],CP38,TRANSHARI6_ACCMALAM[QUANTITY])</f>
        <v>0</v>
      </c>
      <c r="DB38" s="152">
        <f>SUMIF(TRANSHARI7_ACCPAGI[PRODUK],CP38,TRANSHARI7_ACCPAGI[QUANTITY])+SUMIF(TRANSHARI7_ACCMALAM[PRODUK],CP38,TRANSHARI7_ACCMALAM[QUANTITY])</f>
        <v>0</v>
      </c>
      <c r="DC38" s="152">
        <f>SUMIF(TRANSHARI8_ACCPAGI[PRODUK],CP38,TRANSHARI8_ACCPAGI[QUANTITY])+SUMIF(TRANSHARI8_ACCMALAM[PRODUK],CP38,TRANSHARI8_ACCMALAM[QUANTITY])</f>
        <v>0</v>
      </c>
      <c r="DD38" s="152">
        <f>SUMIF(TRANSHARI9_ACCPAGI[PRODUK],CP38,TRANSHARI9_ACCPAGI[QUANTITY])+SUMIF(TRANSHARI9_ACCMALAM[PRODUK],CP38,TRANSHARI9_ACCMALAM[QUANTITY])</f>
        <v>0</v>
      </c>
      <c r="DE38" s="152">
        <f>SUMIF(TRANSHARI10_ACCPAGI[PRODUK],CP38,TRANSHARI10_ACCPAGI[QUANTITY])+SUMIF(TRANSHARI10_ACCMALAM[PRODUK],CP38,TRANSHARI10_ACCMALAM[QUANTITY])</f>
        <v>0</v>
      </c>
      <c r="DF38" s="152">
        <f>SUMIF(TRANSHARI11_ACCPAGI[PRODUK],CP38,TRANSHARI11_ACCPAGI[QUANTITY])+SUMIF(TRANSHARI11_ACCMALAM[PRODUK],CP38,TRANSHARI11_ACCMALAM[QUANTITY])</f>
        <v>0</v>
      </c>
      <c r="DG38" s="152">
        <f t="shared" si="12"/>
        <v>0</v>
      </c>
      <c r="DH38" s="152">
        <f t="shared" si="13"/>
        <v>0</v>
      </c>
      <c r="DI38" s="176">
        <f t="shared" si="14"/>
        <v>0</v>
      </c>
      <c r="DM38" s="167"/>
      <c r="DN38" s="167"/>
      <c r="DO38" s="167"/>
      <c r="DP38" s="167"/>
      <c r="DQ38" s="12" t="s">
        <v>246</v>
      </c>
      <c r="DR38" s="12" t="s">
        <v>247</v>
      </c>
      <c r="DS38" s="12" t="s">
        <v>248</v>
      </c>
      <c r="DT38" s="12" t="s">
        <v>249</v>
      </c>
      <c r="DU38" s="12" t="s">
        <v>250</v>
      </c>
      <c r="DV38" s="12" t="s">
        <v>251</v>
      </c>
      <c r="DW38" s="12" t="s">
        <v>252</v>
      </c>
      <c r="DX38" s="12" t="s">
        <v>253</v>
      </c>
      <c r="DY38" s="12" t="s">
        <v>254</v>
      </c>
      <c r="DZ38" s="12" t="s">
        <v>255</v>
      </c>
      <c r="EA38" s="12" t="s">
        <v>256</v>
      </c>
      <c r="EB38" s="167"/>
      <c r="EC38" s="167"/>
      <c r="ED38" s="167"/>
    </row>
    <row r="39" ht="18" spans="4:116">
      <c r="D39" s="127">
        <v>11</v>
      </c>
      <c r="E39" s="128">
        <f>'HARI 11'!L37+'HARI 11'!AA37</f>
        <v>0</v>
      </c>
      <c r="F39" s="128">
        <f>'HARI 11'!L38+'HARI 11'!AA38</f>
        <v>0</v>
      </c>
      <c r="G39" s="129">
        <f>'HARI 11'!L39+'HARI 11'!AA39</f>
        <v>0</v>
      </c>
      <c r="J39" s="24" t="str">
        <f>'DATA PRODUK'!D36</f>
        <v>88 PUTIH 16</v>
      </c>
      <c r="K39" s="150">
        <f>'DATA PRODUK'!E36</f>
        <v>20000</v>
      </c>
      <c r="L39" s="12"/>
      <c r="M39" s="12"/>
      <c r="N39" s="12"/>
      <c r="O39" s="12"/>
      <c r="P39" s="12">
        <f>SUMIF(TRANSHARI1_ROKOKPAGI[PRODUK],J39,TRANSHARI1_ROKOKPAGI[QUANTITY])+SUMIF(TRANSHARI1_ROKOKMALAM[PRODUK],J39,TRANSHARI1_ROKOKMALAM[QUANTITY])</f>
        <v>1</v>
      </c>
      <c r="Q39" s="12">
        <f>SUMIF(TRANSHARI2_ROKOKPAGI[PRODUK],J39,TRANSHARI2_ROKOKPAGI[QUANTITY])+SUMIF(TRANSHARI2_ROKOKMALAM[PRODUK],J39,TRANSHARI2_ROKOKMALAM[QUANTITY])</f>
        <v>0</v>
      </c>
      <c r="R39" s="12">
        <f>SUMIF(TRANSHARI3_ROKOKPAGI[PRODUK],J39,TRANSHARI3_ROKOKPAGI[QUANTITY])+SUMIF(TRANSHARI3_ROKOKMALAM[PRODUK],J39,TRANSHARI3_ROKOKMALAM[QUANTITY])</f>
        <v>0</v>
      </c>
      <c r="S39" s="12">
        <f>SUMIF(TRANSHARI4_ROKOKPAGI[PRODUK],J39,TRANSHARI4_ROKOKPAGI[QUANTITY])+SUMIF(TRANSHARI4_ROKOKMALAM[PRODUK],J39,TRANSHARI4_ROKOKMALAM[QUANTITY])</f>
        <v>0</v>
      </c>
      <c r="T39" s="12">
        <f>SUMIF(TRANSHARI5_ROKOKPAGI[PRODUK],J39,TRANSHARI5_ROKOKPAGI[QUANTITY])+SUMIF(TRANSHARI5_ROKOKMALAM[PRODUK],J39,TRANSHARI5_ROKOKMALAM[QUANTITY])</f>
        <v>0</v>
      </c>
      <c r="U39" s="12">
        <f>SUMIF(TRANSHARI6_ROKOKPAGI[PRODUK],J39,TRANSHARI6_ROKOKPAGI[QUANTITY])+SUMIF(TRANSHARI6_ROKOKMALAM[PRODUK],J39,TRANSHARI6_ROKOKMALAM[QUANTITY])</f>
        <v>0</v>
      </c>
      <c r="V39" s="12">
        <f>SUMIF(TRANSHARI7_ROKOKPAGI[PRODUK],J39,TRANSHARI7_ROKOKPAGI[QUANTITY])+SUMIF(TRANSHARI7_ROKOKMALAM[PRODUK],J39,TRANSHARI7_ROKOKMALAM[QUANTITY])</f>
        <v>0</v>
      </c>
      <c r="W39" s="12">
        <f>SUMIF(TRANSHARI8_ROKOKPAGI[PRODUK],J39,TRANSHARI8_ROKOKPAGI[QUANTITY])+SUMIF(TRANSHARI8_ROKOKMALAM[PRODUK],J39,TRANSHARI8_ROKOKMALAM[QUANTITY])</f>
        <v>0</v>
      </c>
      <c r="X39" s="12">
        <f>SUMIF(TRANSHARI9_ROKOKPAGI[PRODUK],J39,TRANSHARI9_ROKOKPAGI[QUANTITY])+SUMIF(TRANSHARI9_ROKOKMALAM[PRODUK],J39,TRANSHARI9_ROKOKMALAM[QUANTITY])</f>
        <v>0</v>
      </c>
      <c r="Y39" s="12">
        <f>SUMIF(TRANSHARI10_ROKOKPAGI[PRODUK],J39,TRANSHARI10_ROKOKPAGI[QUANTITY])+SUMIF(TRANSHARI10_ROKOKMALAM[PRODUK],J39,TRANSHARI10_ROKOKMALAM[QUANTITY])</f>
        <v>0</v>
      </c>
      <c r="Z39" s="12">
        <f>SUMIF(TRANSHARI11_ROKOKPAGI[PRODUK],J39,TRANSHARI11_ROKOKPAGI[QUANTITY])+SUMIF(TRANSHARI11_ROKOKMALAM[PRODUK],J39,TRANSHARI11_ROKOKMALAM[QUANTITY])</f>
        <v>0</v>
      </c>
      <c r="AA39" s="12">
        <f t="shared" si="0"/>
        <v>1</v>
      </c>
      <c r="AB39" s="12">
        <f t="shared" si="1"/>
        <v>-1</v>
      </c>
      <c r="AC39" s="173">
        <f t="shared" si="2"/>
        <v>20000</v>
      </c>
      <c r="AE39" s="174"/>
      <c r="AF39" s="175" t="str">
        <f>'DATA PRODUK'!S36</f>
        <v/>
      </c>
      <c r="AG39" s="12"/>
      <c r="AH39" s="12"/>
      <c r="AI39" s="12"/>
      <c r="AJ39" s="12"/>
      <c r="AK39" s="12">
        <f>SUMIF(TRANSHARI1_SPVOUPAGI[PRODUK],AE39,TRANSHARI1_SPVOUPAGI[QUANTITY])+SUMIF(TRANSHARI1_SPVOUMALAM[PRODUK],AE39,TRANSHARI1_SPVOUMALAM[QUANTITY])</f>
        <v>0</v>
      </c>
      <c r="AL39" s="12">
        <f>SUMIF(TRANSHARI2_SPVOUPAGI[PRODUK],AE39,TRANSHARI2_SPVOUPAGI[QUANTITY])+SUMIF(TRANSHARI2_SPVOUMALAM[PRODUK],AE39,TRANSHARI2_SPVOUMALAM[QUANTITY])</f>
        <v>0</v>
      </c>
      <c r="AM39" s="12">
        <f>SUMIF(TRANSHARI3_SPVOUPAGI[PRODUK],AE39,TRANSHARI3_SPVOUPAGI[QUANTITY])+SUMIF(TRANSHARI3_SPVOUMALAM[PRODUK],AE39,TRANSHARI3_SPVOUMALAM[QUANTITY])</f>
        <v>0</v>
      </c>
      <c r="AN39" s="12">
        <f>SUMIF(TRANSHARI4_SPVOUPAGI[PRODUK],AE39,TRANSHARI4_SPVOUPAGI[QUANTITY])+SUMIF(TRANSHARI4_SPVOUMALAM[PRODUK],AE39,TRANSHARI4_SPVOUMALAM[QUANTITY])</f>
        <v>0</v>
      </c>
      <c r="AO39" s="12">
        <f>SUMIF(TRANSHARI5_SPVOUPAGI[PRODUK],AE39,TRANSHARI5_SPVOUPAGI[QUANTITY])+SUMIF(TRANSHARI5_SPVOUMALAM[PRODUK],AE39,TRANSHARI5_SPVOUMALAM[QUANTITY])</f>
        <v>0</v>
      </c>
      <c r="AP39" s="12">
        <f>SUMIF(TRANSHARI6_SPVOUPAGI[PRODUK],AE39,TRANSHARI6_SPVOUPAGI[QUANTITY])+SUMIF(TRANSHARI6_SPVOUMALAM[PRODUK],AE39,TRANSHARI6_SPVOUMALAM[QUANTITY])</f>
        <v>0</v>
      </c>
      <c r="AQ39" s="12">
        <f>SUMIF(TRANSHARI7_SPVOUPAGI[PRODUK],AE39,TRANSHARI7_SPVOUPAGI[QUANTITY])+SUMIF(TRANSHARI7_SPVOUMALAM[PRODUK],AE39,TRANSHARI7_SPVOUMALAM[QUANTITY])</f>
        <v>0</v>
      </c>
      <c r="AR39" s="12">
        <f>SUMIF(TRANSHARI8_SPVOUPAGI[PRODUK],AE39,TRANSHARI8_SPVOUPAGI[QUANTITY])+SUMIF(TRANSHARI8_SPVOUMALAM[PRODUK],AE39,TRANSHARI8_SPVOUMALAM[QUANTITY])</f>
        <v>0</v>
      </c>
      <c r="AS39" s="12">
        <f>SUMIF(TRANSHARI9_SPVOUPAGI[PRODUK],AE39,TRANSHARI9_SPVOUPAGI[QUANTITY])+SUMIF(TRANSHARI9_SPVOUMALAM[PRODUK],AE39,TRANSHARI9_SPVOUMALAM[QUANTITY])</f>
        <v>0</v>
      </c>
      <c r="AT39" s="12">
        <f>SUMIF(TRANSHARI10_SPVOUPAGI[PRODUK],AE39,TRANSHARI10_SPVOUPAGI[QUANTITY])+SUMIF(TRANSHARI10_SPVOUMALAM[PRODUK],AE39,TRANSHARI10_SPVOUMALAM[QUANTITY])</f>
        <v>0</v>
      </c>
      <c r="AU39" s="12">
        <f>SUMIF(TRANSHARI11_SPVOUPAGI[PRODUK],AE39,TRANSHARI11_SPVOUPAGI[QUANTITY])+SUMIF(TRANSHARI11_SPVOUMALAM[PRODUK],AE39,TRANSHARI11_SPVOUMALAM[QUANTITY])</f>
        <v>0</v>
      </c>
      <c r="AV39" s="12">
        <f t="shared" si="3"/>
        <v>0</v>
      </c>
      <c r="AW39" s="12">
        <f t="shared" si="4"/>
        <v>0</v>
      </c>
      <c r="AX39" s="173" t="str">
        <f t="shared" si="5"/>
        <v/>
      </c>
      <c r="BU39" s="177" t="str">
        <f>'DATA PRODUK'!AT36</f>
        <v>(Frostbite) Cookies &amp; Cream</v>
      </c>
      <c r="BV39" s="175">
        <f>'DATA PRODUK'!AU36</f>
        <v>5000</v>
      </c>
      <c r="BW39" s="12"/>
      <c r="BX39" s="12"/>
      <c r="BY39" s="12"/>
      <c r="BZ39" s="12"/>
      <c r="CA39" s="12">
        <f>SUMIF(TRANSHARI1_ICECREAMPAGI[PRODUK],BU39,TRANSHARI1_ICECREAMPAGI[QUANTITY])+SUMIF(TRANSHARI1_ICECREAMMALAM[PRODUK],BU39,TRANSHARI1_ICECREAMMALAM[QUANTITY])</f>
        <v>0</v>
      </c>
      <c r="CB39" s="12">
        <f>SUMIF(TRANSHARI2_ICECREAMPAGI[PRODUK],BU39,TRANSHARI2_ICECREAMPAGI[QUANTITY])+SUMIF(TRANSHARI2_ICECREAMMALAM[PRODUK],BU39,TRANSHARI2_ICECREAMMALAM[QUANTITY])</f>
        <v>0</v>
      </c>
      <c r="CC39" s="12">
        <f>SUMIF(TRANSHARI3_ICECREAMPAGI[PRODUK],BU39,TRANSHARI3_ICECREAMPAGI[QUANTITY])+SUMIF(TRANSHARI3_ICECREAMMALAM[PRODUK],BU39,TRANSHARI3_ICECREAMMALAM[QUANTITY])</f>
        <v>0</v>
      </c>
      <c r="CD39" s="12">
        <f>SUMIF(TRANSHARI4_ICECREAMPAGI[PRODUK],BU39,TRANSHARI4_ICECREAMPAGI[QUANTITY])+SUMIF(TRANSHARI4_ICECREAMMALAM[PRODUK],BU39,TRANSHARI4_ICECREAMMALAM[QUANTITY])</f>
        <v>0</v>
      </c>
      <c r="CE39" s="12">
        <f>SUMIF(TRANSHARI5_ICECREAMPAGI[PRODUK],BU39,TRANSHARI5_ICECREAMPAGI[QUANTITY])+SUMIF(TRANSHARI5_ICECREAMMALAM[PRODUK],BU39,TRANSHARI5_ICECREAMMALAM[QUANTITY])</f>
        <v>0</v>
      </c>
      <c r="CF39" s="12">
        <f>SUMIF(TRANSHARI6_ICECREAMPAGI[PRODUK],BU39,TRANSHARI6_ICECREAMPAGI[QUANTITY])+SUMIF(TRANSHARI6_ICECREAMMALAM[PRODUK],BU39,TRANSHARI6_ICECREAMMALAM[QUANTITY])</f>
        <v>0</v>
      </c>
      <c r="CG39" s="12">
        <f>SUMIF(TRANSHARI7_ICECREAMPAGI[PRODUK],BU39,TRANSHARI7_ICECREAMPAGI[QUANTITY])+SUMIF(TRANSHARI7_ICECREAMMALAM[PRODUK],BU39,TRANSHARI7_ICECREAMMALAM[QUANTITY])</f>
        <v>0</v>
      </c>
      <c r="CH39" s="12">
        <f>SUMIF(TRANSHARI8_ICECREAMPAGI[PRODUK],BU39,TRANSHARI8_ICECREAMPAGI[QUANTITY])+SUMIF(TRANSHARI8_ICECREAMMALAM[PRODUK],BU39,TRANSHARI8_ICECREAMMALAM[QUANTITY])</f>
        <v>0</v>
      </c>
      <c r="CI39" s="12">
        <f>SUMIF(TRANSHARI9_ICECREAMPAGI[PRODUK],BU39,TRANSHARI9_ICECREAMPAGI[QUANTITY])+SUMIF(TRANSHARI9_ICECREAMMALAM[PRODUK],BU39,TRANSHARI9_ICECREAMMALAM[QUANTITY])</f>
        <v>0</v>
      </c>
      <c r="CJ39" s="12">
        <f>SUMIF(TRANSHARI10_ICECREAMPAGI[PRODUK],BU39,TRANSHARI10_ICECREAMPAGI[QUANTITY])+SUMIF(TRANSHARI10_ICECREAMMALAM[PRODUK],BU39,TRANSHARI10_ICECREAMMALAM[QUANTITY])</f>
        <v>0</v>
      </c>
      <c r="CK39" s="12">
        <f>SUMIF(TRANSHARI11_ICECREAMPAGI[PRODUK],BU39,TRANSHARI11_ICECREAMPAGI[QUANTITY])+SUMIF(TRANSHARI11_ICECREAMMALAM[PRODUK],BU39,TRANSHARI11_ICECREAMMALAM[QUANTITY])</f>
        <v>0</v>
      </c>
      <c r="CL39" s="12">
        <f t="shared" si="18"/>
        <v>0</v>
      </c>
      <c r="CM39" s="12">
        <f t="shared" si="19"/>
        <v>0</v>
      </c>
      <c r="CN39" s="173">
        <f t="shared" si="20"/>
        <v>0</v>
      </c>
      <c r="CP39" s="177" t="str">
        <f>'DATA PRODUK'!BH36</f>
        <v>(K.D)(Iphone) Vivan CSL100</v>
      </c>
      <c r="CQ39" s="175">
        <f>'DATA PRODUK'!BI36</f>
        <v>30000</v>
      </c>
      <c r="CR39" s="12"/>
      <c r="CS39" s="12"/>
      <c r="CT39" s="12"/>
      <c r="CU39" s="12"/>
      <c r="CV39" s="12">
        <f>SUMIF(TRANSHARI1_ACCPAGI[PRODUK],CP39,TRANSHARI1_ACCPAGI[QUANTITY])+SUMIF(TRANSHARI1_ACCMALAM[PRODUK],CP39,TRANSHARI1_ACCMALAM[QUANTITY])</f>
        <v>0</v>
      </c>
      <c r="CW39" s="12">
        <f>SUMIF(TRANSHARI2_ACCPAGI[PRODUK],CP39,TRANSHARI2_ACCPAGI[QUANTITY])+SUMIF(TRANSHARI2_ACCMALAM[PRODUK],CP39,TRANSHARI2_ACCMALAM[QUANTITY])</f>
        <v>0</v>
      </c>
      <c r="CX39" s="12">
        <f>SUMIF(TRANSHARI3_ACCPAGI[PRODUK],CP39,TRANSHARI3_ACCPAGI[QUANTITY])+SUMIF(TRANSHARI3_ACCMALAM[PRODUK],CP39,TRANSHARI3_ACCMALAM[QUANTITY])</f>
        <v>0</v>
      </c>
      <c r="CY39" s="12">
        <f>SUMIF(TRANSHARI4_ACCPAGI[PRODUK],CP39,TRANSHARI4_ACCPAGI[QUANTITY])+SUMIF(TRANSHARI4_ACCMALAM[PRODUK],CP39,TRANSHARI4_ACCMALAM[QUANTITY])</f>
        <v>0</v>
      </c>
      <c r="CZ39" s="12">
        <f>SUMIF(TRANSHARI5_ACCPAGI[PRODUK],CP39,TRANSHARI5_ACCPAGI[QUANTITY])+SUMIF(TRANSHARI5_ACCMALAM[PRODUK],CP39,TRANSHARI5_ACCMALAM[QUANTITY])</f>
        <v>0</v>
      </c>
      <c r="DA39" s="12">
        <f>SUMIF(TRANSHARI6_ACCPAGI[PRODUK],CP39,TRANSHARI6_ACCPAGI[QUANTITY])+SUMIF(TRANSHARI6_ACCMALAM[PRODUK],CP39,TRANSHARI6_ACCMALAM[QUANTITY])</f>
        <v>0</v>
      </c>
      <c r="DB39" s="12">
        <f>SUMIF(TRANSHARI7_ACCPAGI[PRODUK],CP39,TRANSHARI7_ACCPAGI[QUANTITY])+SUMIF(TRANSHARI7_ACCMALAM[PRODUK],CP39,TRANSHARI7_ACCMALAM[QUANTITY])</f>
        <v>0</v>
      </c>
      <c r="DC39" s="12">
        <f>SUMIF(TRANSHARI8_ACCPAGI[PRODUK],CP39,TRANSHARI8_ACCPAGI[QUANTITY])+SUMIF(TRANSHARI8_ACCMALAM[PRODUK],CP39,TRANSHARI8_ACCMALAM[QUANTITY])</f>
        <v>0</v>
      </c>
      <c r="DD39" s="12">
        <f>SUMIF(TRANSHARI9_ACCPAGI[PRODUK],CP39,TRANSHARI9_ACCPAGI[QUANTITY])+SUMIF(TRANSHARI9_ACCMALAM[PRODUK],CP39,TRANSHARI9_ACCMALAM[QUANTITY])</f>
        <v>0</v>
      </c>
      <c r="DE39" s="12">
        <f>SUMIF(TRANSHARI10_ACCPAGI[PRODUK],CP39,TRANSHARI10_ACCPAGI[QUANTITY])+SUMIF(TRANSHARI10_ACCMALAM[PRODUK],CP39,TRANSHARI10_ACCMALAM[QUANTITY])</f>
        <v>0</v>
      </c>
      <c r="DF39" s="12">
        <f>SUMIF(TRANSHARI11_ACCPAGI[PRODUK],CP39,TRANSHARI11_ACCPAGI[QUANTITY])+SUMIF(TRANSHARI11_ACCMALAM[PRODUK],CP39,TRANSHARI11_ACCMALAM[QUANTITY])</f>
        <v>0</v>
      </c>
      <c r="DG39" s="12">
        <f t="shared" si="12"/>
        <v>0</v>
      </c>
      <c r="DH39" s="12">
        <f t="shared" si="13"/>
        <v>0</v>
      </c>
      <c r="DI39" s="173">
        <f t="shared" si="14"/>
        <v>0</v>
      </c>
      <c r="DK39" s="167">
        <f>COUNTA(DK15:DK35)</f>
        <v>21</v>
      </c>
      <c r="DL39" s="189">
        <f>SUM(DL15:DL35)</f>
        <v>820000</v>
      </c>
    </row>
    <row r="40" ht="18" spans="4:113">
      <c r="D40" s="133" t="s">
        <v>141</v>
      </c>
      <c r="E40" s="134">
        <f>SUM(E29:E39)</f>
        <v>162895</v>
      </c>
      <c r="F40" s="135">
        <f>SUM(F29:F39)</f>
        <v>0</v>
      </c>
      <c r="G40" s="136">
        <f>SUM(G29:G39)</f>
        <v>0</v>
      </c>
      <c r="J40" s="26" t="str">
        <f>'DATA PRODUK'!D37</f>
        <v>88 HITAM 16</v>
      </c>
      <c r="K40" s="151">
        <f>'DATA PRODUK'!E37</f>
        <v>20000</v>
      </c>
      <c r="L40" s="152"/>
      <c r="M40" s="152"/>
      <c r="N40" s="152"/>
      <c r="O40" s="152"/>
      <c r="P40" s="152">
        <f>SUMIF(TRANSHARI1_ROKOKPAGI[PRODUK],J40,TRANSHARI1_ROKOKPAGI[QUANTITY])+SUMIF(TRANSHARI1_ROKOKMALAM[PRODUK],J40,TRANSHARI1_ROKOKMALAM[QUANTITY])</f>
        <v>1</v>
      </c>
      <c r="Q40" s="152">
        <f>SUMIF(TRANSHARI2_ROKOKPAGI[PRODUK],J40,TRANSHARI2_ROKOKPAGI[QUANTITY])+SUMIF(TRANSHARI2_ROKOKMALAM[PRODUK],J40,TRANSHARI2_ROKOKMALAM[QUANTITY])</f>
        <v>0</v>
      </c>
      <c r="R40" s="152">
        <f>SUMIF(TRANSHARI3_ROKOKPAGI[PRODUK],J40,TRANSHARI3_ROKOKPAGI[QUANTITY])+SUMIF(TRANSHARI3_ROKOKMALAM[PRODUK],J40,TRANSHARI3_ROKOKMALAM[QUANTITY])</f>
        <v>0</v>
      </c>
      <c r="S40" s="152">
        <f>SUMIF(TRANSHARI4_ROKOKPAGI[PRODUK],J40,TRANSHARI4_ROKOKPAGI[QUANTITY])+SUMIF(TRANSHARI4_ROKOKMALAM[PRODUK],J40,TRANSHARI4_ROKOKMALAM[QUANTITY])</f>
        <v>0</v>
      </c>
      <c r="T40" s="152">
        <f>SUMIF(TRANSHARI5_ROKOKPAGI[PRODUK],J40,TRANSHARI5_ROKOKPAGI[QUANTITY])+SUMIF(TRANSHARI5_ROKOKMALAM[PRODUK],J40,TRANSHARI5_ROKOKMALAM[QUANTITY])</f>
        <v>0</v>
      </c>
      <c r="U40" s="152">
        <f>SUMIF(TRANSHARI6_ROKOKPAGI[PRODUK],J40,TRANSHARI6_ROKOKPAGI[QUANTITY])+SUMIF(TRANSHARI6_ROKOKMALAM[PRODUK],J40,TRANSHARI6_ROKOKMALAM[QUANTITY])</f>
        <v>0</v>
      </c>
      <c r="V40" s="152">
        <f>SUMIF(TRANSHARI7_ROKOKPAGI[PRODUK],J40,TRANSHARI7_ROKOKPAGI[QUANTITY])+SUMIF(TRANSHARI7_ROKOKMALAM[PRODUK],J40,TRANSHARI7_ROKOKMALAM[QUANTITY])</f>
        <v>0</v>
      </c>
      <c r="W40" s="152">
        <f>SUMIF(TRANSHARI8_ROKOKPAGI[PRODUK],J40,TRANSHARI8_ROKOKPAGI[QUANTITY])+SUMIF(TRANSHARI8_ROKOKMALAM[PRODUK],J40,TRANSHARI8_ROKOKMALAM[QUANTITY])</f>
        <v>0</v>
      </c>
      <c r="X40" s="152">
        <f>SUMIF(TRANSHARI9_ROKOKPAGI[PRODUK],J40,TRANSHARI9_ROKOKPAGI[QUANTITY])+SUMIF(TRANSHARI9_ROKOKMALAM[PRODUK],J40,TRANSHARI9_ROKOKMALAM[QUANTITY])</f>
        <v>0</v>
      </c>
      <c r="Y40" s="152">
        <f>SUMIF(TRANSHARI10_ROKOKPAGI[PRODUK],J40,TRANSHARI10_ROKOKPAGI[QUANTITY])+SUMIF(TRANSHARI10_ROKOKMALAM[PRODUK],J40,TRANSHARI10_ROKOKMALAM[QUANTITY])</f>
        <v>0</v>
      </c>
      <c r="Z40" s="152">
        <f>SUMIF(TRANSHARI11_ROKOKPAGI[PRODUK],J40,TRANSHARI11_ROKOKPAGI[QUANTITY])+SUMIF(TRANSHARI11_ROKOKMALAM[PRODUK],J40,TRANSHARI11_ROKOKMALAM[QUANTITY])</f>
        <v>0</v>
      </c>
      <c r="AA40" s="152">
        <f t="shared" si="0"/>
        <v>1</v>
      </c>
      <c r="AB40" s="152">
        <f t="shared" si="1"/>
        <v>-1</v>
      </c>
      <c r="AC40" s="176">
        <f t="shared" si="2"/>
        <v>20000</v>
      </c>
      <c r="AE40" s="177" t="str">
        <f>'DATA PRODUK'!R37</f>
        <v>V. TSEL 1.5 / 3hr</v>
      </c>
      <c r="AF40" s="178">
        <f>'DATA PRODUK'!S37</f>
        <v>10000</v>
      </c>
      <c r="AG40" s="152"/>
      <c r="AH40" s="152"/>
      <c r="AI40" s="152"/>
      <c r="AJ40" s="152"/>
      <c r="AK40" s="152">
        <f>SUMIF(TRANSHARI1_SPVOUPAGI[PRODUK],AE40,TRANSHARI1_SPVOUPAGI[QUANTITY])+SUMIF(TRANSHARI1_SPVOUMALAM[PRODUK],AE40,TRANSHARI1_SPVOUMALAM[QUANTITY])</f>
        <v>0</v>
      </c>
      <c r="AL40" s="152">
        <f>SUMIF(TRANSHARI2_SPVOUPAGI[PRODUK],AE40,TRANSHARI2_SPVOUPAGI[QUANTITY])+SUMIF(TRANSHARI2_SPVOUMALAM[PRODUK],AE40,TRANSHARI2_SPVOUMALAM[QUANTITY])</f>
        <v>0</v>
      </c>
      <c r="AM40" s="152">
        <f>SUMIF(TRANSHARI3_SPVOUPAGI[PRODUK],AE40,TRANSHARI3_SPVOUPAGI[QUANTITY])+SUMIF(TRANSHARI3_SPVOUMALAM[PRODUK],AE40,TRANSHARI3_SPVOUMALAM[QUANTITY])</f>
        <v>0</v>
      </c>
      <c r="AN40" s="152">
        <f>SUMIF(TRANSHARI4_SPVOUPAGI[PRODUK],AE40,TRANSHARI4_SPVOUPAGI[QUANTITY])+SUMIF(TRANSHARI4_SPVOUMALAM[PRODUK],AE40,TRANSHARI4_SPVOUMALAM[QUANTITY])</f>
        <v>0</v>
      </c>
      <c r="AO40" s="152">
        <f>SUMIF(TRANSHARI5_SPVOUPAGI[PRODUK],AE40,TRANSHARI5_SPVOUPAGI[QUANTITY])+SUMIF(TRANSHARI5_SPVOUMALAM[PRODUK],AE40,TRANSHARI5_SPVOUMALAM[QUANTITY])</f>
        <v>0</v>
      </c>
      <c r="AP40" s="152">
        <f>SUMIF(TRANSHARI6_SPVOUPAGI[PRODUK],AE40,TRANSHARI6_SPVOUPAGI[QUANTITY])+SUMIF(TRANSHARI6_SPVOUMALAM[PRODUK],AE40,TRANSHARI6_SPVOUMALAM[QUANTITY])</f>
        <v>0</v>
      </c>
      <c r="AQ40" s="152">
        <f>SUMIF(TRANSHARI7_SPVOUPAGI[PRODUK],AE40,TRANSHARI7_SPVOUPAGI[QUANTITY])+SUMIF(TRANSHARI7_SPVOUMALAM[PRODUK],AE40,TRANSHARI7_SPVOUMALAM[QUANTITY])</f>
        <v>0</v>
      </c>
      <c r="AR40" s="152">
        <f>SUMIF(TRANSHARI8_SPVOUPAGI[PRODUK],AE40,TRANSHARI8_SPVOUPAGI[QUANTITY])+SUMIF(TRANSHARI8_SPVOUMALAM[PRODUK],AE40,TRANSHARI8_SPVOUMALAM[QUANTITY])</f>
        <v>0</v>
      </c>
      <c r="AS40" s="152">
        <f>SUMIF(TRANSHARI9_SPVOUPAGI[PRODUK],AE40,TRANSHARI9_SPVOUPAGI[QUANTITY])+SUMIF(TRANSHARI9_SPVOUMALAM[PRODUK],AE40,TRANSHARI9_SPVOUMALAM[QUANTITY])</f>
        <v>0</v>
      </c>
      <c r="AT40" s="152">
        <f>SUMIF(TRANSHARI10_SPVOUPAGI[PRODUK],AE40,TRANSHARI10_SPVOUPAGI[QUANTITY])+SUMIF(TRANSHARI10_SPVOUMALAM[PRODUK],AE40,TRANSHARI10_SPVOUMALAM[QUANTITY])</f>
        <v>0</v>
      </c>
      <c r="AU40" s="152">
        <f>SUMIF(TRANSHARI11_SPVOUPAGI[PRODUK],AE40,TRANSHARI11_SPVOUPAGI[QUANTITY])+SUMIF(TRANSHARI11_SPVOUMALAM[PRODUK],AE40,TRANSHARI11_SPVOUMALAM[QUANTITY])</f>
        <v>0</v>
      </c>
      <c r="AV40" s="152">
        <f t="shared" si="3"/>
        <v>0</v>
      </c>
      <c r="AW40" s="152">
        <f t="shared" si="4"/>
        <v>0</v>
      </c>
      <c r="AX40" s="176">
        <f t="shared" si="5"/>
        <v>0</v>
      </c>
      <c r="BU40" s="174" t="str">
        <f>'DATA PRODUK'!AT37</f>
        <v>(Frostbite) Crunchy Double Choco</v>
      </c>
      <c r="BV40" s="178">
        <f>'DATA PRODUK'!AU37</f>
        <v>5000</v>
      </c>
      <c r="BW40" s="152"/>
      <c r="BX40" s="152"/>
      <c r="BY40" s="152"/>
      <c r="BZ40" s="152"/>
      <c r="CA40" s="152">
        <f>SUMIF(TRANSHARI1_ICECREAMPAGI[PRODUK],BU40,TRANSHARI1_ICECREAMPAGI[QUANTITY])+SUMIF(TRANSHARI1_ICECREAMMALAM[PRODUK],BU40,TRANSHARI1_ICECREAMMALAM[QUANTITY])</f>
        <v>0</v>
      </c>
      <c r="CB40" s="152">
        <f>SUMIF(TRANSHARI2_ICECREAMPAGI[PRODUK],BU40,TRANSHARI2_ICECREAMPAGI[QUANTITY])+SUMIF(TRANSHARI2_ICECREAMMALAM[PRODUK],BU40,TRANSHARI2_ICECREAMMALAM[QUANTITY])</f>
        <v>0</v>
      </c>
      <c r="CC40" s="152">
        <f>SUMIF(TRANSHARI3_ICECREAMPAGI[PRODUK],BU40,TRANSHARI3_ICECREAMPAGI[QUANTITY])+SUMIF(TRANSHARI3_ICECREAMMALAM[PRODUK],BU40,TRANSHARI3_ICECREAMMALAM[QUANTITY])</f>
        <v>0</v>
      </c>
      <c r="CD40" s="152">
        <f>SUMIF(TRANSHARI4_ICECREAMPAGI[PRODUK],BU40,TRANSHARI4_ICECREAMPAGI[QUANTITY])+SUMIF(TRANSHARI4_ICECREAMMALAM[PRODUK],BU40,TRANSHARI4_ICECREAMMALAM[QUANTITY])</f>
        <v>0</v>
      </c>
      <c r="CE40" s="152">
        <f>SUMIF(TRANSHARI5_ICECREAMPAGI[PRODUK],BU40,TRANSHARI5_ICECREAMPAGI[QUANTITY])+SUMIF(TRANSHARI5_ICECREAMMALAM[PRODUK],BU40,TRANSHARI5_ICECREAMMALAM[QUANTITY])</f>
        <v>0</v>
      </c>
      <c r="CF40" s="152">
        <f>SUMIF(TRANSHARI6_ICECREAMPAGI[PRODUK],BU40,TRANSHARI6_ICECREAMPAGI[QUANTITY])+SUMIF(TRANSHARI6_ICECREAMMALAM[PRODUK],BU40,TRANSHARI6_ICECREAMMALAM[QUANTITY])</f>
        <v>0</v>
      </c>
      <c r="CG40" s="152">
        <f>SUMIF(TRANSHARI7_ICECREAMPAGI[PRODUK],BU40,TRANSHARI7_ICECREAMPAGI[QUANTITY])+SUMIF(TRANSHARI7_ICECREAMMALAM[PRODUK],BU40,TRANSHARI7_ICECREAMMALAM[QUANTITY])</f>
        <v>0</v>
      </c>
      <c r="CH40" s="152">
        <f>SUMIF(TRANSHARI8_ICECREAMPAGI[PRODUK],BU40,TRANSHARI8_ICECREAMPAGI[QUANTITY])+SUMIF(TRANSHARI8_ICECREAMMALAM[PRODUK],BU40,TRANSHARI8_ICECREAMMALAM[QUANTITY])</f>
        <v>0</v>
      </c>
      <c r="CI40" s="152">
        <f>SUMIF(TRANSHARI9_ICECREAMPAGI[PRODUK],BU40,TRANSHARI9_ICECREAMPAGI[QUANTITY])+SUMIF(TRANSHARI9_ICECREAMMALAM[PRODUK],BU40,TRANSHARI9_ICECREAMMALAM[QUANTITY])</f>
        <v>0</v>
      </c>
      <c r="CJ40" s="152">
        <f>SUMIF(TRANSHARI10_ICECREAMPAGI[PRODUK],BU40,TRANSHARI10_ICECREAMPAGI[QUANTITY])+SUMIF(TRANSHARI10_ICECREAMMALAM[PRODUK],BU40,TRANSHARI10_ICECREAMMALAM[QUANTITY])</f>
        <v>0</v>
      </c>
      <c r="CK40" s="152">
        <f>SUMIF(TRANSHARI11_ICECREAMPAGI[PRODUK],BU40,TRANSHARI11_ICECREAMPAGI[QUANTITY])+SUMIF(TRANSHARI11_ICECREAMMALAM[PRODUK],BU40,TRANSHARI11_ICECREAMMALAM[QUANTITY])</f>
        <v>0</v>
      </c>
      <c r="CL40" s="152">
        <f t="shared" si="18"/>
        <v>0</v>
      </c>
      <c r="CM40" s="152">
        <f t="shared" si="19"/>
        <v>0</v>
      </c>
      <c r="CN40" s="176">
        <f t="shared" si="20"/>
        <v>0</v>
      </c>
      <c r="CP40" s="174" t="str">
        <f>'DATA PRODUK'!BH37</f>
        <v>(K.D)(Iphone) Vivan CTL-100S</v>
      </c>
      <c r="CQ40" s="178">
        <f>'DATA PRODUK'!BI37</f>
        <v>35000</v>
      </c>
      <c r="CR40" s="152"/>
      <c r="CS40" s="152"/>
      <c r="CT40" s="152"/>
      <c r="CU40" s="152"/>
      <c r="CV40" s="152">
        <f>SUMIF(TRANSHARI1_ACCPAGI[PRODUK],CP40,TRANSHARI1_ACCPAGI[QUANTITY])+SUMIF(TRANSHARI1_ACCMALAM[PRODUK],CP40,TRANSHARI1_ACCMALAM[QUANTITY])</f>
        <v>0</v>
      </c>
      <c r="CW40" s="152">
        <f>SUMIF(TRANSHARI2_ACCPAGI[PRODUK],CP40,TRANSHARI2_ACCPAGI[QUANTITY])+SUMIF(TRANSHARI2_ACCMALAM[PRODUK],CP40,TRANSHARI2_ACCMALAM[QUANTITY])</f>
        <v>0</v>
      </c>
      <c r="CX40" s="152">
        <f>SUMIF(TRANSHARI3_ACCPAGI[PRODUK],CP40,TRANSHARI3_ACCPAGI[QUANTITY])+SUMIF(TRANSHARI3_ACCMALAM[PRODUK],CP40,TRANSHARI3_ACCMALAM[QUANTITY])</f>
        <v>0</v>
      </c>
      <c r="CY40" s="152">
        <f>SUMIF(TRANSHARI4_ACCPAGI[PRODUK],CP40,TRANSHARI4_ACCPAGI[QUANTITY])+SUMIF(TRANSHARI4_ACCMALAM[PRODUK],CP40,TRANSHARI4_ACCMALAM[QUANTITY])</f>
        <v>0</v>
      </c>
      <c r="CZ40" s="152">
        <f>SUMIF(TRANSHARI5_ACCPAGI[PRODUK],CP40,TRANSHARI5_ACCPAGI[QUANTITY])+SUMIF(TRANSHARI5_ACCMALAM[PRODUK],CP40,TRANSHARI5_ACCMALAM[QUANTITY])</f>
        <v>0</v>
      </c>
      <c r="DA40" s="152">
        <f>SUMIF(TRANSHARI6_ACCPAGI[PRODUK],CP40,TRANSHARI6_ACCPAGI[QUANTITY])+SUMIF(TRANSHARI6_ACCMALAM[PRODUK],CP40,TRANSHARI6_ACCMALAM[QUANTITY])</f>
        <v>0</v>
      </c>
      <c r="DB40" s="152">
        <f>SUMIF(TRANSHARI7_ACCPAGI[PRODUK],CP40,TRANSHARI7_ACCPAGI[QUANTITY])+SUMIF(TRANSHARI7_ACCMALAM[PRODUK],CP40,TRANSHARI7_ACCMALAM[QUANTITY])</f>
        <v>0</v>
      </c>
      <c r="DC40" s="152">
        <f>SUMIF(TRANSHARI8_ACCPAGI[PRODUK],CP40,TRANSHARI8_ACCPAGI[QUANTITY])+SUMIF(TRANSHARI8_ACCMALAM[PRODUK],CP40,TRANSHARI8_ACCMALAM[QUANTITY])</f>
        <v>0</v>
      </c>
      <c r="DD40" s="152">
        <f>SUMIF(TRANSHARI9_ACCPAGI[PRODUK],CP40,TRANSHARI9_ACCPAGI[QUANTITY])+SUMIF(TRANSHARI9_ACCMALAM[PRODUK],CP40,TRANSHARI9_ACCMALAM[QUANTITY])</f>
        <v>0</v>
      </c>
      <c r="DE40" s="152">
        <f>SUMIF(TRANSHARI10_ACCPAGI[PRODUK],CP40,TRANSHARI10_ACCPAGI[QUANTITY])+SUMIF(TRANSHARI10_ACCMALAM[PRODUK],CP40,TRANSHARI10_ACCMALAM[QUANTITY])</f>
        <v>0</v>
      </c>
      <c r="DF40" s="152">
        <f>SUMIF(TRANSHARI11_ACCPAGI[PRODUK],CP40,TRANSHARI11_ACCPAGI[QUANTITY])+SUMIF(TRANSHARI11_ACCMALAM[PRODUK],CP40,TRANSHARI11_ACCMALAM[QUANTITY])</f>
        <v>0</v>
      </c>
      <c r="DG40" s="152">
        <f t="shared" si="12"/>
        <v>0</v>
      </c>
      <c r="DH40" s="152">
        <f t="shared" si="13"/>
        <v>0</v>
      </c>
      <c r="DI40" s="176">
        <f t="shared" si="14"/>
        <v>0</v>
      </c>
    </row>
    <row r="41" ht="18" spans="10:116">
      <c r="J41" s="24" t="str">
        <f>'DATA PRODUK'!D38</f>
        <v>GAJAH BARU</v>
      </c>
      <c r="K41" s="150">
        <f>'DATA PRODUK'!E38</f>
        <v>18000</v>
      </c>
      <c r="L41" s="12"/>
      <c r="M41" s="12"/>
      <c r="N41" s="12"/>
      <c r="O41" s="12"/>
      <c r="P41" s="12">
        <f>SUMIF(TRANSHARI1_ROKOKPAGI[PRODUK],J41,TRANSHARI1_ROKOKPAGI[QUANTITY])+SUMIF(TRANSHARI1_ROKOKMALAM[PRODUK],J41,TRANSHARI1_ROKOKMALAM[QUANTITY])</f>
        <v>0</v>
      </c>
      <c r="Q41" s="12">
        <f>SUMIF(TRANSHARI2_ROKOKPAGI[PRODUK],J41,TRANSHARI2_ROKOKPAGI[QUANTITY])+SUMIF(TRANSHARI2_ROKOKMALAM[PRODUK],J41,TRANSHARI2_ROKOKMALAM[QUANTITY])</f>
        <v>0</v>
      </c>
      <c r="R41" s="12">
        <f>SUMIF(TRANSHARI3_ROKOKPAGI[PRODUK],J41,TRANSHARI3_ROKOKPAGI[QUANTITY])+SUMIF(TRANSHARI3_ROKOKMALAM[PRODUK],J41,TRANSHARI3_ROKOKMALAM[QUANTITY])</f>
        <v>0</v>
      </c>
      <c r="S41" s="12">
        <f>SUMIF(TRANSHARI4_ROKOKPAGI[PRODUK],J41,TRANSHARI4_ROKOKPAGI[QUANTITY])+SUMIF(TRANSHARI4_ROKOKMALAM[PRODUK],J41,TRANSHARI4_ROKOKMALAM[QUANTITY])</f>
        <v>0</v>
      </c>
      <c r="T41" s="12">
        <f>SUMIF(TRANSHARI5_ROKOKPAGI[PRODUK],J41,TRANSHARI5_ROKOKPAGI[QUANTITY])+SUMIF(TRANSHARI5_ROKOKMALAM[PRODUK],J41,TRANSHARI5_ROKOKMALAM[QUANTITY])</f>
        <v>0</v>
      </c>
      <c r="U41" s="12">
        <f>SUMIF(TRANSHARI6_ROKOKPAGI[PRODUK],J41,TRANSHARI6_ROKOKPAGI[QUANTITY])+SUMIF(TRANSHARI6_ROKOKMALAM[PRODUK],J41,TRANSHARI6_ROKOKMALAM[QUANTITY])</f>
        <v>0</v>
      </c>
      <c r="V41" s="12">
        <f>SUMIF(TRANSHARI7_ROKOKPAGI[PRODUK],J41,TRANSHARI7_ROKOKPAGI[QUANTITY])+SUMIF(TRANSHARI7_ROKOKMALAM[PRODUK],J41,TRANSHARI7_ROKOKMALAM[QUANTITY])</f>
        <v>0</v>
      </c>
      <c r="W41" s="12">
        <f>SUMIF(TRANSHARI8_ROKOKPAGI[PRODUK],J41,TRANSHARI8_ROKOKPAGI[QUANTITY])+SUMIF(TRANSHARI8_ROKOKMALAM[PRODUK],J41,TRANSHARI8_ROKOKMALAM[QUANTITY])</f>
        <v>0</v>
      </c>
      <c r="X41" s="12">
        <f>SUMIF(TRANSHARI9_ROKOKPAGI[PRODUK],J41,TRANSHARI9_ROKOKPAGI[QUANTITY])+SUMIF(TRANSHARI9_ROKOKMALAM[PRODUK],J41,TRANSHARI9_ROKOKMALAM[QUANTITY])</f>
        <v>0</v>
      </c>
      <c r="Y41" s="12">
        <f>SUMIF(TRANSHARI10_ROKOKPAGI[PRODUK],J41,TRANSHARI10_ROKOKPAGI[QUANTITY])+SUMIF(TRANSHARI10_ROKOKMALAM[PRODUK],J41,TRANSHARI10_ROKOKMALAM[QUANTITY])</f>
        <v>0</v>
      </c>
      <c r="Z41" s="12">
        <f>SUMIF(TRANSHARI11_ROKOKPAGI[PRODUK],J41,TRANSHARI11_ROKOKPAGI[QUANTITY])+SUMIF(TRANSHARI11_ROKOKMALAM[PRODUK],J41,TRANSHARI11_ROKOKMALAM[QUANTITY])</f>
        <v>0</v>
      </c>
      <c r="AA41" s="12">
        <f t="shared" si="0"/>
        <v>0</v>
      </c>
      <c r="AB41" s="12">
        <f t="shared" si="1"/>
        <v>0</v>
      </c>
      <c r="AC41" s="173">
        <f t="shared" si="2"/>
        <v>0</v>
      </c>
      <c r="AE41" s="174" t="str">
        <f>'DATA PRODUK'!R38</f>
        <v>V. TSEL 3 / 5hr</v>
      </c>
      <c r="AF41" s="175">
        <f>'DATA PRODUK'!S38</f>
        <v>15000</v>
      </c>
      <c r="AG41" s="12"/>
      <c r="AH41" s="12"/>
      <c r="AI41" s="12"/>
      <c r="AJ41" s="12"/>
      <c r="AK41" s="12">
        <f>SUMIF(TRANSHARI1_SPVOUPAGI[PRODUK],AE41,TRANSHARI1_SPVOUPAGI[QUANTITY])+SUMIF(TRANSHARI1_SPVOUMALAM[PRODUK],AE41,TRANSHARI1_SPVOUMALAM[QUANTITY])</f>
        <v>2</v>
      </c>
      <c r="AL41" s="12">
        <f>SUMIF(TRANSHARI2_SPVOUPAGI[PRODUK],AE41,TRANSHARI2_SPVOUPAGI[QUANTITY])+SUMIF(TRANSHARI2_SPVOUMALAM[PRODUK],AE41,TRANSHARI2_SPVOUMALAM[QUANTITY])</f>
        <v>1</v>
      </c>
      <c r="AM41" s="12">
        <f>SUMIF(TRANSHARI3_SPVOUPAGI[PRODUK],AE41,TRANSHARI3_SPVOUPAGI[QUANTITY])+SUMIF(TRANSHARI3_SPVOUMALAM[PRODUK],AE41,TRANSHARI3_SPVOUMALAM[QUANTITY])</f>
        <v>0</v>
      </c>
      <c r="AN41" s="12">
        <f>SUMIF(TRANSHARI4_SPVOUPAGI[PRODUK],AE41,TRANSHARI4_SPVOUPAGI[QUANTITY])+SUMIF(TRANSHARI4_SPVOUMALAM[PRODUK],AE41,TRANSHARI4_SPVOUMALAM[QUANTITY])</f>
        <v>0</v>
      </c>
      <c r="AO41" s="12">
        <f>SUMIF(TRANSHARI5_SPVOUPAGI[PRODUK],AE41,TRANSHARI5_SPVOUPAGI[QUANTITY])+SUMIF(TRANSHARI5_SPVOUMALAM[PRODUK],AE41,TRANSHARI5_SPVOUMALAM[QUANTITY])</f>
        <v>0</v>
      </c>
      <c r="AP41" s="12">
        <f>SUMIF(TRANSHARI6_SPVOUPAGI[PRODUK],AE41,TRANSHARI6_SPVOUPAGI[QUANTITY])+SUMIF(TRANSHARI6_SPVOUMALAM[PRODUK],AE41,TRANSHARI6_SPVOUMALAM[QUANTITY])</f>
        <v>0</v>
      </c>
      <c r="AQ41" s="12">
        <f>SUMIF(TRANSHARI7_SPVOUPAGI[PRODUK],AE41,TRANSHARI7_SPVOUPAGI[QUANTITY])+SUMIF(TRANSHARI7_SPVOUMALAM[PRODUK],AE41,TRANSHARI7_SPVOUMALAM[QUANTITY])</f>
        <v>0</v>
      </c>
      <c r="AR41" s="12">
        <f>SUMIF(TRANSHARI8_SPVOUPAGI[PRODUK],AE41,TRANSHARI8_SPVOUPAGI[QUANTITY])+SUMIF(TRANSHARI8_SPVOUMALAM[PRODUK],AE41,TRANSHARI8_SPVOUMALAM[QUANTITY])</f>
        <v>0</v>
      </c>
      <c r="AS41" s="12">
        <f>SUMIF(TRANSHARI9_SPVOUPAGI[PRODUK],AE41,TRANSHARI9_SPVOUPAGI[QUANTITY])+SUMIF(TRANSHARI9_SPVOUMALAM[PRODUK],AE41,TRANSHARI9_SPVOUMALAM[QUANTITY])</f>
        <v>0</v>
      </c>
      <c r="AT41" s="12">
        <f>SUMIF(TRANSHARI10_SPVOUPAGI[PRODUK],AE41,TRANSHARI10_SPVOUPAGI[QUANTITY])+SUMIF(TRANSHARI10_SPVOUMALAM[PRODUK],AE41,TRANSHARI10_SPVOUMALAM[QUANTITY])</f>
        <v>0</v>
      </c>
      <c r="AU41" s="12">
        <f>SUMIF(TRANSHARI11_SPVOUPAGI[PRODUK],AE41,TRANSHARI11_SPVOUPAGI[QUANTITY])+SUMIF(TRANSHARI11_SPVOUMALAM[PRODUK],AE41,TRANSHARI11_SPVOUMALAM[QUANTITY])</f>
        <v>0</v>
      </c>
      <c r="AV41" s="12">
        <f t="shared" si="3"/>
        <v>3</v>
      </c>
      <c r="AW41" s="12">
        <f t="shared" si="4"/>
        <v>-3</v>
      </c>
      <c r="AX41" s="173">
        <f t="shared" si="5"/>
        <v>45000</v>
      </c>
      <c r="BU41" s="177" t="str">
        <f>'DATA PRODUK'!AT38</f>
        <v>(Haku) Double Crispy Choco Monaka</v>
      </c>
      <c r="BV41" s="175">
        <f>'DATA PRODUK'!AU38</f>
        <v>5000</v>
      </c>
      <c r="BW41" s="12"/>
      <c r="BX41" s="12"/>
      <c r="BY41" s="12"/>
      <c r="BZ41" s="12"/>
      <c r="CA41" s="12">
        <f>SUMIF(TRANSHARI1_ICECREAMPAGI[PRODUK],BU41,TRANSHARI1_ICECREAMPAGI[QUANTITY])+SUMIF(TRANSHARI1_ICECREAMMALAM[PRODUK],BU41,TRANSHARI1_ICECREAMMALAM[QUANTITY])</f>
        <v>0</v>
      </c>
      <c r="CB41" s="12">
        <f>SUMIF(TRANSHARI2_ICECREAMPAGI[PRODUK],BU41,TRANSHARI2_ICECREAMPAGI[QUANTITY])+SUMIF(TRANSHARI2_ICECREAMMALAM[PRODUK],BU41,TRANSHARI2_ICECREAMMALAM[QUANTITY])</f>
        <v>0</v>
      </c>
      <c r="CC41" s="12">
        <f>SUMIF(TRANSHARI3_ICECREAMPAGI[PRODUK],BU41,TRANSHARI3_ICECREAMPAGI[QUANTITY])+SUMIF(TRANSHARI3_ICECREAMMALAM[PRODUK],BU41,TRANSHARI3_ICECREAMMALAM[QUANTITY])</f>
        <v>0</v>
      </c>
      <c r="CD41" s="12">
        <f>SUMIF(TRANSHARI4_ICECREAMPAGI[PRODUK],BU41,TRANSHARI4_ICECREAMPAGI[QUANTITY])+SUMIF(TRANSHARI4_ICECREAMMALAM[PRODUK],BU41,TRANSHARI4_ICECREAMMALAM[QUANTITY])</f>
        <v>0</v>
      </c>
      <c r="CE41" s="12">
        <f>SUMIF(TRANSHARI5_ICECREAMPAGI[PRODUK],BU41,TRANSHARI5_ICECREAMPAGI[QUANTITY])+SUMIF(TRANSHARI5_ICECREAMMALAM[PRODUK],BU41,TRANSHARI5_ICECREAMMALAM[QUANTITY])</f>
        <v>0</v>
      </c>
      <c r="CF41" s="12">
        <f>SUMIF(TRANSHARI6_ICECREAMPAGI[PRODUK],BU41,TRANSHARI6_ICECREAMPAGI[QUANTITY])+SUMIF(TRANSHARI6_ICECREAMMALAM[PRODUK],BU41,TRANSHARI6_ICECREAMMALAM[QUANTITY])</f>
        <v>0</v>
      </c>
      <c r="CG41" s="12">
        <f>SUMIF(TRANSHARI7_ICECREAMPAGI[PRODUK],BU41,TRANSHARI7_ICECREAMPAGI[QUANTITY])+SUMIF(TRANSHARI7_ICECREAMMALAM[PRODUK],BU41,TRANSHARI7_ICECREAMMALAM[QUANTITY])</f>
        <v>0</v>
      </c>
      <c r="CH41" s="12">
        <f>SUMIF(TRANSHARI8_ICECREAMPAGI[PRODUK],BU41,TRANSHARI8_ICECREAMPAGI[QUANTITY])+SUMIF(TRANSHARI8_ICECREAMMALAM[PRODUK],BU41,TRANSHARI8_ICECREAMMALAM[QUANTITY])</f>
        <v>0</v>
      </c>
      <c r="CI41" s="12">
        <f>SUMIF(TRANSHARI9_ICECREAMPAGI[PRODUK],BU41,TRANSHARI9_ICECREAMPAGI[QUANTITY])+SUMIF(TRANSHARI9_ICECREAMMALAM[PRODUK],BU41,TRANSHARI9_ICECREAMMALAM[QUANTITY])</f>
        <v>0</v>
      </c>
      <c r="CJ41" s="12">
        <f>SUMIF(TRANSHARI10_ICECREAMPAGI[PRODUK],BU41,TRANSHARI10_ICECREAMPAGI[QUANTITY])+SUMIF(TRANSHARI10_ICECREAMMALAM[PRODUK],BU41,TRANSHARI10_ICECREAMMALAM[QUANTITY])</f>
        <v>0</v>
      </c>
      <c r="CK41" s="12">
        <f>SUMIF(TRANSHARI11_ICECREAMPAGI[PRODUK],BU41,TRANSHARI11_ICECREAMPAGI[QUANTITY])+SUMIF(TRANSHARI11_ICECREAMMALAM[PRODUK],BU41,TRANSHARI11_ICECREAMMALAM[QUANTITY])</f>
        <v>0</v>
      </c>
      <c r="CL41" s="12">
        <f t="shared" si="18"/>
        <v>0</v>
      </c>
      <c r="CM41" s="12">
        <f t="shared" si="19"/>
        <v>0</v>
      </c>
      <c r="CN41" s="173">
        <f t="shared" si="20"/>
        <v>0</v>
      </c>
      <c r="CP41" s="177" t="str">
        <f>'DATA PRODUK'!BH38</f>
        <v>(K.D)(Iphone)(Braided) Olike D201L</v>
      </c>
      <c r="CQ41" s="175">
        <f>'DATA PRODUK'!BI38</f>
        <v>40000</v>
      </c>
      <c r="CR41" s="12"/>
      <c r="CS41" s="12"/>
      <c r="CT41" s="12"/>
      <c r="CU41" s="12"/>
      <c r="CV41" s="12">
        <f>SUMIF(TRANSHARI1_ACCPAGI[PRODUK],CP41,TRANSHARI1_ACCPAGI[QUANTITY])+SUMIF(TRANSHARI1_ACCMALAM[PRODUK],CP41,TRANSHARI1_ACCMALAM[QUANTITY])</f>
        <v>0</v>
      </c>
      <c r="CW41" s="12">
        <f>SUMIF(TRANSHARI2_ACCPAGI[PRODUK],CP41,TRANSHARI2_ACCPAGI[QUANTITY])+SUMIF(TRANSHARI2_ACCMALAM[PRODUK],CP41,TRANSHARI2_ACCMALAM[QUANTITY])</f>
        <v>0</v>
      </c>
      <c r="CX41" s="12">
        <f>SUMIF(TRANSHARI3_ACCPAGI[PRODUK],CP41,TRANSHARI3_ACCPAGI[QUANTITY])+SUMIF(TRANSHARI3_ACCMALAM[PRODUK],CP41,TRANSHARI3_ACCMALAM[QUANTITY])</f>
        <v>0</v>
      </c>
      <c r="CY41" s="12">
        <f>SUMIF(TRANSHARI4_ACCPAGI[PRODUK],CP41,TRANSHARI4_ACCPAGI[QUANTITY])+SUMIF(TRANSHARI4_ACCMALAM[PRODUK],CP41,TRANSHARI4_ACCMALAM[QUANTITY])</f>
        <v>0</v>
      </c>
      <c r="CZ41" s="12">
        <f>SUMIF(TRANSHARI5_ACCPAGI[PRODUK],CP41,TRANSHARI5_ACCPAGI[QUANTITY])+SUMIF(TRANSHARI5_ACCMALAM[PRODUK],CP41,TRANSHARI5_ACCMALAM[QUANTITY])</f>
        <v>0</v>
      </c>
      <c r="DA41" s="12">
        <f>SUMIF(TRANSHARI6_ACCPAGI[PRODUK],CP41,TRANSHARI6_ACCPAGI[QUANTITY])+SUMIF(TRANSHARI6_ACCMALAM[PRODUK],CP41,TRANSHARI6_ACCMALAM[QUANTITY])</f>
        <v>0</v>
      </c>
      <c r="DB41" s="12">
        <f>SUMIF(TRANSHARI7_ACCPAGI[PRODUK],CP41,TRANSHARI7_ACCPAGI[QUANTITY])+SUMIF(TRANSHARI7_ACCMALAM[PRODUK],CP41,TRANSHARI7_ACCMALAM[QUANTITY])</f>
        <v>0</v>
      </c>
      <c r="DC41" s="12">
        <f>SUMIF(TRANSHARI8_ACCPAGI[PRODUK],CP41,TRANSHARI8_ACCPAGI[QUANTITY])+SUMIF(TRANSHARI8_ACCMALAM[PRODUK],CP41,TRANSHARI8_ACCMALAM[QUANTITY])</f>
        <v>0</v>
      </c>
      <c r="DD41" s="12">
        <f>SUMIF(TRANSHARI9_ACCPAGI[PRODUK],CP41,TRANSHARI9_ACCPAGI[QUANTITY])+SUMIF(TRANSHARI9_ACCMALAM[PRODUK],CP41,TRANSHARI9_ACCMALAM[QUANTITY])</f>
        <v>0</v>
      </c>
      <c r="DE41" s="12">
        <f>SUMIF(TRANSHARI10_ACCPAGI[PRODUK],CP41,TRANSHARI10_ACCPAGI[QUANTITY])+SUMIF(TRANSHARI10_ACCMALAM[PRODUK],CP41,TRANSHARI10_ACCMALAM[QUANTITY])</f>
        <v>0</v>
      </c>
      <c r="DF41" s="12">
        <f>SUMIF(TRANSHARI11_ACCPAGI[PRODUK],CP41,TRANSHARI11_ACCPAGI[QUANTITY])+SUMIF(TRANSHARI11_ACCMALAM[PRODUK],CP41,TRANSHARI11_ACCMALAM[QUANTITY])</f>
        <v>0</v>
      </c>
      <c r="DG41" s="12">
        <f t="shared" si="12"/>
        <v>0</v>
      </c>
      <c r="DH41" s="12">
        <f t="shared" si="13"/>
        <v>0</v>
      </c>
      <c r="DI41" s="173">
        <f t="shared" si="14"/>
        <v>0</v>
      </c>
      <c r="DK41" s="167" t="str">
        <f>IF(DK39='DATA PRODUK'!BV34,"MATCHED","NOT MATCHED")</f>
        <v>MATCHED</v>
      </c>
      <c r="DL41" s="167" t="str">
        <f>IF(DL39='DATA PRODUK'!BW34,"MATCHED","NOT MATCHED")</f>
        <v>MATCHED</v>
      </c>
    </row>
    <row r="42" ht="18" spans="10:113">
      <c r="J42" s="26" t="str">
        <f>'DATA PRODUK'!D39</f>
        <v>76 KRETEK</v>
      </c>
      <c r="K42" s="151">
        <f>'DATA PRODUK'!E39</f>
        <v>16000</v>
      </c>
      <c r="L42" s="152"/>
      <c r="M42" s="152"/>
      <c r="N42" s="152"/>
      <c r="O42" s="152"/>
      <c r="P42" s="152">
        <f>SUMIF(TRANSHARI1_ROKOKPAGI[PRODUK],J42,TRANSHARI1_ROKOKPAGI[QUANTITY])+SUMIF(TRANSHARI1_ROKOKMALAM[PRODUK],J42,TRANSHARI1_ROKOKMALAM[QUANTITY])</f>
        <v>1</v>
      </c>
      <c r="Q42" s="152">
        <f>SUMIF(TRANSHARI2_ROKOKPAGI[PRODUK],J42,TRANSHARI2_ROKOKPAGI[QUANTITY])+SUMIF(TRANSHARI2_ROKOKMALAM[PRODUK],J42,TRANSHARI2_ROKOKMALAM[QUANTITY])</f>
        <v>0</v>
      </c>
      <c r="R42" s="152">
        <f>SUMIF(TRANSHARI3_ROKOKPAGI[PRODUK],J42,TRANSHARI3_ROKOKPAGI[QUANTITY])+SUMIF(TRANSHARI3_ROKOKMALAM[PRODUK],J42,TRANSHARI3_ROKOKMALAM[QUANTITY])</f>
        <v>0</v>
      </c>
      <c r="S42" s="152">
        <f>SUMIF(TRANSHARI4_ROKOKPAGI[PRODUK],J42,TRANSHARI4_ROKOKPAGI[QUANTITY])+SUMIF(TRANSHARI4_ROKOKMALAM[PRODUK],J42,TRANSHARI4_ROKOKMALAM[QUANTITY])</f>
        <v>0</v>
      </c>
      <c r="T42" s="152">
        <f>SUMIF(TRANSHARI5_ROKOKPAGI[PRODUK],J42,TRANSHARI5_ROKOKPAGI[QUANTITY])+SUMIF(TRANSHARI5_ROKOKMALAM[PRODUK],J42,TRANSHARI5_ROKOKMALAM[QUANTITY])</f>
        <v>0</v>
      </c>
      <c r="U42" s="152">
        <f>SUMIF(TRANSHARI6_ROKOKPAGI[PRODUK],J42,TRANSHARI6_ROKOKPAGI[QUANTITY])+SUMIF(TRANSHARI6_ROKOKMALAM[PRODUK],J42,TRANSHARI6_ROKOKMALAM[QUANTITY])</f>
        <v>0</v>
      </c>
      <c r="V42" s="152">
        <f>SUMIF(TRANSHARI7_ROKOKPAGI[PRODUK],J42,TRANSHARI7_ROKOKPAGI[QUANTITY])+SUMIF(TRANSHARI7_ROKOKMALAM[PRODUK],J42,TRANSHARI7_ROKOKMALAM[QUANTITY])</f>
        <v>0</v>
      </c>
      <c r="W42" s="152">
        <f>SUMIF(TRANSHARI8_ROKOKPAGI[PRODUK],J42,TRANSHARI8_ROKOKPAGI[QUANTITY])+SUMIF(TRANSHARI8_ROKOKMALAM[PRODUK],J42,TRANSHARI8_ROKOKMALAM[QUANTITY])</f>
        <v>0</v>
      </c>
      <c r="X42" s="152">
        <f>SUMIF(TRANSHARI9_ROKOKPAGI[PRODUK],J42,TRANSHARI9_ROKOKPAGI[QUANTITY])+SUMIF(TRANSHARI9_ROKOKMALAM[PRODUK],J42,TRANSHARI9_ROKOKMALAM[QUANTITY])</f>
        <v>0</v>
      </c>
      <c r="Y42" s="152">
        <f>SUMIF(TRANSHARI10_ROKOKPAGI[PRODUK],J42,TRANSHARI10_ROKOKPAGI[QUANTITY])+SUMIF(TRANSHARI10_ROKOKMALAM[PRODUK],J42,TRANSHARI10_ROKOKMALAM[QUANTITY])</f>
        <v>0</v>
      </c>
      <c r="Z42" s="152">
        <f>SUMIF(TRANSHARI11_ROKOKPAGI[PRODUK],J42,TRANSHARI11_ROKOKPAGI[QUANTITY])+SUMIF(TRANSHARI11_ROKOKMALAM[PRODUK],J42,TRANSHARI11_ROKOKMALAM[QUANTITY])</f>
        <v>0</v>
      </c>
      <c r="AA42" s="152">
        <f t="shared" si="0"/>
        <v>1</v>
      </c>
      <c r="AB42" s="152">
        <f t="shared" si="1"/>
        <v>-1</v>
      </c>
      <c r="AC42" s="176">
        <f t="shared" si="2"/>
        <v>16000</v>
      </c>
      <c r="AE42" s="177" t="str">
        <f>'DATA PRODUK'!R39</f>
        <v>V. TSEL 3.5 / 7hr</v>
      </c>
      <c r="AF42" s="178">
        <f>'DATA PRODUK'!S39</f>
        <v>21000</v>
      </c>
      <c r="AG42" s="152"/>
      <c r="AH42" s="152"/>
      <c r="AI42" s="152"/>
      <c r="AJ42" s="152"/>
      <c r="AK42" s="152">
        <f>SUMIF(TRANSHARI1_SPVOUPAGI[PRODUK],AE42,TRANSHARI1_SPVOUPAGI[QUANTITY])+SUMIF(TRANSHARI1_SPVOUMALAM[PRODUK],AE42,TRANSHARI1_SPVOUMALAM[QUANTITY])</f>
        <v>0</v>
      </c>
      <c r="AL42" s="152">
        <f>SUMIF(TRANSHARI2_SPVOUPAGI[PRODUK],AE42,TRANSHARI2_SPVOUPAGI[QUANTITY])+SUMIF(TRANSHARI2_SPVOUMALAM[PRODUK],AE42,TRANSHARI2_SPVOUMALAM[QUANTITY])</f>
        <v>0</v>
      </c>
      <c r="AM42" s="152">
        <f>SUMIF(TRANSHARI3_SPVOUPAGI[PRODUK],AE42,TRANSHARI3_SPVOUPAGI[QUANTITY])+SUMIF(TRANSHARI3_SPVOUMALAM[PRODUK],AE42,TRANSHARI3_SPVOUMALAM[QUANTITY])</f>
        <v>0</v>
      </c>
      <c r="AN42" s="152">
        <f>SUMIF(TRANSHARI4_SPVOUPAGI[PRODUK],AE42,TRANSHARI4_SPVOUPAGI[QUANTITY])+SUMIF(TRANSHARI4_SPVOUMALAM[PRODUK],AE42,TRANSHARI4_SPVOUMALAM[QUANTITY])</f>
        <v>0</v>
      </c>
      <c r="AO42" s="152">
        <f>SUMIF(TRANSHARI5_SPVOUPAGI[PRODUK],AE42,TRANSHARI5_SPVOUPAGI[QUANTITY])+SUMIF(TRANSHARI5_SPVOUMALAM[PRODUK],AE42,TRANSHARI5_SPVOUMALAM[QUANTITY])</f>
        <v>0</v>
      </c>
      <c r="AP42" s="152">
        <f>SUMIF(TRANSHARI6_SPVOUPAGI[PRODUK],AE42,TRANSHARI6_SPVOUPAGI[QUANTITY])+SUMIF(TRANSHARI6_SPVOUMALAM[PRODUK],AE42,TRANSHARI6_SPVOUMALAM[QUANTITY])</f>
        <v>0</v>
      </c>
      <c r="AQ42" s="152">
        <f>SUMIF(TRANSHARI7_SPVOUPAGI[PRODUK],AE42,TRANSHARI7_SPVOUPAGI[QUANTITY])+SUMIF(TRANSHARI7_SPVOUMALAM[PRODUK],AE42,TRANSHARI7_SPVOUMALAM[QUANTITY])</f>
        <v>0</v>
      </c>
      <c r="AR42" s="152">
        <f>SUMIF(TRANSHARI8_SPVOUPAGI[PRODUK],AE42,TRANSHARI8_SPVOUPAGI[QUANTITY])+SUMIF(TRANSHARI8_SPVOUMALAM[PRODUK],AE42,TRANSHARI8_SPVOUMALAM[QUANTITY])</f>
        <v>0</v>
      </c>
      <c r="AS42" s="152">
        <f>SUMIF(TRANSHARI9_SPVOUPAGI[PRODUK],AE42,TRANSHARI9_SPVOUPAGI[QUANTITY])+SUMIF(TRANSHARI9_SPVOUMALAM[PRODUK],AE42,TRANSHARI9_SPVOUMALAM[QUANTITY])</f>
        <v>0</v>
      </c>
      <c r="AT42" s="152">
        <f>SUMIF(TRANSHARI10_SPVOUPAGI[PRODUK],AE42,TRANSHARI10_SPVOUPAGI[QUANTITY])+SUMIF(TRANSHARI10_SPVOUMALAM[PRODUK],AE42,TRANSHARI10_SPVOUMALAM[QUANTITY])</f>
        <v>0</v>
      </c>
      <c r="AU42" s="152">
        <f>SUMIF(TRANSHARI11_SPVOUPAGI[PRODUK],AE42,TRANSHARI11_SPVOUPAGI[QUANTITY])+SUMIF(TRANSHARI11_SPVOUMALAM[PRODUK],AE42,TRANSHARI11_SPVOUMALAM[QUANTITY])</f>
        <v>0</v>
      </c>
      <c r="AV42" s="152">
        <f t="shared" si="3"/>
        <v>0</v>
      </c>
      <c r="AW42" s="152">
        <f t="shared" si="4"/>
        <v>0</v>
      </c>
      <c r="AX42" s="176">
        <f t="shared" si="5"/>
        <v>0</v>
      </c>
      <c r="BU42" s="174" t="str">
        <f>'DATA PRODUK'!AT39</f>
        <v>(Haku) Strawberry Crispy Choco Monaka</v>
      </c>
      <c r="BV42" s="178">
        <f>'DATA PRODUK'!AU39</f>
        <v>5000</v>
      </c>
      <c r="BW42" s="152"/>
      <c r="BX42" s="152"/>
      <c r="BY42" s="152"/>
      <c r="BZ42" s="152"/>
      <c r="CA42" s="152">
        <f>SUMIF(TRANSHARI1_ICECREAMPAGI[PRODUK],BU42,TRANSHARI1_ICECREAMPAGI[QUANTITY])+SUMIF(TRANSHARI1_ICECREAMMALAM[PRODUK],BU42,TRANSHARI1_ICECREAMMALAM[QUANTITY])</f>
        <v>1</v>
      </c>
      <c r="CB42" s="152">
        <f>SUMIF(TRANSHARI2_ICECREAMPAGI[PRODUK],BU42,TRANSHARI2_ICECREAMPAGI[QUANTITY])+SUMIF(TRANSHARI2_ICECREAMMALAM[PRODUK],BU42,TRANSHARI2_ICECREAMMALAM[QUANTITY])</f>
        <v>0</v>
      </c>
      <c r="CC42" s="152">
        <f>SUMIF(TRANSHARI3_ICECREAMPAGI[PRODUK],BU42,TRANSHARI3_ICECREAMPAGI[QUANTITY])+SUMIF(TRANSHARI3_ICECREAMMALAM[PRODUK],BU42,TRANSHARI3_ICECREAMMALAM[QUANTITY])</f>
        <v>0</v>
      </c>
      <c r="CD42" s="152">
        <f>SUMIF(TRANSHARI4_ICECREAMPAGI[PRODUK],BU42,TRANSHARI4_ICECREAMPAGI[QUANTITY])+SUMIF(TRANSHARI4_ICECREAMMALAM[PRODUK],BU42,TRANSHARI4_ICECREAMMALAM[QUANTITY])</f>
        <v>0</v>
      </c>
      <c r="CE42" s="152">
        <f>SUMIF(TRANSHARI5_ICECREAMPAGI[PRODUK],BU42,TRANSHARI5_ICECREAMPAGI[QUANTITY])+SUMIF(TRANSHARI5_ICECREAMMALAM[PRODUK],BU42,TRANSHARI5_ICECREAMMALAM[QUANTITY])</f>
        <v>0</v>
      </c>
      <c r="CF42" s="152">
        <f>SUMIF(TRANSHARI6_ICECREAMPAGI[PRODUK],BU42,TRANSHARI6_ICECREAMPAGI[QUANTITY])+SUMIF(TRANSHARI6_ICECREAMMALAM[PRODUK],BU42,TRANSHARI6_ICECREAMMALAM[QUANTITY])</f>
        <v>0</v>
      </c>
      <c r="CG42" s="152">
        <f>SUMIF(TRANSHARI7_ICECREAMPAGI[PRODUK],BU42,TRANSHARI7_ICECREAMPAGI[QUANTITY])+SUMIF(TRANSHARI7_ICECREAMMALAM[PRODUK],BU42,TRANSHARI7_ICECREAMMALAM[QUANTITY])</f>
        <v>0</v>
      </c>
      <c r="CH42" s="152">
        <f>SUMIF(TRANSHARI8_ICECREAMPAGI[PRODUK],BU42,TRANSHARI8_ICECREAMPAGI[QUANTITY])+SUMIF(TRANSHARI8_ICECREAMMALAM[PRODUK],BU42,TRANSHARI8_ICECREAMMALAM[QUANTITY])</f>
        <v>0</v>
      </c>
      <c r="CI42" s="152">
        <f>SUMIF(TRANSHARI9_ICECREAMPAGI[PRODUK],BU42,TRANSHARI9_ICECREAMPAGI[QUANTITY])+SUMIF(TRANSHARI9_ICECREAMMALAM[PRODUK],BU42,TRANSHARI9_ICECREAMMALAM[QUANTITY])</f>
        <v>0</v>
      </c>
      <c r="CJ42" s="152">
        <f>SUMIF(TRANSHARI10_ICECREAMPAGI[PRODUK],BU42,TRANSHARI10_ICECREAMPAGI[QUANTITY])+SUMIF(TRANSHARI10_ICECREAMMALAM[PRODUK],BU42,TRANSHARI10_ICECREAMMALAM[QUANTITY])</f>
        <v>0</v>
      </c>
      <c r="CK42" s="152">
        <f>SUMIF(TRANSHARI11_ICECREAMPAGI[PRODUK],BU42,TRANSHARI11_ICECREAMPAGI[QUANTITY])+SUMIF(TRANSHARI11_ICECREAMMALAM[PRODUK],BU42,TRANSHARI11_ICECREAMMALAM[QUANTITY])</f>
        <v>0</v>
      </c>
      <c r="CL42" s="152">
        <f t="shared" si="18"/>
        <v>1</v>
      </c>
      <c r="CM42" s="152">
        <f t="shared" si="19"/>
        <v>-1</v>
      </c>
      <c r="CN42" s="176">
        <f t="shared" si="20"/>
        <v>5000</v>
      </c>
      <c r="CP42" s="174" t="str">
        <f>'DATA PRODUK'!BH39</f>
        <v>(K.D)(Iphone)(Braided) Rexi KSC1-L</v>
      </c>
      <c r="CQ42" s="178">
        <f>'DATA PRODUK'!BI39</f>
        <v>55000</v>
      </c>
      <c r="CR42" s="152"/>
      <c r="CS42" s="152"/>
      <c r="CT42" s="152"/>
      <c r="CU42" s="152"/>
      <c r="CV42" s="152">
        <f>SUMIF(TRANSHARI1_ACCPAGI[PRODUK],CP42,TRANSHARI1_ACCPAGI[QUANTITY])+SUMIF(TRANSHARI1_ACCMALAM[PRODUK],CP42,TRANSHARI1_ACCMALAM[QUANTITY])</f>
        <v>0</v>
      </c>
      <c r="CW42" s="152">
        <f>SUMIF(TRANSHARI2_ACCPAGI[PRODUK],CP42,TRANSHARI2_ACCPAGI[QUANTITY])+SUMIF(TRANSHARI2_ACCMALAM[PRODUK],CP42,TRANSHARI2_ACCMALAM[QUANTITY])</f>
        <v>0</v>
      </c>
      <c r="CX42" s="152">
        <f>SUMIF(TRANSHARI3_ACCPAGI[PRODUK],CP42,TRANSHARI3_ACCPAGI[QUANTITY])+SUMIF(TRANSHARI3_ACCMALAM[PRODUK],CP42,TRANSHARI3_ACCMALAM[QUANTITY])</f>
        <v>0</v>
      </c>
      <c r="CY42" s="152">
        <f>SUMIF(TRANSHARI4_ACCPAGI[PRODUK],CP42,TRANSHARI4_ACCPAGI[QUANTITY])+SUMIF(TRANSHARI4_ACCMALAM[PRODUK],CP42,TRANSHARI4_ACCMALAM[QUANTITY])</f>
        <v>0</v>
      </c>
      <c r="CZ42" s="152">
        <f>SUMIF(TRANSHARI5_ACCPAGI[PRODUK],CP42,TRANSHARI5_ACCPAGI[QUANTITY])+SUMIF(TRANSHARI5_ACCMALAM[PRODUK],CP42,TRANSHARI5_ACCMALAM[QUANTITY])</f>
        <v>0</v>
      </c>
      <c r="DA42" s="152">
        <f>SUMIF(TRANSHARI6_ACCPAGI[PRODUK],CP42,TRANSHARI6_ACCPAGI[QUANTITY])+SUMIF(TRANSHARI6_ACCMALAM[PRODUK],CP42,TRANSHARI6_ACCMALAM[QUANTITY])</f>
        <v>0</v>
      </c>
      <c r="DB42" s="152">
        <f>SUMIF(TRANSHARI7_ACCPAGI[PRODUK],CP42,TRANSHARI7_ACCPAGI[QUANTITY])+SUMIF(TRANSHARI7_ACCMALAM[PRODUK],CP42,TRANSHARI7_ACCMALAM[QUANTITY])</f>
        <v>0</v>
      </c>
      <c r="DC42" s="152">
        <f>SUMIF(TRANSHARI8_ACCPAGI[PRODUK],CP42,TRANSHARI8_ACCPAGI[QUANTITY])+SUMIF(TRANSHARI8_ACCMALAM[PRODUK],CP42,TRANSHARI8_ACCMALAM[QUANTITY])</f>
        <v>0</v>
      </c>
      <c r="DD42" s="152">
        <f>SUMIF(TRANSHARI9_ACCPAGI[PRODUK],CP42,TRANSHARI9_ACCPAGI[QUANTITY])+SUMIF(TRANSHARI9_ACCMALAM[PRODUK],CP42,TRANSHARI9_ACCMALAM[QUANTITY])</f>
        <v>0</v>
      </c>
      <c r="DE42" s="152">
        <f>SUMIF(TRANSHARI10_ACCPAGI[PRODUK],CP42,TRANSHARI10_ACCPAGI[QUANTITY])+SUMIF(TRANSHARI10_ACCMALAM[PRODUK],CP42,TRANSHARI10_ACCMALAM[QUANTITY])</f>
        <v>0</v>
      </c>
      <c r="DF42" s="152">
        <f>SUMIF(TRANSHARI11_ACCPAGI[PRODUK],CP42,TRANSHARI11_ACCPAGI[QUANTITY])+SUMIF(TRANSHARI11_ACCMALAM[PRODUK],CP42,TRANSHARI11_ACCMALAM[QUANTITY])</f>
        <v>0</v>
      </c>
      <c r="DG42" s="152">
        <f t="shared" si="12"/>
        <v>0</v>
      </c>
      <c r="DH42" s="152">
        <f t="shared" si="13"/>
        <v>0</v>
      </c>
      <c r="DI42" s="176">
        <f t="shared" si="14"/>
        <v>0</v>
      </c>
    </row>
    <row r="43" ht="18" spans="4:113">
      <c r="D43" s="137" t="s">
        <v>267</v>
      </c>
      <c r="E43" s="137" t="s">
        <v>19</v>
      </c>
      <c r="F43" s="137" t="s">
        <v>268</v>
      </c>
      <c r="G43" s="138" t="s">
        <v>269</v>
      </c>
      <c r="J43" s="24" t="str">
        <f>'DATA PRODUK'!D40</f>
        <v>CHIEF</v>
      </c>
      <c r="K43" s="150">
        <f>'DATA PRODUK'!E40</f>
        <v>17000</v>
      </c>
      <c r="L43" s="12"/>
      <c r="M43" s="12"/>
      <c r="N43" s="12"/>
      <c r="O43" s="12"/>
      <c r="P43" s="12">
        <f>SUMIF(TRANSHARI1_ROKOKPAGI[PRODUK],J43,TRANSHARI1_ROKOKPAGI[QUANTITY])+SUMIF(TRANSHARI1_ROKOKMALAM[PRODUK],J43,TRANSHARI1_ROKOKMALAM[QUANTITY])</f>
        <v>0</v>
      </c>
      <c r="Q43" s="12">
        <f>SUMIF(TRANSHARI2_ROKOKPAGI[PRODUK],J43,TRANSHARI2_ROKOKPAGI[QUANTITY])+SUMIF(TRANSHARI2_ROKOKMALAM[PRODUK],J43,TRANSHARI2_ROKOKMALAM[QUANTITY])</f>
        <v>0</v>
      </c>
      <c r="R43" s="12">
        <f>SUMIF(TRANSHARI3_ROKOKPAGI[PRODUK],J43,TRANSHARI3_ROKOKPAGI[QUANTITY])+SUMIF(TRANSHARI3_ROKOKMALAM[PRODUK],J43,TRANSHARI3_ROKOKMALAM[QUANTITY])</f>
        <v>0</v>
      </c>
      <c r="S43" s="12">
        <f>SUMIF(TRANSHARI4_ROKOKPAGI[PRODUK],J43,TRANSHARI4_ROKOKPAGI[QUANTITY])+SUMIF(TRANSHARI4_ROKOKMALAM[PRODUK],J43,TRANSHARI4_ROKOKMALAM[QUANTITY])</f>
        <v>0</v>
      </c>
      <c r="T43" s="12">
        <f>SUMIF(TRANSHARI5_ROKOKPAGI[PRODUK],J43,TRANSHARI5_ROKOKPAGI[QUANTITY])+SUMIF(TRANSHARI5_ROKOKMALAM[PRODUK],J43,TRANSHARI5_ROKOKMALAM[QUANTITY])</f>
        <v>0</v>
      </c>
      <c r="U43" s="12">
        <f>SUMIF(TRANSHARI6_ROKOKPAGI[PRODUK],J43,TRANSHARI6_ROKOKPAGI[QUANTITY])+SUMIF(TRANSHARI6_ROKOKMALAM[PRODUK],J43,TRANSHARI6_ROKOKMALAM[QUANTITY])</f>
        <v>0</v>
      </c>
      <c r="V43" s="12">
        <f>SUMIF(TRANSHARI7_ROKOKPAGI[PRODUK],J43,TRANSHARI7_ROKOKPAGI[QUANTITY])+SUMIF(TRANSHARI7_ROKOKMALAM[PRODUK],J43,TRANSHARI7_ROKOKMALAM[QUANTITY])</f>
        <v>0</v>
      </c>
      <c r="W43" s="12">
        <f>SUMIF(TRANSHARI8_ROKOKPAGI[PRODUK],J43,TRANSHARI8_ROKOKPAGI[QUANTITY])+SUMIF(TRANSHARI8_ROKOKMALAM[PRODUK],J43,TRANSHARI8_ROKOKMALAM[QUANTITY])</f>
        <v>0</v>
      </c>
      <c r="X43" s="12">
        <f>SUMIF(TRANSHARI9_ROKOKPAGI[PRODUK],J43,TRANSHARI9_ROKOKPAGI[QUANTITY])+SUMIF(TRANSHARI9_ROKOKMALAM[PRODUK],J43,TRANSHARI9_ROKOKMALAM[QUANTITY])</f>
        <v>0</v>
      </c>
      <c r="Y43" s="12">
        <f>SUMIF(TRANSHARI10_ROKOKPAGI[PRODUK],J43,TRANSHARI10_ROKOKPAGI[QUANTITY])+SUMIF(TRANSHARI10_ROKOKMALAM[PRODUK],J43,TRANSHARI10_ROKOKMALAM[QUANTITY])</f>
        <v>0</v>
      </c>
      <c r="Z43" s="12">
        <f>SUMIF(TRANSHARI11_ROKOKPAGI[PRODUK],J43,TRANSHARI11_ROKOKPAGI[QUANTITY])+SUMIF(TRANSHARI11_ROKOKMALAM[PRODUK],J43,TRANSHARI11_ROKOKMALAM[QUANTITY])</f>
        <v>0</v>
      </c>
      <c r="AA43" s="12">
        <f t="shared" si="0"/>
        <v>0</v>
      </c>
      <c r="AB43" s="12">
        <f t="shared" si="1"/>
        <v>0</v>
      </c>
      <c r="AC43" s="173">
        <f t="shared" si="2"/>
        <v>0</v>
      </c>
      <c r="AE43" s="174" t="str">
        <f>'DATA PRODUK'!R40</f>
        <v>V. TSEL 2 GB</v>
      </c>
      <c r="AF43" s="175">
        <f>'DATA PRODUK'!S40</f>
        <v>23000</v>
      </c>
      <c r="AG43" s="12"/>
      <c r="AH43" s="12"/>
      <c r="AI43" s="12"/>
      <c r="AJ43" s="12"/>
      <c r="AK43" s="12">
        <f>SUMIF(TRANSHARI1_SPVOUPAGI[PRODUK],AE43,TRANSHARI1_SPVOUPAGI[QUANTITY])+SUMIF(TRANSHARI1_SPVOUMALAM[PRODUK],AE43,TRANSHARI1_SPVOUMALAM[QUANTITY])</f>
        <v>0</v>
      </c>
      <c r="AL43" s="12">
        <f>SUMIF(TRANSHARI2_SPVOUPAGI[PRODUK],AE43,TRANSHARI2_SPVOUPAGI[QUANTITY])+SUMIF(TRANSHARI2_SPVOUMALAM[PRODUK],AE43,TRANSHARI2_SPVOUMALAM[QUANTITY])</f>
        <v>0</v>
      </c>
      <c r="AM43" s="12">
        <f>SUMIF(TRANSHARI3_SPVOUPAGI[PRODUK],AE43,TRANSHARI3_SPVOUPAGI[QUANTITY])+SUMIF(TRANSHARI3_SPVOUMALAM[PRODUK],AE43,TRANSHARI3_SPVOUMALAM[QUANTITY])</f>
        <v>0</v>
      </c>
      <c r="AN43" s="12">
        <f>SUMIF(TRANSHARI4_SPVOUPAGI[PRODUK],AE43,TRANSHARI4_SPVOUPAGI[QUANTITY])+SUMIF(TRANSHARI4_SPVOUMALAM[PRODUK],AE43,TRANSHARI4_SPVOUMALAM[QUANTITY])</f>
        <v>0</v>
      </c>
      <c r="AO43" s="12">
        <f>SUMIF(TRANSHARI5_SPVOUPAGI[PRODUK],AE43,TRANSHARI5_SPVOUPAGI[QUANTITY])+SUMIF(TRANSHARI5_SPVOUMALAM[PRODUK],AE43,TRANSHARI5_SPVOUMALAM[QUANTITY])</f>
        <v>0</v>
      </c>
      <c r="AP43" s="12">
        <f>SUMIF(TRANSHARI6_SPVOUPAGI[PRODUK],AE43,TRANSHARI6_SPVOUPAGI[QUANTITY])+SUMIF(TRANSHARI6_SPVOUMALAM[PRODUK],AE43,TRANSHARI6_SPVOUMALAM[QUANTITY])</f>
        <v>0</v>
      </c>
      <c r="AQ43" s="12">
        <f>SUMIF(TRANSHARI7_SPVOUPAGI[PRODUK],AE43,TRANSHARI7_SPVOUPAGI[QUANTITY])+SUMIF(TRANSHARI7_SPVOUMALAM[PRODUK],AE43,TRANSHARI7_SPVOUMALAM[QUANTITY])</f>
        <v>0</v>
      </c>
      <c r="AR43" s="12">
        <f>SUMIF(TRANSHARI8_SPVOUPAGI[PRODUK],AE43,TRANSHARI8_SPVOUPAGI[QUANTITY])+SUMIF(TRANSHARI8_SPVOUMALAM[PRODUK],AE43,TRANSHARI8_SPVOUMALAM[QUANTITY])</f>
        <v>0</v>
      </c>
      <c r="AS43" s="12">
        <f>SUMIF(TRANSHARI9_SPVOUPAGI[PRODUK],AE43,TRANSHARI9_SPVOUPAGI[QUANTITY])+SUMIF(TRANSHARI9_SPVOUMALAM[PRODUK],AE43,TRANSHARI9_SPVOUMALAM[QUANTITY])</f>
        <v>0</v>
      </c>
      <c r="AT43" s="12">
        <f>SUMIF(TRANSHARI10_SPVOUPAGI[PRODUK],AE43,TRANSHARI10_SPVOUPAGI[QUANTITY])+SUMIF(TRANSHARI10_SPVOUMALAM[PRODUK],AE43,TRANSHARI10_SPVOUMALAM[QUANTITY])</f>
        <v>0</v>
      </c>
      <c r="AU43" s="12">
        <f>SUMIF(TRANSHARI11_SPVOUPAGI[PRODUK],AE43,TRANSHARI11_SPVOUPAGI[QUANTITY])+SUMIF(TRANSHARI11_SPVOUMALAM[PRODUK],AE43,TRANSHARI11_SPVOUMALAM[QUANTITY])</f>
        <v>0</v>
      </c>
      <c r="AV43" s="12">
        <f t="shared" si="3"/>
        <v>0</v>
      </c>
      <c r="AW43" s="12">
        <f t="shared" si="4"/>
        <v>0</v>
      </c>
      <c r="AX43" s="173">
        <f t="shared" si="5"/>
        <v>0</v>
      </c>
      <c r="BU43" s="177" t="str">
        <f>'DATA PRODUK'!AT40</f>
        <v>(Haku) Vanilla &amp; Crispy Choco Monaka</v>
      </c>
      <c r="BV43" s="175">
        <f>'DATA PRODUK'!AU40</f>
        <v>5000</v>
      </c>
      <c r="BW43" s="12"/>
      <c r="BX43" s="12"/>
      <c r="BY43" s="12"/>
      <c r="BZ43" s="12"/>
      <c r="CA43" s="12">
        <f>SUMIF(TRANSHARI1_ICECREAMPAGI[PRODUK],BU43,TRANSHARI1_ICECREAMPAGI[QUANTITY])+SUMIF(TRANSHARI1_ICECREAMMALAM[PRODUK],BU43,TRANSHARI1_ICECREAMMALAM[QUANTITY])</f>
        <v>0</v>
      </c>
      <c r="CB43" s="12">
        <f>SUMIF(TRANSHARI2_ICECREAMPAGI[PRODUK],BU43,TRANSHARI2_ICECREAMPAGI[QUANTITY])+SUMIF(TRANSHARI2_ICECREAMMALAM[PRODUK],BU43,TRANSHARI2_ICECREAMMALAM[QUANTITY])</f>
        <v>0</v>
      </c>
      <c r="CC43" s="12">
        <f>SUMIF(TRANSHARI3_ICECREAMPAGI[PRODUK],BU43,TRANSHARI3_ICECREAMPAGI[QUANTITY])+SUMIF(TRANSHARI3_ICECREAMMALAM[PRODUK],BU43,TRANSHARI3_ICECREAMMALAM[QUANTITY])</f>
        <v>0</v>
      </c>
      <c r="CD43" s="12">
        <f>SUMIF(TRANSHARI4_ICECREAMPAGI[PRODUK],BU43,TRANSHARI4_ICECREAMPAGI[QUANTITY])+SUMIF(TRANSHARI4_ICECREAMMALAM[PRODUK],BU43,TRANSHARI4_ICECREAMMALAM[QUANTITY])</f>
        <v>0</v>
      </c>
      <c r="CE43" s="12">
        <f>SUMIF(TRANSHARI5_ICECREAMPAGI[PRODUK],BU43,TRANSHARI5_ICECREAMPAGI[QUANTITY])+SUMIF(TRANSHARI5_ICECREAMMALAM[PRODUK],BU43,TRANSHARI5_ICECREAMMALAM[QUANTITY])</f>
        <v>0</v>
      </c>
      <c r="CF43" s="12">
        <f>SUMIF(TRANSHARI6_ICECREAMPAGI[PRODUK],BU43,TRANSHARI6_ICECREAMPAGI[QUANTITY])+SUMIF(TRANSHARI6_ICECREAMMALAM[PRODUK],BU43,TRANSHARI6_ICECREAMMALAM[QUANTITY])</f>
        <v>0</v>
      </c>
      <c r="CG43" s="12">
        <f>SUMIF(TRANSHARI7_ICECREAMPAGI[PRODUK],BU43,TRANSHARI7_ICECREAMPAGI[QUANTITY])+SUMIF(TRANSHARI7_ICECREAMMALAM[PRODUK],BU43,TRANSHARI7_ICECREAMMALAM[QUANTITY])</f>
        <v>0</v>
      </c>
      <c r="CH43" s="12">
        <f>SUMIF(TRANSHARI8_ICECREAMPAGI[PRODUK],BU43,TRANSHARI8_ICECREAMPAGI[QUANTITY])+SUMIF(TRANSHARI8_ICECREAMMALAM[PRODUK],BU43,TRANSHARI8_ICECREAMMALAM[QUANTITY])</f>
        <v>0</v>
      </c>
      <c r="CI43" s="12">
        <f>SUMIF(TRANSHARI9_ICECREAMPAGI[PRODUK],BU43,TRANSHARI9_ICECREAMPAGI[QUANTITY])+SUMIF(TRANSHARI9_ICECREAMMALAM[PRODUK],BU43,TRANSHARI9_ICECREAMMALAM[QUANTITY])</f>
        <v>0</v>
      </c>
      <c r="CJ43" s="12">
        <f>SUMIF(TRANSHARI10_ICECREAMPAGI[PRODUK],BU43,TRANSHARI10_ICECREAMPAGI[QUANTITY])+SUMIF(TRANSHARI10_ICECREAMMALAM[PRODUK],BU43,TRANSHARI10_ICECREAMMALAM[QUANTITY])</f>
        <v>0</v>
      </c>
      <c r="CK43" s="12">
        <f>SUMIF(TRANSHARI11_ICECREAMPAGI[PRODUK],BU43,TRANSHARI11_ICECREAMPAGI[QUANTITY])+SUMIF(TRANSHARI11_ICECREAMMALAM[PRODUK],BU43,TRANSHARI11_ICECREAMMALAM[QUANTITY])</f>
        <v>0</v>
      </c>
      <c r="CL43" s="12">
        <f t="shared" si="18"/>
        <v>0</v>
      </c>
      <c r="CM43" s="12">
        <f t="shared" si="19"/>
        <v>0</v>
      </c>
      <c r="CN43" s="173">
        <f t="shared" si="20"/>
        <v>0</v>
      </c>
      <c r="CP43" s="177" t="str">
        <f>'DATA PRODUK'!BH40</f>
        <v>(K.D)(Iphone)(Braided) Vivan BTK-LS</v>
      </c>
      <c r="CQ43" s="175">
        <f>'DATA PRODUK'!BI40</f>
        <v>60000</v>
      </c>
      <c r="CR43" s="12"/>
      <c r="CS43" s="12"/>
      <c r="CT43" s="12"/>
      <c r="CU43" s="12"/>
      <c r="CV43" s="12">
        <f>SUMIF(TRANSHARI1_ACCPAGI[PRODUK],CP43,TRANSHARI1_ACCPAGI[QUANTITY])+SUMIF(TRANSHARI1_ACCMALAM[PRODUK],CP43,TRANSHARI1_ACCMALAM[QUANTITY])</f>
        <v>0</v>
      </c>
      <c r="CW43" s="12">
        <f>SUMIF(TRANSHARI2_ACCPAGI[PRODUK],CP43,TRANSHARI2_ACCPAGI[QUANTITY])+SUMIF(TRANSHARI2_ACCMALAM[PRODUK],CP43,TRANSHARI2_ACCMALAM[QUANTITY])</f>
        <v>0</v>
      </c>
      <c r="CX43" s="12">
        <f>SUMIF(TRANSHARI3_ACCPAGI[PRODUK],CP43,TRANSHARI3_ACCPAGI[QUANTITY])+SUMIF(TRANSHARI3_ACCMALAM[PRODUK],CP43,TRANSHARI3_ACCMALAM[QUANTITY])</f>
        <v>0</v>
      </c>
      <c r="CY43" s="12">
        <f>SUMIF(TRANSHARI4_ACCPAGI[PRODUK],CP43,TRANSHARI4_ACCPAGI[QUANTITY])+SUMIF(TRANSHARI4_ACCMALAM[PRODUK],CP43,TRANSHARI4_ACCMALAM[QUANTITY])</f>
        <v>0</v>
      </c>
      <c r="CZ43" s="12">
        <f>SUMIF(TRANSHARI5_ACCPAGI[PRODUK],CP43,TRANSHARI5_ACCPAGI[QUANTITY])+SUMIF(TRANSHARI5_ACCMALAM[PRODUK],CP43,TRANSHARI5_ACCMALAM[QUANTITY])</f>
        <v>0</v>
      </c>
      <c r="DA43" s="12">
        <f>SUMIF(TRANSHARI6_ACCPAGI[PRODUK],CP43,TRANSHARI6_ACCPAGI[QUANTITY])+SUMIF(TRANSHARI6_ACCMALAM[PRODUK],CP43,TRANSHARI6_ACCMALAM[QUANTITY])</f>
        <v>0</v>
      </c>
      <c r="DB43" s="12">
        <f>SUMIF(TRANSHARI7_ACCPAGI[PRODUK],CP43,TRANSHARI7_ACCPAGI[QUANTITY])+SUMIF(TRANSHARI7_ACCMALAM[PRODUK],CP43,TRANSHARI7_ACCMALAM[QUANTITY])</f>
        <v>0</v>
      </c>
      <c r="DC43" s="12">
        <f>SUMIF(TRANSHARI8_ACCPAGI[PRODUK],CP43,TRANSHARI8_ACCPAGI[QUANTITY])+SUMIF(TRANSHARI8_ACCMALAM[PRODUK],CP43,TRANSHARI8_ACCMALAM[QUANTITY])</f>
        <v>0</v>
      </c>
      <c r="DD43" s="12">
        <f>SUMIF(TRANSHARI9_ACCPAGI[PRODUK],CP43,TRANSHARI9_ACCPAGI[QUANTITY])+SUMIF(TRANSHARI9_ACCMALAM[PRODUK],CP43,TRANSHARI9_ACCMALAM[QUANTITY])</f>
        <v>0</v>
      </c>
      <c r="DE43" s="12">
        <f>SUMIF(TRANSHARI10_ACCPAGI[PRODUK],CP43,TRANSHARI10_ACCPAGI[QUANTITY])+SUMIF(TRANSHARI10_ACCMALAM[PRODUK],CP43,TRANSHARI10_ACCMALAM[QUANTITY])</f>
        <v>0</v>
      </c>
      <c r="DF43" s="12">
        <f>SUMIF(TRANSHARI11_ACCPAGI[PRODUK],CP43,TRANSHARI11_ACCPAGI[QUANTITY])+SUMIF(TRANSHARI11_ACCMALAM[PRODUK],CP43,TRANSHARI11_ACCMALAM[QUANTITY])</f>
        <v>0</v>
      </c>
      <c r="DG43" s="12">
        <f t="shared" si="12"/>
        <v>0</v>
      </c>
      <c r="DH43" s="12">
        <f t="shared" si="13"/>
        <v>0</v>
      </c>
      <c r="DI43" s="173">
        <f t="shared" si="14"/>
        <v>0</v>
      </c>
    </row>
    <row r="44" ht="18" spans="4:113">
      <c r="D44" s="127">
        <v>1</v>
      </c>
      <c r="E44" s="128">
        <f>'HARI 1'!L44+'HARI 1'!AA44</f>
        <v>0</v>
      </c>
      <c r="F44" s="128">
        <f>'HARI 1'!L45+'HARI 1'!AA45</f>
        <v>0</v>
      </c>
      <c r="G44" s="129">
        <f>'HARI 1'!L46+'HARI 1'!AA46</f>
        <v>0</v>
      </c>
      <c r="J44" s="26" t="str">
        <f>'DATA PRODUK'!D41</f>
        <v>ECERAN</v>
      </c>
      <c r="K44" s="151">
        <f>'DATA PRODUK'!E41</f>
        <v>2500</v>
      </c>
      <c r="L44" s="152"/>
      <c r="M44" s="152"/>
      <c r="N44" s="152"/>
      <c r="O44" s="152"/>
      <c r="P44" s="152">
        <f>SUMIF(TRANSHARI1_ROKOKPAGI[PRODUK],J44,TRANSHARI1_ROKOKPAGI[QUANTITY])+SUMIF(TRANSHARI1_ROKOKMALAM[PRODUK],J44,TRANSHARI1_ROKOKMALAM[QUANTITY])</f>
        <v>3</v>
      </c>
      <c r="Q44" s="152">
        <f>SUMIF(TRANSHARI2_ROKOKPAGI[PRODUK],J44,TRANSHARI2_ROKOKPAGI[QUANTITY])+SUMIF(TRANSHARI2_ROKOKMALAM[PRODUK],J44,TRANSHARI2_ROKOKMALAM[QUANTITY])</f>
        <v>0</v>
      </c>
      <c r="R44" s="152">
        <f>SUMIF(TRANSHARI3_ROKOKPAGI[PRODUK],J44,TRANSHARI3_ROKOKPAGI[QUANTITY])+SUMIF(TRANSHARI3_ROKOKMALAM[PRODUK],J44,TRANSHARI3_ROKOKMALAM[QUANTITY])</f>
        <v>0</v>
      </c>
      <c r="S44" s="152">
        <f>SUMIF(TRANSHARI4_ROKOKPAGI[PRODUK],J44,TRANSHARI4_ROKOKPAGI[QUANTITY])+SUMIF(TRANSHARI4_ROKOKMALAM[PRODUK],J44,TRANSHARI4_ROKOKMALAM[QUANTITY])</f>
        <v>0</v>
      </c>
      <c r="T44" s="152">
        <f>SUMIF(TRANSHARI5_ROKOKPAGI[PRODUK],J44,TRANSHARI5_ROKOKPAGI[QUANTITY])+SUMIF(TRANSHARI5_ROKOKMALAM[PRODUK],J44,TRANSHARI5_ROKOKMALAM[QUANTITY])</f>
        <v>0</v>
      </c>
      <c r="U44" s="152">
        <f>SUMIF(TRANSHARI6_ROKOKPAGI[PRODUK],J44,TRANSHARI6_ROKOKPAGI[QUANTITY])+SUMIF(TRANSHARI6_ROKOKMALAM[PRODUK],J44,TRANSHARI6_ROKOKMALAM[QUANTITY])</f>
        <v>0</v>
      </c>
      <c r="V44" s="152">
        <f>SUMIF(TRANSHARI7_ROKOKPAGI[PRODUK],J44,TRANSHARI7_ROKOKPAGI[QUANTITY])+SUMIF(TRANSHARI7_ROKOKMALAM[PRODUK],J44,TRANSHARI7_ROKOKMALAM[QUANTITY])</f>
        <v>0</v>
      </c>
      <c r="W44" s="152">
        <f>SUMIF(TRANSHARI8_ROKOKPAGI[PRODUK],J44,TRANSHARI8_ROKOKPAGI[QUANTITY])+SUMIF(TRANSHARI8_ROKOKMALAM[PRODUK],J44,TRANSHARI8_ROKOKMALAM[QUANTITY])</f>
        <v>0</v>
      </c>
      <c r="X44" s="152">
        <f>SUMIF(TRANSHARI9_ROKOKPAGI[PRODUK],J44,TRANSHARI9_ROKOKPAGI[QUANTITY])+SUMIF(TRANSHARI9_ROKOKMALAM[PRODUK],J44,TRANSHARI9_ROKOKMALAM[QUANTITY])</f>
        <v>0</v>
      </c>
      <c r="Y44" s="152">
        <f>SUMIF(TRANSHARI10_ROKOKPAGI[PRODUK],J44,TRANSHARI10_ROKOKPAGI[QUANTITY])+SUMIF(TRANSHARI10_ROKOKMALAM[PRODUK],J44,TRANSHARI10_ROKOKMALAM[QUANTITY])</f>
        <v>0</v>
      </c>
      <c r="Z44" s="152">
        <f>SUMIF(TRANSHARI11_ROKOKPAGI[PRODUK],J44,TRANSHARI11_ROKOKPAGI[QUANTITY])+SUMIF(TRANSHARI11_ROKOKMALAM[PRODUK],J44,TRANSHARI11_ROKOKMALAM[QUANTITY])</f>
        <v>0</v>
      </c>
      <c r="AA44" s="152">
        <f t="shared" si="0"/>
        <v>3</v>
      </c>
      <c r="AB44" s="152">
        <f t="shared" si="1"/>
        <v>-3</v>
      </c>
      <c r="AC44" s="176">
        <f t="shared" si="2"/>
        <v>7500</v>
      </c>
      <c r="AE44" s="177" t="str">
        <f>'DATA PRODUK'!R41</f>
        <v>V. TSEL 5 GB</v>
      </c>
      <c r="AF44" s="178">
        <f>'DATA PRODUK'!S41</f>
        <v>28000</v>
      </c>
      <c r="AG44" s="152"/>
      <c r="AH44" s="152"/>
      <c r="AI44" s="152"/>
      <c r="AJ44" s="152"/>
      <c r="AK44" s="152">
        <f>SUMIF(TRANSHARI1_SPVOUPAGI[PRODUK],AE44,TRANSHARI1_SPVOUPAGI[QUANTITY])+SUMIF(TRANSHARI1_SPVOUMALAM[PRODUK],AE44,TRANSHARI1_SPVOUMALAM[QUANTITY])</f>
        <v>0</v>
      </c>
      <c r="AL44" s="152">
        <f>SUMIF(TRANSHARI2_SPVOUPAGI[PRODUK],AE44,TRANSHARI2_SPVOUPAGI[QUANTITY])+SUMIF(TRANSHARI2_SPVOUMALAM[PRODUK],AE44,TRANSHARI2_SPVOUMALAM[QUANTITY])</f>
        <v>0</v>
      </c>
      <c r="AM44" s="152">
        <f>SUMIF(TRANSHARI3_SPVOUPAGI[PRODUK],AE44,TRANSHARI3_SPVOUPAGI[QUANTITY])+SUMIF(TRANSHARI3_SPVOUMALAM[PRODUK],AE44,TRANSHARI3_SPVOUMALAM[QUANTITY])</f>
        <v>0</v>
      </c>
      <c r="AN44" s="152">
        <f>SUMIF(TRANSHARI4_SPVOUPAGI[PRODUK],AE44,TRANSHARI4_SPVOUPAGI[QUANTITY])+SUMIF(TRANSHARI4_SPVOUMALAM[PRODUK],AE44,TRANSHARI4_SPVOUMALAM[QUANTITY])</f>
        <v>0</v>
      </c>
      <c r="AO44" s="152">
        <f>SUMIF(TRANSHARI5_SPVOUPAGI[PRODUK],AE44,TRANSHARI5_SPVOUPAGI[QUANTITY])+SUMIF(TRANSHARI5_SPVOUMALAM[PRODUK],AE44,TRANSHARI5_SPVOUMALAM[QUANTITY])</f>
        <v>0</v>
      </c>
      <c r="AP44" s="152">
        <f>SUMIF(TRANSHARI6_SPVOUPAGI[PRODUK],AE44,TRANSHARI6_SPVOUPAGI[QUANTITY])+SUMIF(TRANSHARI6_SPVOUMALAM[PRODUK],AE44,TRANSHARI6_SPVOUMALAM[QUANTITY])</f>
        <v>0</v>
      </c>
      <c r="AQ44" s="152">
        <f>SUMIF(TRANSHARI7_SPVOUPAGI[PRODUK],AE44,TRANSHARI7_SPVOUPAGI[QUANTITY])+SUMIF(TRANSHARI7_SPVOUMALAM[PRODUK],AE44,TRANSHARI7_SPVOUMALAM[QUANTITY])</f>
        <v>0</v>
      </c>
      <c r="AR44" s="152">
        <f>SUMIF(TRANSHARI8_SPVOUPAGI[PRODUK],AE44,TRANSHARI8_SPVOUPAGI[QUANTITY])+SUMIF(TRANSHARI8_SPVOUMALAM[PRODUK],AE44,TRANSHARI8_SPVOUMALAM[QUANTITY])</f>
        <v>0</v>
      </c>
      <c r="AS44" s="152">
        <f>SUMIF(TRANSHARI9_SPVOUPAGI[PRODUK],AE44,TRANSHARI9_SPVOUPAGI[QUANTITY])+SUMIF(TRANSHARI9_SPVOUMALAM[PRODUK],AE44,TRANSHARI9_SPVOUMALAM[QUANTITY])</f>
        <v>0</v>
      </c>
      <c r="AT44" s="152">
        <f>SUMIF(TRANSHARI10_SPVOUPAGI[PRODUK],AE44,TRANSHARI10_SPVOUPAGI[QUANTITY])+SUMIF(TRANSHARI10_SPVOUMALAM[PRODUK],AE44,TRANSHARI10_SPVOUMALAM[QUANTITY])</f>
        <v>0</v>
      </c>
      <c r="AU44" s="152">
        <f>SUMIF(TRANSHARI11_SPVOUPAGI[PRODUK],AE44,TRANSHARI11_SPVOUPAGI[QUANTITY])+SUMIF(TRANSHARI11_SPVOUMALAM[PRODUK],AE44,TRANSHARI11_SPVOUMALAM[QUANTITY])</f>
        <v>0</v>
      </c>
      <c r="AV44" s="152">
        <f t="shared" si="3"/>
        <v>0</v>
      </c>
      <c r="AW44" s="152">
        <f t="shared" si="4"/>
        <v>0</v>
      </c>
      <c r="AX44" s="176">
        <f t="shared" si="5"/>
        <v>0</v>
      </c>
      <c r="BU44" s="174" t="str">
        <f>'DATA PRODUK'!AT41</f>
        <v>(Haku) Blueberry Cheesecake Cup</v>
      </c>
      <c r="BV44" s="178">
        <f>'DATA PRODUK'!AU41</f>
        <v>9000</v>
      </c>
      <c r="BW44" s="152"/>
      <c r="BX44" s="152"/>
      <c r="BY44" s="152"/>
      <c r="BZ44" s="152"/>
      <c r="CA44" s="152">
        <f>SUMIF(TRANSHARI1_ICECREAMPAGI[PRODUK],BU44,TRANSHARI1_ICECREAMPAGI[QUANTITY])+SUMIF(TRANSHARI1_ICECREAMMALAM[PRODUK],BU44,TRANSHARI1_ICECREAMMALAM[QUANTITY])</f>
        <v>0</v>
      </c>
      <c r="CB44" s="152">
        <f>SUMIF(TRANSHARI2_ICECREAMPAGI[PRODUK],BU44,TRANSHARI2_ICECREAMPAGI[QUANTITY])+SUMIF(TRANSHARI2_ICECREAMMALAM[PRODUK],BU44,TRANSHARI2_ICECREAMMALAM[QUANTITY])</f>
        <v>0</v>
      </c>
      <c r="CC44" s="152">
        <f>SUMIF(TRANSHARI3_ICECREAMPAGI[PRODUK],BU44,TRANSHARI3_ICECREAMPAGI[QUANTITY])+SUMIF(TRANSHARI3_ICECREAMMALAM[PRODUK],BU44,TRANSHARI3_ICECREAMMALAM[QUANTITY])</f>
        <v>0</v>
      </c>
      <c r="CD44" s="152">
        <f>SUMIF(TRANSHARI4_ICECREAMPAGI[PRODUK],BU44,TRANSHARI4_ICECREAMPAGI[QUANTITY])+SUMIF(TRANSHARI4_ICECREAMMALAM[PRODUK],BU44,TRANSHARI4_ICECREAMMALAM[QUANTITY])</f>
        <v>0</v>
      </c>
      <c r="CE44" s="152">
        <f>SUMIF(TRANSHARI5_ICECREAMPAGI[PRODUK],BU44,TRANSHARI5_ICECREAMPAGI[QUANTITY])+SUMIF(TRANSHARI5_ICECREAMMALAM[PRODUK],BU44,TRANSHARI5_ICECREAMMALAM[QUANTITY])</f>
        <v>0</v>
      </c>
      <c r="CF44" s="152">
        <f>SUMIF(TRANSHARI6_ICECREAMPAGI[PRODUK],BU44,TRANSHARI6_ICECREAMPAGI[QUANTITY])+SUMIF(TRANSHARI6_ICECREAMMALAM[PRODUK],BU44,TRANSHARI6_ICECREAMMALAM[QUANTITY])</f>
        <v>0</v>
      </c>
      <c r="CG44" s="152">
        <f>SUMIF(TRANSHARI7_ICECREAMPAGI[PRODUK],BU44,TRANSHARI7_ICECREAMPAGI[QUANTITY])+SUMIF(TRANSHARI7_ICECREAMMALAM[PRODUK],BU44,TRANSHARI7_ICECREAMMALAM[QUANTITY])</f>
        <v>0</v>
      </c>
      <c r="CH44" s="152">
        <f>SUMIF(TRANSHARI8_ICECREAMPAGI[PRODUK],BU44,TRANSHARI8_ICECREAMPAGI[QUANTITY])+SUMIF(TRANSHARI8_ICECREAMMALAM[PRODUK],BU44,TRANSHARI8_ICECREAMMALAM[QUANTITY])</f>
        <v>0</v>
      </c>
      <c r="CI44" s="152">
        <f>SUMIF(TRANSHARI9_ICECREAMPAGI[PRODUK],BU44,TRANSHARI9_ICECREAMPAGI[QUANTITY])+SUMIF(TRANSHARI9_ICECREAMMALAM[PRODUK],BU44,TRANSHARI9_ICECREAMMALAM[QUANTITY])</f>
        <v>0</v>
      </c>
      <c r="CJ44" s="152">
        <f>SUMIF(TRANSHARI10_ICECREAMPAGI[PRODUK],BU44,TRANSHARI10_ICECREAMPAGI[QUANTITY])+SUMIF(TRANSHARI10_ICECREAMMALAM[PRODUK],BU44,TRANSHARI10_ICECREAMMALAM[QUANTITY])</f>
        <v>0</v>
      </c>
      <c r="CK44" s="152">
        <f>SUMIF(TRANSHARI11_ICECREAMPAGI[PRODUK],BU44,TRANSHARI11_ICECREAMPAGI[QUANTITY])+SUMIF(TRANSHARI11_ICECREAMMALAM[PRODUK],BU44,TRANSHARI11_ICECREAMMALAM[QUANTITY])</f>
        <v>0</v>
      </c>
      <c r="CL44" s="152">
        <f t="shared" si="18"/>
        <v>0</v>
      </c>
      <c r="CM44" s="152">
        <f t="shared" si="19"/>
        <v>0</v>
      </c>
      <c r="CN44" s="176">
        <f t="shared" si="20"/>
        <v>0</v>
      </c>
      <c r="CP44" s="174" t="str">
        <f>'DATA PRODUK'!BH41</f>
        <v>(K.D)(Iphone)(Gaming) Vivan BWL100S</v>
      </c>
      <c r="CQ44" s="178">
        <f>'DATA PRODUK'!BI41</f>
        <v>65000</v>
      </c>
      <c r="CR44" s="152"/>
      <c r="CS44" s="152"/>
      <c r="CT44" s="152"/>
      <c r="CU44" s="152"/>
      <c r="CV44" s="152">
        <f>SUMIF(TRANSHARI1_ACCPAGI[PRODUK],CP44,TRANSHARI1_ACCPAGI[QUANTITY])+SUMIF(TRANSHARI1_ACCMALAM[PRODUK],CP44,TRANSHARI1_ACCMALAM[QUANTITY])</f>
        <v>0</v>
      </c>
      <c r="CW44" s="152">
        <f>SUMIF(TRANSHARI2_ACCPAGI[PRODUK],CP44,TRANSHARI2_ACCPAGI[QUANTITY])+SUMIF(TRANSHARI2_ACCMALAM[PRODUK],CP44,TRANSHARI2_ACCMALAM[QUANTITY])</f>
        <v>0</v>
      </c>
      <c r="CX44" s="152">
        <f>SUMIF(TRANSHARI3_ACCPAGI[PRODUK],CP44,TRANSHARI3_ACCPAGI[QUANTITY])+SUMIF(TRANSHARI3_ACCMALAM[PRODUK],CP44,TRANSHARI3_ACCMALAM[QUANTITY])</f>
        <v>0</v>
      </c>
      <c r="CY44" s="152">
        <f>SUMIF(TRANSHARI4_ACCPAGI[PRODUK],CP44,TRANSHARI4_ACCPAGI[QUANTITY])+SUMIF(TRANSHARI4_ACCMALAM[PRODUK],CP44,TRANSHARI4_ACCMALAM[QUANTITY])</f>
        <v>0</v>
      </c>
      <c r="CZ44" s="152">
        <f>SUMIF(TRANSHARI5_ACCPAGI[PRODUK],CP44,TRANSHARI5_ACCPAGI[QUANTITY])+SUMIF(TRANSHARI5_ACCMALAM[PRODUK],CP44,TRANSHARI5_ACCMALAM[QUANTITY])</f>
        <v>0</v>
      </c>
      <c r="DA44" s="152">
        <f>SUMIF(TRANSHARI6_ACCPAGI[PRODUK],CP44,TRANSHARI6_ACCPAGI[QUANTITY])+SUMIF(TRANSHARI6_ACCMALAM[PRODUK],CP44,TRANSHARI6_ACCMALAM[QUANTITY])</f>
        <v>0</v>
      </c>
      <c r="DB44" s="152">
        <f>SUMIF(TRANSHARI7_ACCPAGI[PRODUK],CP44,TRANSHARI7_ACCPAGI[QUANTITY])+SUMIF(TRANSHARI7_ACCMALAM[PRODUK],CP44,TRANSHARI7_ACCMALAM[QUANTITY])</f>
        <v>0</v>
      </c>
      <c r="DC44" s="152">
        <f>SUMIF(TRANSHARI8_ACCPAGI[PRODUK],CP44,TRANSHARI8_ACCPAGI[QUANTITY])+SUMIF(TRANSHARI8_ACCMALAM[PRODUK],CP44,TRANSHARI8_ACCMALAM[QUANTITY])</f>
        <v>0</v>
      </c>
      <c r="DD44" s="152">
        <f>SUMIF(TRANSHARI9_ACCPAGI[PRODUK],CP44,TRANSHARI9_ACCPAGI[QUANTITY])+SUMIF(TRANSHARI9_ACCMALAM[PRODUK],CP44,TRANSHARI9_ACCMALAM[QUANTITY])</f>
        <v>0</v>
      </c>
      <c r="DE44" s="152">
        <f>SUMIF(TRANSHARI10_ACCPAGI[PRODUK],CP44,TRANSHARI10_ACCPAGI[QUANTITY])+SUMIF(TRANSHARI10_ACCMALAM[PRODUK],CP44,TRANSHARI10_ACCMALAM[QUANTITY])</f>
        <v>0</v>
      </c>
      <c r="DF44" s="152">
        <f>SUMIF(TRANSHARI11_ACCPAGI[PRODUK],CP44,TRANSHARI11_ACCPAGI[QUANTITY])+SUMIF(TRANSHARI11_ACCMALAM[PRODUK],CP44,TRANSHARI11_ACCMALAM[QUANTITY])</f>
        <v>0</v>
      </c>
      <c r="DG44" s="152">
        <f t="shared" si="12"/>
        <v>0</v>
      </c>
      <c r="DH44" s="152">
        <f t="shared" si="13"/>
        <v>0</v>
      </c>
      <c r="DI44" s="176">
        <f t="shared" si="14"/>
        <v>0</v>
      </c>
    </row>
    <row r="45" ht="18" spans="4:113">
      <c r="D45" s="130">
        <v>2</v>
      </c>
      <c r="E45" s="131">
        <f>'HARI 2'!L44+'HARI 2'!AA44</f>
        <v>20100</v>
      </c>
      <c r="F45" s="132">
        <f>'HARI 2'!L45+'HARI 2'!AA45</f>
        <v>0</v>
      </c>
      <c r="G45" s="132">
        <f>'HARI 2'!L46+'HARI 2'!AA46</f>
        <v>0</v>
      </c>
      <c r="J45" s="24" t="str">
        <f>'DATA PRODUK'!D42</f>
        <v>KOREK PANAS</v>
      </c>
      <c r="K45" s="150">
        <f>'DATA PRODUK'!E42</f>
        <v>2000</v>
      </c>
      <c r="L45" s="12"/>
      <c r="M45" s="12"/>
      <c r="N45" s="12"/>
      <c r="O45" s="12"/>
      <c r="P45" s="12">
        <f>SUMIF(TRANSHARI1_ROKOKPAGI[PRODUK],J45,TRANSHARI1_ROKOKPAGI[QUANTITY])+SUMIF(TRANSHARI1_ROKOKMALAM[PRODUK],J45,TRANSHARI1_ROKOKMALAM[QUANTITY])</f>
        <v>0</v>
      </c>
      <c r="Q45" s="12">
        <f>SUMIF(TRANSHARI2_ROKOKPAGI[PRODUK],J45,TRANSHARI2_ROKOKPAGI[QUANTITY])+SUMIF(TRANSHARI2_ROKOKMALAM[PRODUK],J45,TRANSHARI2_ROKOKMALAM[QUANTITY])</f>
        <v>0</v>
      </c>
      <c r="R45" s="12">
        <f>SUMIF(TRANSHARI3_ROKOKPAGI[PRODUK],J45,TRANSHARI3_ROKOKPAGI[QUANTITY])+SUMIF(TRANSHARI3_ROKOKMALAM[PRODUK],J45,TRANSHARI3_ROKOKMALAM[QUANTITY])</f>
        <v>0</v>
      </c>
      <c r="S45" s="12">
        <f>SUMIF(TRANSHARI4_ROKOKPAGI[PRODUK],J45,TRANSHARI4_ROKOKPAGI[QUANTITY])+SUMIF(TRANSHARI4_ROKOKMALAM[PRODUK],J45,TRANSHARI4_ROKOKMALAM[QUANTITY])</f>
        <v>0</v>
      </c>
      <c r="T45" s="12">
        <f>SUMIF(TRANSHARI5_ROKOKPAGI[PRODUK],J45,TRANSHARI5_ROKOKPAGI[QUANTITY])+SUMIF(TRANSHARI5_ROKOKMALAM[PRODUK],J45,TRANSHARI5_ROKOKMALAM[QUANTITY])</f>
        <v>0</v>
      </c>
      <c r="U45" s="12">
        <f>SUMIF(TRANSHARI6_ROKOKPAGI[PRODUK],J45,TRANSHARI6_ROKOKPAGI[QUANTITY])+SUMIF(TRANSHARI6_ROKOKMALAM[PRODUK],J45,TRANSHARI6_ROKOKMALAM[QUANTITY])</f>
        <v>0</v>
      </c>
      <c r="V45" s="12">
        <f>SUMIF(TRANSHARI7_ROKOKPAGI[PRODUK],J45,TRANSHARI7_ROKOKPAGI[QUANTITY])+SUMIF(TRANSHARI7_ROKOKMALAM[PRODUK],J45,TRANSHARI7_ROKOKMALAM[QUANTITY])</f>
        <v>0</v>
      </c>
      <c r="W45" s="12">
        <f>SUMIF(TRANSHARI8_ROKOKPAGI[PRODUK],J45,TRANSHARI8_ROKOKPAGI[QUANTITY])+SUMIF(TRANSHARI8_ROKOKMALAM[PRODUK],J45,TRANSHARI8_ROKOKMALAM[QUANTITY])</f>
        <v>0</v>
      </c>
      <c r="X45" s="12">
        <f>SUMIF(TRANSHARI9_ROKOKPAGI[PRODUK],J45,TRANSHARI9_ROKOKPAGI[QUANTITY])+SUMIF(TRANSHARI9_ROKOKMALAM[PRODUK],J45,TRANSHARI9_ROKOKMALAM[QUANTITY])</f>
        <v>0</v>
      </c>
      <c r="Y45" s="12">
        <f>SUMIF(TRANSHARI10_ROKOKPAGI[PRODUK],J45,TRANSHARI10_ROKOKPAGI[QUANTITY])+SUMIF(TRANSHARI10_ROKOKMALAM[PRODUK],J45,TRANSHARI10_ROKOKMALAM[QUANTITY])</f>
        <v>0</v>
      </c>
      <c r="Z45" s="12">
        <f>SUMIF(TRANSHARI11_ROKOKPAGI[PRODUK],J45,TRANSHARI11_ROKOKPAGI[QUANTITY])+SUMIF(TRANSHARI11_ROKOKMALAM[PRODUK],J45,TRANSHARI11_ROKOKMALAM[QUANTITY])</f>
        <v>0</v>
      </c>
      <c r="AA45" s="12">
        <f t="shared" si="0"/>
        <v>0</v>
      </c>
      <c r="AB45" s="12">
        <f t="shared" si="1"/>
        <v>0</v>
      </c>
      <c r="AC45" s="173">
        <f t="shared" si="2"/>
        <v>0</v>
      </c>
      <c r="AE45" s="174" t="str">
        <f>'DATA PRODUK'!R42</f>
        <v>V. TSEL 9 GB</v>
      </c>
      <c r="AF45" s="175">
        <f>'DATA PRODUK'!S42</f>
        <v>36000</v>
      </c>
      <c r="AG45" s="12"/>
      <c r="AH45" s="12"/>
      <c r="AI45" s="12"/>
      <c r="AJ45" s="12"/>
      <c r="AK45" s="12">
        <f>SUMIF(TRANSHARI1_SPVOUPAGI[PRODUK],AE45,TRANSHARI1_SPVOUPAGI[QUANTITY])+SUMIF(TRANSHARI1_SPVOUMALAM[PRODUK],AE45,TRANSHARI1_SPVOUMALAM[QUANTITY])</f>
        <v>0</v>
      </c>
      <c r="AL45" s="12">
        <f>SUMIF(TRANSHARI2_SPVOUPAGI[PRODUK],AE45,TRANSHARI2_SPVOUPAGI[QUANTITY])+SUMIF(TRANSHARI2_SPVOUMALAM[PRODUK],AE45,TRANSHARI2_SPVOUMALAM[QUANTITY])</f>
        <v>0</v>
      </c>
      <c r="AM45" s="12">
        <f>SUMIF(TRANSHARI3_SPVOUPAGI[PRODUK],AE45,TRANSHARI3_SPVOUPAGI[QUANTITY])+SUMIF(TRANSHARI3_SPVOUMALAM[PRODUK],AE45,TRANSHARI3_SPVOUMALAM[QUANTITY])</f>
        <v>0</v>
      </c>
      <c r="AN45" s="12">
        <f>SUMIF(TRANSHARI4_SPVOUPAGI[PRODUK],AE45,TRANSHARI4_SPVOUPAGI[QUANTITY])+SUMIF(TRANSHARI4_SPVOUMALAM[PRODUK],AE45,TRANSHARI4_SPVOUMALAM[QUANTITY])</f>
        <v>0</v>
      </c>
      <c r="AO45" s="12">
        <f>SUMIF(TRANSHARI5_SPVOUPAGI[PRODUK],AE45,TRANSHARI5_SPVOUPAGI[QUANTITY])+SUMIF(TRANSHARI5_SPVOUMALAM[PRODUK],AE45,TRANSHARI5_SPVOUMALAM[QUANTITY])</f>
        <v>0</v>
      </c>
      <c r="AP45" s="12">
        <f>SUMIF(TRANSHARI6_SPVOUPAGI[PRODUK],AE45,TRANSHARI6_SPVOUPAGI[QUANTITY])+SUMIF(TRANSHARI6_SPVOUMALAM[PRODUK],AE45,TRANSHARI6_SPVOUMALAM[QUANTITY])</f>
        <v>0</v>
      </c>
      <c r="AQ45" s="12">
        <f>SUMIF(TRANSHARI7_SPVOUPAGI[PRODUK],AE45,TRANSHARI7_SPVOUPAGI[QUANTITY])+SUMIF(TRANSHARI7_SPVOUMALAM[PRODUK],AE45,TRANSHARI7_SPVOUMALAM[QUANTITY])</f>
        <v>0</v>
      </c>
      <c r="AR45" s="12">
        <f>SUMIF(TRANSHARI8_SPVOUPAGI[PRODUK],AE45,TRANSHARI8_SPVOUPAGI[QUANTITY])+SUMIF(TRANSHARI8_SPVOUMALAM[PRODUK],AE45,TRANSHARI8_SPVOUMALAM[QUANTITY])</f>
        <v>0</v>
      </c>
      <c r="AS45" s="12">
        <f>SUMIF(TRANSHARI9_SPVOUPAGI[PRODUK],AE45,TRANSHARI9_SPVOUPAGI[QUANTITY])+SUMIF(TRANSHARI9_SPVOUMALAM[PRODUK],AE45,TRANSHARI9_SPVOUMALAM[QUANTITY])</f>
        <v>0</v>
      </c>
      <c r="AT45" s="12">
        <f>SUMIF(TRANSHARI10_SPVOUPAGI[PRODUK],AE45,TRANSHARI10_SPVOUPAGI[QUANTITY])+SUMIF(TRANSHARI10_SPVOUMALAM[PRODUK],AE45,TRANSHARI10_SPVOUMALAM[QUANTITY])</f>
        <v>0</v>
      </c>
      <c r="AU45" s="12">
        <f>SUMIF(TRANSHARI11_SPVOUPAGI[PRODUK],AE45,TRANSHARI11_SPVOUPAGI[QUANTITY])+SUMIF(TRANSHARI11_SPVOUMALAM[PRODUK],AE45,TRANSHARI11_SPVOUMALAM[QUANTITY])</f>
        <v>0</v>
      </c>
      <c r="AV45" s="12">
        <f t="shared" si="3"/>
        <v>0</v>
      </c>
      <c r="AW45" s="12">
        <f t="shared" si="4"/>
        <v>0</v>
      </c>
      <c r="AX45" s="173">
        <f t="shared" si="5"/>
        <v>0</v>
      </c>
      <c r="BU45" s="177" t="str">
        <f>'DATA PRODUK'!AT42</f>
        <v>(Haku) Vanilla Monaka</v>
      </c>
      <c r="BV45" s="175">
        <f>'DATA PRODUK'!AU42</f>
        <v>14000</v>
      </c>
      <c r="BW45" s="12"/>
      <c r="BX45" s="12"/>
      <c r="BY45" s="12"/>
      <c r="BZ45" s="12"/>
      <c r="CA45" s="12">
        <f>SUMIF(TRANSHARI1_ICECREAMPAGI[PRODUK],BU45,TRANSHARI1_ICECREAMPAGI[QUANTITY])+SUMIF(TRANSHARI1_ICECREAMMALAM[PRODUK],BU45,TRANSHARI1_ICECREAMMALAM[QUANTITY])</f>
        <v>0</v>
      </c>
      <c r="CB45" s="12">
        <f>SUMIF(TRANSHARI2_ICECREAMPAGI[PRODUK],BU45,TRANSHARI2_ICECREAMPAGI[QUANTITY])+SUMIF(TRANSHARI2_ICECREAMMALAM[PRODUK],BU45,TRANSHARI2_ICECREAMMALAM[QUANTITY])</f>
        <v>0</v>
      </c>
      <c r="CC45" s="12">
        <f>SUMIF(TRANSHARI3_ICECREAMPAGI[PRODUK],BU45,TRANSHARI3_ICECREAMPAGI[QUANTITY])+SUMIF(TRANSHARI3_ICECREAMMALAM[PRODUK],BU45,TRANSHARI3_ICECREAMMALAM[QUANTITY])</f>
        <v>0</v>
      </c>
      <c r="CD45" s="12">
        <f>SUMIF(TRANSHARI4_ICECREAMPAGI[PRODUK],BU45,TRANSHARI4_ICECREAMPAGI[QUANTITY])+SUMIF(TRANSHARI4_ICECREAMMALAM[PRODUK],BU45,TRANSHARI4_ICECREAMMALAM[QUANTITY])</f>
        <v>0</v>
      </c>
      <c r="CE45" s="12">
        <f>SUMIF(TRANSHARI5_ICECREAMPAGI[PRODUK],BU45,TRANSHARI5_ICECREAMPAGI[QUANTITY])+SUMIF(TRANSHARI5_ICECREAMMALAM[PRODUK],BU45,TRANSHARI5_ICECREAMMALAM[QUANTITY])</f>
        <v>0</v>
      </c>
      <c r="CF45" s="12">
        <f>SUMIF(TRANSHARI6_ICECREAMPAGI[PRODUK],BU45,TRANSHARI6_ICECREAMPAGI[QUANTITY])+SUMIF(TRANSHARI6_ICECREAMMALAM[PRODUK],BU45,TRANSHARI6_ICECREAMMALAM[QUANTITY])</f>
        <v>0</v>
      </c>
      <c r="CG45" s="12">
        <f>SUMIF(TRANSHARI7_ICECREAMPAGI[PRODUK],BU45,TRANSHARI7_ICECREAMPAGI[QUANTITY])+SUMIF(TRANSHARI7_ICECREAMMALAM[PRODUK],BU45,TRANSHARI7_ICECREAMMALAM[QUANTITY])</f>
        <v>0</v>
      </c>
      <c r="CH45" s="12">
        <f>SUMIF(TRANSHARI8_ICECREAMPAGI[PRODUK],BU45,TRANSHARI8_ICECREAMPAGI[QUANTITY])+SUMIF(TRANSHARI8_ICECREAMMALAM[PRODUK],BU45,TRANSHARI8_ICECREAMMALAM[QUANTITY])</f>
        <v>0</v>
      </c>
      <c r="CI45" s="12">
        <f>SUMIF(TRANSHARI9_ICECREAMPAGI[PRODUK],BU45,TRANSHARI9_ICECREAMPAGI[QUANTITY])+SUMIF(TRANSHARI9_ICECREAMMALAM[PRODUK],BU45,TRANSHARI9_ICECREAMMALAM[QUANTITY])</f>
        <v>0</v>
      </c>
      <c r="CJ45" s="12">
        <f>SUMIF(TRANSHARI10_ICECREAMPAGI[PRODUK],BU45,TRANSHARI10_ICECREAMPAGI[QUANTITY])+SUMIF(TRANSHARI10_ICECREAMMALAM[PRODUK],BU45,TRANSHARI10_ICECREAMMALAM[QUANTITY])</f>
        <v>0</v>
      </c>
      <c r="CK45" s="12">
        <f>SUMIF(TRANSHARI11_ICECREAMPAGI[PRODUK],BU45,TRANSHARI11_ICECREAMPAGI[QUANTITY])+SUMIF(TRANSHARI11_ICECREAMMALAM[PRODUK],BU45,TRANSHARI11_ICECREAMMALAM[QUANTITY])</f>
        <v>0</v>
      </c>
      <c r="CL45" s="12">
        <f t="shared" si="18"/>
        <v>0</v>
      </c>
      <c r="CM45" s="12">
        <f t="shared" si="19"/>
        <v>0</v>
      </c>
      <c r="CN45" s="173">
        <f t="shared" si="20"/>
        <v>0</v>
      </c>
      <c r="CP45" s="177" t="str">
        <f>'DATA PRODUK'!BH42</f>
        <v>(K.D)(Iphone)(C-L) Robot RNCL100</v>
      </c>
      <c r="CQ45" s="175">
        <f>'DATA PRODUK'!BI42</f>
        <v>65000</v>
      </c>
      <c r="CR45" s="12"/>
      <c r="CS45" s="12"/>
      <c r="CT45" s="12"/>
      <c r="CU45" s="12"/>
      <c r="CV45" s="12">
        <f>SUMIF(TRANSHARI1_ACCPAGI[PRODUK],CP45,TRANSHARI1_ACCPAGI[QUANTITY])+SUMIF(TRANSHARI1_ACCMALAM[PRODUK],CP45,TRANSHARI1_ACCMALAM[QUANTITY])</f>
        <v>0</v>
      </c>
      <c r="CW45" s="12">
        <f>SUMIF(TRANSHARI2_ACCPAGI[PRODUK],CP45,TRANSHARI2_ACCPAGI[QUANTITY])+SUMIF(TRANSHARI2_ACCMALAM[PRODUK],CP45,TRANSHARI2_ACCMALAM[QUANTITY])</f>
        <v>0</v>
      </c>
      <c r="CX45" s="12">
        <f>SUMIF(TRANSHARI3_ACCPAGI[PRODUK],CP45,TRANSHARI3_ACCPAGI[QUANTITY])+SUMIF(TRANSHARI3_ACCMALAM[PRODUK],CP45,TRANSHARI3_ACCMALAM[QUANTITY])</f>
        <v>0</v>
      </c>
      <c r="CY45" s="12">
        <f>SUMIF(TRANSHARI4_ACCPAGI[PRODUK],CP45,TRANSHARI4_ACCPAGI[QUANTITY])+SUMIF(TRANSHARI4_ACCMALAM[PRODUK],CP45,TRANSHARI4_ACCMALAM[QUANTITY])</f>
        <v>0</v>
      </c>
      <c r="CZ45" s="12">
        <f>SUMIF(TRANSHARI5_ACCPAGI[PRODUK],CP45,TRANSHARI5_ACCPAGI[QUANTITY])+SUMIF(TRANSHARI5_ACCMALAM[PRODUK],CP45,TRANSHARI5_ACCMALAM[QUANTITY])</f>
        <v>0</v>
      </c>
      <c r="DA45" s="12">
        <f>SUMIF(TRANSHARI6_ACCPAGI[PRODUK],CP45,TRANSHARI6_ACCPAGI[QUANTITY])+SUMIF(TRANSHARI6_ACCMALAM[PRODUK],CP45,TRANSHARI6_ACCMALAM[QUANTITY])</f>
        <v>0</v>
      </c>
      <c r="DB45" s="12">
        <f>SUMIF(TRANSHARI7_ACCPAGI[PRODUK],CP45,TRANSHARI7_ACCPAGI[QUANTITY])+SUMIF(TRANSHARI7_ACCMALAM[PRODUK],CP45,TRANSHARI7_ACCMALAM[QUANTITY])</f>
        <v>0</v>
      </c>
      <c r="DC45" s="12">
        <f>SUMIF(TRANSHARI8_ACCPAGI[PRODUK],CP45,TRANSHARI8_ACCPAGI[QUANTITY])+SUMIF(TRANSHARI8_ACCMALAM[PRODUK],CP45,TRANSHARI8_ACCMALAM[QUANTITY])</f>
        <v>0</v>
      </c>
      <c r="DD45" s="12">
        <f>SUMIF(TRANSHARI9_ACCPAGI[PRODUK],CP45,TRANSHARI9_ACCPAGI[QUANTITY])+SUMIF(TRANSHARI9_ACCMALAM[PRODUK],CP45,TRANSHARI9_ACCMALAM[QUANTITY])</f>
        <v>0</v>
      </c>
      <c r="DE45" s="12">
        <f>SUMIF(TRANSHARI10_ACCPAGI[PRODUK],CP45,TRANSHARI10_ACCPAGI[QUANTITY])+SUMIF(TRANSHARI10_ACCMALAM[PRODUK],CP45,TRANSHARI10_ACCMALAM[QUANTITY])</f>
        <v>0</v>
      </c>
      <c r="DF45" s="12">
        <f>SUMIF(TRANSHARI11_ACCPAGI[PRODUK],CP45,TRANSHARI11_ACCPAGI[QUANTITY])+SUMIF(TRANSHARI11_ACCMALAM[PRODUK],CP45,TRANSHARI11_ACCMALAM[QUANTITY])</f>
        <v>0</v>
      </c>
      <c r="DG45" s="12">
        <f t="shared" si="12"/>
        <v>0</v>
      </c>
      <c r="DH45" s="12">
        <f t="shared" si="13"/>
        <v>0</v>
      </c>
      <c r="DI45" s="173">
        <f t="shared" si="14"/>
        <v>0</v>
      </c>
    </row>
    <row r="46" ht="18" spans="4:113">
      <c r="D46" s="127">
        <v>3</v>
      </c>
      <c r="E46" s="128">
        <f>'HARI 3'!L44+'HARI 3'!AA44</f>
        <v>0</v>
      </c>
      <c r="F46" s="128">
        <f>'HARI 3'!L45+'HARI 3'!AA45</f>
        <v>0</v>
      </c>
      <c r="G46" s="129">
        <f>'HARI 3'!L46+'HARI 3'!AA46</f>
        <v>0</v>
      </c>
      <c r="J46" s="26" t="str">
        <f>'DATA PRODUK'!D43</f>
        <v>NEW PRODUCT (1)</v>
      </c>
      <c r="K46" s="153">
        <f>'DATA PRODUK'!E43</f>
        <v>0</v>
      </c>
      <c r="L46" s="154"/>
      <c r="M46" s="154"/>
      <c r="N46" s="154"/>
      <c r="O46" s="154"/>
      <c r="P46" s="154">
        <f>SUMIF(TRANSHARI1_ROKOKPAGI[PRODUK],J46,TRANSHARI1_ROKOKPAGI[QUANTITY])+SUMIF(TRANSHARI1_ROKOKMALAM[PRODUK],J46,TRANSHARI1_ROKOKMALAM[QUANTITY])</f>
        <v>0</v>
      </c>
      <c r="Q46" s="154">
        <f>SUMIF(TRANSHARI2_ROKOKPAGI[PRODUK],J46,TRANSHARI2_ROKOKPAGI[QUANTITY])+SUMIF(TRANSHARI2_ROKOKMALAM[PRODUK],J46,TRANSHARI2_ROKOKMALAM[QUANTITY])</f>
        <v>0</v>
      </c>
      <c r="R46" s="154">
        <f>SUMIF(TRANSHARI3_ROKOKPAGI[PRODUK],J46,TRANSHARI3_ROKOKPAGI[QUANTITY])+SUMIF(TRANSHARI3_ROKOKMALAM[PRODUK],J46,TRANSHARI3_ROKOKMALAM[QUANTITY])</f>
        <v>0</v>
      </c>
      <c r="S46" s="154">
        <f>SUMIF(TRANSHARI4_ROKOKPAGI[PRODUK],J46,TRANSHARI4_ROKOKPAGI[QUANTITY])+SUMIF(TRANSHARI4_ROKOKMALAM[PRODUK],J46,TRANSHARI4_ROKOKMALAM[QUANTITY])</f>
        <v>0</v>
      </c>
      <c r="T46" s="154">
        <f>SUMIF(TRANSHARI5_ROKOKPAGI[PRODUK],J46,TRANSHARI5_ROKOKPAGI[QUANTITY])+SUMIF(TRANSHARI5_ROKOKMALAM[PRODUK],J46,TRANSHARI5_ROKOKMALAM[QUANTITY])</f>
        <v>0</v>
      </c>
      <c r="U46" s="154">
        <f>SUMIF(TRANSHARI6_ROKOKPAGI[PRODUK],J46,TRANSHARI6_ROKOKPAGI[QUANTITY])+SUMIF(TRANSHARI6_ROKOKMALAM[PRODUK],J46,TRANSHARI6_ROKOKMALAM[QUANTITY])</f>
        <v>0</v>
      </c>
      <c r="V46" s="154">
        <f>SUMIF(TRANSHARI7_ROKOKPAGI[PRODUK],J46,TRANSHARI7_ROKOKPAGI[QUANTITY])+SUMIF(TRANSHARI7_ROKOKMALAM[PRODUK],J46,TRANSHARI7_ROKOKMALAM[QUANTITY])</f>
        <v>0</v>
      </c>
      <c r="W46" s="154">
        <f>SUMIF(TRANSHARI8_ROKOKPAGI[PRODUK],J46,TRANSHARI8_ROKOKPAGI[QUANTITY])+SUMIF(TRANSHARI8_ROKOKMALAM[PRODUK],J46,TRANSHARI8_ROKOKMALAM[QUANTITY])</f>
        <v>0</v>
      </c>
      <c r="X46" s="154">
        <f>SUMIF(TRANSHARI9_ROKOKPAGI[PRODUK],J46,TRANSHARI9_ROKOKPAGI[QUANTITY])+SUMIF(TRANSHARI9_ROKOKMALAM[PRODUK],J46,TRANSHARI9_ROKOKMALAM[QUANTITY])</f>
        <v>0</v>
      </c>
      <c r="Y46" s="154">
        <f>SUMIF(TRANSHARI10_ROKOKPAGI[PRODUK],J46,TRANSHARI10_ROKOKPAGI[QUANTITY])+SUMIF(TRANSHARI10_ROKOKMALAM[PRODUK],J46,TRANSHARI10_ROKOKMALAM[QUANTITY])</f>
        <v>0</v>
      </c>
      <c r="Z46" s="154">
        <f>SUMIF(TRANSHARI11_ROKOKPAGI[PRODUK],J46,TRANSHARI11_ROKOKPAGI[QUANTITY])+SUMIF(TRANSHARI11_ROKOKMALAM[PRODUK],J46,TRANSHARI11_ROKOKMALAM[QUANTITY])</f>
        <v>0</v>
      </c>
      <c r="AA46" s="154">
        <f t="shared" si="0"/>
        <v>0</v>
      </c>
      <c r="AB46" s="154">
        <f t="shared" si="1"/>
        <v>0</v>
      </c>
      <c r="AC46" s="179">
        <f t="shared" si="2"/>
        <v>0</v>
      </c>
      <c r="AE46" s="177" t="str">
        <f>'DATA PRODUK'!R43</f>
        <v>V. TSEL 26 GB</v>
      </c>
      <c r="AF46" s="178">
        <f>'DATA PRODUK'!S43</f>
        <v>66000</v>
      </c>
      <c r="AG46" s="152"/>
      <c r="AH46" s="152"/>
      <c r="AI46" s="152"/>
      <c r="AJ46" s="152"/>
      <c r="AK46" s="152">
        <f>SUMIF(TRANSHARI1_SPVOUPAGI[PRODUK],AE46,TRANSHARI1_SPVOUPAGI[QUANTITY])+SUMIF(TRANSHARI1_SPVOUMALAM[PRODUK],AE46,TRANSHARI1_SPVOUMALAM[QUANTITY])</f>
        <v>0</v>
      </c>
      <c r="AL46" s="152">
        <f>SUMIF(TRANSHARI2_SPVOUPAGI[PRODUK],AE46,TRANSHARI2_SPVOUPAGI[QUANTITY])+SUMIF(TRANSHARI2_SPVOUMALAM[PRODUK],AE46,TRANSHARI2_SPVOUMALAM[QUANTITY])</f>
        <v>0</v>
      </c>
      <c r="AM46" s="152">
        <f>SUMIF(TRANSHARI3_SPVOUPAGI[PRODUK],AE46,TRANSHARI3_SPVOUPAGI[QUANTITY])+SUMIF(TRANSHARI3_SPVOUMALAM[PRODUK],AE46,TRANSHARI3_SPVOUMALAM[QUANTITY])</f>
        <v>0</v>
      </c>
      <c r="AN46" s="152">
        <f>SUMIF(TRANSHARI4_SPVOUPAGI[PRODUK],AE46,TRANSHARI4_SPVOUPAGI[QUANTITY])+SUMIF(TRANSHARI4_SPVOUMALAM[PRODUK],AE46,TRANSHARI4_SPVOUMALAM[QUANTITY])</f>
        <v>0</v>
      </c>
      <c r="AO46" s="152">
        <f>SUMIF(TRANSHARI5_SPVOUPAGI[PRODUK],AE46,TRANSHARI5_SPVOUPAGI[QUANTITY])+SUMIF(TRANSHARI5_SPVOUMALAM[PRODUK],AE46,TRANSHARI5_SPVOUMALAM[QUANTITY])</f>
        <v>0</v>
      </c>
      <c r="AP46" s="152">
        <f>SUMIF(TRANSHARI6_SPVOUPAGI[PRODUK],AE46,TRANSHARI6_SPVOUPAGI[QUANTITY])+SUMIF(TRANSHARI6_SPVOUMALAM[PRODUK],AE46,TRANSHARI6_SPVOUMALAM[QUANTITY])</f>
        <v>0</v>
      </c>
      <c r="AQ46" s="152">
        <f>SUMIF(TRANSHARI7_SPVOUPAGI[PRODUK],AE46,TRANSHARI7_SPVOUPAGI[QUANTITY])+SUMIF(TRANSHARI7_SPVOUMALAM[PRODUK],AE46,TRANSHARI7_SPVOUMALAM[QUANTITY])</f>
        <v>0</v>
      </c>
      <c r="AR46" s="152">
        <f>SUMIF(TRANSHARI8_SPVOUPAGI[PRODUK],AE46,TRANSHARI8_SPVOUPAGI[QUANTITY])+SUMIF(TRANSHARI8_SPVOUMALAM[PRODUK],AE46,TRANSHARI8_SPVOUMALAM[QUANTITY])</f>
        <v>0</v>
      </c>
      <c r="AS46" s="152">
        <f>SUMIF(TRANSHARI9_SPVOUPAGI[PRODUK],AE46,TRANSHARI9_SPVOUPAGI[QUANTITY])+SUMIF(TRANSHARI9_SPVOUMALAM[PRODUK],AE46,TRANSHARI9_SPVOUMALAM[QUANTITY])</f>
        <v>0</v>
      </c>
      <c r="AT46" s="152">
        <f>SUMIF(TRANSHARI10_SPVOUPAGI[PRODUK],AE46,TRANSHARI10_SPVOUPAGI[QUANTITY])+SUMIF(TRANSHARI10_SPVOUMALAM[PRODUK],AE46,TRANSHARI10_SPVOUMALAM[QUANTITY])</f>
        <v>0</v>
      </c>
      <c r="AU46" s="152">
        <f>SUMIF(TRANSHARI11_SPVOUPAGI[PRODUK],AE46,TRANSHARI11_SPVOUPAGI[QUANTITY])+SUMIF(TRANSHARI11_SPVOUMALAM[PRODUK],AE46,TRANSHARI11_SPVOUMALAM[QUANTITY])</f>
        <v>0</v>
      </c>
      <c r="AV46" s="152">
        <f t="shared" si="3"/>
        <v>0</v>
      </c>
      <c r="AW46" s="152">
        <f t="shared" si="4"/>
        <v>0</v>
      </c>
      <c r="AX46" s="176">
        <f t="shared" si="5"/>
        <v>0</v>
      </c>
      <c r="BU46" s="174" t="str">
        <f>'DATA PRODUK'!AT43</f>
        <v>(Haku) Matcha Monaka</v>
      </c>
      <c r="BV46" s="178">
        <f>'DATA PRODUK'!AU43</f>
        <v>14000</v>
      </c>
      <c r="BW46" s="152"/>
      <c r="BX46" s="152"/>
      <c r="BY46" s="152"/>
      <c r="BZ46" s="152"/>
      <c r="CA46" s="152">
        <f>SUMIF(TRANSHARI1_ICECREAMPAGI[PRODUK],BU46,TRANSHARI1_ICECREAMPAGI[QUANTITY])+SUMIF(TRANSHARI1_ICECREAMMALAM[PRODUK],BU46,TRANSHARI1_ICECREAMMALAM[QUANTITY])</f>
        <v>0</v>
      </c>
      <c r="CB46" s="152">
        <f>SUMIF(TRANSHARI2_ICECREAMPAGI[PRODUK],BU46,TRANSHARI2_ICECREAMPAGI[QUANTITY])+SUMIF(TRANSHARI2_ICECREAMMALAM[PRODUK],BU46,TRANSHARI2_ICECREAMMALAM[QUANTITY])</f>
        <v>0</v>
      </c>
      <c r="CC46" s="152">
        <f>SUMIF(TRANSHARI3_ICECREAMPAGI[PRODUK],BU46,TRANSHARI3_ICECREAMPAGI[QUANTITY])+SUMIF(TRANSHARI3_ICECREAMMALAM[PRODUK],BU46,TRANSHARI3_ICECREAMMALAM[QUANTITY])</f>
        <v>0</v>
      </c>
      <c r="CD46" s="152">
        <f>SUMIF(TRANSHARI4_ICECREAMPAGI[PRODUK],BU46,TRANSHARI4_ICECREAMPAGI[QUANTITY])+SUMIF(TRANSHARI4_ICECREAMMALAM[PRODUK],BU46,TRANSHARI4_ICECREAMMALAM[QUANTITY])</f>
        <v>0</v>
      </c>
      <c r="CE46" s="152">
        <f>SUMIF(TRANSHARI5_ICECREAMPAGI[PRODUK],BU46,TRANSHARI5_ICECREAMPAGI[QUANTITY])+SUMIF(TRANSHARI5_ICECREAMMALAM[PRODUK],BU46,TRANSHARI5_ICECREAMMALAM[QUANTITY])</f>
        <v>0</v>
      </c>
      <c r="CF46" s="152">
        <f>SUMIF(TRANSHARI6_ICECREAMPAGI[PRODUK],BU46,TRANSHARI6_ICECREAMPAGI[QUANTITY])+SUMIF(TRANSHARI6_ICECREAMMALAM[PRODUK],BU46,TRANSHARI6_ICECREAMMALAM[QUANTITY])</f>
        <v>0</v>
      </c>
      <c r="CG46" s="152">
        <f>SUMIF(TRANSHARI7_ICECREAMPAGI[PRODUK],BU46,TRANSHARI7_ICECREAMPAGI[QUANTITY])+SUMIF(TRANSHARI7_ICECREAMMALAM[PRODUK],BU46,TRANSHARI7_ICECREAMMALAM[QUANTITY])</f>
        <v>0</v>
      </c>
      <c r="CH46" s="152">
        <f>SUMIF(TRANSHARI8_ICECREAMPAGI[PRODUK],BU46,TRANSHARI8_ICECREAMPAGI[QUANTITY])+SUMIF(TRANSHARI8_ICECREAMMALAM[PRODUK],BU46,TRANSHARI8_ICECREAMMALAM[QUANTITY])</f>
        <v>0</v>
      </c>
      <c r="CI46" s="152">
        <f>SUMIF(TRANSHARI9_ICECREAMPAGI[PRODUK],BU46,TRANSHARI9_ICECREAMPAGI[QUANTITY])+SUMIF(TRANSHARI9_ICECREAMMALAM[PRODUK],BU46,TRANSHARI9_ICECREAMMALAM[QUANTITY])</f>
        <v>0</v>
      </c>
      <c r="CJ46" s="152">
        <f>SUMIF(TRANSHARI10_ICECREAMPAGI[PRODUK],BU46,TRANSHARI10_ICECREAMPAGI[QUANTITY])+SUMIF(TRANSHARI10_ICECREAMMALAM[PRODUK],BU46,TRANSHARI10_ICECREAMMALAM[QUANTITY])</f>
        <v>0</v>
      </c>
      <c r="CK46" s="152">
        <f>SUMIF(TRANSHARI11_ICECREAMPAGI[PRODUK],BU46,TRANSHARI11_ICECREAMPAGI[QUANTITY])+SUMIF(TRANSHARI11_ICECREAMMALAM[PRODUK],BU46,TRANSHARI11_ICECREAMMALAM[QUANTITY])</f>
        <v>0</v>
      </c>
      <c r="CL46" s="152">
        <f t="shared" si="18"/>
        <v>0</v>
      </c>
      <c r="CM46" s="152">
        <f t="shared" si="19"/>
        <v>0</v>
      </c>
      <c r="CN46" s="176">
        <f t="shared" si="20"/>
        <v>0</v>
      </c>
      <c r="CP46" s="174" t="str">
        <f>'DATA PRODUK'!BH43</f>
        <v>(K.D)(Iphone)(C-L) Robot RZCL100</v>
      </c>
      <c r="CQ46" s="178">
        <f>'DATA PRODUK'!BI43</f>
        <v>80000</v>
      </c>
      <c r="CR46" s="152"/>
      <c r="CS46" s="152"/>
      <c r="CT46" s="152"/>
      <c r="CU46" s="152"/>
      <c r="CV46" s="152">
        <f>SUMIF(TRANSHARI1_ACCPAGI[PRODUK],CP46,TRANSHARI1_ACCPAGI[QUANTITY])+SUMIF(TRANSHARI1_ACCMALAM[PRODUK],CP46,TRANSHARI1_ACCMALAM[QUANTITY])</f>
        <v>0</v>
      </c>
      <c r="CW46" s="152">
        <f>SUMIF(TRANSHARI2_ACCPAGI[PRODUK],CP46,TRANSHARI2_ACCPAGI[QUANTITY])+SUMIF(TRANSHARI2_ACCMALAM[PRODUK],CP46,TRANSHARI2_ACCMALAM[QUANTITY])</f>
        <v>0</v>
      </c>
      <c r="CX46" s="152">
        <f>SUMIF(TRANSHARI3_ACCPAGI[PRODUK],CP46,TRANSHARI3_ACCPAGI[QUANTITY])+SUMIF(TRANSHARI3_ACCMALAM[PRODUK],CP46,TRANSHARI3_ACCMALAM[QUANTITY])</f>
        <v>0</v>
      </c>
      <c r="CY46" s="152">
        <f>SUMIF(TRANSHARI4_ACCPAGI[PRODUK],CP46,TRANSHARI4_ACCPAGI[QUANTITY])+SUMIF(TRANSHARI4_ACCMALAM[PRODUK],CP46,TRANSHARI4_ACCMALAM[QUANTITY])</f>
        <v>0</v>
      </c>
      <c r="CZ46" s="152">
        <f>SUMIF(TRANSHARI5_ACCPAGI[PRODUK],CP46,TRANSHARI5_ACCPAGI[QUANTITY])+SUMIF(TRANSHARI5_ACCMALAM[PRODUK],CP46,TRANSHARI5_ACCMALAM[QUANTITY])</f>
        <v>0</v>
      </c>
      <c r="DA46" s="152">
        <f>SUMIF(TRANSHARI6_ACCPAGI[PRODUK],CP46,TRANSHARI6_ACCPAGI[QUANTITY])+SUMIF(TRANSHARI6_ACCMALAM[PRODUK],CP46,TRANSHARI6_ACCMALAM[QUANTITY])</f>
        <v>0</v>
      </c>
      <c r="DB46" s="152">
        <f>SUMIF(TRANSHARI7_ACCPAGI[PRODUK],CP46,TRANSHARI7_ACCPAGI[QUANTITY])+SUMIF(TRANSHARI7_ACCMALAM[PRODUK],CP46,TRANSHARI7_ACCMALAM[QUANTITY])</f>
        <v>0</v>
      </c>
      <c r="DC46" s="152">
        <f>SUMIF(TRANSHARI8_ACCPAGI[PRODUK],CP46,TRANSHARI8_ACCPAGI[QUANTITY])+SUMIF(TRANSHARI8_ACCMALAM[PRODUK],CP46,TRANSHARI8_ACCMALAM[QUANTITY])</f>
        <v>0</v>
      </c>
      <c r="DD46" s="152">
        <f>SUMIF(TRANSHARI9_ACCPAGI[PRODUK],CP46,TRANSHARI9_ACCPAGI[QUANTITY])+SUMIF(TRANSHARI9_ACCMALAM[PRODUK],CP46,TRANSHARI9_ACCMALAM[QUANTITY])</f>
        <v>0</v>
      </c>
      <c r="DE46" s="152">
        <f>SUMIF(TRANSHARI10_ACCPAGI[PRODUK],CP46,TRANSHARI10_ACCPAGI[QUANTITY])+SUMIF(TRANSHARI10_ACCMALAM[PRODUK],CP46,TRANSHARI10_ACCMALAM[QUANTITY])</f>
        <v>0</v>
      </c>
      <c r="DF46" s="152">
        <f>SUMIF(TRANSHARI11_ACCPAGI[PRODUK],CP46,TRANSHARI11_ACCPAGI[QUANTITY])+SUMIF(TRANSHARI11_ACCMALAM[PRODUK],CP46,TRANSHARI11_ACCMALAM[QUANTITY])</f>
        <v>0</v>
      </c>
      <c r="DG46" s="152">
        <f t="shared" si="12"/>
        <v>0</v>
      </c>
      <c r="DH46" s="152">
        <f t="shared" si="13"/>
        <v>0</v>
      </c>
      <c r="DI46" s="176">
        <f t="shared" si="14"/>
        <v>0</v>
      </c>
    </row>
    <row r="47" ht="18" spans="4:113">
      <c r="D47" s="130">
        <v>4</v>
      </c>
      <c r="E47" s="131">
        <f>'HARI 4'!L44+'HARI 4'!AA44</f>
        <v>0</v>
      </c>
      <c r="F47" s="132">
        <f>'HARI 4'!L45+'HARI 4'!AA45</f>
        <v>0</v>
      </c>
      <c r="G47" s="132">
        <f>'HARI 4'!L46+'HARI 4'!AA46</f>
        <v>0</v>
      </c>
      <c r="J47" s="155" t="str">
        <f>'DATA PRODUK'!D44</f>
        <v>NEW PRODUCT (2)</v>
      </c>
      <c r="K47" s="150">
        <f>'DATA PRODUK'!E44</f>
        <v>0</v>
      </c>
      <c r="L47" s="12"/>
      <c r="M47" s="12"/>
      <c r="N47" s="12"/>
      <c r="O47" s="12"/>
      <c r="P47" s="12">
        <f>SUMIF(TRANSHARI1_ROKOKPAGI[PRODUK],J47,TRANSHARI1_ROKOKPAGI[QUANTITY])+SUMIF(TRANSHARI1_ROKOKMALAM[PRODUK],J47,TRANSHARI1_ROKOKMALAM[QUANTITY])</f>
        <v>0</v>
      </c>
      <c r="Q47" s="12">
        <f>SUMIF(TRANSHARI2_ROKOKPAGI[PRODUK],J47,TRANSHARI2_ROKOKPAGI[QUANTITY])+SUMIF(TRANSHARI2_ROKOKMALAM[PRODUK],J47,TRANSHARI2_ROKOKMALAM[QUANTITY])</f>
        <v>0</v>
      </c>
      <c r="R47" s="12">
        <f>SUMIF(TRANSHARI3_ROKOKPAGI[PRODUK],J47,TRANSHARI3_ROKOKPAGI[QUANTITY])+SUMIF(TRANSHARI3_ROKOKMALAM[PRODUK],J47,TRANSHARI3_ROKOKMALAM[QUANTITY])</f>
        <v>0</v>
      </c>
      <c r="S47" s="12">
        <f>SUMIF(TRANSHARI4_ROKOKPAGI[PRODUK],J47,TRANSHARI4_ROKOKPAGI[QUANTITY])+SUMIF(TRANSHARI4_ROKOKMALAM[PRODUK],J47,TRANSHARI4_ROKOKMALAM[QUANTITY])</f>
        <v>0</v>
      </c>
      <c r="T47" s="12">
        <f>SUMIF(TRANSHARI5_ROKOKPAGI[PRODUK],J47,TRANSHARI5_ROKOKPAGI[QUANTITY])+SUMIF(TRANSHARI5_ROKOKMALAM[PRODUK],J47,TRANSHARI5_ROKOKMALAM[QUANTITY])</f>
        <v>0</v>
      </c>
      <c r="U47" s="12">
        <f>SUMIF(TRANSHARI6_ROKOKPAGI[PRODUK],J47,TRANSHARI6_ROKOKPAGI[QUANTITY])+SUMIF(TRANSHARI6_ROKOKMALAM[PRODUK],J47,TRANSHARI6_ROKOKMALAM[QUANTITY])</f>
        <v>0</v>
      </c>
      <c r="V47" s="12">
        <f>SUMIF(TRANSHARI7_ROKOKPAGI[PRODUK],J47,TRANSHARI7_ROKOKPAGI[QUANTITY])+SUMIF(TRANSHARI7_ROKOKMALAM[PRODUK],J47,TRANSHARI7_ROKOKMALAM[QUANTITY])</f>
        <v>0</v>
      </c>
      <c r="W47" s="12">
        <f>SUMIF(TRANSHARI8_ROKOKPAGI[PRODUK],J47,TRANSHARI8_ROKOKPAGI[QUANTITY])+SUMIF(TRANSHARI8_ROKOKMALAM[PRODUK],J47,TRANSHARI8_ROKOKMALAM[QUANTITY])</f>
        <v>0</v>
      </c>
      <c r="X47" s="12">
        <f>SUMIF(TRANSHARI9_ROKOKPAGI[PRODUK],J47,TRANSHARI9_ROKOKPAGI[QUANTITY])+SUMIF(TRANSHARI9_ROKOKMALAM[PRODUK],J47,TRANSHARI9_ROKOKMALAM[QUANTITY])</f>
        <v>0</v>
      </c>
      <c r="Y47" s="12">
        <f>SUMIF(TRANSHARI10_ROKOKPAGI[PRODUK],J47,TRANSHARI10_ROKOKPAGI[QUANTITY])+SUMIF(TRANSHARI10_ROKOKMALAM[PRODUK],J47,TRANSHARI10_ROKOKMALAM[QUANTITY])</f>
        <v>0</v>
      </c>
      <c r="Z47" s="12">
        <f>SUMIF(TRANSHARI11_ROKOKPAGI[PRODUK],J47,TRANSHARI11_ROKOKPAGI[QUANTITY])+SUMIF(TRANSHARI11_ROKOKMALAM[PRODUK],J47,TRANSHARI11_ROKOKMALAM[QUANTITY])</f>
        <v>0</v>
      </c>
      <c r="AA47" s="12">
        <f t="shared" si="0"/>
        <v>0</v>
      </c>
      <c r="AB47" s="12">
        <f t="shared" si="1"/>
        <v>0</v>
      </c>
      <c r="AC47" s="173">
        <f t="shared" si="2"/>
        <v>0</v>
      </c>
      <c r="AE47" s="174" t="str">
        <f>'DATA PRODUK'!R44</f>
        <v>V. TRI 2 GB / 1hr</v>
      </c>
      <c r="AF47" s="175">
        <f>'DATA PRODUK'!S44</f>
        <v>7000</v>
      </c>
      <c r="AG47" s="12"/>
      <c r="AH47" s="12"/>
      <c r="AI47" s="12"/>
      <c r="AJ47" s="12"/>
      <c r="AK47" s="12">
        <f>SUMIF(TRANSHARI1_SPVOUPAGI[PRODUK],AE47,TRANSHARI1_SPVOUPAGI[QUANTITY])+SUMIF(TRANSHARI1_SPVOUMALAM[PRODUK],AE47,TRANSHARI1_SPVOUMALAM[QUANTITY])</f>
        <v>1</v>
      </c>
      <c r="AL47" s="12">
        <f>SUMIF(TRANSHARI2_SPVOUPAGI[PRODUK],AE47,TRANSHARI2_SPVOUPAGI[QUANTITY])+SUMIF(TRANSHARI2_SPVOUMALAM[PRODUK],AE47,TRANSHARI2_SPVOUMALAM[QUANTITY])</f>
        <v>0</v>
      </c>
      <c r="AM47" s="12">
        <f>SUMIF(TRANSHARI3_SPVOUPAGI[PRODUK],AE47,TRANSHARI3_SPVOUPAGI[QUANTITY])+SUMIF(TRANSHARI3_SPVOUMALAM[PRODUK],AE47,TRANSHARI3_SPVOUMALAM[QUANTITY])</f>
        <v>0</v>
      </c>
      <c r="AN47" s="12">
        <f>SUMIF(TRANSHARI4_SPVOUPAGI[PRODUK],AE47,TRANSHARI4_SPVOUPAGI[QUANTITY])+SUMIF(TRANSHARI4_SPVOUMALAM[PRODUK],AE47,TRANSHARI4_SPVOUMALAM[QUANTITY])</f>
        <v>0</v>
      </c>
      <c r="AO47" s="12">
        <f>SUMIF(TRANSHARI5_SPVOUPAGI[PRODUK],AE47,TRANSHARI5_SPVOUPAGI[QUANTITY])+SUMIF(TRANSHARI5_SPVOUMALAM[PRODUK],AE47,TRANSHARI5_SPVOUMALAM[QUANTITY])</f>
        <v>0</v>
      </c>
      <c r="AP47" s="12">
        <f>SUMIF(TRANSHARI6_SPVOUPAGI[PRODUK],AE47,TRANSHARI6_SPVOUPAGI[QUANTITY])+SUMIF(TRANSHARI6_SPVOUMALAM[PRODUK],AE47,TRANSHARI6_SPVOUMALAM[QUANTITY])</f>
        <v>0</v>
      </c>
      <c r="AQ47" s="12">
        <f>SUMIF(TRANSHARI7_SPVOUPAGI[PRODUK],AE47,TRANSHARI7_SPVOUPAGI[QUANTITY])+SUMIF(TRANSHARI7_SPVOUMALAM[PRODUK],AE47,TRANSHARI7_SPVOUMALAM[QUANTITY])</f>
        <v>0</v>
      </c>
      <c r="AR47" s="12">
        <f>SUMIF(TRANSHARI8_SPVOUPAGI[PRODUK],AE47,TRANSHARI8_SPVOUPAGI[QUANTITY])+SUMIF(TRANSHARI8_SPVOUMALAM[PRODUK],AE47,TRANSHARI8_SPVOUMALAM[QUANTITY])</f>
        <v>0</v>
      </c>
      <c r="AS47" s="12">
        <f>SUMIF(TRANSHARI9_SPVOUPAGI[PRODUK],AE47,TRANSHARI9_SPVOUPAGI[QUANTITY])+SUMIF(TRANSHARI9_SPVOUMALAM[PRODUK],AE47,TRANSHARI9_SPVOUMALAM[QUANTITY])</f>
        <v>0</v>
      </c>
      <c r="AT47" s="12">
        <f>SUMIF(TRANSHARI10_SPVOUPAGI[PRODUK],AE47,TRANSHARI10_SPVOUPAGI[QUANTITY])+SUMIF(TRANSHARI10_SPVOUMALAM[PRODUK],AE47,TRANSHARI10_SPVOUMALAM[QUANTITY])</f>
        <v>0</v>
      </c>
      <c r="AU47" s="12">
        <f>SUMIF(TRANSHARI11_SPVOUPAGI[PRODUK],AE47,TRANSHARI11_SPVOUPAGI[QUANTITY])+SUMIF(TRANSHARI11_SPVOUMALAM[PRODUK],AE47,TRANSHARI11_SPVOUMALAM[QUANTITY])</f>
        <v>0</v>
      </c>
      <c r="AV47" s="12">
        <f t="shared" si="3"/>
        <v>1</v>
      </c>
      <c r="AW47" s="12">
        <f t="shared" si="4"/>
        <v>-1</v>
      </c>
      <c r="AX47" s="173">
        <f t="shared" si="5"/>
        <v>7000</v>
      </c>
      <c r="BU47" s="177" t="str">
        <f>'DATA PRODUK'!AT44</f>
        <v>NEW PRODUCT (1)</v>
      </c>
      <c r="BV47" s="175">
        <f>'DATA PRODUK'!AU44</f>
        <v>0</v>
      </c>
      <c r="BW47" s="12"/>
      <c r="BX47" s="12"/>
      <c r="BY47" s="12"/>
      <c r="BZ47" s="12"/>
      <c r="CA47" s="12">
        <f>SUMIF(TRANSHARI1_ICECREAMPAGI[PRODUK],BU47,TRANSHARI1_ICECREAMPAGI[QUANTITY])+SUMIF(TRANSHARI1_ICECREAMMALAM[PRODUK],BU47,TRANSHARI1_ICECREAMMALAM[QUANTITY])</f>
        <v>0</v>
      </c>
      <c r="CB47" s="12">
        <f>SUMIF(TRANSHARI2_ICECREAMPAGI[PRODUK],BU47,TRANSHARI2_ICECREAMPAGI[QUANTITY])+SUMIF(TRANSHARI2_ICECREAMMALAM[PRODUK],BU47,TRANSHARI2_ICECREAMMALAM[QUANTITY])</f>
        <v>0</v>
      </c>
      <c r="CC47" s="12">
        <f>SUMIF(TRANSHARI3_ICECREAMPAGI[PRODUK],BU47,TRANSHARI3_ICECREAMPAGI[QUANTITY])+SUMIF(TRANSHARI3_ICECREAMMALAM[PRODUK],BU47,TRANSHARI3_ICECREAMMALAM[QUANTITY])</f>
        <v>0</v>
      </c>
      <c r="CD47" s="12">
        <f>SUMIF(TRANSHARI4_ICECREAMPAGI[PRODUK],BU47,TRANSHARI4_ICECREAMPAGI[QUANTITY])+SUMIF(TRANSHARI4_ICECREAMMALAM[PRODUK],BU47,TRANSHARI4_ICECREAMMALAM[QUANTITY])</f>
        <v>0</v>
      </c>
      <c r="CE47" s="12">
        <f>SUMIF(TRANSHARI5_ICECREAMPAGI[PRODUK],BU47,TRANSHARI5_ICECREAMPAGI[QUANTITY])+SUMIF(TRANSHARI5_ICECREAMMALAM[PRODUK],BU47,TRANSHARI5_ICECREAMMALAM[QUANTITY])</f>
        <v>0</v>
      </c>
      <c r="CF47" s="12">
        <f>SUMIF(TRANSHARI6_ICECREAMPAGI[PRODUK],BU47,TRANSHARI6_ICECREAMPAGI[QUANTITY])+SUMIF(TRANSHARI6_ICECREAMMALAM[PRODUK],BU47,TRANSHARI6_ICECREAMMALAM[QUANTITY])</f>
        <v>0</v>
      </c>
      <c r="CG47" s="12">
        <f>SUMIF(TRANSHARI7_ICECREAMPAGI[PRODUK],BU47,TRANSHARI7_ICECREAMPAGI[QUANTITY])+SUMIF(TRANSHARI7_ICECREAMMALAM[PRODUK],BU47,TRANSHARI7_ICECREAMMALAM[QUANTITY])</f>
        <v>0</v>
      </c>
      <c r="CH47" s="12">
        <f>SUMIF(TRANSHARI8_ICECREAMPAGI[PRODUK],BU47,TRANSHARI8_ICECREAMPAGI[QUANTITY])+SUMIF(TRANSHARI8_ICECREAMMALAM[PRODUK],BU47,TRANSHARI8_ICECREAMMALAM[QUANTITY])</f>
        <v>0</v>
      </c>
      <c r="CI47" s="12">
        <f>SUMIF(TRANSHARI9_ICECREAMPAGI[PRODUK],BU47,TRANSHARI9_ICECREAMPAGI[QUANTITY])+SUMIF(TRANSHARI9_ICECREAMMALAM[PRODUK],BU47,TRANSHARI9_ICECREAMMALAM[QUANTITY])</f>
        <v>0</v>
      </c>
      <c r="CJ47" s="12">
        <f>SUMIF(TRANSHARI10_ICECREAMPAGI[PRODUK],BU47,TRANSHARI10_ICECREAMPAGI[QUANTITY])+SUMIF(TRANSHARI10_ICECREAMMALAM[PRODUK],BU47,TRANSHARI10_ICECREAMMALAM[QUANTITY])</f>
        <v>0</v>
      </c>
      <c r="CK47" s="12">
        <f>SUMIF(TRANSHARI11_ICECREAMPAGI[PRODUK],BU47,TRANSHARI11_ICECREAMPAGI[QUANTITY])+SUMIF(TRANSHARI11_ICECREAMMALAM[PRODUK],BU47,TRANSHARI11_ICECREAMMALAM[QUANTITY])</f>
        <v>0</v>
      </c>
      <c r="CL47" s="12">
        <f t="shared" si="18"/>
        <v>0</v>
      </c>
      <c r="CM47" s="12">
        <f t="shared" si="19"/>
        <v>0</v>
      </c>
      <c r="CN47" s="173">
        <f t="shared" si="20"/>
        <v>0</v>
      </c>
      <c r="CP47" s="177" t="str">
        <f>'DATA PRODUK'!BH44</f>
        <v>(K.D)(Iphone)(C-L) Vivan VDCL120</v>
      </c>
      <c r="CQ47" s="175">
        <f>'DATA PRODUK'!BI44</f>
        <v>95000</v>
      </c>
      <c r="CR47" s="12"/>
      <c r="CS47" s="12"/>
      <c r="CT47" s="12"/>
      <c r="CU47" s="12"/>
      <c r="CV47" s="12">
        <f>SUMIF(TRANSHARI1_ACCPAGI[PRODUK],CP47,TRANSHARI1_ACCPAGI[QUANTITY])+SUMIF(TRANSHARI1_ACCMALAM[PRODUK],CP47,TRANSHARI1_ACCMALAM[QUANTITY])</f>
        <v>0</v>
      </c>
      <c r="CW47" s="12">
        <f>SUMIF(TRANSHARI2_ACCPAGI[PRODUK],CP47,TRANSHARI2_ACCPAGI[QUANTITY])+SUMIF(TRANSHARI2_ACCMALAM[PRODUK],CP47,TRANSHARI2_ACCMALAM[QUANTITY])</f>
        <v>0</v>
      </c>
      <c r="CX47" s="12">
        <f>SUMIF(TRANSHARI3_ACCPAGI[PRODUK],CP47,TRANSHARI3_ACCPAGI[QUANTITY])+SUMIF(TRANSHARI3_ACCMALAM[PRODUK],CP47,TRANSHARI3_ACCMALAM[QUANTITY])</f>
        <v>0</v>
      </c>
      <c r="CY47" s="12">
        <f>SUMIF(TRANSHARI4_ACCPAGI[PRODUK],CP47,TRANSHARI4_ACCPAGI[QUANTITY])+SUMIF(TRANSHARI4_ACCMALAM[PRODUK],CP47,TRANSHARI4_ACCMALAM[QUANTITY])</f>
        <v>0</v>
      </c>
      <c r="CZ47" s="12">
        <f>SUMIF(TRANSHARI5_ACCPAGI[PRODUK],CP47,TRANSHARI5_ACCPAGI[QUANTITY])+SUMIF(TRANSHARI5_ACCMALAM[PRODUK],CP47,TRANSHARI5_ACCMALAM[QUANTITY])</f>
        <v>0</v>
      </c>
      <c r="DA47" s="12">
        <f>SUMIF(TRANSHARI6_ACCPAGI[PRODUK],CP47,TRANSHARI6_ACCPAGI[QUANTITY])+SUMIF(TRANSHARI6_ACCMALAM[PRODUK],CP47,TRANSHARI6_ACCMALAM[QUANTITY])</f>
        <v>0</v>
      </c>
      <c r="DB47" s="12">
        <f>SUMIF(TRANSHARI7_ACCPAGI[PRODUK],CP47,TRANSHARI7_ACCPAGI[QUANTITY])+SUMIF(TRANSHARI7_ACCMALAM[PRODUK],CP47,TRANSHARI7_ACCMALAM[QUANTITY])</f>
        <v>0</v>
      </c>
      <c r="DC47" s="12">
        <f>SUMIF(TRANSHARI8_ACCPAGI[PRODUK],CP47,TRANSHARI8_ACCPAGI[QUANTITY])+SUMIF(TRANSHARI8_ACCMALAM[PRODUK],CP47,TRANSHARI8_ACCMALAM[QUANTITY])</f>
        <v>0</v>
      </c>
      <c r="DD47" s="12">
        <f>SUMIF(TRANSHARI9_ACCPAGI[PRODUK],CP47,TRANSHARI9_ACCPAGI[QUANTITY])+SUMIF(TRANSHARI9_ACCMALAM[PRODUK],CP47,TRANSHARI9_ACCMALAM[QUANTITY])</f>
        <v>0</v>
      </c>
      <c r="DE47" s="12">
        <f>SUMIF(TRANSHARI10_ACCPAGI[PRODUK],CP47,TRANSHARI10_ACCPAGI[QUANTITY])+SUMIF(TRANSHARI10_ACCMALAM[PRODUK],CP47,TRANSHARI10_ACCMALAM[QUANTITY])</f>
        <v>0</v>
      </c>
      <c r="DF47" s="12">
        <f>SUMIF(TRANSHARI11_ACCPAGI[PRODUK],CP47,TRANSHARI11_ACCPAGI[QUANTITY])+SUMIF(TRANSHARI11_ACCMALAM[PRODUK],CP47,TRANSHARI11_ACCMALAM[QUANTITY])</f>
        <v>0</v>
      </c>
      <c r="DG47" s="12">
        <f t="shared" si="12"/>
        <v>0</v>
      </c>
      <c r="DH47" s="12">
        <f t="shared" si="13"/>
        <v>0</v>
      </c>
      <c r="DI47" s="173">
        <f t="shared" si="14"/>
        <v>0</v>
      </c>
    </row>
    <row r="48" ht="18" spans="4:113">
      <c r="D48" s="127">
        <v>5</v>
      </c>
      <c r="E48" s="128">
        <f>'HARI 5'!L44+'HARI 5'!AA44</f>
        <v>0</v>
      </c>
      <c r="F48" s="128">
        <f>'HARI 5'!L45+'HARI 5'!AA45</f>
        <v>0</v>
      </c>
      <c r="G48" s="129">
        <f>'HARI 5'!L46+'HARI 5'!AA46</f>
        <v>0</v>
      </c>
      <c r="J48" s="26" t="str">
        <f>'DATA PRODUK'!D45</f>
        <v>NEW PRODUCT (3)</v>
      </c>
      <c r="K48" s="153">
        <f>'DATA PRODUK'!E45</f>
        <v>0</v>
      </c>
      <c r="L48" s="156"/>
      <c r="M48" s="156"/>
      <c r="N48" s="156"/>
      <c r="O48" s="156"/>
      <c r="P48" s="156">
        <f>SUMIF(TRANSHARI1_ROKOKPAGI[PRODUK],J48,TRANSHARI1_ROKOKPAGI[QUANTITY])+SUMIF(TRANSHARI1_ROKOKMALAM[PRODUK],J48,TRANSHARI1_ROKOKMALAM[QUANTITY])</f>
        <v>0</v>
      </c>
      <c r="Q48" s="156">
        <f>SUMIF(TRANSHARI2_ROKOKPAGI[PRODUK],J48,TRANSHARI2_ROKOKPAGI[QUANTITY])+SUMIF(TRANSHARI2_ROKOKMALAM[PRODUK],J48,TRANSHARI2_ROKOKMALAM[QUANTITY])</f>
        <v>0</v>
      </c>
      <c r="R48" s="156">
        <f>SUMIF(TRANSHARI3_ROKOKPAGI[PRODUK],J48,TRANSHARI3_ROKOKPAGI[QUANTITY])+SUMIF(TRANSHARI3_ROKOKMALAM[PRODUK],J48,TRANSHARI3_ROKOKMALAM[QUANTITY])</f>
        <v>0</v>
      </c>
      <c r="S48" s="156">
        <f>SUMIF(TRANSHARI4_ROKOKPAGI[PRODUK],J48,TRANSHARI4_ROKOKPAGI[QUANTITY])+SUMIF(TRANSHARI4_ROKOKMALAM[PRODUK],J48,TRANSHARI4_ROKOKMALAM[QUANTITY])</f>
        <v>0</v>
      </c>
      <c r="T48" s="156">
        <f>SUMIF(TRANSHARI5_ROKOKPAGI[PRODUK],J48,TRANSHARI5_ROKOKPAGI[QUANTITY])+SUMIF(TRANSHARI5_ROKOKMALAM[PRODUK],J48,TRANSHARI5_ROKOKMALAM[QUANTITY])</f>
        <v>0</v>
      </c>
      <c r="U48" s="156">
        <f>SUMIF(TRANSHARI6_ROKOKPAGI[PRODUK],J48,TRANSHARI6_ROKOKPAGI[QUANTITY])+SUMIF(TRANSHARI6_ROKOKMALAM[PRODUK],J48,TRANSHARI6_ROKOKMALAM[QUANTITY])</f>
        <v>0</v>
      </c>
      <c r="V48" s="156">
        <f>SUMIF(TRANSHARI7_ROKOKPAGI[PRODUK],J48,TRANSHARI7_ROKOKPAGI[QUANTITY])+SUMIF(TRANSHARI7_ROKOKMALAM[PRODUK],J48,TRANSHARI7_ROKOKMALAM[QUANTITY])</f>
        <v>0</v>
      </c>
      <c r="W48" s="156">
        <f>SUMIF(TRANSHARI8_ROKOKPAGI[PRODUK],J48,TRANSHARI8_ROKOKPAGI[QUANTITY])+SUMIF(TRANSHARI8_ROKOKMALAM[PRODUK],J48,TRANSHARI8_ROKOKMALAM[QUANTITY])</f>
        <v>0</v>
      </c>
      <c r="X48" s="156">
        <f>SUMIF(TRANSHARI9_ROKOKPAGI[PRODUK],J48,TRANSHARI9_ROKOKPAGI[QUANTITY])+SUMIF(TRANSHARI9_ROKOKMALAM[PRODUK],J48,TRANSHARI9_ROKOKMALAM[QUANTITY])</f>
        <v>0</v>
      </c>
      <c r="Y48" s="156">
        <f>SUMIF(TRANSHARI10_ROKOKPAGI[PRODUK],J48,TRANSHARI10_ROKOKPAGI[QUANTITY])+SUMIF(TRANSHARI10_ROKOKMALAM[PRODUK],J48,TRANSHARI10_ROKOKMALAM[QUANTITY])</f>
        <v>0</v>
      </c>
      <c r="Z48" s="156">
        <f>SUMIF(TRANSHARI11_ROKOKPAGI[PRODUK],J48,TRANSHARI11_ROKOKPAGI[QUANTITY])+SUMIF(TRANSHARI11_ROKOKMALAM[PRODUK],J48,TRANSHARI11_ROKOKMALAM[QUANTITY])</f>
        <v>0</v>
      </c>
      <c r="AA48" s="156">
        <f t="shared" si="0"/>
        <v>0</v>
      </c>
      <c r="AB48" s="156">
        <f t="shared" si="1"/>
        <v>0</v>
      </c>
      <c r="AC48" s="180">
        <f t="shared" si="2"/>
        <v>0</v>
      </c>
      <c r="AE48" s="177" t="str">
        <f>'DATA PRODUK'!R45</f>
        <v>VMINI1 (2.5 / 5hr)</v>
      </c>
      <c r="AF48" s="178">
        <f>'DATA PRODUK'!S45</f>
        <v>13000</v>
      </c>
      <c r="AG48" s="152"/>
      <c r="AH48" s="152"/>
      <c r="AI48" s="152"/>
      <c r="AJ48" s="152"/>
      <c r="AK48" s="152">
        <f>SUMIF(TRANSHARI1_SPVOUPAGI[PRODUK],AE48,TRANSHARI1_SPVOUPAGI[QUANTITY])+SUMIF(TRANSHARI1_SPVOUMALAM[PRODUK],AE48,TRANSHARI1_SPVOUMALAM[QUANTITY])</f>
        <v>3</v>
      </c>
      <c r="AL48" s="152">
        <f>SUMIF(TRANSHARI2_SPVOUPAGI[PRODUK],AE48,TRANSHARI2_SPVOUPAGI[QUANTITY])+SUMIF(TRANSHARI2_SPVOUMALAM[PRODUK],AE48,TRANSHARI2_SPVOUMALAM[QUANTITY])</f>
        <v>1</v>
      </c>
      <c r="AM48" s="152">
        <f>SUMIF(TRANSHARI3_SPVOUPAGI[PRODUK],AE48,TRANSHARI3_SPVOUPAGI[QUANTITY])+SUMIF(TRANSHARI3_SPVOUMALAM[PRODUK],AE48,TRANSHARI3_SPVOUMALAM[QUANTITY])</f>
        <v>0</v>
      </c>
      <c r="AN48" s="152">
        <f>SUMIF(TRANSHARI4_SPVOUPAGI[PRODUK],AE48,TRANSHARI4_SPVOUPAGI[QUANTITY])+SUMIF(TRANSHARI4_SPVOUMALAM[PRODUK],AE48,TRANSHARI4_SPVOUMALAM[QUANTITY])</f>
        <v>0</v>
      </c>
      <c r="AO48" s="152">
        <f>SUMIF(TRANSHARI5_SPVOUPAGI[PRODUK],AE48,TRANSHARI5_SPVOUPAGI[QUANTITY])+SUMIF(TRANSHARI5_SPVOUMALAM[PRODUK],AE48,TRANSHARI5_SPVOUMALAM[QUANTITY])</f>
        <v>0</v>
      </c>
      <c r="AP48" s="152">
        <f>SUMIF(TRANSHARI6_SPVOUPAGI[PRODUK],AE48,TRANSHARI6_SPVOUPAGI[QUANTITY])+SUMIF(TRANSHARI6_SPVOUMALAM[PRODUK],AE48,TRANSHARI6_SPVOUMALAM[QUANTITY])</f>
        <v>0</v>
      </c>
      <c r="AQ48" s="152">
        <f>SUMIF(TRANSHARI7_SPVOUPAGI[PRODUK],AE48,TRANSHARI7_SPVOUPAGI[QUANTITY])+SUMIF(TRANSHARI7_SPVOUMALAM[PRODUK],AE48,TRANSHARI7_SPVOUMALAM[QUANTITY])</f>
        <v>0</v>
      </c>
      <c r="AR48" s="152">
        <f>SUMIF(TRANSHARI8_SPVOUPAGI[PRODUK],AE48,TRANSHARI8_SPVOUPAGI[QUANTITY])+SUMIF(TRANSHARI8_SPVOUMALAM[PRODUK],AE48,TRANSHARI8_SPVOUMALAM[QUANTITY])</f>
        <v>0</v>
      </c>
      <c r="AS48" s="152">
        <f>SUMIF(TRANSHARI9_SPVOUPAGI[PRODUK],AE48,TRANSHARI9_SPVOUPAGI[QUANTITY])+SUMIF(TRANSHARI9_SPVOUMALAM[PRODUK],AE48,TRANSHARI9_SPVOUMALAM[QUANTITY])</f>
        <v>0</v>
      </c>
      <c r="AT48" s="152">
        <f>SUMIF(TRANSHARI10_SPVOUPAGI[PRODUK],AE48,TRANSHARI10_SPVOUPAGI[QUANTITY])+SUMIF(TRANSHARI10_SPVOUMALAM[PRODUK],AE48,TRANSHARI10_SPVOUMALAM[QUANTITY])</f>
        <v>0</v>
      </c>
      <c r="AU48" s="152">
        <f>SUMIF(TRANSHARI11_SPVOUPAGI[PRODUK],AE48,TRANSHARI11_SPVOUPAGI[QUANTITY])+SUMIF(TRANSHARI11_SPVOUMALAM[PRODUK],AE48,TRANSHARI11_SPVOUMALAM[QUANTITY])</f>
        <v>0</v>
      </c>
      <c r="AV48" s="152">
        <f t="shared" si="3"/>
        <v>4</v>
      </c>
      <c r="AW48" s="152">
        <f t="shared" ref="AW48:AW79" si="23">AG48+AH48+AI48-AJ48-AV48</f>
        <v>-4</v>
      </c>
      <c r="AX48" s="176">
        <f t="shared" si="5"/>
        <v>52000</v>
      </c>
      <c r="BU48" s="174" t="str">
        <f>'DATA PRODUK'!AT45</f>
        <v>NEW PRODUCT (2)</v>
      </c>
      <c r="BV48" s="178">
        <f>'DATA PRODUK'!AU45</f>
        <v>0</v>
      </c>
      <c r="BW48" s="152"/>
      <c r="BX48" s="152"/>
      <c r="BY48" s="152"/>
      <c r="BZ48" s="152"/>
      <c r="CA48" s="152">
        <f>SUMIF(TRANSHARI1_ICECREAMPAGI[PRODUK],BU48,TRANSHARI1_ICECREAMPAGI[QUANTITY])+SUMIF(TRANSHARI1_ICECREAMMALAM[PRODUK],BU48,TRANSHARI1_ICECREAMMALAM[QUANTITY])</f>
        <v>0</v>
      </c>
      <c r="CB48" s="152">
        <f>SUMIF(TRANSHARI2_ICECREAMPAGI[PRODUK],BU48,TRANSHARI2_ICECREAMPAGI[QUANTITY])+SUMIF(TRANSHARI2_ICECREAMMALAM[PRODUK],BU48,TRANSHARI2_ICECREAMMALAM[QUANTITY])</f>
        <v>0</v>
      </c>
      <c r="CC48" s="152">
        <f>SUMIF(TRANSHARI3_ICECREAMPAGI[PRODUK],BU48,TRANSHARI3_ICECREAMPAGI[QUANTITY])+SUMIF(TRANSHARI3_ICECREAMMALAM[PRODUK],BU48,TRANSHARI3_ICECREAMMALAM[QUANTITY])</f>
        <v>0</v>
      </c>
      <c r="CD48" s="152">
        <f>SUMIF(TRANSHARI4_ICECREAMPAGI[PRODUK],BU48,TRANSHARI4_ICECREAMPAGI[QUANTITY])+SUMIF(TRANSHARI4_ICECREAMMALAM[PRODUK],BU48,TRANSHARI4_ICECREAMMALAM[QUANTITY])</f>
        <v>0</v>
      </c>
      <c r="CE48" s="152">
        <f>SUMIF(TRANSHARI5_ICECREAMPAGI[PRODUK],BU48,TRANSHARI5_ICECREAMPAGI[QUANTITY])+SUMIF(TRANSHARI5_ICECREAMMALAM[PRODUK],BU48,TRANSHARI5_ICECREAMMALAM[QUANTITY])</f>
        <v>0</v>
      </c>
      <c r="CF48" s="152">
        <f>SUMIF(TRANSHARI6_ICECREAMPAGI[PRODUK],BU48,TRANSHARI6_ICECREAMPAGI[QUANTITY])+SUMIF(TRANSHARI6_ICECREAMMALAM[PRODUK],BU48,TRANSHARI6_ICECREAMMALAM[QUANTITY])</f>
        <v>0</v>
      </c>
      <c r="CG48" s="152">
        <f>SUMIF(TRANSHARI7_ICECREAMPAGI[PRODUK],BU48,TRANSHARI7_ICECREAMPAGI[QUANTITY])+SUMIF(TRANSHARI7_ICECREAMMALAM[PRODUK],BU48,TRANSHARI7_ICECREAMMALAM[QUANTITY])</f>
        <v>0</v>
      </c>
      <c r="CH48" s="152">
        <f>SUMIF(TRANSHARI8_ICECREAMPAGI[PRODUK],BU48,TRANSHARI8_ICECREAMPAGI[QUANTITY])+SUMIF(TRANSHARI8_ICECREAMMALAM[PRODUK],BU48,TRANSHARI8_ICECREAMMALAM[QUANTITY])</f>
        <v>0</v>
      </c>
      <c r="CI48" s="152">
        <f>SUMIF(TRANSHARI9_ICECREAMPAGI[PRODUK],BU48,TRANSHARI9_ICECREAMPAGI[QUANTITY])+SUMIF(TRANSHARI9_ICECREAMMALAM[PRODUK],BU48,TRANSHARI9_ICECREAMMALAM[QUANTITY])</f>
        <v>0</v>
      </c>
      <c r="CJ48" s="152">
        <f>SUMIF(TRANSHARI10_ICECREAMPAGI[PRODUK],BU48,TRANSHARI10_ICECREAMPAGI[QUANTITY])+SUMIF(TRANSHARI10_ICECREAMMALAM[PRODUK],BU48,TRANSHARI10_ICECREAMMALAM[QUANTITY])</f>
        <v>0</v>
      </c>
      <c r="CK48" s="152">
        <f>SUMIF(TRANSHARI11_ICECREAMPAGI[PRODUK],BU48,TRANSHARI11_ICECREAMPAGI[QUANTITY])+SUMIF(TRANSHARI11_ICECREAMMALAM[PRODUK],BU48,TRANSHARI11_ICECREAMMALAM[QUANTITY])</f>
        <v>0</v>
      </c>
      <c r="CL48" s="152">
        <f t="shared" ref="CL48:CL49" si="24">SUM(CA48:CK48)</f>
        <v>0</v>
      </c>
      <c r="CM48" s="152">
        <f t="shared" ref="CM48:CM49" si="25">BW48+BX48+BY48-BZ48-CL48</f>
        <v>0</v>
      </c>
      <c r="CN48" s="176">
        <f t="shared" ref="CN48:CN49" si="26">CL48*BV48</f>
        <v>0</v>
      </c>
      <c r="CP48" s="174" t="str">
        <f>'DATA PRODUK'!BH45</f>
        <v>(K.D)(Universal) Robot RTF01</v>
      </c>
      <c r="CQ48" s="178">
        <f>'DATA PRODUK'!BI45</f>
        <v>105000</v>
      </c>
      <c r="CR48" s="152"/>
      <c r="CS48" s="152"/>
      <c r="CT48" s="152"/>
      <c r="CU48" s="152"/>
      <c r="CV48" s="152">
        <f>SUMIF(TRANSHARI1_ACCPAGI[PRODUK],CP48,TRANSHARI1_ACCPAGI[QUANTITY])+SUMIF(TRANSHARI1_ACCMALAM[PRODUK],CP48,TRANSHARI1_ACCMALAM[QUANTITY])</f>
        <v>0</v>
      </c>
      <c r="CW48" s="152">
        <f>SUMIF(TRANSHARI2_ACCPAGI[PRODUK],CP48,TRANSHARI2_ACCPAGI[QUANTITY])+SUMIF(TRANSHARI2_ACCMALAM[PRODUK],CP48,TRANSHARI2_ACCMALAM[QUANTITY])</f>
        <v>0</v>
      </c>
      <c r="CX48" s="152">
        <f>SUMIF(TRANSHARI3_ACCPAGI[PRODUK],CP48,TRANSHARI3_ACCPAGI[QUANTITY])+SUMIF(TRANSHARI3_ACCMALAM[PRODUK],CP48,TRANSHARI3_ACCMALAM[QUANTITY])</f>
        <v>0</v>
      </c>
      <c r="CY48" s="152">
        <f>SUMIF(TRANSHARI4_ACCPAGI[PRODUK],CP48,TRANSHARI4_ACCPAGI[QUANTITY])+SUMIF(TRANSHARI4_ACCMALAM[PRODUK],CP48,TRANSHARI4_ACCMALAM[QUANTITY])</f>
        <v>0</v>
      </c>
      <c r="CZ48" s="152">
        <f>SUMIF(TRANSHARI5_ACCPAGI[PRODUK],CP48,TRANSHARI5_ACCPAGI[QUANTITY])+SUMIF(TRANSHARI5_ACCMALAM[PRODUK],CP48,TRANSHARI5_ACCMALAM[QUANTITY])</f>
        <v>0</v>
      </c>
      <c r="DA48" s="152">
        <f>SUMIF(TRANSHARI6_ACCPAGI[PRODUK],CP48,TRANSHARI6_ACCPAGI[QUANTITY])+SUMIF(TRANSHARI6_ACCMALAM[PRODUK],CP48,TRANSHARI6_ACCMALAM[QUANTITY])</f>
        <v>0</v>
      </c>
      <c r="DB48" s="152">
        <f>SUMIF(TRANSHARI7_ACCPAGI[PRODUK],CP48,TRANSHARI7_ACCPAGI[QUANTITY])+SUMIF(TRANSHARI7_ACCMALAM[PRODUK],CP48,TRANSHARI7_ACCMALAM[QUANTITY])</f>
        <v>0</v>
      </c>
      <c r="DC48" s="152">
        <f>SUMIF(TRANSHARI8_ACCPAGI[PRODUK],CP48,TRANSHARI8_ACCPAGI[QUANTITY])+SUMIF(TRANSHARI8_ACCMALAM[PRODUK],CP48,TRANSHARI8_ACCMALAM[QUANTITY])</f>
        <v>0</v>
      </c>
      <c r="DD48" s="152">
        <f>SUMIF(TRANSHARI9_ACCPAGI[PRODUK],CP48,TRANSHARI9_ACCPAGI[QUANTITY])+SUMIF(TRANSHARI9_ACCMALAM[PRODUK],CP48,TRANSHARI9_ACCMALAM[QUANTITY])</f>
        <v>0</v>
      </c>
      <c r="DE48" s="152">
        <f>SUMIF(TRANSHARI10_ACCPAGI[PRODUK],CP48,TRANSHARI10_ACCPAGI[QUANTITY])+SUMIF(TRANSHARI10_ACCMALAM[PRODUK],CP48,TRANSHARI10_ACCMALAM[QUANTITY])</f>
        <v>0</v>
      </c>
      <c r="DF48" s="152">
        <f>SUMIF(TRANSHARI11_ACCPAGI[PRODUK],CP48,TRANSHARI11_ACCPAGI[QUANTITY])+SUMIF(TRANSHARI11_ACCMALAM[PRODUK],CP48,TRANSHARI11_ACCMALAM[QUANTITY])</f>
        <v>0</v>
      </c>
      <c r="DG48" s="152">
        <f t="shared" ref="DG48:DG99" si="27">SUM(CV48:DF48)</f>
        <v>0</v>
      </c>
      <c r="DH48" s="152">
        <f t="shared" ref="DH48:DH99" si="28">CR48+CS48+CT48-CU48-DG48</f>
        <v>0</v>
      </c>
      <c r="DI48" s="176">
        <f t="shared" si="14"/>
        <v>0</v>
      </c>
    </row>
    <row r="49" ht="18" spans="4:113">
      <c r="D49" s="130">
        <v>6</v>
      </c>
      <c r="E49" s="131">
        <f>'HARI 6'!L44+'HARI 6'!AA44</f>
        <v>0</v>
      </c>
      <c r="F49" s="132">
        <f>'HARI 6'!L45+'HARI 6'!AA45</f>
        <v>0</v>
      </c>
      <c r="G49" s="132">
        <f>'HARI 6'!L46+'HARI 6'!AA46</f>
        <v>0</v>
      </c>
      <c r="J49" s="157" t="s">
        <v>141</v>
      </c>
      <c r="K49" s="157"/>
      <c r="L49" s="11">
        <f t="shared" ref="L49:AC49" si="29">SUM(L15:L48)</f>
        <v>0</v>
      </c>
      <c r="M49" s="158">
        <f t="shared" si="29"/>
        <v>0</v>
      </c>
      <c r="N49" s="159">
        <f t="shared" si="29"/>
        <v>0</v>
      </c>
      <c r="O49" s="160">
        <f t="shared" si="29"/>
        <v>0</v>
      </c>
      <c r="P49" s="161">
        <f t="shared" si="29"/>
        <v>10</v>
      </c>
      <c r="Q49" s="169">
        <f t="shared" si="29"/>
        <v>2</v>
      </c>
      <c r="R49" s="161">
        <f t="shared" si="29"/>
        <v>0</v>
      </c>
      <c r="S49" s="169">
        <f t="shared" si="29"/>
        <v>0</v>
      </c>
      <c r="T49" s="161">
        <f t="shared" si="29"/>
        <v>0</v>
      </c>
      <c r="U49" s="169">
        <f t="shared" si="29"/>
        <v>0</v>
      </c>
      <c r="V49" s="161">
        <f t="shared" si="29"/>
        <v>0</v>
      </c>
      <c r="W49" s="169">
        <f t="shared" si="29"/>
        <v>0</v>
      </c>
      <c r="X49" s="161">
        <f t="shared" si="29"/>
        <v>0</v>
      </c>
      <c r="Y49" s="169">
        <f t="shared" si="29"/>
        <v>0</v>
      </c>
      <c r="Z49" s="161">
        <f t="shared" si="29"/>
        <v>0</v>
      </c>
      <c r="AA49" s="181">
        <f t="shared" si="29"/>
        <v>12</v>
      </c>
      <c r="AB49" s="182">
        <f t="shared" si="29"/>
        <v>-12</v>
      </c>
      <c r="AC49" s="183">
        <f t="shared" si="29"/>
        <v>193500</v>
      </c>
      <c r="AE49" s="174" t="str">
        <f>'DATA PRODUK'!R46</f>
        <v>BM3X (8GB / 5hr)</v>
      </c>
      <c r="AF49" s="175">
        <f>'DATA PRODUK'!S46</f>
        <v>24000</v>
      </c>
      <c r="AG49" s="12"/>
      <c r="AH49" s="12"/>
      <c r="AI49" s="12"/>
      <c r="AJ49" s="12"/>
      <c r="AK49" s="12">
        <f>SUMIF(TRANSHARI1_SPVOUPAGI[PRODUK],AE49,TRANSHARI1_SPVOUPAGI[QUANTITY])+SUMIF(TRANSHARI1_SPVOUMALAM[PRODUK],AE49,TRANSHARI1_SPVOUMALAM[QUANTITY])</f>
        <v>0</v>
      </c>
      <c r="AL49" s="12">
        <f>SUMIF(TRANSHARI2_SPVOUPAGI[PRODUK],AE49,TRANSHARI2_SPVOUPAGI[QUANTITY])+SUMIF(TRANSHARI2_SPVOUMALAM[PRODUK],AE49,TRANSHARI2_SPVOUMALAM[QUANTITY])</f>
        <v>0</v>
      </c>
      <c r="AM49" s="12">
        <f>SUMIF(TRANSHARI3_SPVOUPAGI[PRODUK],AE49,TRANSHARI3_SPVOUPAGI[QUANTITY])+SUMIF(TRANSHARI3_SPVOUMALAM[PRODUK],AE49,TRANSHARI3_SPVOUMALAM[QUANTITY])</f>
        <v>0</v>
      </c>
      <c r="AN49" s="12">
        <f>SUMIF(TRANSHARI4_SPVOUPAGI[PRODUK],AE49,TRANSHARI4_SPVOUPAGI[QUANTITY])+SUMIF(TRANSHARI4_SPVOUMALAM[PRODUK],AE49,TRANSHARI4_SPVOUMALAM[QUANTITY])</f>
        <v>0</v>
      </c>
      <c r="AO49" s="12">
        <f>SUMIF(TRANSHARI5_SPVOUPAGI[PRODUK],AE49,TRANSHARI5_SPVOUPAGI[QUANTITY])+SUMIF(TRANSHARI5_SPVOUMALAM[PRODUK],AE49,TRANSHARI5_SPVOUMALAM[QUANTITY])</f>
        <v>0</v>
      </c>
      <c r="AP49" s="12">
        <f>SUMIF(TRANSHARI6_SPVOUPAGI[PRODUK],AE49,TRANSHARI6_SPVOUPAGI[QUANTITY])+SUMIF(TRANSHARI6_SPVOUMALAM[PRODUK],AE49,TRANSHARI6_SPVOUMALAM[QUANTITY])</f>
        <v>0</v>
      </c>
      <c r="AQ49" s="12">
        <f>SUMIF(TRANSHARI7_SPVOUPAGI[PRODUK],AE49,TRANSHARI7_SPVOUPAGI[QUANTITY])+SUMIF(TRANSHARI7_SPVOUMALAM[PRODUK],AE49,TRANSHARI7_SPVOUMALAM[QUANTITY])</f>
        <v>0</v>
      </c>
      <c r="AR49" s="12">
        <f>SUMIF(TRANSHARI8_SPVOUPAGI[PRODUK],AE49,TRANSHARI8_SPVOUPAGI[QUANTITY])+SUMIF(TRANSHARI8_SPVOUMALAM[PRODUK],AE49,TRANSHARI8_SPVOUMALAM[QUANTITY])</f>
        <v>0</v>
      </c>
      <c r="AS49" s="12">
        <f>SUMIF(TRANSHARI9_SPVOUPAGI[PRODUK],AE49,TRANSHARI9_SPVOUPAGI[QUANTITY])+SUMIF(TRANSHARI9_SPVOUMALAM[PRODUK],AE49,TRANSHARI9_SPVOUMALAM[QUANTITY])</f>
        <v>0</v>
      </c>
      <c r="AT49" s="12">
        <f>SUMIF(TRANSHARI10_SPVOUPAGI[PRODUK],AE49,TRANSHARI10_SPVOUPAGI[QUANTITY])+SUMIF(TRANSHARI10_SPVOUMALAM[PRODUK],AE49,TRANSHARI10_SPVOUMALAM[QUANTITY])</f>
        <v>0</v>
      </c>
      <c r="AU49" s="12">
        <f>SUMIF(TRANSHARI11_SPVOUPAGI[PRODUK],AE49,TRANSHARI11_SPVOUPAGI[QUANTITY])+SUMIF(TRANSHARI11_SPVOUMALAM[PRODUK],AE49,TRANSHARI11_SPVOUMALAM[QUANTITY])</f>
        <v>0</v>
      </c>
      <c r="AV49" s="12">
        <f t="shared" ref="AV49:AV79" si="30">SUM(AK49:AU49)</f>
        <v>0</v>
      </c>
      <c r="AW49" s="12">
        <f t="shared" si="23"/>
        <v>0</v>
      </c>
      <c r="AX49" s="173">
        <f t="shared" si="5"/>
        <v>0</v>
      </c>
      <c r="BU49" s="177" t="str">
        <f>'DATA PRODUK'!AT46</f>
        <v>NEW PRODUCT (3)</v>
      </c>
      <c r="BV49" s="190">
        <f>'DATA PRODUK'!AU46</f>
        <v>0</v>
      </c>
      <c r="BW49" s="12"/>
      <c r="BX49" s="12"/>
      <c r="BY49" s="12"/>
      <c r="BZ49" s="12"/>
      <c r="CA49" s="12">
        <f>SUMIF(TRANSHARI1_ICECREAMPAGI[PRODUK],BU49,TRANSHARI1_ICECREAMPAGI[QUANTITY])+SUMIF(TRANSHARI1_ICECREAMMALAM[PRODUK],BU49,TRANSHARI1_ICECREAMMALAM[QUANTITY])</f>
        <v>0</v>
      </c>
      <c r="CB49" s="12">
        <f>SUMIF(TRANSHARI2_ICECREAMPAGI[PRODUK],BU49,TRANSHARI2_ICECREAMPAGI[QUANTITY])+SUMIF(TRANSHARI2_ICECREAMMALAM[PRODUK],BU49,TRANSHARI2_ICECREAMMALAM[QUANTITY])</f>
        <v>0</v>
      </c>
      <c r="CC49" s="12">
        <f>SUMIF(TRANSHARI3_ICECREAMPAGI[PRODUK],BU49,TRANSHARI3_ICECREAMPAGI[QUANTITY])+SUMIF(TRANSHARI3_ICECREAMMALAM[PRODUK],BU49,TRANSHARI3_ICECREAMMALAM[QUANTITY])</f>
        <v>0</v>
      </c>
      <c r="CD49" s="12">
        <f>SUMIF(TRANSHARI4_ICECREAMPAGI[PRODUK],BU49,TRANSHARI4_ICECREAMPAGI[QUANTITY])+SUMIF(TRANSHARI4_ICECREAMMALAM[PRODUK],BU49,TRANSHARI4_ICECREAMMALAM[QUANTITY])</f>
        <v>0</v>
      </c>
      <c r="CE49" s="12">
        <f>SUMIF(TRANSHARI5_ICECREAMPAGI[PRODUK],BU49,TRANSHARI5_ICECREAMPAGI[QUANTITY])+SUMIF(TRANSHARI5_ICECREAMMALAM[PRODUK],BU49,TRANSHARI5_ICECREAMMALAM[QUANTITY])</f>
        <v>0</v>
      </c>
      <c r="CF49" s="12">
        <f>SUMIF(TRANSHARI6_ICECREAMPAGI[PRODUK],BU49,TRANSHARI6_ICECREAMPAGI[QUANTITY])+SUMIF(TRANSHARI6_ICECREAMMALAM[PRODUK],BU49,TRANSHARI6_ICECREAMMALAM[QUANTITY])</f>
        <v>0</v>
      </c>
      <c r="CG49" s="12">
        <f>SUMIF(TRANSHARI7_ICECREAMPAGI[PRODUK],BU49,TRANSHARI7_ICECREAMPAGI[QUANTITY])+SUMIF(TRANSHARI7_ICECREAMMALAM[PRODUK],BU49,TRANSHARI7_ICECREAMMALAM[QUANTITY])</f>
        <v>0</v>
      </c>
      <c r="CH49" s="12">
        <f>SUMIF(TRANSHARI8_ICECREAMPAGI[PRODUK],BU49,TRANSHARI8_ICECREAMPAGI[QUANTITY])+SUMIF(TRANSHARI8_ICECREAMMALAM[PRODUK],BU49,TRANSHARI8_ICECREAMMALAM[QUANTITY])</f>
        <v>0</v>
      </c>
      <c r="CI49" s="12">
        <f>SUMIF(TRANSHARI9_ICECREAMPAGI[PRODUK],BU49,TRANSHARI9_ICECREAMPAGI[QUANTITY])+SUMIF(TRANSHARI9_ICECREAMMALAM[PRODUK],BU49,TRANSHARI9_ICECREAMMALAM[QUANTITY])</f>
        <v>0</v>
      </c>
      <c r="CJ49" s="12">
        <f>SUMIF(TRANSHARI10_ICECREAMPAGI[PRODUK],BU49,TRANSHARI10_ICECREAMPAGI[QUANTITY])+SUMIF(TRANSHARI10_ICECREAMMALAM[PRODUK],BU49,TRANSHARI10_ICECREAMMALAM[QUANTITY])</f>
        <v>0</v>
      </c>
      <c r="CK49" s="12">
        <f>SUMIF(TRANSHARI11_ICECREAMPAGI[PRODUK],BU49,TRANSHARI11_ICECREAMPAGI[QUANTITY])+SUMIF(TRANSHARI11_ICECREAMMALAM[PRODUK],BU49,TRANSHARI11_ICECREAMMALAM[QUANTITY])</f>
        <v>0</v>
      </c>
      <c r="CL49" s="12">
        <f t="shared" si="24"/>
        <v>0</v>
      </c>
      <c r="CM49" s="12">
        <f t="shared" si="25"/>
        <v>0</v>
      </c>
      <c r="CN49" s="173">
        <f t="shared" si="26"/>
        <v>0</v>
      </c>
      <c r="CP49" s="177" t="str">
        <f>'DATA PRODUK'!BH46</f>
        <v>(K.D)(Universal) Vivan VYT120S</v>
      </c>
      <c r="CQ49" s="175">
        <f>'DATA PRODUK'!BI46</f>
        <v>115000</v>
      </c>
      <c r="CR49" s="12"/>
      <c r="CS49" s="12"/>
      <c r="CT49" s="12"/>
      <c r="CU49" s="12"/>
      <c r="CV49" s="12">
        <f>SUMIF(TRANSHARI1_ACCPAGI[PRODUK],CP49,TRANSHARI1_ACCPAGI[QUANTITY])+SUMIF(TRANSHARI1_ACCMALAM[PRODUK],CP49,TRANSHARI1_ACCMALAM[QUANTITY])</f>
        <v>0</v>
      </c>
      <c r="CW49" s="12">
        <f>SUMIF(TRANSHARI2_ACCPAGI[PRODUK],CP49,TRANSHARI2_ACCPAGI[QUANTITY])+SUMIF(TRANSHARI2_ACCMALAM[PRODUK],CP49,TRANSHARI2_ACCMALAM[QUANTITY])</f>
        <v>0</v>
      </c>
      <c r="CX49" s="12">
        <f>SUMIF(TRANSHARI3_ACCPAGI[PRODUK],CP49,TRANSHARI3_ACCPAGI[QUANTITY])+SUMIF(TRANSHARI3_ACCMALAM[PRODUK],CP49,TRANSHARI3_ACCMALAM[QUANTITY])</f>
        <v>0</v>
      </c>
      <c r="CY49" s="12">
        <f>SUMIF(TRANSHARI4_ACCPAGI[PRODUK],CP49,TRANSHARI4_ACCPAGI[QUANTITY])+SUMIF(TRANSHARI4_ACCMALAM[PRODUK],CP49,TRANSHARI4_ACCMALAM[QUANTITY])</f>
        <v>0</v>
      </c>
      <c r="CZ49" s="12">
        <f>SUMIF(TRANSHARI5_ACCPAGI[PRODUK],CP49,TRANSHARI5_ACCPAGI[QUANTITY])+SUMIF(TRANSHARI5_ACCMALAM[PRODUK],CP49,TRANSHARI5_ACCMALAM[QUANTITY])</f>
        <v>0</v>
      </c>
      <c r="DA49" s="12">
        <f>SUMIF(TRANSHARI6_ACCPAGI[PRODUK],CP49,TRANSHARI6_ACCPAGI[QUANTITY])+SUMIF(TRANSHARI6_ACCMALAM[PRODUK],CP49,TRANSHARI6_ACCMALAM[QUANTITY])</f>
        <v>0</v>
      </c>
      <c r="DB49" s="12">
        <f>SUMIF(TRANSHARI7_ACCPAGI[PRODUK],CP49,TRANSHARI7_ACCPAGI[QUANTITY])+SUMIF(TRANSHARI7_ACCMALAM[PRODUK],CP49,TRANSHARI7_ACCMALAM[QUANTITY])</f>
        <v>0</v>
      </c>
      <c r="DC49" s="12">
        <f>SUMIF(TRANSHARI8_ACCPAGI[PRODUK],CP49,TRANSHARI8_ACCPAGI[QUANTITY])+SUMIF(TRANSHARI8_ACCMALAM[PRODUK],CP49,TRANSHARI8_ACCMALAM[QUANTITY])</f>
        <v>0</v>
      </c>
      <c r="DD49" s="12">
        <f>SUMIF(TRANSHARI9_ACCPAGI[PRODUK],CP49,TRANSHARI9_ACCPAGI[QUANTITY])+SUMIF(TRANSHARI9_ACCMALAM[PRODUK],CP49,TRANSHARI9_ACCMALAM[QUANTITY])</f>
        <v>0</v>
      </c>
      <c r="DE49" s="12">
        <f>SUMIF(TRANSHARI10_ACCPAGI[PRODUK],CP49,TRANSHARI10_ACCPAGI[QUANTITY])+SUMIF(TRANSHARI10_ACCMALAM[PRODUK],CP49,TRANSHARI10_ACCMALAM[QUANTITY])</f>
        <v>0</v>
      </c>
      <c r="DF49" s="12">
        <f>SUMIF(TRANSHARI11_ACCPAGI[PRODUK],CP49,TRANSHARI11_ACCPAGI[QUANTITY])+SUMIF(TRANSHARI11_ACCMALAM[PRODUK],CP49,TRANSHARI11_ACCMALAM[QUANTITY])</f>
        <v>0</v>
      </c>
      <c r="DG49" s="12">
        <f t="shared" si="27"/>
        <v>0</v>
      </c>
      <c r="DH49" s="12">
        <f t="shared" si="28"/>
        <v>0</v>
      </c>
      <c r="DI49" s="173">
        <f t="shared" ref="DI49:DI98" si="31">DG49*CQ49</f>
        <v>0</v>
      </c>
    </row>
    <row r="50" ht="18" spans="4:113">
      <c r="D50" s="127">
        <v>7</v>
      </c>
      <c r="E50" s="128">
        <f>'HARI 7'!L44+'HARI 7'!AA44</f>
        <v>0</v>
      </c>
      <c r="F50" s="128">
        <f>'HARI 7'!L45+'HARI 7'!AA45</f>
        <v>0</v>
      </c>
      <c r="G50" s="129">
        <f>'HARI 7'!L46+'HARI 7'!AA46</f>
        <v>0</v>
      </c>
      <c r="J50" s="162"/>
      <c r="K50" s="162"/>
      <c r="L50" s="11"/>
      <c r="M50" s="163"/>
      <c r="N50" s="164"/>
      <c r="O50" s="165"/>
      <c r="P50" s="166"/>
      <c r="Q50" s="170"/>
      <c r="R50" s="166"/>
      <c r="S50" s="170"/>
      <c r="T50" s="166"/>
      <c r="U50" s="170"/>
      <c r="V50" s="166"/>
      <c r="W50" s="170"/>
      <c r="X50" s="166"/>
      <c r="Y50" s="170"/>
      <c r="Z50" s="166"/>
      <c r="AA50" s="184"/>
      <c r="AB50" s="185"/>
      <c r="AC50" s="183"/>
      <c r="AE50" s="177" t="str">
        <f>'DATA PRODUK'!R47</f>
        <v>VHP9 (9GB / 10hr)</v>
      </c>
      <c r="AF50" s="178">
        <f>'DATA PRODUK'!S47</f>
        <v>28000</v>
      </c>
      <c r="AG50" s="152"/>
      <c r="AH50" s="152"/>
      <c r="AI50" s="152"/>
      <c r="AJ50" s="152"/>
      <c r="AK50" s="152">
        <f>SUMIF(TRANSHARI1_SPVOUPAGI[PRODUK],AE50,TRANSHARI1_SPVOUPAGI[QUANTITY])+SUMIF(TRANSHARI1_SPVOUMALAM[PRODUK],AE50,TRANSHARI1_SPVOUMALAM[QUANTITY])</f>
        <v>0</v>
      </c>
      <c r="AL50" s="152">
        <f>SUMIF(TRANSHARI2_SPVOUPAGI[PRODUK],AE50,TRANSHARI2_SPVOUPAGI[QUANTITY])+SUMIF(TRANSHARI2_SPVOUMALAM[PRODUK],AE50,TRANSHARI2_SPVOUMALAM[QUANTITY])</f>
        <v>0</v>
      </c>
      <c r="AM50" s="152">
        <f>SUMIF(TRANSHARI3_SPVOUPAGI[PRODUK],AE50,TRANSHARI3_SPVOUPAGI[QUANTITY])+SUMIF(TRANSHARI3_SPVOUMALAM[PRODUK],AE50,TRANSHARI3_SPVOUMALAM[QUANTITY])</f>
        <v>0</v>
      </c>
      <c r="AN50" s="152">
        <f>SUMIF(TRANSHARI4_SPVOUPAGI[PRODUK],AE50,TRANSHARI4_SPVOUPAGI[QUANTITY])+SUMIF(TRANSHARI4_SPVOUMALAM[PRODUK],AE50,TRANSHARI4_SPVOUMALAM[QUANTITY])</f>
        <v>0</v>
      </c>
      <c r="AO50" s="152">
        <f>SUMIF(TRANSHARI5_SPVOUPAGI[PRODUK],AE50,TRANSHARI5_SPVOUPAGI[QUANTITY])+SUMIF(TRANSHARI5_SPVOUMALAM[PRODUK],AE50,TRANSHARI5_SPVOUMALAM[QUANTITY])</f>
        <v>0</v>
      </c>
      <c r="AP50" s="152">
        <f>SUMIF(TRANSHARI6_SPVOUPAGI[PRODUK],AE50,TRANSHARI6_SPVOUPAGI[QUANTITY])+SUMIF(TRANSHARI6_SPVOUMALAM[PRODUK],AE50,TRANSHARI6_SPVOUMALAM[QUANTITY])</f>
        <v>0</v>
      </c>
      <c r="AQ50" s="152">
        <f>SUMIF(TRANSHARI7_SPVOUPAGI[PRODUK],AE50,TRANSHARI7_SPVOUPAGI[QUANTITY])+SUMIF(TRANSHARI7_SPVOUMALAM[PRODUK],AE50,TRANSHARI7_SPVOUMALAM[QUANTITY])</f>
        <v>0</v>
      </c>
      <c r="AR50" s="152">
        <f>SUMIF(TRANSHARI8_SPVOUPAGI[PRODUK],AE50,TRANSHARI8_SPVOUPAGI[QUANTITY])+SUMIF(TRANSHARI8_SPVOUMALAM[PRODUK],AE50,TRANSHARI8_SPVOUMALAM[QUANTITY])</f>
        <v>0</v>
      </c>
      <c r="AS50" s="152">
        <f>SUMIF(TRANSHARI9_SPVOUPAGI[PRODUK],AE50,TRANSHARI9_SPVOUPAGI[QUANTITY])+SUMIF(TRANSHARI9_SPVOUMALAM[PRODUK],AE50,TRANSHARI9_SPVOUMALAM[QUANTITY])</f>
        <v>0</v>
      </c>
      <c r="AT50" s="152">
        <f>SUMIF(TRANSHARI10_SPVOUPAGI[PRODUK],AE50,TRANSHARI10_SPVOUPAGI[QUANTITY])+SUMIF(TRANSHARI10_SPVOUMALAM[PRODUK],AE50,TRANSHARI10_SPVOUMALAM[QUANTITY])</f>
        <v>0</v>
      </c>
      <c r="AU50" s="152">
        <f>SUMIF(TRANSHARI11_SPVOUPAGI[PRODUK],AE50,TRANSHARI11_SPVOUPAGI[QUANTITY])+SUMIF(TRANSHARI11_SPVOUMALAM[PRODUK],AE50,TRANSHARI11_SPVOUMALAM[QUANTITY])</f>
        <v>0</v>
      </c>
      <c r="AV50" s="152">
        <f t="shared" si="30"/>
        <v>0</v>
      </c>
      <c r="AW50" s="152">
        <f t="shared" si="23"/>
        <v>0</v>
      </c>
      <c r="AX50" s="176">
        <f t="shared" si="5"/>
        <v>0</v>
      </c>
      <c r="BU50" s="157" t="s">
        <v>141</v>
      </c>
      <c r="BV50" s="157"/>
      <c r="BW50" s="11">
        <f t="shared" ref="BW50:CN50" si="32">SUM(BW15:BW49)</f>
        <v>0</v>
      </c>
      <c r="BX50" s="158">
        <f t="shared" si="32"/>
        <v>0</v>
      </c>
      <c r="BY50" s="159">
        <f t="shared" si="32"/>
        <v>0</v>
      </c>
      <c r="BZ50" s="160">
        <f t="shared" si="32"/>
        <v>0</v>
      </c>
      <c r="CA50" s="161">
        <f t="shared" si="32"/>
        <v>8</v>
      </c>
      <c r="CB50" s="169">
        <f t="shared" si="32"/>
        <v>1</v>
      </c>
      <c r="CC50" s="161">
        <f t="shared" si="32"/>
        <v>0</v>
      </c>
      <c r="CD50" s="169">
        <f t="shared" si="32"/>
        <v>0</v>
      </c>
      <c r="CE50" s="161">
        <f t="shared" si="32"/>
        <v>0</v>
      </c>
      <c r="CF50" s="169">
        <f t="shared" si="32"/>
        <v>0</v>
      </c>
      <c r="CG50" s="161">
        <f t="shared" si="32"/>
        <v>0</v>
      </c>
      <c r="CH50" s="169">
        <f t="shared" si="32"/>
        <v>0</v>
      </c>
      <c r="CI50" s="161">
        <f t="shared" si="32"/>
        <v>0</v>
      </c>
      <c r="CJ50" s="169">
        <f t="shared" si="32"/>
        <v>0</v>
      </c>
      <c r="CK50" s="161">
        <f t="shared" si="32"/>
        <v>0</v>
      </c>
      <c r="CL50" s="181">
        <f t="shared" si="32"/>
        <v>9</v>
      </c>
      <c r="CM50" s="182">
        <f t="shared" si="32"/>
        <v>-9</v>
      </c>
      <c r="CN50" s="191">
        <f t="shared" si="32"/>
        <v>26500</v>
      </c>
      <c r="CP50" s="174" t="str">
        <f>'DATA PRODUK'!BH47</f>
        <v>(ADAPTER)(1A) Robot RT-K4</v>
      </c>
      <c r="CQ50" s="178">
        <f>'DATA PRODUK'!BI47</f>
        <v>20000</v>
      </c>
      <c r="CR50" s="152"/>
      <c r="CS50" s="152"/>
      <c r="CT50" s="152"/>
      <c r="CU50" s="152"/>
      <c r="CV50" s="152">
        <f>SUMIF(TRANSHARI1_ACCPAGI[PRODUK],CP50,TRANSHARI1_ACCPAGI[QUANTITY])+SUMIF(TRANSHARI1_ACCMALAM[PRODUK],CP50,TRANSHARI1_ACCMALAM[QUANTITY])</f>
        <v>0</v>
      </c>
      <c r="CW50" s="152">
        <f>SUMIF(TRANSHARI2_ACCPAGI[PRODUK],CP50,TRANSHARI2_ACCPAGI[QUANTITY])+SUMIF(TRANSHARI2_ACCMALAM[PRODUK],CP50,TRANSHARI2_ACCMALAM[QUANTITY])</f>
        <v>0</v>
      </c>
      <c r="CX50" s="152">
        <f>SUMIF(TRANSHARI3_ACCPAGI[PRODUK],CP50,TRANSHARI3_ACCPAGI[QUANTITY])+SUMIF(TRANSHARI3_ACCMALAM[PRODUK],CP50,TRANSHARI3_ACCMALAM[QUANTITY])</f>
        <v>0</v>
      </c>
      <c r="CY50" s="152">
        <f>SUMIF(TRANSHARI4_ACCPAGI[PRODUK],CP50,TRANSHARI4_ACCPAGI[QUANTITY])+SUMIF(TRANSHARI4_ACCMALAM[PRODUK],CP50,TRANSHARI4_ACCMALAM[QUANTITY])</f>
        <v>0</v>
      </c>
      <c r="CZ50" s="152">
        <f>SUMIF(TRANSHARI5_ACCPAGI[PRODUK],CP50,TRANSHARI5_ACCPAGI[QUANTITY])+SUMIF(TRANSHARI5_ACCMALAM[PRODUK],CP50,TRANSHARI5_ACCMALAM[QUANTITY])</f>
        <v>0</v>
      </c>
      <c r="DA50" s="152">
        <f>SUMIF(TRANSHARI6_ACCPAGI[PRODUK],CP50,TRANSHARI6_ACCPAGI[QUANTITY])+SUMIF(TRANSHARI6_ACCMALAM[PRODUK],CP50,TRANSHARI6_ACCMALAM[QUANTITY])</f>
        <v>0</v>
      </c>
      <c r="DB50" s="152">
        <f>SUMIF(TRANSHARI7_ACCPAGI[PRODUK],CP50,TRANSHARI7_ACCPAGI[QUANTITY])+SUMIF(TRANSHARI7_ACCMALAM[PRODUK],CP50,TRANSHARI7_ACCMALAM[QUANTITY])</f>
        <v>0</v>
      </c>
      <c r="DC50" s="152">
        <f>SUMIF(TRANSHARI8_ACCPAGI[PRODUK],CP50,TRANSHARI8_ACCPAGI[QUANTITY])+SUMIF(TRANSHARI8_ACCMALAM[PRODUK],CP50,TRANSHARI8_ACCMALAM[QUANTITY])</f>
        <v>0</v>
      </c>
      <c r="DD50" s="152">
        <f>SUMIF(TRANSHARI9_ACCPAGI[PRODUK],CP50,TRANSHARI9_ACCPAGI[QUANTITY])+SUMIF(TRANSHARI9_ACCMALAM[PRODUK],CP50,TRANSHARI9_ACCMALAM[QUANTITY])</f>
        <v>0</v>
      </c>
      <c r="DE50" s="152">
        <f>SUMIF(TRANSHARI10_ACCPAGI[PRODUK],CP50,TRANSHARI10_ACCPAGI[QUANTITY])+SUMIF(TRANSHARI10_ACCMALAM[PRODUK],CP50,TRANSHARI10_ACCMALAM[QUANTITY])</f>
        <v>0</v>
      </c>
      <c r="DF50" s="152">
        <f>SUMIF(TRANSHARI11_ACCPAGI[PRODUK],CP50,TRANSHARI11_ACCPAGI[QUANTITY])+SUMIF(TRANSHARI11_ACCMALAM[PRODUK],CP50,TRANSHARI11_ACCMALAM[QUANTITY])</f>
        <v>0</v>
      </c>
      <c r="DG50" s="152">
        <f t="shared" si="27"/>
        <v>0</v>
      </c>
      <c r="DH50" s="152">
        <f t="shared" si="28"/>
        <v>0</v>
      </c>
      <c r="DI50" s="176">
        <f t="shared" si="31"/>
        <v>0</v>
      </c>
    </row>
    <row r="51" ht="18" spans="4:113">
      <c r="D51" s="130">
        <v>8</v>
      </c>
      <c r="E51" s="131">
        <f>'HARI 8'!L44+'HARI 8'!AA44</f>
        <v>0</v>
      </c>
      <c r="F51" s="132">
        <f>'HARI 8'!L45+'HARI 8'!AA45</f>
        <v>0</v>
      </c>
      <c r="G51" s="132">
        <f>'HARI 8'!L46+'HARI 8'!AA46</f>
        <v>0</v>
      </c>
      <c r="J51" s="167"/>
      <c r="K51" s="167"/>
      <c r="L51" s="167"/>
      <c r="M51" s="167"/>
      <c r="N51" s="167"/>
      <c r="O51" s="167"/>
      <c r="P51" s="12" t="s">
        <v>246</v>
      </c>
      <c r="Q51" s="12" t="s">
        <v>247</v>
      </c>
      <c r="R51" s="12" t="s">
        <v>248</v>
      </c>
      <c r="S51" s="12" t="s">
        <v>249</v>
      </c>
      <c r="T51" s="12" t="s">
        <v>250</v>
      </c>
      <c r="U51" s="12" t="s">
        <v>251</v>
      </c>
      <c r="V51" s="12" t="s">
        <v>252</v>
      </c>
      <c r="W51" s="12" t="s">
        <v>253</v>
      </c>
      <c r="X51" s="12" t="s">
        <v>254</v>
      </c>
      <c r="Y51" s="12" t="s">
        <v>255</v>
      </c>
      <c r="Z51" s="12" t="s">
        <v>256</v>
      </c>
      <c r="AA51" s="167"/>
      <c r="AB51" s="167"/>
      <c r="AC51" s="167"/>
      <c r="AE51" s="174" t="str">
        <f>'DATA PRODUK'!R48</f>
        <v>VAON1 (3 GB)</v>
      </c>
      <c r="AF51" s="186">
        <f>'DATA PRODUK'!S48</f>
        <v>21000</v>
      </c>
      <c r="AG51" s="12"/>
      <c r="AH51" s="12"/>
      <c r="AI51" s="12"/>
      <c r="AJ51" s="12"/>
      <c r="AK51" s="12">
        <f>SUMIF(TRANSHARI1_SPVOUPAGI[PRODUK],AE51,TRANSHARI1_SPVOUPAGI[QUANTITY])+SUMIF(TRANSHARI1_SPVOUMALAM[PRODUK],AE51,TRANSHARI1_SPVOUMALAM[QUANTITY])</f>
        <v>1</v>
      </c>
      <c r="AL51" s="12">
        <f>SUMIF(TRANSHARI2_SPVOUPAGI[PRODUK],AE51,TRANSHARI2_SPVOUPAGI[QUANTITY])+SUMIF(TRANSHARI2_SPVOUMALAM[PRODUK],AE51,TRANSHARI2_SPVOUMALAM[QUANTITY])</f>
        <v>0</v>
      </c>
      <c r="AM51" s="12">
        <f>SUMIF(TRANSHARI3_SPVOUPAGI[PRODUK],AE51,TRANSHARI3_SPVOUPAGI[QUANTITY])+SUMIF(TRANSHARI3_SPVOUMALAM[PRODUK],AE51,TRANSHARI3_SPVOUMALAM[QUANTITY])</f>
        <v>0</v>
      </c>
      <c r="AN51" s="12">
        <f>SUMIF(TRANSHARI4_SPVOUPAGI[PRODUK],AE51,TRANSHARI4_SPVOUPAGI[QUANTITY])+SUMIF(TRANSHARI4_SPVOUMALAM[PRODUK],AE51,TRANSHARI4_SPVOUMALAM[QUANTITY])</f>
        <v>0</v>
      </c>
      <c r="AO51" s="12">
        <f>SUMIF(TRANSHARI5_SPVOUPAGI[PRODUK],AE51,TRANSHARI5_SPVOUPAGI[QUANTITY])+SUMIF(TRANSHARI5_SPVOUMALAM[PRODUK],AE51,TRANSHARI5_SPVOUMALAM[QUANTITY])</f>
        <v>0</v>
      </c>
      <c r="AP51" s="12">
        <f>SUMIF(TRANSHARI6_SPVOUPAGI[PRODUK],AE51,TRANSHARI6_SPVOUPAGI[QUANTITY])+SUMIF(TRANSHARI6_SPVOUMALAM[PRODUK],AE51,TRANSHARI6_SPVOUMALAM[QUANTITY])</f>
        <v>0</v>
      </c>
      <c r="AQ51" s="12">
        <f>SUMIF(TRANSHARI7_SPVOUPAGI[PRODUK],AE51,TRANSHARI7_SPVOUPAGI[QUANTITY])+SUMIF(TRANSHARI7_SPVOUMALAM[PRODUK],AE51,TRANSHARI7_SPVOUMALAM[QUANTITY])</f>
        <v>0</v>
      </c>
      <c r="AR51" s="12">
        <f>SUMIF(TRANSHARI8_SPVOUPAGI[PRODUK],AE51,TRANSHARI8_SPVOUPAGI[QUANTITY])+SUMIF(TRANSHARI8_SPVOUMALAM[PRODUK],AE51,TRANSHARI8_SPVOUMALAM[QUANTITY])</f>
        <v>0</v>
      </c>
      <c r="AS51" s="12">
        <f>SUMIF(TRANSHARI9_SPVOUPAGI[PRODUK],AE51,TRANSHARI9_SPVOUPAGI[QUANTITY])+SUMIF(TRANSHARI9_SPVOUMALAM[PRODUK],AE51,TRANSHARI9_SPVOUMALAM[QUANTITY])</f>
        <v>0</v>
      </c>
      <c r="AT51" s="12">
        <f>SUMIF(TRANSHARI10_SPVOUPAGI[PRODUK],AE51,TRANSHARI10_SPVOUPAGI[QUANTITY])+SUMIF(TRANSHARI10_SPVOUMALAM[PRODUK],AE51,TRANSHARI10_SPVOUMALAM[QUANTITY])</f>
        <v>0</v>
      </c>
      <c r="AU51" s="12">
        <f>SUMIF(TRANSHARI11_SPVOUPAGI[PRODUK],AE51,TRANSHARI11_SPVOUPAGI[QUANTITY])+SUMIF(TRANSHARI11_SPVOUMALAM[PRODUK],AE51,TRANSHARI11_SPVOUMALAM[QUANTITY])</f>
        <v>0</v>
      </c>
      <c r="AV51" s="12">
        <f t="shared" si="30"/>
        <v>1</v>
      </c>
      <c r="AW51" s="12">
        <f t="shared" si="23"/>
        <v>-1</v>
      </c>
      <c r="AX51" s="173">
        <f t="shared" si="5"/>
        <v>21000</v>
      </c>
      <c r="BU51" s="162"/>
      <c r="BV51" s="162"/>
      <c r="BW51" s="11"/>
      <c r="BX51" s="163"/>
      <c r="BY51" s="164"/>
      <c r="BZ51" s="165"/>
      <c r="CA51" s="166"/>
      <c r="CB51" s="170"/>
      <c r="CC51" s="166"/>
      <c r="CD51" s="170"/>
      <c r="CE51" s="166"/>
      <c r="CF51" s="170"/>
      <c r="CG51" s="166"/>
      <c r="CH51" s="170"/>
      <c r="CI51" s="166"/>
      <c r="CJ51" s="170"/>
      <c r="CK51" s="166"/>
      <c r="CL51" s="184"/>
      <c r="CM51" s="185"/>
      <c r="CN51" s="192"/>
      <c r="CP51" s="177" t="str">
        <f>'DATA PRODUK'!BH48</f>
        <v>(ADAPTER)(1.2A) Olike C105</v>
      </c>
      <c r="CQ51" s="175">
        <f>'DATA PRODUK'!BI48</f>
        <v>25000</v>
      </c>
      <c r="CR51" s="12"/>
      <c r="CS51" s="12"/>
      <c r="CT51" s="12"/>
      <c r="CU51" s="12"/>
      <c r="CV51" s="12">
        <f>SUMIF(TRANSHARI1_ACCPAGI[PRODUK],CP51,TRANSHARI1_ACCPAGI[QUANTITY])+SUMIF(TRANSHARI1_ACCMALAM[PRODUK],CP51,TRANSHARI1_ACCMALAM[QUANTITY])</f>
        <v>1</v>
      </c>
      <c r="CW51" s="12">
        <f>SUMIF(TRANSHARI2_ACCPAGI[PRODUK],CP51,TRANSHARI2_ACCPAGI[QUANTITY])+SUMIF(TRANSHARI2_ACCMALAM[PRODUK],CP51,TRANSHARI2_ACCMALAM[QUANTITY])</f>
        <v>0</v>
      </c>
      <c r="CX51" s="12">
        <f>SUMIF(TRANSHARI3_ACCPAGI[PRODUK],CP51,TRANSHARI3_ACCPAGI[QUANTITY])+SUMIF(TRANSHARI3_ACCMALAM[PRODUK],CP51,TRANSHARI3_ACCMALAM[QUANTITY])</f>
        <v>0</v>
      </c>
      <c r="CY51" s="12">
        <f>SUMIF(TRANSHARI4_ACCPAGI[PRODUK],CP51,TRANSHARI4_ACCPAGI[QUANTITY])+SUMIF(TRANSHARI4_ACCMALAM[PRODUK],CP51,TRANSHARI4_ACCMALAM[QUANTITY])</f>
        <v>0</v>
      </c>
      <c r="CZ51" s="12">
        <f>SUMIF(TRANSHARI5_ACCPAGI[PRODUK],CP51,TRANSHARI5_ACCPAGI[QUANTITY])+SUMIF(TRANSHARI5_ACCMALAM[PRODUK],CP51,TRANSHARI5_ACCMALAM[QUANTITY])</f>
        <v>0</v>
      </c>
      <c r="DA51" s="12">
        <f>SUMIF(TRANSHARI6_ACCPAGI[PRODUK],CP51,TRANSHARI6_ACCPAGI[QUANTITY])+SUMIF(TRANSHARI6_ACCMALAM[PRODUK],CP51,TRANSHARI6_ACCMALAM[QUANTITY])</f>
        <v>0</v>
      </c>
      <c r="DB51" s="12">
        <f>SUMIF(TRANSHARI7_ACCPAGI[PRODUK],CP51,TRANSHARI7_ACCPAGI[QUANTITY])+SUMIF(TRANSHARI7_ACCMALAM[PRODUK],CP51,TRANSHARI7_ACCMALAM[QUANTITY])</f>
        <v>0</v>
      </c>
      <c r="DC51" s="12">
        <f>SUMIF(TRANSHARI8_ACCPAGI[PRODUK],CP51,TRANSHARI8_ACCPAGI[QUANTITY])+SUMIF(TRANSHARI8_ACCMALAM[PRODUK],CP51,TRANSHARI8_ACCMALAM[QUANTITY])</f>
        <v>0</v>
      </c>
      <c r="DD51" s="12">
        <f>SUMIF(TRANSHARI9_ACCPAGI[PRODUK],CP51,TRANSHARI9_ACCPAGI[QUANTITY])+SUMIF(TRANSHARI9_ACCMALAM[PRODUK],CP51,TRANSHARI9_ACCMALAM[QUANTITY])</f>
        <v>0</v>
      </c>
      <c r="DE51" s="12">
        <f>SUMIF(TRANSHARI10_ACCPAGI[PRODUK],CP51,TRANSHARI10_ACCPAGI[QUANTITY])+SUMIF(TRANSHARI10_ACCMALAM[PRODUK],CP51,TRANSHARI10_ACCMALAM[QUANTITY])</f>
        <v>0</v>
      </c>
      <c r="DF51" s="12">
        <f>SUMIF(TRANSHARI11_ACCPAGI[PRODUK],CP51,TRANSHARI11_ACCPAGI[QUANTITY])+SUMIF(TRANSHARI11_ACCMALAM[PRODUK],CP51,TRANSHARI11_ACCMALAM[QUANTITY])</f>
        <v>0</v>
      </c>
      <c r="DG51" s="12">
        <f t="shared" si="27"/>
        <v>1</v>
      </c>
      <c r="DH51" s="12">
        <f t="shared" si="28"/>
        <v>-1</v>
      </c>
      <c r="DI51" s="173">
        <f t="shared" si="31"/>
        <v>25000</v>
      </c>
    </row>
    <row r="52" ht="18" spans="4:113">
      <c r="D52" s="127">
        <v>9</v>
      </c>
      <c r="E52" s="128">
        <f>'HARI 9'!L44+'HARI 9'!AA44</f>
        <v>0</v>
      </c>
      <c r="F52" s="128">
        <f>'HARI 9'!L45+'HARI 9'!AA45</f>
        <v>0</v>
      </c>
      <c r="G52" s="129">
        <f>'HARI 9'!L46+'HARI 9'!AA46</f>
        <v>0</v>
      </c>
      <c r="J52" s="167">
        <f>COUNTA(J15:J48)</f>
        <v>34</v>
      </c>
      <c r="K52" s="168">
        <f>SUM(K15:K48)</f>
        <v>706500</v>
      </c>
      <c r="AE52" s="177" t="str">
        <f>'DATA PRODUK'!R49</f>
        <v>VAON2 (4.5 GB)</v>
      </c>
      <c r="AF52" s="178">
        <f>'DATA PRODUK'!S49</f>
        <v>26000</v>
      </c>
      <c r="AG52" s="152"/>
      <c r="AH52" s="152"/>
      <c r="AI52" s="152"/>
      <c r="AJ52" s="152"/>
      <c r="AK52" s="152">
        <f>SUMIF(TRANSHARI1_SPVOUPAGI[PRODUK],AE52,TRANSHARI1_SPVOUPAGI[QUANTITY])+SUMIF(TRANSHARI1_SPVOUMALAM[PRODUK],AE52,TRANSHARI1_SPVOUMALAM[QUANTITY])</f>
        <v>0</v>
      </c>
      <c r="AL52" s="152">
        <f>SUMIF(TRANSHARI2_SPVOUPAGI[PRODUK],AE52,TRANSHARI2_SPVOUPAGI[QUANTITY])+SUMIF(TRANSHARI2_SPVOUMALAM[PRODUK],AE52,TRANSHARI2_SPVOUMALAM[QUANTITY])</f>
        <v>0</v>
      </c>
      <c r="AM52" s="152">
        <f>SUMIF(TRANSHARI3_SPVOUPAGI[PRODUK],AE52,TRANSHARI3_SPVOUPAGI[QUANTITY])+SUMIF(TRANSHARI3_SPVOUMALAM[PRODUK],AE52,TRANSHARI3_SPVOUMALAM[QUANTITY])</f>
        <v>0</v>
      </c>
      <c r="AN52" s="152">
        <f>SUMIF(TRANSHARI4_SPVOUPAGI[PRODUK],AE52,TRANSHARI4_SPVOUPAGI[QUANTITY])+SUMIF(TRANSHARI4_SPVOUMALAM[PRODUK],AE52,TRANSHARI4_SPVOUMALAM[QUANTITY])</f>
        <v>0</v>
      </c>
      <c r="AO52" s="152">
        <f>SUMIF(TRANSHARI5_SPVOUPAGI[PRODUK],AE52,TRANSHARI5_SPVOUPAGI[QUANTITY])+SUMIF(TRANSHARI5_SPVOUMALAM[PRODUK],AE52,TRANSHARI5_SPVOUMALAM[QUANTITY])</f>
        <v>0</v>
      </c>
      <c r="AP52" s="152">
        <f>SUMIF(TRANSHARI6_SPVOUPAGI[PRODUK],AE52,TRANSHARI6_SPVOUPAGI[QUANTITY])+SUMIF(TRANSHARI6_SPVOUMALAM[PRODUK],AE52,TRANSHARI6_SPVOUMALAM[QUANTITY])</f>
        <v>0</v>
      </c>
      <c r="AQ52" s="152">
        <f>SUMIF(TRANSHARI7_SPVOUPAGI[PRODUK],AE52,TRANSHARI7_SPVOUPAGI[QUANTITY])+SUMIF(TRANSHARI7_SPVOUMALAM[PRODUK],AE52,TRANSHARI7_SPVOUMALAM[QUANTITY])</f>
        <v>0</v>
      </c>
      <c r="AR52" s="152">
        <f>SUMIF(TRANSHARI8_SPVOUPAGI[PRODUK],AE52,TRANSHARI8_SPVOUPAGI[QUANTITY])+SUMIF(TRANSHARI8_SPVOUMALAM[PRODUK],AE52,TRANSHARI8_SPVOUMALAM[QUANTITY])</f>
        <v>0</v>
      </c>
      <c r="AS52" s="152">
        <f>SUMIF(TRANSHARI9_SPVOUPAGI[PRODUK],AE52,TRANSHARI9_SPVOUPAGI[QUANTITY])+SUMIF(TRANSHARI9_SPVOUMALAM[PRODUK],AE52,TRANSHARI9_SPVOUMALAM[QUANTITY])</f>
        <v>0</v>
      </c>
      <c r="AT52" s="152">
        <f>SUMIF(TRANSHARI10_SPVOUPAGI[PRODUK],AE52,TRANSHARI10_SPVOUPAGI[QUANTITY])+SUMIF(TRANSHARI10_SPVOUMALAM[PRODUK],AE52,TRANSHARI10_SPVOUMALAM[QUANTITY])</f>
        <v>0</v>
      </c>
      <c r="AU52" s="152">
        <f>SUMIF(TRANSHARI11_SPVOUPAGI[PRODUK],AE52,TRANSHARI11_SPVOUPAGI[QUANTITY])+SUMIF(TRANSHARI11_SPVOUMALAM[PRODUK],AE52,TRANSHARI11_SPVOUMALAM[QUANTITY])</f>
        <v>0</v>
      </c>
      <c r="AV52" s="152">
        <f t="shared" si="30"/>
        <v>0</v>
      </c>
      <c r="AW52" s="152">
        <f t="shared" si="23"/>
        <v>0</v>
      </c>
      <c r="AX52" s="176">
        <f t="shared" si="5"/>
        <v>0</v>
      </c>
      <c r="BW52" s="167"/>
      <c r="BX52" s="167"/>
      <c r="BY52" s="167"/>
      <c r="BZ52" s="167"/>
      <c r="CA52" s="12" t="s">
        <v>246</v>
      </c>
      <c r="CB52" s="12" t="s">
        <v>247</v>
      </c>
      <c r="CC52" s="12" t="s">
        <v>248</v>
      </c>
      <c r="CD52" s="12" t="s">
        <v>249</v>
      </c>
      <c r="CE52" s="12" t="s">
        <v>250</v>
      </c>
      <c r="CF52" s="12" t="s">
        <v>251</v>
      </c>
      <c r="CG52" s="12" t="s">
        <v>252</v>
      </c>
      <c r="CH52" s="12" t="s">
        <v>253</v>
      </c>
      <c r="CI52" s="12" t="s">
        <v>254</v>
      </c>
      <c r="CJ52" s="12" t="s">
        <v>255</v>
      </c>
      <c r="CK52" s="12" t="s">
        <v>256</v>
      </c>
      <c r="CL52" s="167"/>
      <c r="CM52" s="167"/>
      <c r="CN52" s="167"/>
      <c r="CP52" s="174" t="str">
        <f>'DATA PRODUK'!BH49</f>
        <v>(ADAPTER)(2A) Robot RT-K8</v>
      </c>
      <c r="CQ52" s="178">
        <f>'DATA PRODUK'!BI49</f>
        <v>30000</v>
      </c>
      <c r="CR52" s="152"/>
      <c r="CS52" s="152"/>
      <c r="CT52" s="152"/>
      <c r="CU52" s="152"/>
      <c r="CV52" s="152">
        <f>SUMIF(TRANSHARI1_ACCPAGI[PRODUK],CP52,TRANSHARI1_ACCPAGI[QUANTITY])+SUMIF(TRANSHARI1_ACCMALAM[PRODUK],CP52,TRANSHARI1_ACCMALAM[QUANTITY])</f>
        <v>0</v>
      </c>
      <c r="CW52" s="152">
        <f>SUMIF(TRANSHARI2_ACCPAGI[PRODUK],CP52,TRANSHARI2_ACCPAGI[QUANTITY])+SUMIF(TRANSHARI2_ACCMALAM[PRODUK],CP52,TRANSHARI2_ACCMALAM[QUANTITY])</f>
        <v>0</v>
      </c>
      <c r="CX52" s="152">
        <f>SUMIF(TRANSHARI3_ACCPAGI[PRODUK],CP52,TRANSHARI3_ACCPAGI[QUANTITY])+SUMIF(TRANSHARI3_ACCMALAM[PRODUK],CP52,TRANSHARI3_ACCMALAM[QUANTITY])</f>
        <v>0</v>
      </c>
      <c r="CY52" s="152">
        <f>SUMIF(TRANSHARI4_ACCPAGI[PRODUK],CP52,TRANSHARI4_ACCPAGI[QUANTITY])+SUMIF(TRANSHARI4_ACCMALAM[PRODUK],CP52,TRANSHARI4_ACCMALAM[QUANTITY])</f>
        <v>0</v>
      </c>
      <c r="CZ52" s="152">
        <f>SUMIF(TRANSHARI5_ACCPAGI[PRODUK],CP52,TRANSHARI5_ACCPAGI[QUANTITY])+SUMIF(TRANSHARI5_ACCMALAM[PRODUK],CP52,TRANSHARI5_ACCMALAM[QUANTITY])</f>
        <v>0</v>
      </c>
      <c r="DA52" s="152">
        <f>SUMIF(TRANSHARI6_ACCPAGI[PRODUK],CP52,TRANSHARI6_ACCPAGI[QUANTITY])+SUMIF(TRANSHARI6_ACCMALAM[PRODUK],CP52,TRANSHARI6_ACCMALAM[QUANTITY])</f>
        <v>0</v>
      </c>
      <c r="DB52" s="152">
        <f>SUMIF(TRANSHARI7_ACCPAGI[PRODUK],CP52,TRANSHARI7_ACCPAGI[QUANTITY])+SUMIF(TRANSHARI7_ACCMALAM[PRODUK],CP52,TRANSHARI7_ACCMALAM[QUANTITY])</f>
        <v>0</v>
      </c>
      <c r="DC52" s="152">
        <f>SUMIF(TRANSHARI8_ACCPAGI[PRODUK],CP52,TRANSHARI8_ACCPAGI[QUANTITY])+SUMIF(TRANSHARI8_ACCMALAM[PRODUK],CP52,TRANSHARI8_ACCMALAM[QUANTITY])</f>
        <v>0</v>
      </c>
      <c r="DD52" s="152">
        <f>SUMIF(TRANSHARI9_ACCPAGI[PRODUK],CP52,TRANSHARI9_ACCPAGI[QUANTITY])+SUMIF(TRANSHARI9_ACCMALAM[PRODUK],CP52,TRANSHARI9_ACCMALAM[QUANTITY])</f>
        <v>0</v>
      </c>
      <c r="DE52" s="152">
        <f>SUMIF(TRANSHARI10_ACCPAGI[PRODUK],CP52,TRANSHARI10_ACCPAGI[QUANTITY])+SUMIF(TRANSHARI10_ACCMALAM[PRODUK],CP52,TRANSHARI10_ACCMALAM[QUANTITY])</f>
        <v>0</v>
      </c>
      <c r="DF52" s="152">
        <f>SUMIF(TRANSHARI11_ACCPAGI[PRODUK],CP52,TRANSHARI11_ACCPAGI[QUANTITY])+SUMIF(TRANSHARI11_ACCMALAM[PRODUK],CP52,TRANSHARI11_ACCMALAM[QUANTITY])</f>
        <v>0</v>
      </c>
      <c r="DG52" s="152">
        <f t="shared" si="27"/>
        <v>0</v>
      </c>
      <c r="DH52" s="152">
        <f t="shared" si="28"/>
        <v>0</v>
      </c>
      <c r="DI52" s="176">
        <f t="shared" si="31"/>
        <v>0</v>
      </c>
    </row>
    <row r="53" ht="18" spans="4:113">
      <c r="D53" s="130">
        <v>10</v>
      </c>
      <c r="E53" s="131">
        <f>'HARI 10'!L44+'HARI 10'!AA44</f>
        <v>0</v>
      </c>
      <c r="F53" s="132">
        <f>'HARI 10'!L45+'HARI 10'!AA45</f>
        <v>0</v>
      </c>
      <c r="G53" s="132">
        <f>'HARI 10'!L46+'HARI 10'!AA46</f>
        <v>0</v>
      </c>
      <c r="AE53" s="174" t="str">
        <f>'DATA PRODUK'!R50</f>
        <v>VAON6 (8 GB)</v>
      </c>
      <c r="AF53" s="175">
        <f>'DATA PRODUK'!S50</f>
        <v>35000</v>
      </c>
      <c r="AG53" s="12"/>
      <c r="AH53" s="12"/>
      <c r="AI53" s="12"/>
      <c r="AJ53" s="12"/>
      <c r="AK53" s="12">
        <f>SUMIF(TRANSHARI1_SPVOUPAGI[PRODUK],AE53,TRANSHARI1_SPVOUPAGI[QUANTITY])+SUMIF(TRANSHARI1_SPVOUMALAM[PRODUK],AE53,TRANSHARI1_SPVOUMALAM[QUANTITY])</f>
        <v>1</v>
      </c>
      <c r="AL53" s="12">
        <f>SUMIF(TRANSHARI2_SPVOUPAGI[PRODUK],AE53,TRANSHARI2_SPVOUPAGI[QUANTITY])+SUMIF(TRANSHARI2_SPVOUMALAM[PRODUK],AE53,TRANSHARI2_SPVOUMALAM[QUANTITY])</f>
        <v>0</v>
      </c>
      <c r="AM53" s="12">
        <f>SUMIF(TRANSHARI3_SPVOUPAGI[PRODUK],AE53,TRANSHARI3_SPVOUPAGI[QUANTITY])+SUMIF(TRANSHARI3_SPVOUMALAM[PRODUK],AE53,TRANSHARI3_SPVOUMALAM[QUANTITY])</f>
        <v>0</v>
      </c>
      <c r="AN53" s="12">
        <f>SUMIF(TRANSHARI4_SPVOUPAGI[PRODUK],AE53,TRANSHARI4_SPVOUPAGI[QUANTITY])+SUMIF(TRANSHARI4_SPVOUMALAM[PRODUK],AE53,TRANSHARI4_SPVOUMALAM[QUANTITY])</f>
        <v>0</v>
      </c>
      <c r="AO53" s="12">
        <f>SUMIF(TRANSHARI5_SPVOUPAGI[PRODUK],AE53,TRANSHARI5_SPVOUPAGI[QUANTITY])+SUMIF(TRANSHARI5_SPVOUMALAM[PRODUK],AE53,TRANSHARI5_SPVOUMALAM[QUANTITY])</f>
        <v>0</v>
      </c>
      <c r="AP53" s="12">
        <f>SUMIF(TRANSHARI6_SPVOUPAGI[PRODUK],AE53,TRANSHARI6_SPVOUPAGI[QUANTITY])+SUMIF(TRANSHARI6_SPVOUMALAM[PRODUK],AE53,TRANSHARI6_SPVOUMALAM[QUANTITY])</f>
        <v>0</v>
      </c>
      <c r="AQ53" s="12">
        <f>SUMIF(TRANSHARI7_SPVOUPAGI[PRODUK],AE53,TRANSHARI7_SPVOUPAGI[QUANTITY])+SUMIF(TRANSHARI7_SPVOUMALAM[PRODUK],AE53,TRANSHARI7_SPVOUMALAM[QUANTITY])</f>
        <v>0</v>
      </c>
      <c r="AR53" s="12">
        <f>SUMIF(TRANSHARI8_SPVOUPAGI[PRODUK],AE53,TRANSHARI8_SPVOUPAGI[QUANTITY])+SUMIF(TRANSHARI8_SPVOUMALAM[PRODUK],AE53,TRANSHARI8_SPVOUMALAM[QUANTITY])</f>
        <v>0</v>
      </c>
      <c r="AS53" s="12">
        <f>SUMIF(TRANSHARI9_SPVOUPAGI[PRODUK],AE53,TRANSHARI9_SPVOUPAGI[QUANTITY])+SUMIF(TRANSHARI9_SPVOUMALAM[PRODUK],AE53,TRANSHARI9_SPVOUMALAM[QUANTITY])</f>
        <v>0</v>
      </c>
      <c r="AT53" s="12">
        <f>SUMIF(TRANSHARI10_SPVOUPAGI[PRODUK],AE53,TRANSHARI10_SPVOUPAGI[QUANTITY])+SUMIF(TRANSHARI10_SPVOUMALAM[PRODUK],AE53,TRANSHARI10_SPVOUMALAM[QUANTITY])</f>
        <v>0</v>
      </c>
      <c r="AU53" s="12">
        <f>SUMIF(TRANSHARI11_SPVOUPAGI[PRODUK],AE53,TRANSHARI11_SPVOUPAGI[QUANTITY])+SUMIF(TRANSHARI11_SPVOUMALAM[PRODUK],AE53,TRANSHARI11_SPVOUMALAM[QUANTITY])</f>
        <v>0</v>
      </c>
      <c r="AV53" s="12">
        <f t="shared" si="30"/>
        <v>1</v>
      </c>
      <c r="AW53" s="12">
        <f t="shared" si="23"/>
        <v>-1</v>
      </c>
      <c r="AX53" s="173">
        <f t="shared" si="5"/>
        <v>35000</v>
      </c>
      <c r="BU53" s="167">
        <f>COUNTA(BU15:BU49)</f>
        <v>35</v>
      </c>
      <c r="BV53" s="189">
        <f>SUM(BV15:BV49)</f>
        <v>140000</v>
      </c>
      <c r="CP53" s="177" t="str">
        <f>'DATA PRODUK'!BH50</f>
        <v>(ADAPTER)(2.4A) Olike C108</v>
      </c>
      <c r="CQ53" s="175">
        <f>'DATA PRODUK'!BI50</f>
        <v>35000</v>
      </c>
      <c r="CR53" s="12"/>
      <c r="CS53" s="12"/>
      <c r="CT53" s="12"/>
      <c r="CU53" s="12"/>
      <c r="CV53" s="12">
        <f>SUMIF(TRANSHARI1_ACCPAGI[PRODUK],CP53,TRANSHARI1_ACCPAGI[QUANTITY])+SUMIF(TRANSHARI1_ACCMALAM[PRODUK],CP53,TRANSHARI1_ACCMALAM[QUANTITY])</f>
        <v>0</v>
      </c>
      <c r="CW53" s="12">
        <f>SUMIF(TRANSHARI2_ACCPAGI[PRODUK],CP53,TRANSHARI2_ACCPAGI[QUANTITY])+SUMIF(TRANSHARI2_ACCMALAM[PRODUK],CP53,TRANSHARI2_ACCMALAM[QUANTITY])</f>
        <v>0</v>
      </c>
      <c r="CX53" s="12">
        <f>SUMIF(TRANSHARI3_ACCPAGI[PRODUK],CP53,TRANSHARI3_ACCPAGI[QUANTITY])+SUMIF(TRANSHARI3_ACCMALAM[PRODUK],CP53,TRANSHARI3_ACCMALAM[QUANTITY])</f>
        <v>0</v>
      </c>
      <c r="CY53" s="12">
        <f>SUMIF(TRANSHARI4_ACCPAGI[PRODUK],CP53,TRANSHARI4_ACCPAGI[QUANTITY])+SUMIF(TRANSHARI4_ACCMALAM[PRODUK],CP53,TRANSHARI4_ACCMALAM[QUANTITY])</f>
        <v>0</v>
      </c>
      <c r="CZ53" s="12">
        <f>SUMIF(TRANSHARI5_ACCPAGI[PRODUK],CP53,TRANSHARI5_ACCPAGI[QUANTITY])+SUMIF(TRANSHARI5_ACCMALAM[PRODUK],CP53,TRANSHARI5_ACCMALAM[QUANTITY])</f>
        <v>0</v>
      </c>
      <c r="DA53" s="12">
        <f>SUMIF(TRANSHARI6_ACCPAGI[PRODUK],CP53,TRANSHARI6_ACCPAGI[QUANTITY])+SUMIF(TRANSHARI6_ACCMALAM[PRODUK],CP53,TRANSHARI6_ACCMALAM[QUANTITY])</f>
        <v>0</v>
      </c>
      <c r="DB53" s="12">
        <f>SUMIF(TRANSHARI7_ACCPAGI[PRODUK],CP53,TRANSHARI7_ACCPAGI[QUANTITY])+SUMIF(TRANSHARI7_ACCMALAM[PRODUK],CP53,TRANSHARI7_ACCMALAM[QUANTITY])</f>
        <v>0</v>
      </c>
      <c r="DC53" s="12">
        <f>SUMIF(TRANSHARI8_ACCPAGI[PRODUK],CP53,TRANSHARI8_ACCPAGI[QUANTITY])+SUMIF(TRANSHARI8_ACCMALAM[PRODUK],CP53,TRANSHARI8_ACCMALAM[QUANTITY])</f>
        <v>0</v>
      </c>
      <c r="DD53" s="12">
        <f>SUMIF(TRANSHARI9_ACCPAGI[PRODUK],CP53,TRANSHARI9_ACCPAGI[QUANTITY])+SUMIF(TRANSHARI9_ACCMALAM[PRODUK],CP53,TRANSHARI9_ACCMALAM[QUANTITY])</f>
        <v>0</v>
      </c>
      <c r="DE53" s="12">
        <f>SUMIF(TRANSHARI10_ACCPAGI[PRODUK],CP53,TRANSHARI10_ACCPAGI[QUANTITY])+SUMIF(TRANSHARI10_ACCMALAM[PRODUK],CP53,TRANSHARI10_ACCMALAM[QUANTITY])</f>
        <v>0</v>
      </c>
      <c r="DF53" s="12">
        <f>SUMIF(TRANSHARI11_ACCPAGI[PRODUK],CP53,TRANSHARI11_ACCPAGI[QUANTITY])+SUMIF(TRANSHARI11_ACCMALAM[PRODUK],CP53,TRANSHARI11_ACCMALAM[QUANTITY])</f>
        <v>0</v>
      </c>
      <c r="DG53" s="12">
        <f t="shared" si="27"/>
        <v>0</v>
      </c>
      <c r="DH53" s="12">
        <f t="shared" si="28"/>
        <v>0</v>
      </c>
      <c r="DI53" s="173">
        <f t="shared" si="31"/>
        <v>0</v>
      </c>
    </row>
    <row r="54" ht="18" spans="4:113">
      <c r="D54" s="127">
        <v>11</v>
      </c>
      <c r="E54" s="128">
        <f>'HARI 11'!L44+'HARI 11'!AA44</f>
        <v>0</v>
      </c>
      <c r="F54" s="128">
        <f>'HARI 11'!L45+'HARI 11'!AA45</f>
        <v>0</v>
      </c>
      <c r="G54" s="129">
        <f>'HARI 11'!L46+'HARI 11'!AA46</f>
        <v>0</v>
      </c>
      <c r="J54" s="167" t="str">
        <f>IF(J52='DATA PRODUK'!D47,"MATCHED","NOT MATCHED")</f>
        <v>MATCHED</v>
      </c>
      <c r="K54" s="167" t="str">
        <f>IF(K52='DATA PRODUK'!E47,"MATCHED","NOT MATCHED")</f>
        <v>MATCHED</v>
      </c>
      <c r="AE54" s="177" t="str">
        <f>'DATA PRODUK'!R51</f>
        <v>VAON9 (12 GB)</v>
      </c>
      <c r="AF54" s="178">
        <f>'DATA PRODUK'!S51</f>
        <v>50000</v>
      </c>
      <c r="AG54" s="152"/>
      <c r="AH54" s="152"/>
      <c r="AI54" s="152"/>
      <c r="AJ54" s="152"/>
      <c r="AK54" s="152">
        <f>SUMIF(TRANSHARI1_SPVOUPAGI[PRODUK],AE54,TRANSHARI1_SPVOUPAGI[QUANTITY])+SUMIF(TRANSHARI1_SPVOUMALAM[PRODUK],AE54,TRANSHARI1_SPVOUMALAM[QUANTITY])</f>
        <v>0</v>
      </c>
      <c r="AL54" s="152">
        <f>SUMIF(TRANSHARI2_SPVOUPAGI[PRODUK],AE54,TRANSHARI2_SPVOUPAGI[QUANTITY])+SUMIF(TRANSHARI2_SPVOUMALAM[PRODUK],AE54,TRANSHARI2_SPVOUMALAM[QUANTITY])</f>
        <v>0</v>
      </c>
      <c r="AM54" s="152">
        <f>SUMIF(TRANSHARI3_SPVOUPAGI[PRODUK],AE54,TRANSHARI3_SPVOUPAGI[QUANTITY])+SUMIF(TRANSHARI3_SPVOUMALAM[PRODUK],AE54,TRANSHARI3_SPVOUMALAM[QUANTITY])</f>
        <v>0</v>
      </c>
      <c r="AN54" s="152">
        <f>SUMIF(TRANSHARI4_SPVOUPAGI[PRODUK],AE54,TRANSHARI4_SPVOUPAGI[QUANTITY])+SUMIF(TRANSHARI4_SPVOUMALAM[PRODUK],AE54,TRANSHARI4_SPVOUMALAM[QUANTITY])</f>
        <v>0</v>
      </c>
      <c r="AO54" s="152">
        <f>SUMIF(TRANSHARI5_SPVOUPAGI[PRODUK],AE54,TRANSHARI5_SPVOUPAGI[QUANTITY])+SUMIF(TRANSHARI5_SPVOUMALAM[PRODUK],AE54,TRANSHARI5_SPVOUMALAM[QUANTITY])</f>
        <v>0</v>
      </c>
      <c r="AP54" s="152">
        <f>SUMIF(TRANSHARI6_SPVOUPAGI[PRODUK],AE54,TRANSHARI6_SPVOUPAGI[QUANTITY])+SUMIF(TRANSHARI6_SPVOUMALAM[PRODUK],AE54,TRANSHARI6_SPVOUMALAM[QUANTITY])</f>
        <v>0</v>
      </c>
      <c r="AQ54" s="152">
        <f>SUMIF(TRANSHARI7_SPVOUPAGI[PRODUK],AE54,TRANSHARI7_SPVOUPAGI[QUANTITY])+SUMIF(TRANSHARI7_SPVOUMALAM[PRODUK],AE54,TRANSHARI7_SPVOUMALAM[QUANTITY])</f>
        <v>0</v>
      </c>
      <c r="AR54" s="152">
        <f>SUMIF(TRANSHARI8_SPVOUPAGI[PRODUK],AE54,TRANSHARI8_SPVOUPAGI[QUANTITY])+SUMIF(TRANSHARI8_SPVOUMALAM[PRODUK],AE54,TRANSHARI8_SPVOUMALAM[QUANTITY])</f>
        <v>0</v>
      </c>
      <c r="AS54" s="152">
        <f>SUMIF(TRANSHARI9_SPVOUPAGI[PRODUK],AE54,TRANSHARI9_SPVOUPAGI[QUANTITY])+SUMIF(TRANSHARI9_SPVOUMALAM[PRODUK],AE54,TRANSHARI9_SPVOUMALAM[QUANTITY])</f>
        <v>0</v>
      </c>
      <c r="AT54" s="152">
        <f>SUMIF(TRANSHARI10_SPVOUPAGI[PRODUK],AE54,TRANSHARI10_SPVOUPAGI[QUANTITY])+SUMIF(TRANSHARI10_SPVOUMALAM[PRODUK],AE54,TRANSHARI10_SPVOUMALAM[QUANTITY])</f>
        <v>0</v>
      </c>
      <c r="AU54" s="152">
        <f>SUMIF(TRANSHARI11_SPVOUPAGI[PRODUK],AE54,TRANSHARI11_SPVOUPAGI[QUANTITY])+SUMIF(TRANSHARI11_SPVOUMALAM[PRODUK],AE54,TRANSHARI11_SPVOUMALAM[QUANTITY])</f>
        <v>0</v>
      </c>
      <c r="AV54" s="152">
        <f t="shared" si="30"/>
        <v>0</v>
      </c>
      <c r="AW54" s="152">
        <f t="shared" si="23"/>
        <v>0</v>
      </c>
      <c r="AX54" s="176">
        <f t="shared" si="5"/>
        <v>0</v>
      </c>
      <c r="CP54" s="174" t="str">
        <f>'DATA PRODUK'!BH51</f>
        <v>(ADAPTER)(3A) Robot RT-F1</v>
      </c>
      <c r="CQ54" s="178">
        <f>'DATA PRODUK'!BI51</f>
        <v>75000</v>
      </c>
      <c r="CR54" s="152"/>
      <c r="CS54" s="152"/>
      <c r="CT54" s="152"/>
      <c r="CU54" s="152"/>
      <c r="CV54" s="152">
        <f>SUMIF(TRANSHARI1_ACCPAGI[PRODUK],CP54,TRANSHARI1_ACCPAGI[QUANTITY])+SUMIF(TRANSHARI1_ACCMALAM[PRODUK],CP54,TRANSHARI1_ACCMALAM[QUANTITY])</f>
        <v>0</v>
      </c>
      <c r="CW54" s="152">
        <f>SUMIF(TRANSHARI2_ACCPAGI[PRODUK],CP54,TRANSHARI2_ACCPAGI[QUANTITY])+SUMIF(TRANSHARI2_ACCMALAM[PRODUK],CP54,TRANSHARI2_ACCMALAM[QUANTITY])</f>
        <v>0</v>
      </c>
      <c r="CX54" s="152">
        <f>SUMIF(TRANSHARI3_ACCPAGI[PRODUK],CP54,TRANSHARI3_ACCPAGI[QUANTITY])+SUMIF(TRANSHARI3_ACCMALAM[PRODUK],CP54,TRANSHARI3_ACCMALAM[QUANTITY])</f>
        <v>0</v>
      </c>
      <c r="CY54" s="152">
        <f>SUMIF(TRANSHARI4_ACCPAGI[PRODUK],CP54,TRANSHARI4_ACCPAGI[QUANTITY])+SUMIF(TRANSHARI4_ACCMALAM[PRODUK],CP54,TRANSHARI4_ACCMALAM[QUANTITY])</f>
        <v>0</v>
      </c>
      <c r="CZ54" s="152">
        <f>SUMIF(TRANSHARI5_ACCPAGI[PRODUK],CP54,TRANSHARI5_ACCPAGI[QUANTITY])+SUMIF(TRANSHARI5_ACCMALAM[PRODUK],CP54,TRANSHARI5_ACCMALAM[QUANTITY])</f>
        <v>0</v>
      </c>
      <c r="DA54" s="152">
        <f>SUMIF(TRANSHARI6_ACCPAGI[PRODUK],CP54,TRANSHARI6_ACCPAGI[QUANTITY])+SUMIF(TRANSHARI6_ACCMALAM[PRODUK],CP54,TRANSHARI6_ACCMALAM[QUANTITY])</f>
        <v>0</v>
      </c>
      <c r="DB54" s="152">
        <f>SUMIF(TRANSHARI7_ACCPAGI[PRODUK],CP54,TRANSHARI7_ACCPAGI[QUANTITY])+SUMIF(TRANSHARI7_ACCMALAM[PRODUK],CP54,TRANSHARI7_ACCMALAM[QUANTITY])</f>
        <v>0</v>
      </c>
      <c r="DC54" s="152">
        <f>SUMIF(TRANSHARI8_ACCPAGI[PRODUK],CP54,TRANSHARI8_ACCPAGI[QUANTITY])+SUMIF(TRANSHARI8_ACCMALAM[PRODUK],CP54,TRANSHARI8_ACCMALAM[QUANTITY])</f>
        <v>0</v>
      </c>
      <c r="DD54" s="152">
        <f>SUMIF(TRANSHARI9_ACCPAGI[PRODUK],CP54,TRANSHARI9_ACCPAGI[QUANTITY])+SUMIF(TRANSHARI9_ACCMALAM[PRODUK],CP54,TRANSHARI9_ACCMALAM[QUANTITY])</f>
        <v>0</v>
      </c>
      <c r="DE54" s="152">
        <f>SUMIF(TRANSHARI10_ACCPAGI[PRODUK],CP54,TRANSHARI10_ACCPAGI[QUANTITY])+SUMIF(TRANSHARI10_ACCMALAM[PRODUK],CP54,TRANSHARI10_ACCMALAM[QUANTITY])</f>
        <v>0</v>
      </c>
      <c r="DF54" s="152">
        <f>SUMIF(TRANSHARI11_ACCPAGI[PRODUK],CP54,TRANSHARI11_ACCPAGI[QUANTITY])+SUMIF(TRANSHARI11_ACCMALAM[PRODUK],CP54,TRANSHARI11_ACCMALAM[QUANTITY])</f>
        <v>0</v>
      </c>
      <c r="DG54" s="152">
        <f t="shared" si="27"/>
        <v>0</v>
      </c>
      <c r="DH54" s="152">
        <f t="shared" si="28"/>
        <v>0</v>
      </c>
      <c r="DI54" s="176">
        <f t="shared" si="31"/>
        <v>0</v>
      </c>
    </row>
    <row r="55" ht="18" spans="4:113">
      <c r="D55" s="137" t="s">
        <v>141</v>
      </c>
      <c r="E55" s="139">
        <f>SUM(E44:E54)</f>
        <v>20100</v>
      </c>
      <c r="F55" s="140">
        <f>SUM(F44:F54)</f>
        <v>0</v>
      </c>
      <c r="G55" s="141">
        <f>SUM(G44:G54)</f>
        <v>0</v>
      </c>
      <c r="AE55" s="174" t="str">
        <f>'DATA PRODUK'!R52</f>
        <v>VAON12 (16 GB)</v>
      </c>
      <c r="AF55" s="175">
        <f>'DATA PRODUK'!S52</f>
        <v>63000</v>
      </c>
      <c r="AG55" s="12"/>
      <c r="AH55" s="12"/>
      <c r="AI55" s="12"/>
      <c r="AJ55" s="12"/>
      <c r="AK55" s="12">
        <f>SUMIF(TRANSHARI1_SPVOUPAGI[PRODUK],AE55,TRANSHARI1_SPVOUPAGI[QUANTITY])+SUMIF(TRANSHARI1_SPVOUMALAM[PRODUK],AE55,TRANSHARI1_SPVOUMALAM[QUANTITY])</f>
        <v>0</v>
      </c>
      <c r="AL55" s="12">
        <f>SUMIF(TRANSHARI2_SPVOUPAGI[PRODUK],AE55,TRANSHARI2_SPVOUPAGI[QUANTITY])+SUMIF(TRANSHARI2_SPVOUMALAM[PRODUK],AE55,TRANSHARI2_SPVOUMALAM[QUANTITY])</f>
        <v>0</v>
      </c>
      <c r="AM55" s="12">
        <f>SUMIF(TRANSHARI3_SPVOUPAGI[PRODUK],AE55,TRANSHARI3_SPVOUPAGI[QUANTITY])+SUMIF(TRANSHARI3_SPVOUMALAM[PRODUK],AE55,TRANSHARI3_SPVOUMALAM[QUANTITY])</f>
        <v>0</v>
      </c>
      <c r="AN55" s="12">
        <f>SUMIF(TRANSHARI4_SPVOUPAGI[PRODUK],AE55,TRANSHARI4_SPVOUPAGI[QUANTITY])+SUMIF(TRANSHARI4_SPVOUMALAM[PRODUK],AE55,TRANSHARI4_SPVOUMALAM[QUANTITY])</f>
        <v>0</v>
      </c>
      <c r="AO55" s="12">
        <f>SUMIF(TRANSHARI5_SPVOUPAGI[PRODUK],AE55,TRANSHARI5_SPVOUPAGI[QUANTITY])+SUMIF(TRANSHARI5_SPVOUMALAM[PRODUK],AE55,TRANSHARI5_SPVOUMALAM[QUANTITY])</f>
        <v>0</v>
      </c>
      <c r="AP55" s="12">
        <f>SUMIF(TRANSHARI6_SPVOUPAGI[PRODUK],AE55,TRANSHARI6_SPVOUPAGI[QUANTITY])+SUMIF(TRANSHARI6_SPVOUMALAM[PRODUK],AE55,TRANSHARI6_SPVOUMALAM[QUANTITY])</f>
        <v>0</v>
      </c>
      <c r="AQ55" s="12">
        <f>SUMIF(TRANSHARI7_SPVOUPAGI[PRODUK],AE55,TRANSHARI7_SPVOUPAGI[QUANTITY])+SUMIF(TRANSHARI7_SPVOUMALAM[PRODUK],AE55,TRANSHARI7_SPVOUMALAM[QUANTITY])</f>
        <v>0</v>
      </c>
      <c r="AR55" s="12">
        <f>SUMIF(TRANSHARI8_SPVOUPAGI[PRODUK],AE55,TRANSHARI8_SPVOUPAGI[QUANTITY])+SUMIF(TRANSHARI8_SPVOUMALAM[PRODUK],AE55,TRANSHARI8_SPVOUMALAM[QUANTITY])</f>
        <v>0</v>
      </c>
      <c r="AS55" s="12">
        <f>SUMIF(TRANSHARI9_SPVOUPAGI[PRODUK],AE55,TRANSHARI9_SPVOUPAGI[QUANTITY])+SUMIF(TRANSHARI9_SPVOUMALAM[PRODUK],AE55,TRANSHARI9_SPVOUMALAM[QUANTITY])</f>
        <v>0</v>
      </c>
      <c r="AT55" s="12">
        <f>SUMIF(TRANSHARI10_SPVOUPAGI[PRODUK],AE55,TRANSHARI10_SPVOUPAGI[QUANTITY])+SUMIF(TRANSHARI10_SPVOUMALAM[PRODUK],AE55,TRANSHARI10_SPVOUMALAM[QUANTITY])</f>
        <v>0</v>
      </c>
      <c r="AU55" s="12">
        <f>SUMIF(TRANSHARI11_SPVOUPAGI[PRODUK],AE55,TRANSHARI11_SPVOUPAGI[QUANTITY])+SUMIF(TRANSHARI11_SPVOUMALAM[PRODUK],AE55,TRANSHARI11_SPVOUMALAM[QUANTITY])</f>
        <v>0</v>
      </c>
      <c r="AV55" s="12">
        <f t="shared" si="30"/>
        <v>0</v>
      </c>
      <c r="AW55" s="12">
        <f t="shared" si="23"/>
        <v>0</v>
      </c>
      <c r="AX55" s="173">
        <f t="shared" si="5"/>
        <v>0</v>
      </c>
      <c r="BU55" s="167" t="str">
        <f>IF(BU53='DATA PRODUK'!AT48,"MATCHED","NOT MATCHED")</f>
        <v>MATCHED</v>
      </c>
      <c r="BV55" s="167" t="str">
        <f>IF(BV53='DATA PRODUK'!AU48,"MATCHED","NOT MATCHED")</f>
        <v>MATCHED</v>
      </c>
      <c r="CP55" s="177" t="str">
        <f>'DATA PRODUK'!BH52</f>
        <v>(ADAPTER)(3A)(Type C) Robot RT-P20</v>
      </c>
      <c r="CQ55" s="175">
        <f>'DATA PRODUK'!BI52</f>
        <v>85000</v>
      </c>
      <c r="CR55" s="12"/>
      <c r="CS55" s="12"/>
      <c r="CT55" s="12"/>
      <c r="CU55" s="12"/>
      <c r="CV55" s="12">
        <f>SUMIF(TRANSHARI1_ACCPAGI[PRODUK],CP55,TRANSHARI1_ACCPAGI[QUANTITY])+SUMIF(TRANSHARI1_ACCMALAM[PRODUK],CP55,TRANSHARI1_ACCMALAM[QUANTITY])</f>
        <v>0</v>
      </c>
      <c r="CW55" s="12">
        <f>SUMIF(TRANSHARI2_ACCPAGI[PRODUK],CP55,TRANSHARI2_ACCPAGI[QUANTITY])+SUMIF(TRANSHARI2_ACCMALAM[PRODUK],CP55,TRANSHARI2_ACCMALAM[QUANTITY])</f>
        <v>0</v>
      </c>
      <c r="CX55" s="12">
        <f>SUMIF(TRANSHARI3_ACCPAGI[PRODUK],CP55,TRANSHARI3_ACCPAGI[QUANTITY])+SUMIF(TRANSHARI3_ACCMALAM[PRODUK],CP55,TRANSHARI3_ACCMALAM[QUANTITY])</f>
        <v>0</v>
      </c>
      <c r="CY55" s="12">
        <f>SUMIF(TRANSHARI4_ACCPAGI[PRODUK],CP55,TRANSHARI4_ACCPAGI[QUANTITY])+SUMIF(TRANSHARI4_ACCMALAM[PRODUK],CP55,TRANSHARI4_ACCMALAM[QUANTITY])</f>
        <v>0</v>
      </c>
      <c r="CZ55" s="12">
        <f>SUMIF(TRANSHARI5_ACCPAGI[PRODUK],CP55,TRANSHARI5_ACCPAGI[QUANTITY])+SUMIF(TRANSHARI5_ACCMALAM[PRODUK],CP55,TRANSHARI5_ACCMALAM[QUANTITY])</f>
        <v>0</v>
      </c>
      <c r="DA55" s="12">
        <f>SUMIF(TRANSHARI6_ACCPAGI[PRODUK],CP55,TRANSHARI6_ACCPAGI[QUANTITY])+SUMIF(TRANSHARI6_ACCMALAM[PRODUK],CP55,TRANSHARI6_ACCMALAM[QUANTITY])</f>
        <v>0</v>
      </c>
      <c r="DB55" s="12">
        <f>SUMIF(TRANSHARI7_ACCPAGI[PRODUK],CP55,TRANSHARI7_ACCPAGI[QUANTITY])+SUMIF(TRANSHARI7_ACCMALAM[PRODUK],CP55,TRANSHARI7_ACCMALAM[QUANTITY])</f>
        <v>0</v>
      </c>
      <c r="DC55" s="12">
        <f>SUMIF(TRANSHARI8_ACCPAGI[PRODUK],CP55,TRANSHARI8_ACCPAGI[QUANTITY])+SUMIF(TRANSHARI8_ACCMALAM[PRODUK],CP55,TRANSHARI8_ACCMALAM[QUANTITY])</f>
        <v>0</v>
      </c>
      <c r="DD55" s="12">
        <f>SUMIF(TRANSHARI9_ACCPAGI[PRODUK],CP55,TRANSHARI9_ACCPAGI[QUANTITY])+SUMIF(TRANSHARI9_ACCMALAM[PRODUK],CP55,TRANSHARI9_ACCMALAM[QUANTITY])</f>
        <v>0</v>
      </c>
      <c r="DE55" s="12">
        <f>SUMIF(TRANSHARI10_ACCPAGI[PRODUK],CP55,TRANSHARI10_ACCPAGI[QUANTITY])+SUMIF(TRANSHARI10_ACCMALAM[PRODUK],CP55,TRANSHARI10_ACCMALAM[QUANTITY])</f>
        <v>0</v>
      </c>
      <c r="DF55" s="12">
        <f>SUMIF(TRANSHARI11_ACCPAGI[PRODUK],CP55,TRANSHARI11_ACCPAGI[QUANTITY])+SUMIF(TRANSHARI11_ACCMALAM[PRODUK],CP55,TRANSHARI11_ACCMALAM[QUANTITY])</f>
        <v>0</v>
      </c>
      <c r="DG55" s="12">
        <f t="shared" si="27"/>
        <v>0</v>
      </c>
      <c r="DH55" s="12">
        <f t="shared" si="28"/>
        <v>0</v>
      </c>
      <c r="DI55" s="173">
        <f t="shared" si="31"/>
        <v>0</v>
      </c>
    </row>
    <row r="56" ht="18" spans="31:113">
      <c r="AE56" s="177" t="str">
        <f>'DATA PRODUK'!R53</f>
        <v>V. XL 4 / 10hr</v>
      </c>
      <c r="AF56" s="178">
        <f>'DATA PRODUK'!S53</f>
        <v>18000</v>
      </c>
      <c r="AG56" s="152"/>
      <c r="AH56" s="152"/>
      <c r="AI56" s="152"/>
      <c r="AJ56" s="152"/>
      <c r="AK56" s="152">
        <f>SUMIF(TRANSHARI1_SPVOUPAGI[PRODUK],AE56,TRANSHARI1_SPVOUPAGI[QUANTITY])+SUMIF(TRANSHARI1_SPVOUMALAM[PRODUK],AE56,TRANSHARI1_SPVOUMALAM[QUANTITY])</f>
        <v>0</v>
      </c>
      <c r="AL56" s="152">
        <f>SUMIF(TRANSHARI2_SPVOUPAGI[PRODUK],AE56,TRANSHARI2_SPVOUPAGI[QUANTITY])+SUMIF(TRANSHARI2_SPVOUMALAM[PRODUK],AE56,TRANSHARI2_SPVOUMALAM[QUANTITY])</f>
        <v>0</v>
      </c>
      <c r="AM56" s="152">
        <f>SUMIF(TRANSHARI3_SPVOUPAGI[PRODUK],AE56,TRANSHARI3_SPVOUPAGI[QUANTITY])+SUMIF(TRANSHARI3_SPVOUMALAM[PRODUK],AE56,TRANSHARI3_SPVOUMALAM[QUANTITY])</f>
        <v>0</v>
      </c>
      <c r="AN56" s="152">
        <f>SUMIF(TRANSHARI4_SPVOUPAGI[PRODUK],AE56,TRANSHARI4_SPVOUPAGI[QUANTITY])+SUMIF(TRANSHARI4_SPVOUMALAM[PRODUK],AE56,TRANSHARI4_SPVOUMALAM[QUANTITY])</f>
        <v>0</v>
      </c>
      <c r="AO56" s="152">
        <f>SUMIF(TRANSHARI5_SPVOUPAGI[PRODUK],AE56,TRANSHARI5_SPVOUPAGI[QUANTITY])+SUMIF(TRANSHARI5_SPVOUMALAM[PRODUK],AE56,TRANSHARI5_SPVOUMALAM[QUANTITY])</f>
        <v>0</v>
      </c>
      <c r="AP56" s="152">
        <f>SUMIF(TRANSHARI6_SPVOUPAGI[PRODUK],AE56,TRANSHARI6_SPVOUPAGI[QUANTITY])+SUMIF(TRANSHARI6_SPVOUMALAM[PRODUK],AE56,TRANSHARI6_SPVOUMALAM[QUANTITY])</f>
        <v>0</v>
      </c>
      <c r="AQ56" s="152">
        <f>SUMIF(TRANSHARI7_SPVOUPAGI[PRODUK],AE56,TRANSHARI7_SPVOUPAGI[QUANTITY])+SUMIF(TRANSHARI7_SPVOUMALAM[PRODUK],AE56,TRANSHARI7_SPVOUMALAM[QUANTITY])</f>
        <v>0</v>
      </c>
      <c r="AR56" s="152">
        <f>SUMIF(TRANSHARI8_SPVOUPAGI[PRODUK],AE56,TRANSHARI8_SPVOUPAGI[QUANTITY])+SUMIF(TRANSHARI8_SPVOUMALAM[PRODUK],AE56,TRANSHARI8_SPVOUMALAM[QUANTITY])</f>
        <v>0</v>
      </c>
      <c r="AS56" s="152">
        <f>SUMIF(TRANSHARI9_SPVOUPAGI[PRODUK],AE56,TRANSHARI9_SPVOUPAGI[QUANTITY])+SUMIF(TRANSHARI9_SPVOUMALAM[PRODUK],AE56,TRANSHARI9_SPVOUMALAM[QUANTITY])</f>
        <v>0</v>
      </c>
      <c r="AT56" s="152">
        <f>SUMIF(TRANSHARI10_SPVOUPAGI[PRODUK],AE56,TRANSHARI10_SPVOUPAGI[QUANTITY])+SUMIF(TRANSHARI10_SPVOUMALAM[PRODUK],AE56,TRANSHARI10_SPVOUMALAM[QUANTITY])</f>
        <v>0</v>
      </c>
      <c r="AU56" s="152">
        <f>SUMIF(TRANSHARI11_SPVOUPAGI[PRODUK],AE56,TRANSHARI11_SPVOUPAGI[QUANTITY])+SUMIF(TRANSHARI11_SPVOUMALAM[PRODUK],AE56,TRANSHARI11_SPVOUMALAM[QUANTITY])</f>
        <v>0</v>
      </c>
      <c r="AV56" s="152">
        <f t="shared" si="30"/>
        <v>0</v>
      </c>
      <c r="AW56" s="152">
        <f t="shared" si="23"/>
        <v>0</v>
      </c>
      <c r="AX56" s="176">
        <f t="shared" si="5"/>
        <v>0</v>
      </c>
      <c r="CP56" s="174" t="str">
        <f>'DATA PRODUK'!BH53</f>
        <v>(ADAPTER)(3A)(Type C) Vivan Power Nano 20W</v>
      </c>
      <c r="CQ56" s="178">
        <f>'DATA PRODUK'!BI53</f>
        <v>135000</v>
      </c>
      <c r="CR56" s="152"/>
      <c r="CS56" s="152"/>
      <c r="CT56" s="152"/>
      <c r="CU56" s="152"/>
      <c r="CV56" s="152">
        <f>SUMIF(TRANSHARI1_ACCPAGI[PRODUK],CP56,TRANSHARI1_ACCPAGI[QUANTITY])+SUMIF(TRANSHARI1_ACCMALAM[PRODUK],CP56,TRANSHARI1_ACCMALAM[QUANTITY])</f>
        <v>0</v>
      </c>
      <c r="CW56" s="152">
        <f>SUMIF(TRANSHARI2_ACCPAGI[PRODUK],CP56,TRANSHARI2_ACCPAGI[QUANTITY])+SUMIF(TRANSHARI2_ACCMALAM[PRODUK],CP56,TRANSHARI2_ACCMALAM[QUANTITY])</f>
        <v>0</v>
      </c>
      <c r="CX56" s="152">
        <f>SUMIF(TRANSHARI3_ACCPAGI[PRODUK],CP56,TRANSHARI3_ACCPAGI[QUANTITY])+SUMIF(TRANSHARI3_ACCMALAM[PRODUK],CP56,TRANSHARI3_ACCMALAM[QUANTITY])</f>
        <v>0</v>
      </c>
      <c r="CY56" s="152">
        <f>SUMIF(TRANSHARI4_ACCPAGI[PRODUK],CP56,TRANSHARI4_ACCPAGI[QUANTITY])+SUMIF(TRANSHARI4_ACCMALAM[PRODUK],CP56,TRANSHARI4_ACCMALAM[QUANTITY])</f>
        <v>0</v>
      </c>
      <c r="CZ56" s="152">
        <f>SUMIF(TRANSHARI5_ACCPAGI[PRODUK],CP56,TRANSHARI5_ACCPAGI[QUANTITY])+SUMIF(TRANSHARI5_ACCMALAM[PRODUK],CP56,TRANSHARI5_ACCMALAM[QUANTITY])</f>
        <v>0</v>
      </c>
      <c r="DA56" s="152">
        <f>SUMIF(TRANSHARI6_ACCPAGI[PRODUK],CP56,TRANSHARI6_ACCPAGI[QUANTITY])+SUMIF(TRANSHARI6_ACCMALAM[PRODUK],CP56,TRANSHARI6_ACCMALAM[QUANTITY])</f>
        <v>0</v>
      </c>
      <c r="DB56" s="152">
        <f>SUMIF(TRANSHARI7_ACCPAGI[PRODUK],CP56,TRANSHARI7_ACCPAGI[QUANTITY])+SUMIF(TRANSHARI7_ACCMALAM[PRODUK],CP56,TRANSHARI7_ACCMALAM[QUANTITY])</f>
        <v>0</v>
      </c>
      <c r="DC56" s="152">
        <f>SUMIF(TRANSHARI8_ACCPAGI[PRODUK],CP56,TRANSHARI8_ACCPAGI[QUANTITY])+SUMIF(TRANSHARI8_ACCMALAM[PRODUK],CP56,TRANSHARI8_ACCMALAM[QUANTITY])</f>
        <v>0</v>
      </c>
      <c r="DD56" s="152">
        <f>SUMIF(TRANSHARI9_ACCPAGI[PRODUK],CP56,TRANSHARI9_ACCPAGI[QUANTITY])+SUMIF(TRANSHARI9_ACCMALAM[PRODUK],CP56,TRANSHARI9_ACCMALAM[QUANTITY])</f>
        <v>0</v>
      </c>
      <c r="DE56" s="152">
        <f>SUMIF(TRANSHARI10_ACCPAGI[PRODUK],CP56,TRANSHARI10_ACCPAGI[QUANTITY])+SUMIF(TRANSHARI10_ACCMALAM[PRODUK],CP56,TRANSHARI10_ACCMALAM[QUANTITY])</f>
        <v>0</v>
      </c>
      <c r="DF56" s="152">
        <f>SUMIF(TRANSHARI11_ACCPAGI[PRODUK],CP56,TRANSHARI11_ACCPAGI[QUANTITY])+SUMIF(TRANSHARI11_ACCMALAM[PRODUK],CP56,TRANSHARI11_ACCMALAM[QUANTITY])</f>
        <v>0</v>
      </c>
      <c r="DG56" s="152">
        <f t="shared" si="27"/>
        <v>0</v>
      </c>
      <c r="DH56" s="152">
        <f t="shared" si="28"/>
        <v>0</v>
      </c>
      <c r="DI56" s="176">
        <f t="shared" si="31"/>
        <v>0</v>
      </c>
    </row>
    <row r="57" ht="18" spans="31:113">
      <c r="AE57" s="174" t="str">
        <f>'DATA PRODUK'!R54</f>
        <v>V. XL 5 FLEX (S)</v>
      </c>
      <c r="AF57" s="175">
        <f>'DATA PRODUK'!S54</f>
        <v>23000</v>
      </c>
      <c r="AG57" s="12"/>
      <c r="AH57" s="12"/>
      <c r="AI57" s="12"/>
      <c r="AJ57" s="12"/>
      <c r="AK57" s="12">
        <f>SUMIF(TRANSHARI1_SPVOUPAGI[PRODUK],AE57,TRANSHARI1_SPVOUPAGI[QUANTITY])+SUMIF(TRANSHARI1_SPVOUMALAM[PRODUK],AE57,TRANSHARI1_SPVOUMALAM[QUANTITY])</f>
        <v>3</v>
      </c>
      <c r="AL57" s="12">
        <f>SUMIF(TRANSHARI2_SPVOUPAGI[PRODUK],AE57,TRANSHARI2_SPVOUPAGI[QUANTITY])+SUMIF(TRANSHARI2_SPVOUMALAM[PRODUK],AE57,TRANSHARI2_SPVOUMALAM[QUANTITY])</f>
        <v>1</v>
      </c>
      <c r="AM57" s="12">
        <f>SUMIF(TRANSHARI3_SPVOUPAGI[PRODUK],AE57,TRANSHARI3_SPVOUPAGI[QUANTITY])+SUMIF(TRANSHARI3_SPVOUMALAM[PRODUK],AE57,TRANSHARI3_SPVOUMALAM[QUANTITY])</f>
        <v>0</v>
      </c>
      <c r="AN57" s="12">
        <f>SUMIF(TRANSHARI4_SPVOUPAGI[PRODUK],AE57,TRANSHARI4_SPVOUPAGI[QUANTITY])+SUMIF(TRANSHARI4_SPVOUMALAM[PRODUK],AE57,TRANSHARI4_SPVOUMALAM[QUANTITY])</f>
        <v>0</v>
      </c>
      <c r="AO57" s="12">
        <f>SUMIF(TRANSHARI5_SPVOUPAGI[PRODUK],AE57,TRANSHARI5_SPVOUPAGI[QUANTITY])+SUMIF(TRANSHARI5_SPVOUMALAM[PRODUK],AE57,TRANSHARI5_SPVOUMALAM[QUANTITY])</f>
        <v>0</v>
      </c>
      <c r="AP57" s="12">
        <f>SUMIF(TRANSHARI6_SPVOUPAGI[PRODUK],AE57,TRANSHARI6_SPVOUPAGI[QUANTITY])+SUMIF(TRANSHARI6_SPVOUMALAM[PRODUK],AE57,TRANSHARI6_SPVOUMALAM[QUANTITY])</f>
        <v>0</v>
      </c>
      <c r="AQ57" s="12">
        <f>SUMIF(TRANSHARI7_SPVOUPAGI[PRODUK],AE57,TRANSHARI7_SPVOUPAGI[QUANTITY])+SUMIF(TRANSHARI7_SPVOUMALAM[PRODUK],AE57,TRANSHARI7_SPVOUMALAM[QUANTITY])</f>
        <v>0</v>
      </c>
      <c r="AR57" s="12">
        <f>SUMIF(TRANSHARI8_SPVOUPAGI[PRODUK],AE57,TRANSHARI8_SPVOUPAGI[QUANTITY])+SUMIF(TRANSHARI8_SPVOUMALAM[PRODUK],AE57,TRANSHARI8_SPVOUMALAM[QUANTITY])</f>
        <v>0</v>
      </c>
      <c r="AS57" s="12">
        <f>SUMIF(TRANSHARI9_SPVOUPAGI[PRODUK],AE57,TRANSHARI9_SPVOUPAGI[QUANTITY])+SUMIF(TRANSHARI9_SPVOUMALAM[PRODUK],AE57,TRANSHARI9_SPVOUMALAM[QUANTITY])</f>
        <v>0</v>
      </c>
      <c r="AT57" s="12">
        <f>SUMIF(TRANSHARI10_SPVOUPAGI[PRODUK],AE57,TRANSHARI10_SPVOUPAGI[QUANTITY])+SUMIF(TRANSHARI10_SPVOUMALAM[PRODUK],AE57,TRANSHARI10_SPVOUMALAM[QUANTITY])</f>
        <v>0</v>
      </c>
      <c r="AU57" s="12">
        <f>SUMIF(TRANSHARI11_SPVOUPAGI[PRODUK],AE57,TRANSHARI11_SPVOUPAGI[QUANTITY])+SUMIF(TRANSHARI11_SPVOUMALAM[PRODUK],AE57,TRANSHARI11_SPVOUMALAM[QUANTITY])</f>
        <v>0</v>
      </c>
      <c r="AV57" s="12">
        <f t="shared" si="30"/>
        <v>4</v>
      </c>
      <c r="AW57" s="12">
        <f t="shared" si="23"/>
        <v>-4</v>
      </c>
      <c r="AX57" s="173">
        <f t="shared" si="5"/>
        <v>92000</v>
      </c>
      <c r="CP57" s="177" t="str">
        <f>'DATA PRODUK'!BH54</f>
        <v>(TRAVEL ADAPTER) Vivan VPS-T001A</v>
      </c>
      <c r="CQ57" s="175">
        <f>'DATA PRODUK'!BI54</f>
        <v>50000</v>
      </c>
      <c r="CR57" s="12"/>
      <c r="CS57" s="12"/>
      <c r="CT57" s="12"/>
      <c r="CU57" s="12"/>
      <c r="CV57" s="12">
        <f>SUMIF(TRANSHARI1_ACCPAGI[PRODUK],CP57,TRANSHARI1_ACCPAGI[QUANTITY])+SUMIF(TRANSHARI1_ACCMALAM[PRODUK],CP57,TRANSHARI1_ACCMALAM[QUANTITY])</f>
        <v>0</v>
      </c>
      <c r="CW57" s="12">
        <f>SUMIF(TRANSHARI2_ACCPAGI[PRODUK],CP57,TRANSHARI2_ACCPAGI[QUANTITY])+SUMIF(TRANSHARI2_ACCMALAM[PRODUK],CP57,TRANSHARI2_ACCMALAM[QUANTITY])</f>
        <v>0</v>
      </c>
      <c r="CX57" s="12">
        <f>SUMIF(TRANSHARI3_ACCPAGI[PRODUK],CP57,TRANSHARI3_ACCPAGI[QUANTITY])+SUMIF(TRANSHARI3_ACCMALAM[PRODUK],CP57,TRANSHARI3_ACCMALAM[QUANTITY])</f>
        <v>0</v>
      </c>
      <c r="CY57" s="12">
        <f>SUMIF(TRANSHARI4_ACCPAGI[PRODUK],CP57,TRANSHARI4_ACCPAGI[QUANTITY])+SUMIF(TRANSHARI4_ACCMALAM[PRODUK],CP57,TRANSHARI4_ACCMALAM[QUANTITY])</f>
        <v>0</v>
      </c>
      <c r="CZ57" s="12">
        <f>SUMIF(TRANSHARI5_ACCPAGI[PRODUK],CP57,TRANSHARI5_ACCPAGI[QUANTITY])+SUMIF(TRANSHARI5_ACCMALAM[PRODUK],CP57,TRANSHARI5_ACCMALAM[QUANTITY])</f>
        <v>0</v>
      </c>
      <c r="DA57" s="12">
        <f>SUMIF(TRANSHARI6_ACCPAGI[PRODUK],CP57,TRANSHARI6_ACCPAGI[QUANTITY])+SUMIF(TRANSHARI6_ACCMALAM[PRODUK],CP57,TRANSHARI6_ACCMALAM[QUANTITY])</f>
        <v>0</v>
      </c>
      <c r="DB57" s="12">
        <f>SUMIF(TRANSHARI7_ACCPAGI[PRODUK],CP57,TRANSHARI7_ACCPAGI[QUANTITY])+SUMIF(TRANSHARI7_ACCMALAM[PRODUK],CP57,TRANSHARI7_ACCMALAM[QUANTITY])</f>
        <v>0</v>
      </c>
      <c r="DC57" s="12">
        <f>SUMIF(TRANSHARI8_ACCPAGI[PRODUK],CP57,TRANSHARI8_ACCPAGI[QUANTITY])+SUMIF(TRANSHARI8_ACCMALAM[PRODUK],CP57,TRANSHARI8_ACCMALAM[QUANTITY])</f>
        <v>0</v>
      </c>
      <c r="DD57" s="12">
        <f>SUMIF(TRANSHARI9_ACCPAGI[PRODUK],CP57,TRANSHARI9_ACCPAGI[QUANTITY])+SUMIF(TRANSHARI9_ACCMALAM[PRODUK],CP57,TRANSHARI9_ACCMALAM[QUANTITY])</f>
        <v>0</v>
      </c>
      <c r="DE57" s="12">
        <f>SUMIF(TRANSHARI10_ACCPAGI[PRODUK],CP57,TRANSHARI10_ACCPAGI[QUANTITY])+SUMIF(TRANSHARI10_ACCMALAM[PRODUK],CP57,TRANSHARI10_ACCMALAM[QUANTITY])</f>
        <v>0</v>
      </c>
      <c r="DF57" s="12">
        <f>SUMIF(TRANSHARI11_ACCPAGI[PRODUK],CP57,TRANSHARI11_ACCPAGI[QUANTITY])+SUMIF(TRANSHARI11_ACCMALAM[PRODUK],CP57,TRANSHARI11_ACCMALAM[QUANTITY])</f>
        <v>0</v>
      </c>
      <c r="DG57" s="12">
        <f t="shared" si="27"/>
        <v>0</v>
      </c>
      <c r="DH57" s="12">
        <f t="shared" si="28"/>
        <v>0</v>
      </c>
      <c r="DI57" s="173">
        <f t="shared" si="31"/>
        <v>0</v>
      </c>
    </row>
    <row r="58" ht="18" spans="4:113">
      <c r="D58" s="142" t="s">
        <v>267</v>
      </c>
      <c r="E58" s="142" t="s">
        <v>19</v>
      </c>
      <c r="F58" s="142" t="s">
        <v>268</v>
      </c>
      <c r="G58" s="143" t="s">
        <v>269</v>
      </c>
      <c r="AE58" s="177" t="str">
        <f>'DATA PRODUK'!R55</f>
        <v>V. XL 10 FLEX (S+)</v>
      </c>
      <c r="AF58" s="178">
        <f>'DATA PRODUK'!S55</f>
        <v>36000</v>
      </c>
      <c r="AG58" s="152"/>
      <c r="AH58" s="152"/>
      <c r="AI58" s="152"/>
      <c r="AJ58" s="152"/>
      <c r="AK58" s="152">
        <f>SUMIF(TRANSHARI1_SPVOUPAGI[PRODUK],AE58,TRANSHARI1_SPVOUPAGI[QUANTITY])+SUMIF(TRANSHARI1_SPVOUMALAM[PRODUK],AE58,TRANSHARI1_SPVOUMALAM[QUANTITY])</f>
        <v>0</v>
      </c>
      <c r="AL58" s="152">
        <f>SUMIF(TRANSHARI2_SPVOUPAGI[PRODUK],AE58,TRANSHARI2_SPVOUPAGI[QUANTITY])+SUMIF(TRANSHARI2_SPVOUMALAM[PRODUK],AE58,TRANSHARI2_SPVOUMALAM[QUANTITY])</f>
        <v>0</v>
      </c>
      <c r="AM58" s="152">
        <f>SUMIF(TRANSHARI3_SPVOUPAGI[PRODUK],AE58,TRANSHARI3_SPVOUPAGI[QUANTITY])+SUMIF(TRANSHARI3_SPVOUMALAM[PRODUK],AE58,TRANSHARI3_SPVOUMALAM[QUANTITY])</f>
        <v>0</v>
      </c>
      <c r="AN58" s="152">
        <f>SUMIF(TRANSHARI4_SPVOUPAGI[PRODUK],AE58,TRANSHARI4_SPVOUPAGI[QUANTITY])+SUMIF(TRANSHARI4_SPVOUMALAM[PRODUK],AE58,TRANSHARI4_SPVOUMALAM[QUANTITY])</f>
        <v>0</v>
      </c>
      <c r="AO58" s="152">
        <f>SUMIF(TRANSHARI5_SPVOUPAGI[PRODUK],AE58,TRANSHARI5_SPVOUPAGI[QUANTITY])+SUMIF(TRANSHARI5_SPVOUMALAM[PRODUK],AE58,TRANSHARI5_SPVOUMALAM[QUANTITY])</f>
        <v>0</v>
      </c>
      <c r="AP58" s="152">
        <f>SUMIF(TRANSHARI6_SPVOUPAGI[PRODUK],AE58,TRANSHARI6_SPVOUPAGI[QUANTITY])+SUMIF(TRANSHARI6_SPVOUMALAM[PRODUK],AE58,TRANSHARI6_SPVOUMALAM[QUANTITY])</f>
        <v>0</v>
      </c>
      <c r="AQ58" s="152">
        <f>SUMIF(TRANSHARI7_SPVOUPAGI[PRODUK],AE58,TRANSHARI7_SPVOUPAGI[QUANTITY])+SUMIF(TRANSHARI7_SPVOUMALAM[PRODUK],AE58,TRANSHARI7_SPVOUMALAM[QUANTITY])</f>
        <v>0</v>
      </c>
      <c r="AR58" s="152">
        <f>SUMIF(TRANSHARI8_SPVOUPAGI[PRODUK],AE58,TRANSHARI8_SPVOUPAGI[QUANTITY])+SUMIF(TRANSHARI8_SPVOUMALAM[PRODUK],AE58,TRANSHARI8_SPVOUMALAM[QUANTITY])</f>
        <v>0</v>
      </c>
      <c r="AS58" s="152">
        <f>SUMIF(TRANSHARI9_SPVOUPAGI[PRODUK],AE58,TRANSHARI9_SPVOUPAGI[QUANTITY])+SUMIF(TRANSHARI9_SPVOUMALAM[PRODUK],AE58,TRANSHARI9_SPVOUMALAM[QUANTITY])</f>
        <v>0</v>
      </c>
      <c r="AT58" s="152">
        <f>SUMIF(TRANSHARI10_SPVOUPAGI[PRODUK],AE58,TRANSHARI10_SPVOUPAGI[QUANTITY])+SUMIF(TRANSHARI10_SPVOUMALAM[PRODUK],AE58,TRANSHARI10_SPVOUMALAM[QUANTITY])</f>
        <v>0</v>
      </c>
      <c r="AU58" s="152">
        <f>SUMIF(TRANSHARI11_SPVOUPAGI[PRODUK],AE58,TRANSHARI11_SPVOUPAGI[QUANTITY])+SUMIF(TRANSHARI11_SPVOUMALAM[PRODUK],AE58,TRANSHARI11_SPVOUMALAM[QUANTITY])</f>
        <v>0</v>
      </c>
      <c r="AV58" s="152">
        <f t="shared" si="30"/>
        <v>0</v>
      </c>
      <c r="AW58" s="152">
        <f t="shared" si="23"/>
        <v>0</v>
      </c>
      <c r="AX58" s="176">
        <f t="shared" si="5"/>
        <v>0</v>
      </c>
      <c r="CP58" s="174" t="str">
        <f>'DATA PRODUK'!BH55</f>
        <v>(CHARGER SET)(Micro)(1A) Robot RT-K7</v>
      </c>
      <c r="CQ58" s="178">
        <f>'DATA PRODUK'!BI55</f>
        <v>35000</v>
      </c>
      <c r="CR58" s="152"/>
      <c r="CS58" s="152"/>
      <c r="CT58" s="152"/>
      <c r="CU58" s="152"/>
      <c r="CV58" s="152">
        <f>SUMIF(TRANSHARI1_ACCPAGI[PRODUK],CP58,TRANSHARI1_ACCPAGI[QUANTITY])+SUMIF(TRANSHARI1_ACCMALAM[PRODUK],CP58,TRANSHARI1_ACCMALAM[QUANTITY])</f>
        <v>0</v>
      </c>
      <c r="CW58" s="152">
        <f>SUMIF(TRANSHARI2_ACCPAGI[PRODUK],CP58,TRANSHARI2_ACCPAGI[QUANTITY])+SUMIF(TRANSHARI2_ACCMALAM[PRODUK],CP58,TRANSHARI2_ACCMALAM[QUANTITY])</f>
        <v>0</v>
      </c>
      <c r="CX58" s="152">
        <f>SUMIF(TRANSHARI3_ACCPAGI[PRODUK],CP58,TRANSHARI3_ACCPAGI[QUANTITY])+SUMIF(TRANSHARI3_ACCMALAM[PRODUK],CP58,TRANSHARI3_ACCMALAM[QUANTITY])</f>
        <v>0</v>
      </c>
      <c r="CY58" s="152">
        <f>SUMIF(TRANSHARI4_ACCPAGI[PRODUK],CP58,TRANSHARI4_ACCPAGI[QUANTITY])+SUMIF(TRANSHARI4_ACCMALAM[PRODUK],CP58,TRANSHARI4_ACCMALAM[QUANTITY])</f>
        <v>0</v>
      </c>
      <c r="CZ58" s="152">
        <f>SUMIF(TRANSHARI5_ACCPAGI[PRODUK],CP58,TRANSHARI5_ACCPAGI[QUANTITY])+SUMIF(TRANSHARI5_ACCMALAM[PRODUK],CP58,TRANSHARI5_ACCMALAM[QUANTITY])</f>
        <v>0</v>
      </c>
      <c r="DA58" s="152">
        <f>SUMIF(TRANSHARI6_ACCPAGI[PRODUK],CP58,TRANSHARI6_ACCPAGI[QUANTITY])+SUMIF(TRANSHARI6_ACCMALAM[PRODUK],CP58,TRANSHARI6_ACCMALAM[QUANTITY])</f>
        <v>0</v>
      </c>
      <c r="DB58" s="152">
        <f>SUMIF(TRANSHARI7_ACCPAGI[PRODUK],CP58,TRANSHARI7_ACCPAGI[QUANTITY])+SUMIF(TRANSHARI7_ACCMALAM[PRODUK],CP58,TRANSHARI7_ACCMALAM[QUANTITY])</f>
        <v>0</v>
      </c>
      <c r="DC58" s="152">
        <f>SUMIF(TRANSHARI8_ACCPAGI[PRODUK],CP58,TRANSHARI8_ACCPAGI[QUANTITY])+SUMIF(TRANSHARI8_ACCMALAM[PRODUK],CP58,TRANSHARI8_ACCMALAM[QUANTITY])</f>
        <v>0</v>
      </c>
      <c r="DD58" s="152">
        <f>SUMIF(TRANSHARI9_ACCPAGI[PRODUK],CP58,TRANSHARI9_ACCPAGI[QUANTITY])+SUMIF(TRANSHARI9_ACCMALAM[PRODUK],CP58,TRANSHARI9_ACCMALAM[QUANTITY])</f>
        <v>0</v>
      </c>
      <c r="DE58" s="152">
        <f>SUMIF(TRANSHARI10_ACCPAGI[PRODUK],CP58,TRANSHARI10_ACCPAGI[QUANTITY])+SUMIF(TRANSHARI10_ACCMALAM[PRODUK],CP58,TRANSHARI10_ACCMALAM[QUANTITY])</f>
        <v>0</v>
      </c>
      <c r="DF58" s="152">
        <f>SUMIF(TRANSHARI11_ACCPAGI[PRODUK],CP58,TRANSHARI11_ACCPAGI[QUANTITY])+SUMIF(TRANSHARI11_ACCMALAM[PRODUK],CP58,TRANSHARI11_ACCMALAM[QUANTITY])</f>
        <v>0</v>
      </c>
      <c r="DG58" s="152">
        <f t="shared" si="27"/>
        <v>0</v>
      </c>
      <c r="DH58" s="152">
        <f t="shared" si="28"/>
        <v>0</v>
      </c>
      <c r="DI58" s="176">
        <f t="shared" si="31"/>
        <v>0</v>
      </c>
    </row>
    <row r="59" ht="18" spans="4:113">
      <c r="D59" s="127">
        <v>1</v>
      </c>
      <c r="E59" s="128">
        <f>'HARI 1'!L51+'HARI 1'!AA51</f>
        <v>36800</v>
      </c>
      <c r="F59" s="128">
        <f>'HARI 1'!L52+'HARI 1'!AA52</f>
        <v>0</v>
      </c>
      <c r="G59" s="129">
        <f>'HARI 1'!L53+'HARI 1'!AA53</f>
        <v>0</v>
      </c>
      <c r="AE59" s="174" t="str">
        <f>'DATA PRODUK'!R56</f>
        <v>V. XL 15 FLEX (M)</v>
      </c>
      <c r="AF59" s="175">
        <f>'DATA PRODUK'!S56</f>
        <v>49000</v>
      </c>
      <c r="AG59" s="12"/>
      <c r="AH59" s="12"/>
      <c r="AI59" s="12"/>
      <c r="AJ59" s="12"/>
      <c r="AK59" s="12">
        <f>SUMIF(TRANSHARI1_SPVOUPAGI[PRODUK],AE59,TRANSHARI1_SPVOUPAGI[QUANTITY])+SUMIF(TRANSHARI1_SPVOUMALAM[PRODUK],AE59,TRANSHARI1_SPVOUMALAM[QUANTITY])</f>
        <v>0</v>
      </c>
      <c r="AL59" s="12">
        <f>SUMIF(TRANSHARI2_SPVOUPAGI[PRODUK],AE59,TRANSHARI2_SPVOUPAGI[QUANTITY])+SUMIF(TRANSHARI2_SPVOUMALAM[PRODUK],AE59,TRANSHARI2_SPVOUMALAM[QUANTITY])</f>
        <v>0</v>
      </c>
      <c r="AM59" s="12">
        <f>SUMIF(TRANSHARI3_SPVOUPAGI[PRODUK],AE59,TRANSHARI3_SPVOUPAGI[QUANTITY])+SUMIF(TRANSHARI3_SPVOUMALAM[PRODUK],AE59,TRANSHARI3_SPVOUMALAM[QUANTITY])</f>
        <v>0</v>
      </c>
      <c r="AN59" s="12">
        <f>SUMIF(TRANSHARI4_SPVOUPAGI[PRODUK],AE59,TRANSHARI4_SPVOUPAGI[QUANTITY])+SUMIF(TRANSHARI4_SPVOUMALAM[PRODUK],AE59,TRANSHARI4_SPVOUMALAM[QUANTITY])</f>
        <v>0</v>
      </c>
      <c r="AO59" s="12">
        <f>SUMIF(TRANSHARI5_SPVOUPAGI[PRODUK],AE59,TRANSHARI5_SPVOUPAGI[QUANTITY])+SUMIF(TRANSHARI5_SPVOUMALAM[PRODUK],AE59,TRANSHARI5_SPVOUMALAM[QUANTITY])</f>
        <v>0</v>
      </c>
      <c r="AP59" s="12">
        <f>SUMIF(TRANSHARI6_SPVOUPAGI[PRODUK],AE59,TRANSHARI6_SPVOUPAGI[QUANTITY])+SUMIF(TRANSHARI6_SPVOUMALAM[PRODUK],AE59,TRANSHARI6_SPVOUMALAM[QUANTITY])</f>
        <v>0</v>
      </c>
      <c r="AQ59" s="12">
        <f>SUMIF(TRANSHARI7_SPVOUPAGI[PRODUK],AE59,TRANSHARI7_SPVOUPAGI[QUANTITY])+SUMIF(TRANSHARI7_SPVOUMALAM[PRODUK],AE59,TRANSHARI7_SPVOUMALAM[QUANTITY])</f>
        <v>0</v>
      </c>
      <c r="AR59" s="12">
        <f>SUMIF(TRANSHARI8_SPVOUPAGI[PRODUK],AE59,TRANSHARI8_SPVOUPAGI[QUANTITY])+SUMIF(TRANSHARI8_SPVOUMALAM[PRODUK],AE59,TRANSHARI8_SPVOUMALAM[QUANTITY])</f>
        <v>0</v>
      </c>
      <c r="AS59" s="12">
        <f>SUMIF(TRANSHARI9_SPVOUPAGI[PRODUK],AE59,TRANSHARI9_SPVOUPAGI[QUANTITY])+SUMIF(TRANSHARI9_SPVOUMALAM[PRODUK],AE59,TRANSHARI9_SPVOUMALAM[QUANTITY])</f>
        <v>0</v>
      </c>
      <c r="AT59" s="12">
        <f>SUMIF(TRANSHARI10_SPVOUPAGI[PRODUK],AE59,TRANSHARI10_SPVOUPAGI[QUANTITY])+SUMIF(TRANSHARI10_SPVOUMALAM[PRODUK],AE59,TRANSHARI10_SPVOUMALAM[QUANTITY])</f>
        <v>0</v>
      </c>
      <c r="AU59" s="12">
        <f>SUMIF(TRANSHARI11_SPVOUPAGI[PRODUK],AE59,TRANSHARI11_SPVOUPAGI[QUANTITY])+SUMIF(TRANSHARI11_SPVOUMALAM[PRODUK],AE59,TRANSHARI11_SPVOUMALAM[QUANTITY])</f>
        <v>0</v>
      </c>
      <c r="AV59" s="12">
        <f t="shared" si="30"/>
        <v>0</v>
      </c>
      <c r="AW59" s="12">
        <f t="shared" si="23"/>
        <v>0</v>
      </c>
      <c r="AX59" s="173">
        <f t="shared" si="5"/>
        <v>0</v>
      </c>
      <c r="CP59" s="177" t="str">
        <f>'DATA PRODUK'!BH56</f>
        <v>(CHARGER SET)(Micro)(1.5A) Rexi CQ15-M</v>
      </c>
      <c r="CQ59" s="175">
        <f>'DATA PRODUK'!BI56</f>
        <v>40000</v>
      </c>
      <c r="CR59" s="12"/>
      <c r="CS59" s="12"/>
      <c r="CT59" s="12"/>
      <c r="CU59" s="12"/>
      <c r="CV59" s="12">
        <f>SUMIF(TRANSHARI1_ACCPAGI[PRODUK],CP59,TRANSHARI1_ACCPAGI[QUANTITY])+SUMIF(TRANSHARI1_ACCMALAM[PRODUK],CP59,TRANSHARI1_ACCMALAM[QUANTITY])</f>
        <v>0</v>
      </c>
      <c r="CW59" s="12">
        <f>SUMIF(TRANSHARI2_ACCPAGI[PRODUK],CP59,TRANSHARI2_ACCPAGI[QUANTITY])+SUMIF(TRANSHARI2_ACCMALAM[PRODUK],CP59,TRANSHARI2_ACCMALAM[QUANTITY])</f>
        <v>0</v>
      </c>
      <c r="CX59" s="12">
        <f>SUMIF(TRANSHARI3_ACCPAGI[PRODUK],CP59,TRANSHARI3_ACCPAGI[QUANTITY])+SUMIF(TRANSHARI3_ACCMALAM[PRODUK],CP59,TRANSHARI3_ACCMALAM[QUANTITY])</f>
        <v>0</v>
      </c>
      <c r="CY59" s="12">
        <f>SUMIF(TRANSHARI4_ACCPAGI[PRODUK],CP59,TRANSHARI4_ACCPAGI[QUANTITY])+SUMIF(TRANSHARI4_ACCMALAM[PRODUK],CP59,TRANSHARI4_ACCMALAM[QUANTITY])</f>
        <v>0</v>
      </c>
      <c r="CZ59" s="12">
        <f>SUMIF(TRANSHARI5_ACCPAGI[PRODUK],CP59,TRANSHARI5_ACCPAGI[QUANTITY])+SUMIF(TRANSHARI5_ACCMALAM[PRODUK],CP59,TRANSHARI5_ACCMALAM[QUANTITY])</f>
        <v>0</v>
      </c>
      <c r="DA59" s="12">
        <f>SUMIF(TRANSHARI6_ACCPAGI[PRODUK],CP59,TRANSHARI6_ACCPAGI[QUANTITY])+SUMIF(TRANSHARI6_ACCMALAM[PRODUK],CP59,TRANSHARI6_ACCMALAM[QUANTITY])</f>
        <v>0</v>
      </c>
      <c r="DB59" s="12">
        <f>SUMIF(TRANSHARI7_ACCPAGI[PRODUK],CP59,TRANSHARI7_ACCPAGI[QUANTITY])+SUMIF(TRANSHARI7_ACCMALAM[PRODUK],CP59,TRANSHARI7_ACCMALAM[QUANTITY])</f>
        <v>0</v>
      </c>
      <c r="DC59" s="12">
        <f>SUMIF(TRANSHARI8_ACCPAGI[PRODUK],CP59,TRANSHARI8_ACCPAGI[QUANTITY])+SUMIF(TRANSHARI8_ACCMALAM[PRODUK],CP59,TRANSHARI8_ACCMALAM[QUANTITY])</f>
        <v>0</v>
      </c>
      <c r="DD59" s="12">
        <f>SUMIF(TRANSHARI9_ACCPAGI[PRODUK],CP59,TRANSHARI9_ACCPAGI[QUANTITY])+SUMIF(TRANSHARI9_ACCMALAM[PRODUK],CP59,TRANSHARI9_ACCMALAM[QUANTITY])</f>
        <v>0</v>
      </c>
      <c r="DE59" s="12">
        <f>SUMIF(TRANSHARI10_ACCPAGI[PRODUK],CP59,TRANSHARI10_ACCPAGI[QUANTITY])+SUMIF(TRANSHARI10_ACCMALAM[PRODUK],CP59,TRANSHARI10_ACCMALAM[QUANTITY])</f>
        <v>0</v>
      </c>
      <c r="DF59" s="12">
        <f>SUMIF(TRANSHARI11_ACCPAGI[PRODUK],CP59,TRANSHARI11_ACCPAGI[QUANTITY])+SUMIF(TRANSHARI11_ACCMALAM[PRODUK],CP59,TRANSHARI11_ACCMALAM[QUANTITY])</f>
        <v>0</v>
      </c>
      <c r="DG59" s="12">
        <f t="shared" si="27"/>
        <v>0</v>
      </c>
      <c r="DH59" s="12">
        <f t="shared" si="28"/>
        <v>0</v>
      </c>
      <c r="DI59" s="173">
        <f t="shared" si="31"/>
        <v>0</v>
      </c>
    </row>
    <row r="60" ht="18" spans="4:113">
      <c r="D60" s="130">
        <v>2</v>
      </c>
      <c r="E60" s="131">
        <f>'HARI 2'!L51+'HARI 2'!AA51</f>
        <v>0</v>
      </c>
      <c r="F60" s="132">
        <f>'HARI 2'!L52+'HARI 2'!AA52</f>
        <v>0</v>
      </c>
      <c r="G60" s="132">
        <f>'HARI 2'!L53+'HARI 2'!AA53</f>
        <v>5060</v>
      </c>
      <c r="AE60" s="177" t="str">
        <f>'DATA PRODUK'!R57</f>
        <v>V. XL 27 FLEX (L)</v>
      </c>
      <c r="AF60" s="178">
        <f>'DATA PRODUK'!S57</f>
        <v>68000</v>
      </c>
      <c r="AG60" s="152"/>
      <c r="AH60" s="152"/>
      <c r="AI60" s="152"/>
      <c r="AJ60" s="152"/>
      <c r="AK60" s="152">
        <f>SUMIF(TRANSHARI1_SPVOUPAGI[PRODUK],AE60,TRANSHARI1_SPVOUPAGI[QUANTITY])+SUMIF(TRANSHARI1_SPVOUMALAM[PRODUK],AE60,TRANSHARI1_SPVOUMALAM[QUANTITY])</f>
        <v>0</v>
      </c>
      <c r="AL60" s="152">
        <f>SUMIF(TRANSHARI2_SPVOUPAGI[PRODUK],AE60,TRANSHARI2_SPVOUPAGI[QUANTITY])+SUMIF(TRANSHARI2_SPVOUMALAM[PRODUK],AE60,TRANSHARI2_SPVOUMALAM[QUANTITY])</f>
        <v>0</v>
      </c>
      <c r="AM60" s="152">
        <f>SUMIF(TRANSHARI3_SPVOUPAGI[PRODUK],AE60,TRANSHARI3_SPVOUPAGI[QUANTITY])+SUMIF(TRANSHARI3_SPVOUMALAM[PRODUK],AE60,TRANSHARI3_SPVOUMALAM[QUANTITY])</f>
        <v>0</v>
      </c>
      <c r="AN60" s="152">
        <f>SUMIF(TRANSHARI4_SPVOUPAGI[PRODUK],AE60,TRANSHARI4_SPVOUPAGI[QUANTITY])+SUMIF(TRANSHARI4_SPVOUMALAM[PRODUK],AE60,TRANSHARI4_SPVOUMALAM[QUANTITY])</f>
        <v>0</v>
      </c>
      <c r="AO60" s="152">
        <f>SUMIF(TRANSHARI5_SPVOUPAGI[PRODUK],AE60,TRANSHARI5_SPVOUPAGI[QUANTITY])+SUMIF(TRANSHARI5_SPVOUMALAM[PRODUK],AE60,TRANSHARI5_SPVOUMALAM[QUANTITY])</f>
        <v>0</v>
      </c>
      <c r="AP60" s="152">
        <f>SUMIF(TRANSHARI6_SPVOUPAGI[PRODUK],AE60,TRANSHARI6_SPVOUPAGI[QUANTITY])+SUMIF(TRANSHARI6_SPVOUMALAM[PRODUK],AE60,TRANSHARI6_SPVOUMALAM[QUANTITY])</f>
        <v>0</v>
      </c>
      <c r="AQ60" s="152">
        <f>SUMIF(TRANSHARI7_SPVOUPAGI[PRODUK],AE60,TRANSHARI7_SPVOUPAGI[QUANTITY])+SUMIF(TRANSHARI7_SPVOUMALAM[PRODUK],AE60,TRANSHARI7_SPVOUMALAM[QUANTITY])</f>
        <v>0</v>
      </c>
      <c r="AR60" s="152">
        <f>SUMIF(TRANSHARI8_SPVOUPAGI[PRODUK],AE60,TRANSHARI8_SPVOUPAGI[QUANTITY])+SUMIF(TRANSHARI8_SPVOUMALAM[PRODUK],AE60,TRANSHARI8_SPVOUMALAM[QUANTITY])</f>
        <v>0</v>
      </c>
      <c r="AS60" s="152">
        <f>SUMIF(TRANSHARI9_SPVOUPAGI[PRODUK],AE60,TRANSHARI9_SPVOUPAGI[QUANTITY])+SUMIF(TRANSHARI9_SPVOUMALAM[PRODUK],AE60,TRANSHARI9_SPVOUMALAM[QUANTITY])</f>
        <v>0</v>
      </c>
      <c r="AT60" s="152">
        <f>SUMIF(TRANSHARI10_SPVOUPAGI[PRODUK],AE60,TRANSHARI10_SPVOUPAGI[QUANTITY])+SUMIF(TRANSHARI10_SPVOUMALAM[PRODUK],AE60,TRANSHARI10_SPVOUMALAM[QUANTITY])</f>
        <v>0</v>
      </c>
      <c r="AU60" s="152">
        <f>SUMIF(TRANSHARI11_SPVOUPAGI[PRODUK],AE60,TRANSHARI11_SPVOUPAGI[QUANTITY])+SUMIF(TRANSHARI11_SPVOUMALAM[PRODUK],AE60,TRANSHARI11_SPVOUMALAM[QUANTITY])</f>
        <v>0</v>
      </c>
      <c r="AV60" s="152">
        <f t="shared" si="30"/>
        <v>0</v>
      </c>
      <c r="AW60" s="152">
        <f t="shared" si="23"/>
        <v>0</v>
      </c>
      <c r="AX60" s="176">
        <f t="shared" si="5"/>
        <v>0</v>
      </c>
      <c r="CP60" s="174" t="str">
        <f>'DATA PRODUK'!BH57</f>
        <v>(CHARGER SET)(Micro)(1.5A) Olike C104</v>
      </c>
      <c r="CQ60" s="178">
        <f>'DATA PRODUK'!BI57</f>
        <v>45000</v>
      </c>
      <c r="CR60" s="152"/>
      <c r="CS60" s="152"/>
      <c r="CT60" s="152"/>
      <c r="CU60" s="152"/>
      <c r="CV60" s="152">
        <f>SUMIF(TRANSHARI1_ACCPAGI[PRODUK],CP60,TRANSHARI1_ACCPAGI[QUANTITY])+SUMIF(TRANSHARI1_ACCMALAM[PRODUK],CP60,TRANSHARI1_ACCMALAM[QUANTITY])</f>
        <v>0</v>
      </c>
      <c r="CW60" s="152">
        <f>SUMIF(TRANSHARI2_ACCPAGI[PRODUK],CP60,TRANSHARI2_ACCPAGI[QUANTITY])+SUMIF(TRANSHARI2_ACCMALAM[PRODUK],CP60,TRANSHARI2_ACCMALAM[QUANTITY])</f>
        <v>0</v>
      </c>
      <c r="CX60" s="152">
        <f>SUMIF(TRANSHARI3_ACCPAGI[PRODUK],CP60,TRANSHARI3_ACCPAGI[QUANTITY])+SUMIF(TRANSHARI3_ACCMALAM[PRODUK],CP60,TRANSHARI3_ACCMALAM[QUANTITY])</f>
        <v>0</v>
      </c>
      <c r="CY60" s="152">
        <f>SUMIF(TRANSHARI4_ACCPAGI[PRODUK],CP60,TRANSHARI4_ACCPAGI[QUANTITY])+SUMIF(TRANSHARI4_ACCMALAM[PRODUK],CP60,TRANSHARI4_ACCMALAM[QUANTITY])</f>
        <v>0</v>
      </c>
      <c r="CZ60" s="152">
        <f>SUMIF(TRANSHARI5_ACCPAGI[PRODUK],CP60,TRANSHARI5_ACCPAGI[QUANTITY])+SUMIF(TRANSHARI5_ACCMALAM[PRODUK],CP60,TRANSHARI5_ACCMALAM[QUANTITY])</f>
        <v>0</v>
      </c>
      <c r="DA60" s="152">
        <f>SUMIF(TRANSHARI6_ACCPAGI[PRODUK],CP60,TRANSHARI6_ACCPAGI[QUANTITY])+SUMIF(TRANSHARI6_ACCMALAM[PRODUK],CP60,TRANSHARI6_ACCMALAM[QUANTITY])</f>
        <v>0</v>
      </c>
      <c r="DB60" s="152">
        <f>SUMIF(TRANSHARI7_ACCPAGI[PRODUK],CP60,TRANSHARI7_ACCPAGI[QUANTITY])+SUMIF(TRANSHARI7_ACCMALAM[PRODUK],CP60,TRANSHARI7_ACCMALAM[QUANTITY])</f>
        <v>0</v>
      </c>
      <c r="DC60" s="152">
        <f>SUMIF(TRANSHARI8_ACCPAGI[PRODUK],CP60,TRANSHARI8_ACCPAGI[QUANTITY])+SUMIF(TRANSHARI8_ACCMALAM[PRODUK],CP60,TRANSHARI8_ACCMALAM[QUANTITY])</f>
        <v>0</v>
      </c>
      <c r="DD60" s="152">
        <f>SUMIF(TRANSHARI9_ACCPAGI[PRODUK],CP60,TRANSHARI9_ACCPAGI[QUANTITY])+SUMIF(TRANSHARI9_ACCMALAM[PRODUK],CP60,TRANSHARI9_ACCMALAM[QUANTITY])</f>
        <v>0</v>
      </c>
      <c r="DE60" s="152">
        <f>SUMIF(TRANSHARI10_ACCPAGI[PRODUK],CP60,TRANSHARI10_ACCPAGI[QUANTITY])+SUMIF(TRANSHARI10_ACCMALAM[PRODUK],CP60,TRANSHARI10_ACCMALAM[QUANTITY])</f>
        <v>0</v>
      </c>
      <c r="DF60" s="152">
        <f>SUMIF(TRANSHARI11_ACCPAGI[PRODUK],CP60,TRANSHARI11_ACCPAGI[QUANTITY])+SUMIF(TRANSHARI11_ACCMALAM[PRODUK],CP60,TRANSHARI11_ACCMALAM[QUANTITY])</f>
        <v>0</v>
      </c>
      <c r="DG60" s="152">
        <f t="shared" si="27"/>
        <v>0</v>
      </c>
      <c r="DH60" s="152">
        <f t="shared" si="28"/>
        <v>0</v>
      </c>
      <c r="DI60" s="176">
        <f t="shared" si="31"/>
        <v>0</v>
      </c>
    </row>
    <row r="61" ht="18" spans="4:113">
      <c r="D61" s="127">
        <v>3</v>
      </c>
      <c r="E61" s="128">
        <f>'HARI 3'!L51+'HARI 3'!AA51</f>
        <v>0</v>
      </c>
      <c r="F61" s="128">
        <f>'HARI 3'!L52+'HARI 3'!AA52</f>
        <v>0</v>
      </c>
      <c r="G61" s="129">
        <f>'HARI 3'!L53+'HARI 3'!AA53</f>
        <v>0</v>
      </c>
      <c r="AE61" s="174" t="str">
        <f>'DATA PRODUK'!R58</f>
        <v>V. XL 43 FLEX (XL)</v>
      </c>
      <c r="AF61" s="175">
        <f>'DATA PRODUK'!S58</f>
        <v>94000</v>
      </c>
      <c r="AG61" s="12"/>
      <c r="AH61" s="12"/>
      <c r="AI61" s="12"/>
      <c r="AJ61" s="12"/>
      <c r="AK61" s="12">
        <f>SUMIF(TRANSHARI1_SPVOUPAGI[PRODUK],AE61,TRANSHARI1_SPVOUPAGI[QUANTITY])+SUMIF(TRANSHARI1_SPVOUMALAM[PRODUK],AE61,TRANSHARI1_SPVOUMALAM[QUANTITY])</f>
        <v>0</v>
      </c>
      <c r="AL61" s="12">
        <f>SUMIF(TRANSHARI2_SPVOUPAGI[PRODUK],AE61,TRANSHARI2_SPVOUPAGI[QUANTITY])+SUMIF(TRANSHARI2_SPVOUMALAM[PRODUK],AE61,TRANSHARI2_SPVOUMALAM[QUANTITY])</f>
        <v>0</v>
      </c>
      <c r="AM61" s="12">
        <f>SUMIF(TRANSHARI3_SPVOUPAGI[PRODUK],AE61,TRANSHARI3_SPVOUPAGI[QUANTITY])+SUMIF(TRANSHARI3_SPVOUMALAM[PRODUK],AE61,TRANSHARI3_SPVOUMALAM[QUANTITY])</f>
        <v>0</v>
      </c>
      <c r="AN61" s="12">
        <f>SUMIF(TRANSHARI4_SPVOUPAGI[PRODUK],AE61,TRANSHARI4_SPVOUPAGI[QUANTITY])+SUMIF(TRANSHARI4_SPVOUMALAM[PRODUK],AE61,TRANSHARI4_SPVOUMALAM[QUANTITY])</f>
        <v>0</v>
      </c>
      <c r="AO61" s="12">
        <f>SUMIF(TRANSHARI5_SPVOUPAGI[PRODUK],AE61,TRANSHARI5_SPVOUPAGI[QUANTITY])+SUMIF(TRANSHARI5_SPVOUMALAM[PRODUK],AE61,TRANSHARI5_SPVOUMALAM[QUANTITY])</f>
        <v>0</v>
      </c>
      <c r="AP61" s="12">
        <f>SUMIF(TRANSHARI6_SPVOUPAGI[PRODUK],AE61,TRANSHARI6_SPVOUPAGI[QUANTITY])+SUMIF(TRANSHARI6_SPVOUMALAM[PRODUK],AE61,TRANSHARI6_SPVOUMALAM[QUANTITY])</f>
        <v>0</v>
      </c>
      <c r="AQ61" s="12">
        <f>SUMIF(TRANSHARI7_SPVOUPAGI[PRODUK],AE61,TRANSHARI7_SPVOUPAGI[QUANTITY])+SUMIF(TRANSHARI7_SPVOUMALAM[PRODUK],AE61,TRANSHARI7_SPVOUMALAM[QUANTITY])</f>
        <v>0</v>
      </c>
      <c r="AR61" s="12">
        <f>SUMIF(TRANSHARI8_SPVOUPAGI[PRODUK],AE61,TRANSHARI8_SPVOUPAGI[QUANTITY])+SUMIF(TRANSHARI8_SPVOUMALAM[PRODUK],AE61,TRANSHARI8_SPVOUMALAM[QUANTITY])</f>
        <v>0</v>
      </c>
      <c r="AS61" s="12">
        <f>SUMIF(TRANSHARI9_SPVOUPAGI[PRODUK],AE61,TRANSHARI9_SPVOUPAGI[QUANTITY])+SUMIF(TRANSHARI9_SPVOUMALAM[PRODUK],AE61,TRANSHARI9_SPVOUMALAM[QUANTITY])</f>
        <v>0</v>
      </c>
      <c r="AT61" s="12">
        <f>SUMIF(TRANSHARI10_SPVOUPAGI[PRODUK],AE61,TRANSHARI10_SPVOUPAGI[QUANTITY])+SUMIF(TRANSHARI10_SPVOUMALAM[PRODUK],AE61,TRANSHARI10_SPVOUMALAM[QUANTITY])</f>
        <v>0</v>
      </c>
      <c r="AU61" s="12">
        <f>SUMIF(TRANSHARI11_SPVOUPAGI[PRODUK],AE61,TRANSHARI11_SPVOUPAGI[QUANTITY])+SUMIF(TRANSHARI11_SPVOUMALAM[PRODUK],AE61,TRANSHARI11_SPVOUMALAM[QUANTITY])</f>
        <v>0</v>
      </c>
      <c r="AV61" s="12">
        <f t="shared" si="30"/>
        <v>0</v>
      </c>
      <c r="AW61" s="12">
        <f t="shared" si="23"/>
        <v>0</v>
      </c>
      <c r="AX61" s="173">
        <f t="shared" si="5"/>
        <v>0</v>
      </c>
      <c r="CP61" s="177" t="str">
        <f>'DATA PRODUK'!BH58</f>
        <v>(CHARGER SET)(Micro)(2A) Robot RT-K9</v>
      </c>
      <c r="CQ61" s="175">
        <f>'DATA PRODUK'!BI58</f>
        <v>55000</v>
      </c>
      <c r="CR61" s="12"/>
      <c r="CS61" s="12"/>
      <c r="CT61" s="12"/>
      <c r="CU61" s="12"/>
      <c r="CV61" s="12">
        <f>SUMIF(TRANSHARI1_ACCPAGI[PRODUK],CP61,TRANSHARI1_ACCPAGI[QUANTITY])+SUMIF(TRANSHARI1_ACCMALAM[PRODUK],CP61,TRANSHARI1_ACCMALAM[QUANTITY])</f>
        <v>0</v>
      </c>
      <c r="CW61" s="12">
        <f>SUMIF(TRANSHARI2_ACCPAGI[PRODUK],CP61,TRANSHARI2_ACCPAGI[QUANTITY])+SUMIF(TRANSHARI2_ACCMALAM[PRODUK],CP61,TRANSHARI2_ACCMALAM[QUANTITY])</f>
        <v>0</v>
      </c>
      <c r="CX61" s="12">
        <f>SUMIF(TRANSHARI3_ACCPAGI[PRODUK],CP61,TRANSHARI3_ACCPAGI[QUANTITY])+SUMIF(TRANSHARI3_ACCMALAM[PRODUK],CP61,TRANSHARI3_ACCMALAM[QUANTITY])</f>
        <v>0</v>
      </c>
      <c r="CY61" s="12">
        <f>SUMIF(TRANSHARI4_ACCPAGI[PRODUK],CP61,TRANSHARI4_ACCPAGI[QUANTITY])+SUMIF(TRANSHARI4_ACCMALAM[PRODUK],CP61,TRANSHARI4_ACCMALAM[QUANTITY])</f>
        <v>0</v>
      </c>
      <c r="CZ61" s="12">
        <f>SUMIF(TRANSHARI5_ACCPAGI[PRODUK],CP61,TRANSHARI5_ACCPAGI[QUANTITY])+SUMIF(TRANSHARI5_ACCMALAM[PRODUK],CP61,TRANSHARI5_ACCMALAM[QUANTITY])</f>
        <v>0</v>
      </c>
      <c r="DA61" s="12">
        <f>SUMIF(TRANSHARI6_ACCPAGI[PRODUK],CP61,TRANSHARI6_ACCPAGI[QUANTITY])+SUMIF(TRANSHARI6_ACCMALAM[PRODUK],CP61,TRANSHARI6_ACCMALAM[QUANTITY])</f>
        <v>0</v>
      </c>
      <c r="DB61" s="12">
        <f>SUMIF(TRANSHARI7_ACCPAGI[PRODUK],CP61,TRANSHARI7_ACCPAGI[QUANTITY])+SUMIF(TRANSHARI7_ACCMALAM[PRODUK],CP61,TRANSHARI7_ACCMALAM[QUANTITY])</f>
        <v>0</v>
      </c>
      <c r="DC61" s="12">
        <f>SUMIF(TRANSHARI8_ACCPAGI[PRODUK],CP61,TRANSHARI8_ACCPAGI[QUANTITY])+SUMIF(TRANSHARI8_ACCMALAM[PRODUK],CP61,TRANSHARI8_ACCMALAM[QUANTITY])</f>
        <v>0</v>
      </c>
      <c r="DD61" s="12">
        <f>SUMIF(TRANSHARI9_ACCPAGI[PRODUK],CP61,TRANSHARI9_ACCPAGI[QUANTITY])+SUMIF(TRANSHARI9_ACCMALAM[PRODUK],CP61,TRANSHARI9_ACCMALAM[QUANTITY])</f>
        <v>0</v>
      </c>
      <c r="DE61" s="12">
        <f>SUMIF(TRANSHARI10_ACCPAGI[PRODUK],CP61,TRANSHARI10_ACCPAGI[QUANTITY])+SUMIF(TRANSHARI10_ACCMALAM[PRODUK],CP61,TRANSHARI10_ACCMALAM[QUANTITY])</f>
        <v>0</v>
      </c>
      <c r="DF61" s="12">
        <f>SUMIF(TRANSHARI11_ACCPAGI[PRODUK],CP61,TRANSHARI11_ACCPAGI[QUANTITY])+SUMIF(TRANSHARI11_ACCMALAM[PRODUK],CP61,TRANSHARI11_ACCMALAM[QUANTITY])</f>
        <v>0</v>
      </c>
      <c r="DG61" s="12">
        <f t="shared" si="27"/>
        <v>0</v>
      </c>
      <c r="DH61" s="12">
        <f t="shared" si="28"/>
        <v>0</v>
      </c>
      <c r="DI61" s="173">
        <f t="shared" si="31"/>
        <v>0</v>
      </c>
    </row>
    <row r="62" ht="18" spans="4:113">
      <c r="D62" s="130">
        <v>4</v>
      </c>
      <c r="E62" s="131">
        <f>'HARI 4'!L51+'HARI 4'!AA51</f>
        <v>0</v>
      </c>
      <c r="F62" s="132">
        <f>'HARI 4'!L52+'HARI 4'!AA52</f>
        <v>0</v>
      </c>
      <c r="G62" s="132">
        <f>'HARI 4'!L53+'HARI 4'!AA53</f>
        <v>0</v>
      </c>
      <c r="AE62" s="177" t="str">
        <f>'DATA PRODUK'!R59</f>
        <v>V. ISAT 1 / 2hr</v>
      </c>
      <c r="AF62" s="178">
        <f>'DATA PRODUK'!S59</f>
        <v>9000</v>
      </c>
      <c r="AG62" s="152"/>
      <c r="AH62" s="152"/>
      <c r="AI62" s="152"/>
      <c r="AJ62" s="152"/>
      <c r="AK62" s="152">
        <f>SUMIF(TRANSHARI1_SPVOUPAGI[PRODUK],AE62,TRANSHARI1_SPVOUPAGI[QUANTITY])+SUMIF(TRANSHARI1_SPVOUMALAM[PRODUK],AE62,TRANSHARI1_SPVOUMALAM[QUANTITY])</f>
        <v>0</v>
      </c>
      <c r="AL62" s="152">
        <f>SUMIF(TRANSHARI2_SPVOUPAGI[PRODUK],AE62,TRANSHARI2_SPVOUPAGI[QUANTITY])+SUMIF(TRANSHARI2_SPVOUMALAM[PRODUK],AE62,TRANSHARI2_SPVOUMALAM[QUANTITY])</f>
        <v>0</v>
      </c>
      <c r="AM62" s="152">
        <f>SUMIF(TRANSHARI3_SPVOUPAGI[PRODUK],AE62,TRANSHARI3_SPVOUPAGI[QUANTITY])+SUMIF(TRANSHARI3_SPVOUMALAM[PRODUK],AE62,TRANSHARI3_SPVOUMALAM[QUANTITY])</f>
        <v>0</v>
      </c>
      <c r="AN62" s="152">
        <f>SUMIF(TRANSHARI4_SPVOUPAGI[PRODUK],AE62,TRANSHARI4_SPVOUPAGI[QUANTITY])+SUMIF(TRANSHARI4_SPVOUMALAM[PRODUK],AE62,TRANSHARI4_SPVOUMALAM[QUANTITY])</f>
        <v>0</v>
      </c>
      <c r="AO62" s="152">
        <f>SUMIF(TRANSHARI5_SPVOUPAGI[PRODUK],AE62,TRANSHARI5_SPVOUPAGI[QUANTITY])+SUMIF(TRANSHARI5_SPVOUMALAM[PRODUK],AE62,TRANSHARI5_SPVOUMALAM[QUANTITY])</f>
        <v>0</v>
      </c>
      <c r="AP62" s="152">
        <f>SUMIF(TRANSHARI6_SPVOUPAGI[PRODUK],AE62,TRANSHARI6_SPVOUPAGI[QUANTITY])+SUMIF(TRANSHARI6_SPVOUMALAM[PRODUK],AE62,TRANSHARI6_SPVOUMALAM[QUANTITY])</f>
        <v>0</v>
      </c>
      <c r="AQ62" s="152">
        <f>SUMIF(TRANSHARI7_SPVOUPAGI[PRODUK],AE62,TRANSHARI7_SPVOUPAGI[QUANTITY])+SUMIF(TRANSHARI7_SPVOUMALAM[PRODUK],AE62,TRANSHARI7_SPVOUMALAM[QUANTITY])</f>
        <v>0</v>
      </c>
      <c r="AR62" s="152">
        <f>SUMIF(TRANSHARI8_SPVOUPAGI[PRODUK],AE62,TRANSHARI8_SPVOUPAGI[QUANTITY])+SUMIF(TRANSHARI8_SPVOUMALAM[PRODUK],AE62,TRANSHARI8_SPVOUMALAM[QUANTITY])</f>
        <v>0</v>
      </c>
      <c r="AS62" s="152">
        <f>SUMIF(TRANSHARI9_SPVOUPAGI[PRODUK],AE62,TRANSHARI9_SPVOUPAGI[QUANTITY])+SUMIF(TRANSHARI9_SPVOUMALAM[PRODUK],AE62,TRANSHARI9_SPVOUMALAM[QUANTITY])</f>
        <v>0</v>
      </c>
      <c r="AT62" s="152">
        <f>SUMIF(TRANSHARI10_SPVOUPAGI[PRODUK],AE62,TRANSHARI10_SPVOUPAGI[QUANTITY])+SUMIF(TRANSHARI10_SPVOUMALAM[PRODUK],AE62,TRANSHARI10_SPVOUMALAM[QUANTITY])</f>
        <v>0</v>
      </c>
      <c r="AU62" s="152">
        <f>SUMIF(TRANSHARI11_SPVOUPAGI[PRODUK],AE62,TRANSHARI11_SPVOUPAGI[QUANTITY])+SUMIF(TRANSHARI11_SPVOUMALAM[PRODUK],AE62,TRANSHARI11_SPVOUMALAM[QUANTITY])</f>
        <v>0</v>
      </c>
      <c r="AV62" s="152">
        <f t="shared" si="30"/>
        <v>0</v>
      </c>
      <c r="AW62" s="152">
        <f t="shared" si="23"/>
        <v>0</v>
      </c>
      <c r="AX62" s="176">
        <f t="shared" si="5"/>
        <v>0</v>
      </c>
      <c r="CP62" s="174" t="str">
        <f>'DATA PRODUK'!BH59</f>
        <v>(CHARGER SET)(Micro)(2.4A) Olike C107M</v>
      </c>
      <c r="CQ62" s="178">
        <f>'DATA PRODUK'!BI59</f>
        <v>60000</v>
      </c>
      <c r="CR62" s="152"/>
      <c r="CS62" s="152"/>
      <c r="CT62" s="152"/>
      <c r="CU62" s="152"/>
      <c r="CV62" s="152">
        <f>SUMIF(TRANSHARI1_ACCPAGI[PRODUK],CP62,TRANSHARI1_ACCPAGI[QUANTITY])+SUMIF(TRANSHARI1_ACCMALAM[PRODUK],CP62,TRANSHARI1_ACCMALAM[QUANTITY])</f>
        <v>0</v>
      </c>
      <c r="CW62" s="152">
        <f>SUMIF(TRANSHARI2_ACCPAGI[PRODUK],CP62,TRANSHARI2_ACCPAGI[QUANTITY])+SUMIF(TRANSHARI2_ACCMALAM[PRODUK],CP62,TRANSHARI2_ACCMALAM[QUANTITY])</f>
        <v>0</v>
      </c>
      <c r="CX62" s="152">
        <f>SUMIF(TRANSHARI3_ACCPAGI[PRODUK],CP62,TRANSHARI3_ACCPAGI[QUANTITY])+SUMIF(TRANSHARI3_ACCMALAM[PRODUK],CP62,TRANSHARI3_ACCMALAM[QUANTITY])</f>
        <v>0</v>
      </c>
      <c r="CY62" s="152">
        <f>SUMIF(TRANSHARI4_ACCPAGI[PRODUK],CP62,TRANSHARI4_ACCPAGI[QUANTITY])+SUMIF(TRANSHARI4_ACCMALAM[PRODUK],CP62,TRANSHARI4_ACCMALAM[QUANTITY])</f>
        <v>0</v>
      </c>
      <c r="CZ62" s="152">
        <f>SUMIF(TRANSHARI5_ACCPAGI[PRODUK],CP62,TRANSHARI5_ACCPAGI[QUANTITY])+SUMIF(TRANSHARI5_ACCMALAM[PRODUK],CP62,TRANSHARI5_ACCMALAM[QUANTITY])</f>
        <v>0</v>
      </c>
      <c r="DA62" s="152">
        <f>SUMIF(TRANSHARI6_ACCPAGI[PRODUK],CP62,TRANSHARI6_ACCPAGI[QUANTITY])+SUMIF(TRANSHARI6_ACCMALAM[PRODUK],CP62,TRANSHARI6_ACCMALAM[QUANTITY])</f>
        <v>0</v>
      </c>
      <c r="DB62" s="152">
        <f>SUMIF(TRANSHARI7_ACCPAGI[PRODUK],CP62,TRANSHARI7_ACCPAGI[QUANTITY])+SUMIF(TRANSHARI7_ACCMALAM[PRODUK],CP62,TRANSHARI7_ACCMALAM[QUANTITY])</f>
        <v>0</v>
      </c>
      <c r="DC62" s="152">
        <f>SUMIF(TRANSHARI8_ACCPAGI[PRODUK],CP62,TRANSHARI8_ACCPAGI[QUANTITY])+SUMIF(TRANSHARI8_ACCMALAM[PRODUK],CP62,TRANSHARI8_ACCMALAM[QUANTITY])</f>
        <v>0</v>
      </c>
      <c r="DD62" s="152">
        <f>SUMIF(TRANSHARI9_ACCPAGI[PRODUK],CP62,TRANSHARI9_ACCPAGI[QUANTITY])+SUMIF(TRANSHARI9_ACCMALAM[PRODUK],CP62,TRANSHARI9_ACCMALAM[QUANTITY])</f>
        <v>0</v>
      </c>
      <c r="DE62" s="152">
        <f>SUMIF(TRANSHARI10_ACCPAGI[PRODUK],CP62,TRANSHARI10_ACCPAGI[QUANTITY])+SUMIF(TRANSHARI10_ACCMALAM[PRODUK],CP62,TRANSHARI10_ACCMALAM[QUANTITY])</f>
        <v>0</v>
      </c>
      <c r="DF62" s="152">
        <f>SUMIF(TRANSHARI11_ACCPAGI[PRODUK],CP62,TRANSHARI11_ACCPAGI[QUANTITY])+SUMIF(TRANSHARI11_ACCMALAM[PRODUK],CP62,TRANSHARI11_ACCMALAM[QUANTITY])</f>
        <v>0</v>
      </c>
      <c r="DG62" s="152">
        <f t="shared" si="27"/>
        <v>0</v>
      </c>
      <c r="DH62" s="152">
        <f t="shared" si="28"/>
        <v>0</v>
      </c>
      <c r="DI62" s="176">
        <f t="shared" si="31"/>
        <v>0</v>
      </c>
    </row>
    <row r="63" ht="18" spans="4:113">
      <c r="D63" s="127">
        <v>5</v>
      </c>
      <c r="E63" s="128">
        <f>'HARI 5'!L51+'HARI 5'!AA51</f>
        <v>0</v>
      </c>
      <c r="F63" s="128">
        <f>'HARI 5'!L52+'HARI 5'!AA52</f>
        <v>0</v>
      </c>
      <c r="G63" s="129">
        <f>'HARI 5'!L53+'HARI 5'!AA53</f>
        <v>0</v>
      </c>
      <c r="AE63" s="174" t="str">
        <f>'DATA PRODUK'!R60</f>
        <v>V. ISAT 3.5 / 5hr</v>
      </c>
      <c r="AF63" s="175">
        <f>'DATA PRODUK'!S60</f>
        <v>17000</v>
      </c>
      <c r="AG63" s="12"/>
      <c r="AH63" s="12"/>
      <c r="AI63" s="12"/>
      <c r="AJ63" s="12"/>
      <c r="AK63" s="12">
        <f>SUMIF(TRANSHARI1_SPVOUPAGI[PRODUK],AE63,TRANSHARI1_SPVOUPAGI[QUANTITY])+SUMIF(TRANSHARI1_SPVOUMALAM[PRODUK],AE63,TRANSHARI1_SPVOUMALAM[QUANTITY])</f>
        <v>0</v>
      </c>
      <c r="AL63" s="12">
        <f>SUMIF(TRANSHARI2_SPVOUPAGI[PRODUK],AE63,TRANSHARI2_SPVOUPAGI[QUANTITY])+SUMIF(TRANSHARI2_SPVOUMALAM[PRODUK],AE63,TRANSHARI2_SPVOUMALAM[QUANTITY])</f>
        <v>2</v>
      </c>
      <c r="AM63" s="12">
        <f>SUMIF(TRANSHARI3_SPVOUPAGI[PRODUK],AE63,TRANSHARI3_SPVOUPAGI[QUANTITY])+SUMIF(TRANSHARI3_SPVOUMALAM[PRODUK],AE63,TRANSHARI3_SPVOUMALAM[QUANTITY])</f>
        <v>0</v>
      </c>
      <c r="AN63" s="12">
        <f>SUMIF(TRANSHARI4_SPVOUPAGI[PRODUK],AE63,TRANSHARI4_SPVOUPAGI[QUANTITY])+SUMIF(TRANSHARI4_SPVOUMALAM[PRODUK],AE63,TRANSHARI4_SPVOUMALAM[QUANTITY])</f>
        <v>0</v>
      </c>
      <c r="AO63" s="12">
        <f>SUMIF(TRANSHARI5_SPVOUPAGI[PRODUK],AE63,TRANSHARI5_SPVOUPAGI[QUANTITY])+SUMIF(TRANSHARI5_SPVOUMALAM[PRODUK],AE63,TRANSHARI5_SPVOUMALAM[QUANTITY])</f>
        <v>0</v>
      </c>
      <c r="AP63" s="12">
        <f>SUMIF(TRANSHARI6_SPVOUPAGI[PRODUK],AE63,TRANSHARI6_SPVOUPAGI[QUANTITY])+SUMIF(TRANSHARI6_SPVOUMALAM[PRODUK],AE63,TRANSHARI6_SPVOUMALAM[QUANTITY])</f>
        <v>0</v>
      </c>
      <c r="AQ63" s="12">
        <f>SUMIF(TRANSHARI7_SPVOUPAGI[PRODUK],AE63,TRANSHARI7_SPVOUPAGI[QUANTITY])+SUMIF(TRANSHARI7_SPVOUMALAM[PRODUK],AE63,TRANSHARI7_SPVOUMALAM[QUANTITY])</f>
        <v>0</v>
      </c>
      <c r="AR63" s="12">
        <f>SUMIF(TRANSHARI8_SPVOUPAGI[PRODUK],AE63,TRANSHARI8_SPVOUPAGI[QUANTITY])+SUMIF(TRANSHARI8_SPVOUMALAM[PRODUK],AE63,TRANSHARI8_SPVOUMALAM[QUANTITY])</f>
        <v>0</v>
      </c>
      <c r="AS63" s="12">
        <f>SUMIF(TRANSHARI9_SPVOUPAGI[PRODUK],AE63,TRANSHARI9_SPVOUPAGI[QUANTITY])+SUMIF(TRANSHARI9_SPVOUMALAM[PRODUK],AE63,TRANSHARI9_SPVOUMALAM[QUANTITY])</f>
        <v>0</v>
      </c>
      <c r="AT63" s="12">
        <f>SUMIF(TRANSHARI10_SPVOUPAGI[PRODUK],AE63,TRANSHARI10_SPVOUPAGI[QUANTITY])+SUMIF(TRANSHARI10_SPVOUMALAM[PRODUK],AE63,TRANSHARI10_SPVOUMALAM[QUANTITY])</f>
        <v>0</v>
      </c>
      <c r="AU63" s="12">
        <f>SUMIF(TRANSHARI11_SPVOUPAGI[PRODUK],AE63,TRANSHARI11_SPVOUPAGI[QUANTITY])+SUMIF(TRANSHARI11_SPVOUMALAM[PRODUK],AE63,TRANSHARI11_SPVOUMALAM[QUANTITY])</f>
        <v>0</v>
      </c>
      <c r="AV63" s="12">
        <f t="shared" si="30"/>
        <v>2</v>
      </c>
      <c r="AW63" s="12">
        <f t="shared" si="23"/>
        <v>-2</v>
      </c>
      <c r="AX63" s="173">
        <f t="shared" si="5"/>
        <v>34000</v>
      </c>
      <c r="CP63" s="177" t="str">
        <f>'DATA PRODUK'!BH60</f>
        <v>(CHARGER SET)(Type C)(2.4A) Olike C107C</v>
      </c>
      <c r="CQ63" s="175">
        <f>'DATA PRODUK'!BI60</f>
        <v>60000</v>
      </c>
      <c r="CR63" s="12"/>
      <c r="CS63" s="12"/>
      <c r="CT63" s="12"/>
      <c r="CU63" s="12"/>
      <c r="CV63" s="12">
        <f>SUMIF(TRANSHARI1_ACCPAGI[PRODUK],CP63,TRANSHARI1_ACCPAGI[QUANTITY])+SUMIF(TRANSHARI1_ACCMALAM[PRODUK],CP63,TRANSHARI1_ACCMALAM[QUANTITY])</f>
        <v>0</v>
      </c>
      <c r="CW63" s="12">
        <f>SUMIF(TRANSHARI2_ACCPAGI[PRODUK],CP63,TRANSHARI2_ACCPAGI[QUANTITY])+SUMIF(TRANSHARI2_ACCMALAM[PRODUK],CP63,TRANSHARI2_ACCMALAM[QUANTITY])</f>
        <v>0</v>
      </c>
      <c r="CX63" s="12">
        <f>SUMIF(TRANSHARI3_ACCPAGI[PRODUK],CP63,TRANSHARI3_ACCPAGI[QUANTITY])+SUMIF(TRANSHARI3_ACCMALAM[PRODUK],CP63,TRANSHARI3_ACCMALAM[QUANTITY])</f>
        <v>0</v>
      </c>
      <c r="CY63" s="12">
        <f>SUMIF(TRANSHARI4_ACCPAGI[PRODUK],CP63,TRANSHARI4_ACCPAGI[QUANTITY])+SUMIF(TRANSHARI4_ACCMALAM[PRODUK],CP63,TRANSHARI4_ACCMALAM[QUANTITY])</f>
        <v>0</v>
      </c>
      <c r="CZ63" s="12">
        <f>SUMIF(TRANSHARI5_ACCPAGI[PRODUK],CP63,TRANSHARI5_ACCPAGI[QUANTITY])+SUMIF(TRANSHARI5_ACCMALAM[PRODUK],CP63,TRANSHARI5_ACCMALAM[QUANTITY])</f>
        <v>0</v>
      </c>
      <c r="DA63" s="12">
        <f>SUMIF(TRANSHARI6_ACCPAGI[PRODUK],CP63,TRANSHARI6_ACCPAGI[QUANTITY])+SUMIF(TRANSHARI6_ACCMALAM[PRODUK],CP63,TRANSHARI6_ACCMALAM[QUANTITY])</f>
        <v>0</v>
      </c>
      <c r="DB63" s="12">
        <f>SUMIF(TRANSHARI7_ACCPAGI[PRODUK],CP63,TRANSHARI7_ACCPAGI[QUANTITY])+SUMIF(TRANSHARI7_ACCMALAM[PRODUK],CP63,TRANSHARI7_ACCMALAM[QUANTITY])</f>
        <v>0</v>
      </c>
      <c r="DC63" s="12">
        <f>SUMIF(TRANSHARI8_ACCPAGI[PRODUK],CP63,TRANSHARI8_ACCPAGI[QUANTITY])+SUMIF(TRANSHARI8_ACCMALAM[PRODUK],CP63,TRANSHARI8_ACCMALAM[QUANTITY])</f>
        <v>0</v>
      </c>
      <c r="DD63" s="12">
        <f>SUMIF(TRANSHARI9_ACCPAGI[PRODUK],CP63,TRANSHARI9_ACCPAGI[QUANTITY])+SUMIF(TRANSHARI9_ACCMALAM[PRODUK],CP63,TRANSHARI9_ACCMALAM[QUANTITY])</f>
        <v>0</v>
      </c>
      <c r="DE63" s="12">
        <f>SUMIF(TRANSHARI10_ACCPAGI[PRODUK],CP63,TRANSHARI10_ACCPAGI[QUANTITY])+SUMIF(TRANSHARI10_ACCMALAM[PRODUK],CP63,TRANSHARI10_ACCMALAM[QUANTITY])</f>
        <v>0</v>
      </c>
      <c r="DF63" s="12">
        <f>SUMIF(TRANSHARI11_ACCPAGI[PRODUK],CP63,TRANSHARI11_ACCPAGI[QUANTITY])+SUMIF(TRANSHARI11_ACCMALAM[PRODUK],CP63,TRANSHARI11_ACCMALAM[QUANTITY])</f>
        <v>0</v>
      </c>
      <c r="DG63" s="12">
        <f t="shared" si="27"/>
        <v>0</v>
      </c>
      <c r="DH63" s="12">
        <f t="shared" si="28"/>
        <v>0</v>
      </c>
      <c r="DI63" s="173">
        <f t="shared" si="31"/>
        <v>0</v>
      </c>
    </row>
    <row r="64" ht="18" spans="4:113">
      <c r="D64" s="130">
        <v>6</v>
      </c>
      <c r="E64" s="131">
        <f>'HARI 6'!L51+'HARI 6'!AA51</f>
        <v>0</v>
      </c>
      <c r="F64" s="132">
        <f>'HARI 6'!L52+'HARI 6'!AA52</f>
        <v>0</v>
      </c>
      <c r="G64" s="132">
        <f>'HARI 6'!L53+'HARI 6'!AA53</f>
        <v>0</v>
      </c>
      <c r="AE64" s="177" t="str">
        <f>'DATA PRODUK'!R61</f>
        <v>V. ISAT FREE 3</v>
      </c>
      <c r="AF64" s="178">
        <f>'DATA PRODUK'!S61</f>
        <v>23000</v>
      </c>
      <c r="AG64" s="152"/>
      <c r="AH64" s="152"/>
      <c r="AI64" s="152"/>
      <c r="AJ64" s="152"/>
      <c r="AK64" s="152">
        <f>SUMIF(TRANSHARI1_SPVOUPAGI[PRODUK],AE64,TRANSHARI1_SPVOUPAGI[QUANTITY])+SUMIF(TRANSHARI1_SPVOUMALAM[PRODUK],AE64,TRANSHARI1_SPVOUMALAM[QUANTITY])</f>
        <v>1</v>
      </c>
      <c r="AL64" s="152">
        <f>SUMIF(TRANSHARI2_SPVOUPAGI[PRODUK],AE64,TRANSHARI2_SPVOUPAGI[QUANTITY])+SUMIF(TRANSHARI2_SPVOUMALAM[PRODUK],AE64,TRANSHARI2_SPVOUMALAM[QUANTITY])</f>
        <v>0</v>
      </c>
      <c r="AM64" s="152">
        <f>SUMIF(TRANSHARI3_SPVOUPAGI[PRODUK],AE64,TRANSHARI3_SPVOUPAGI[QUANTITY])+SUMIF(TRANSHARI3_SPVOUMALAM[PRODUK],AE64,TRANSHARI3_SPVOUMALAM[QUANTITY])</f>
        <v>0</v>
      </c>
      <c r="AN64" s="152">
        <f>SUMIF(TRANSHARI4_SPVOUPAGI[PRODUK],AE64,TRANSHARI4_SPVOUPAGI[QUANTITY])+SUMIF(TRANSHARI4_SPVOUMALAM[PRODUK],AE64,TRANSHARI4_SPVOUMALAM[QUANTITY])</f>
        <v>0</v>
      </c>
      <c r="AO64" s="152">
        <f>SUMIF(TRANSHARI5_SPVOUPAGI[PRODUK],AE64,TRANSHARI5_SPVOUPAGI[QUANTITY])+SUMIF(TRANSHARI5_SPVOUMALAM[PRODUK],AE64,TRANSHARI5_SPVOUMALAM[QUANTITY])</f>
        <v>0</v>
      </c>
      <c r="AP64" s="152">
        <f>SUMIF(TRANSHARI6_SPVOUPAGI[PRODUK],AE64,TRANSHARI6_SPVOUPAGI[QUANTITY])+SUMIF(TRANSHARI6_SPVOUMALAM[PRODUK],AE64,TRANSHARI6_SPVOUMALAM[QUANTITY])</f>
        <v>0</v>
      </c>
      <c r="AQ64" s="152">
        <f>SUMIF(TRANSHARI7_SPVOUPAGI[PRODUK],AE64,TRANSHARI7_SPVOUPAGI[QUANTITY])+SUMIF(TRANSHARI7_SPVOUMALAM[PRODUK],AE64,TRANSHARI7_SPVOUMALAM[QUANTITY])</f>
        <v>0</v>
      </c>
      <c r="AR64" s="152">
        <f>SUMIF(TRANSHARI8_SPVOUPAGI[PRODUK],AE64,TRANSHARI8_SPVOUPAGI[QUANTITY])+SUMIF(TRANSHARI8_SPVOUMALAM[PRODUK],AE64,TRANSHARI8_SPVOUMALAM[QUANTITY])</f>
        <v>0</v>
      </c>
      <c r="AS64" s="152">
        <f>SUMIF(TRANSHARI9_SPVOUPAGI[PRODUK],AE64,TRANSHARI9_SPVOUPAGI[QUANTITY])+SUMIF(TRANSHARI9_SPVOUMALAM[PRODUK],AE64,TRANSHARI9_SPVOUMALAM[QUANTITY])</f>
        <v>0</v>
      </c>
      <c r="AT64" s="152">
        <f>SUMIF(TRANSHARI10_SPVOUPAGI[PRODUK],AE64,TRANSHARI10_SPVOUPAGI[QUANTITY])+SUMIF(TRANSHARI10_SPVOUMALAM[PRODUK],AE64,TRANSHARI10_SPVOUMALAM[QUANTITY])</f>
        <v>0</v>
      </c>
      <c r="AU64" s="152">
        <f>SUMIF(TRANSHARI11_SPVOUPAGI[PRODUK],AE64,TRANSHARI11_SPVOUPAGI[QUANTITY])+SUMIF(TRANSHARI11_SPVOUMALAM[PRODUK],AE64,TRANSHARI11_SPVOUMALAM[QUANTITY])</f>
        <v>0</v>
      </c>
      <c r="AV64" s="152">
        <f t="shared" si="30"/>
        <v>1</v>
      </c>
      <c r="AW64" s="152">
        <f t="shared" si="23"/>
        <v>-1</v>
      </c>
      <c r="AX64" s="176">
        <f t="shared" si="5"/>
        <v>23000</v>
      </c>
      <c r="CP64" s="174" t="str">
        <f>'DATA PRODUK'!BH61</f>
        <v>(CHARGER SET)(Iphone)(2.4A) Olike C107L</v>
      </c>
      <c r="CQ64" s="178">
        <f>'DATA PRODUK'!BI61</f>
        <v>65000</v>
      </c>
      <c r="CR64" s="152"/>
      <c r="CS64" s="152"/>
      <c r="CT64" s="152"/>
      <c r="CU64" s="152"/>
      <c r="CV64" s="152">
        <f>SUMIF(TRANSHARI1_ACCPAGI[PRODUK],CP64,TRANSHARI1_ACCPAGI[QUANTITY])+SUMIF(TRANSHARI1_ACCMALAM[PRODUK],CP64,TRANSHARI1_ACCMALAM[QUANTITY])</f>
        <v>0</v>
      </c>
      <c r="CW64" s="152">
        <f>SUMIF(TRANSHARI2_ACCPAGI[PRODUK],CP64,TRANSHARI2_ACCPAGI[QUANTITY])+SUMIF(TRANSHARI2_ACCMALAM[PRODUK],CP64,TRANSHARI2_ACCMALAM[QUANTITY])</f>
        <v>0</v>
      </c>
      <c r="CX64" s="152">
        <f>SUMIF(TRANSHARI3_ACCPAGI[PRODUK],CP64,TRANSHARI3_ACCPAGI[QUANTITY])+SUMIF(TRANSHARI3_ACCMALAM[PRODUK],CP64,TRANSHARI3_ACCMALAM[QUANTITY])</f>
        <v>0</v>
      </c>
      <c r="CY64" s="152">
        <f>SUMIF(TRANSHARI4_ACCPAGI[PRODUK],CP64,TRANSHARI4_ACCPAGI[QUANTITY])+SUMIF(TRANSHARI4_ACCMALAM[PRODUK],CP64,TRANSHARI4_ACCMALAM[QUANTITY])</f>
        <v>0</v>
      </c>
      <c r="CZ64" s="152">
        <f>SUMIF(TRANSHARI5_ACCPAGI[PRODUK],CP64,TRANSHARI5_ACCPAGI[QUANTITY])+SUMIF(TRANSHARI5_ACCMALAM[PRODUK],CP64,TRANSHARI5_ACCMALAM[QUANTITY])</f>
        <v>0</v>
      </c>
      <c r="DA64" s="152">
        <f>SUMIF(TRANSHARI6_ACCPAGI[PRODUK],CP64,TRANSHARI6_ACCPAGI[QUANTITY])+SUMIF(TRANSHARI6_ACCMALAM[PRODUK],CP64,TRANSHARI6_ACCMALAM[QUANTITY])</f>
        <v>0</v>
      </c>
      <c r="DB64" s="152">
        <f>SUMIF(TRANSHARI7_ACCPAGI[PRODUK],CP64,TRANSHARI7_ACCPAGI[QUANTITY])+SUMIF(TRANSHARI7_ACCMALAM[PRODUK],CP64,TRANSHARI7_ACCMALAM[QUANTITY])</f>
        <v>0</v>
      </c>
      <c r="DC64" s="152">
        <f>SUMIF(TRANSHARI8_ACCPAGI[PRODUK],CP64,TRANSHARI8_ACCPAGI[QUANTITY])+SUMIF(TRANSHARI8_ACCMALAM[PRODUK],CP64,TRANSHARI8_ACCMALAM[QUANTITY])</f>
        <v>0</v>
      </c>
      <c r="DD64" s="152">
        <f>SUMIF(TRANSHARI9_ACCPAGI[PRODUK],CP64,TRANSHARI9_ACCPAGI[QUANTITY])+SUMIF(TRANSHARI9_ACCMALAM[PRODUK],CP64,TRANSHARI9_ACCMALAM[QUANTITY])</f>
        <v>0</v>
      </c>
      <c r="DE64" s="152">
        <f>SUMIF(TRANSHARI10_ACCPAGI[PRODUK],CP64,TRANSHARI10_ACCPAGI[QUANTITY])+SUMIF(TRANSHARI10_ACCMALAM[PRODUK],CP64,TRANSHARI10_ACCMALAM[QUANTITY])</f>
        <v>0</v>
      </c>
      <c r="DF64" s="152">
        <f>SUMIF(TRANSHARI11_ACCPAGI[PRODUK],CP64,TRANSHARI11_ACCPAGI[QUANTITY])+SUMIF(TRANSHARI11_ACCMALAM[PRODUK],CP64,TRANSHARI11_ACCMALAM[QUANTITY])</f>
        <v>0</v>
      </c>
      <c r="DG64" s="152">
        <f t="shared" si="27"/>
        <v>0</v>
      </c>
      <c r="DH64" s="152">
        <f t="shared" si="28"/>
        <v>0</v>
      </c>
      <c r="DI64" s="176">
        <f t="shared" si="31"/>
        <v>0</v>
      </c>
    </row>
    <row r="65" ht="18" spans="4:113">
      <c r="D65" s="127">
        <v>7</v>
      </c>
      <c r="E65" s="128">
        <f>'HARI 7'!L51+'HARI 7'!AA51</f>
        <v>0</v>
      </c>
      <c r="F65" s="128">
        <f>'HARI 7'!L52+'HARI 7'!AA52</f>
        <v>0</v>
      </c>
      <c r="G65" s="129">
        <f>'HARI 7'!L53+'HARI 7'!AA53</f>
        <v>0</v>
      </c>
      <c r="AE65" s="174" t="str">
        <f>'DATA PRODUK'!R62</f>
        <v>V. ISAT FREE 6</v>
      </c>
      <c r="AF65" s="175">
        <f>'DATA PRODUK'!S62</f>
        <v>38000</v>
      </c>
      <c r="AG65" s="12"/>
      <c r="AH65" s="12"/>
      <c r="AI65" s="12"/>
      <c r="AJ65" s="12"/>
      <c r="AK65" s="12">
        <f>SUMIF(TRANSHARI1_SPVOUPAGI[PRODUK],AE65,TRANSHARI1_SPVOUPAGI[QUANTITY])+SUMIF(TRANSHARI1_SPVOUMALAM[PRODUK],AE65,TRANSHARI1_SPVOUMALAM[QUANTITY])</f>
        <v>0</v>
      </c>
      <c r="AL65" s="12">
        <f>SUMIF(TRANSHARI2_SPVOUPAGI[PRODUK],AE65,TRANSHARI2_SPVOUPAGI[QUANTITY])+SUMIF(TRANSHARI2_SPVOUMALAM[PRODUK],AE65,TRANSHARI2_SPVOUMALAM[QUANTITY])</f>
        <v>0</v>
      </c>
      <c r="AM65" s="12">
        <f>SUMIF(TRANSHARI3_SPVOUPAGI[PRODUK],AE65,TRANSHARI3_SPVOUPAGI[QUANTITY])+SUMIF(TRANSHARI3_SPVOUMALAM[PRODUK],AE65,TRANSHARI3_SPVOUMALAM[QUANTITY])</f>
        <v>0</v>
      </c>
      <c r="AN65" s="12">
        <f>SUMIF(TRANSHARI4_SPVOUPAGI[PRODUK],AE65,TRANSHARI4_SPVOUPAGI[QUANTITY])+SUMIF(TRANSHARI4_SPVOUMALAM[PRODUK],AE65,TRANSHARI4_SPVOUMALAM[QUANTITY])</f>
        <v>0</v>
      </c>
      <c r="AO65" s="12">
        <f>SUMIF(TRANSHARI5_SPVOUPAGI[PRODUK],AE65,TRANSHARI5_SPVOUPAGI[QUANTITY])+SUMIF(TRANSHARI5_SPVOUMALAM[PRODUK],AE65,TRANSHARI5_SPVOUMALAM[QUANTITY])</f>
        <v>0</v>
      </c>
      <c r="AP65" s="12">
        <f>SUMIF(TRANSHARI6_SPVOUPAGI[PRODUK],AE65,TRANSHARI6_SPVOUPAGI[QUANTITY])+SUMIF(TRANSHARI6_SPVOUMALAM[PRODUK],AE65,TRANSHARI6_SPVOUMALAM[QUANTITY])</f>
        <v>0</v>
      </c>
      <c r="AQ65" s="12">
        <f>SUMIF(TRANSHARI7_SPVOUPAGI[PRODUK],AE65,TRANSHARI7_SPVOUPAGI[QUANTITY])+SUMIF(TRANSHARI7_SPVOUMALAM[PRODUK],AE65,TRANSHARI7_SPVOUMALAM[QUANTITY])</f>
        <v>0</v>
      </c>
      <c r="AR65" s="12">
        <f>SUMIF(TRANSHARI8_SPVOUPAGI[PRODUK],AE65,TRANSHARI8_SPVOUPAGI[QUANTITY])+SUMIF(TRANSHARI8_SPVOUMALAM[PRODUK],AE65,TRANSHARI8_SPVOUMALAM[QUANTITY])</f>
        <v>0</v>
      </c>
      <c r="AS65" s="12">
        <f>SUMIF(TRANSHARI9_SPVOUPAGI[PRODUK],AE65,TRANSHARI9_SPVOUPAGI[QUANTITY])+SUMIF(TRANSHARI9_SPVOUMALAM[PRODUK],AE65,TRANSHARI9_SPVOUMALAM[QUANTITY])</f>
        <v>0</v>
      </c>
      <c r="AT65" s="12">
        <f>SUMIF(TRANSHARI10_SPVOUPAGI[PRODUK],AE65,TRANSHARI10_SPVOUPAGI[QUANTITY])+SUMIF(TRANSHARI10_SPVOUMALAM[PRODUK],AE65,TRANSHARI10_SPVOUMALAM[QUANTITY])</f>
        <v>0</v>
      </c>
      <c r="AU65" s="12">
        <f>SUMIF(TRANSHARI11_SPVOUPAGI[PRODUK],AE65,TRANSHARI11_SPVOUPAGI[QUANTITY])+SUMIF(TRANSHARI11_SPVOUMALAM[PRODUK],AE65,TRANSHARI11_SPVOUMALAM[QUANTITY])</f>
        <v>0</v>
      </c>
      <c r="AV65" s="12">
        <f t="shared" si="30"/>
        <v>0</v>
      </c>
      <c r="AW65" s="12">
        <f t="shared" si="23"/>
        <v>0</v>
      </c>
      <c r="AX65" s="173">
        <f t="shared" si="5"/>
        <v>0</v>
      </c>
      <c r="CP65" s="177" t="str">
        <f>'DATA PRODUK'!BH62</f>
        <v>(CHARGER SET)(Iphone)(2.4A) Rexi CH24-LS</v>
      </c>
      <c r="CQ65" s="175">
        <f>'DATA PRODUK'!BI62</f>
        <v>75000</v>
      </c>
      <c r="CR65" s="12"/>
      <c r="CS65" s="12"/>
      <c r="CT65" s="12"/>
      <c r="CU65" s="12"/>
      <c r="CV65" s="12">
        <f>SUMIF(TRANSHARI1_ACCPAGI[PRODUK],CP65,TRANSHARI1_ACCPAGI[QUANTITY])+SUMIF(TRANSHARI1_ACCMALAM[PRODUK],CP65,TRANSHARI1_ACCMALAM[QUANTITY])</f>
        <v>0</v>
      </c>
      <c r="CW65" s="12">
        <f>SUMIF(TRANSHARI2_ACCPAGI[PRODUK],CP65,TRANSHARI2_ACCPAGI[QUANTITY])+SUMIF(TRANSHARI2_ACCMALAM[PRODUK],CP65,TRANSHARI2_ACCMALAM[QUANTITY])</f>
        <v>0</v>
      </c>
      <c r="CX65" s="12">
        <f>SUMIF(TRANSHARI3_ACCPAGI[PRODUK],CP65,TRANSHARI3_ACCPAGI[QUANTITY])+SUMIF(TRANSHARI3_ACCMALAM[PRODUK],CP65,TRANSHARI3_ACCMALAM[QUANTITY])</f>
        <v>0</v>
      </c>
      <c r="CY65" s="12">
        <f>SUMIF(TRANSHARI4_ACCPAGI[PRODUK],CP65,TRANSHARI4_ACCPAGI[QUANTITY])+SUMIF(TRANSHARI4_ACCMALAM[PRODUK],CP65,TRANSHARI4_ACCMALAM[QUANTITY])</f>
        <v>0</v>
      </c>
      <c r="CZ65" s="12">
        <f>SUMIF(TRANSHARI5_ACCPAGI[PRODUK],CP65,TRANSHARI5_ACCPAGI[QUANTITY])+SUMIF(TRANSHARI5_ACCMALAM[PRODUK],CP65,TRANSHARI5_ACCMALAM[QUANTITY])</f>
        <v>0</v>
      </c>
      <c r="DA65" s="12">
        <f>SUMIF(TRANSHARI6_ACCPAGI[PRODUK],CP65,TRANSHARI6_ACCPAGI[QUANTITY])+SUMIF(TRANSHARI6_ACCMALAM[PRODUK],CP65,TRANSHARI6_ACCMALAM[QUANTITY])</f>
        <v>0</v>
      </c>
      <c r="DB65" s="12">
        <f>SUMIF(TRANSHARI7_ACCPAGI[PRODUK],CP65,TRANSHARI7_ACCPAGI[QUANTITY])+SUMIF(TRANSHARI7_ACCMALAM[PRODUK],CP65,TRANSHARI7_ACCMALAM[QUANTITY])</f>
        <v>0</v>
      </c>
      <c r="DC65" s="12">
        <f>SUMIF(TRANSHARI8_ACCPAGI[PRODUK],CP65,TRANSHARI8_ACCPAGI[QUANTITY])+SUMIF(TRANSHARI8_ACCMALAM[PRODUK],CP65,TRANSHARI8_ACCMALAM[QUANTITY])</f>
        <v>0</v>
      </c>
      <c r="DD65" s="12">
        <f>SUMIF(TRANSHARI9_ACCPAGI[PRODUK],CP65,TRANSHARI9_ACCPAGI[QUANTITY])+SUMIF(TRANSHARI9_ACCMALAM[PRODUK],CP65,TRANSHARI9_ACCMALAM[QUANTITY])</f>
        <v>0</v>
      </c>
      <c r="DE65" s="12">
        <f>SUMIF(TRANSHARI10_ACCPAGI[PRODUK],CP65,TRANSHARI10_ACCPAGI[QUANTITY])+SUMIF(TRANSHARI10_ACCMALAM[PRODUK],CP65,TRANSHARI10_ACCMALAM[QUANTITY])</f>
        <v>0</v>
      </c>
      <c r="DF65" s="12">
        <f>SUMIF(TRANSHARI11_ACCPAGI[PRODUK],CP65,TRANSHARI11_ACCPAGI[QUANTITY])+SUMIF(TRANSHARI11_ACCMALAM[PRODUK],CP65,TRANSHARI11_ACCMALAM[QUANTITY])</f>
        <v>0</v>
      </c>
      <c r="DG65" s="12">
        <f t="shared" si="27"/>
        <v>0</v>
      </c>
      <c r="DH65" s="12">
        <f t="shared" si="28"/>
        <v>0</v>
      </c>
      <c r="DI65" s="173">
        <f t="shared" si="31"/>
        <v>0</v>
      </c>
    </row>
    <row r="66" ht="18" spans="4:113">
      <c r="D66" s="130">
        <v>8</v>
      </c>
      <c r="E66" s="131">
        <f>'HARI 8'!L51+'HARI 8'!AA51</f>
        <v>0</v>
      </c>
      <c r="F66" s="132">
        <f>'HARI 8'!L52+'HARI 8'!AA52</f>
        <v>0</v>
      </c>
      <c r="G66" s="132">
        <f>'HARI 8'!L53+'HARI 8'!AA53</f>
        <v>0</v>
      </c>
      <c r="AE66" s="177" t="str">
        <f>'DATA PRODUK'!R63</f>
        <v>V. ISAT FREE 10</v>
      </c>
      <c r="AF66" s="178">
        <f>'DATA PRODUK'!S63</f>
        <v>50000</v>
      </c>
      <c r="AG66" s="152"/>
      <c r="AH66" s="152"/>
      <c r="AI66" s="152"/>
      <c r="AJ66" s="152"/>
      <c r="AK66" s="152">
        <f>SUMIF(TRANSHARI1_SPVOUPAGI[PRODUK],AE66,TRANSHARI1_SPVOUPAGI[QUANTITY])+SUMIF(TRANSHARI1_SPVOUMALAM[PRODUK],AE66,TRANSHARI1_SPVOUMALAM[QUANTITY])</f>
        <v>0</v>
      </c>
      <c r="AL66" s="152">
        <f>SUMIF(TRANSHARI2_SPVOUPAGI[PRODUK],AE66,TRANSHARI2_SPVOUPAGI[QUANTITY])+SUMIF(TRANSHARI2_SPVOUMALAM[PRODUK],AE66,TRANSHARI2_SPVOUMALAM[QUANTITY])</f>
        <v>0</v>
      </c>
      <c r="AM66" s="152">
        <f>SUMIF(TRANSHARI3_SPVOUPAGI[PRODUK],AE66,TRANSHARI3_SPVOUPAGI[QUANTITY])+SUMIF(TRANSHARI3_SPVOUMALAM[PRODUK],AE66,TRANSHARI3_SPVOUMALAM[QUANTITY])</f>
        <v>0</v>
      </c>
      <c r="AN66" s="152">
        <f>SUMIF(TRANSHARI4_SPVOUPAGI[PRODUK],AE66,TRANSHARI4_SPVOUPAGI[QUANTITY])+SUMIF(TRANSHARI4_SPVOUMALAM[PRODUK],AE66,TRANSHARI4_SPVOUMALAM[QUANTITY])</f>
        <v>0</v>
      </c>
      <c r="AO66" s="152">
        <f>SUMIF(TRANSHARI5_SPVOUPAGI[PRODUK],AE66,TRANSHARI5_SPVOUPAGI[QUANTITY])+SUMIF(TRANSHARI5_SPVOUMALAM[PRODUK],AE66,TRANSHARI5_SPVOUMALAM[QUANTITY])</f>
        <v>0</v>
      </c>
      <c r="AP66" s="152">
        <f>SUMIF(TRANSHARI6_SPVOUPAGI[PRODUK],AE66,TRANSHARI6_SPVOUPAGI[QUANTITY])+SUMIF(TRANSHARI6_SPVOUMALAM[PRODUK],AE66,TRANSHARI6_SPVOUMALAM[QUANTITY])</f>
        <v>0</v>
      </c>
      <c r="AQ66" s="152">
        <f>SUMIF(TRANSHARI7_SPVOUPAGI[PRODUK],AE66,TRANSHARI7_SPVOUPAGI[QUANTITY])+SUMIF(TRANSHARI7_SPVOUMALAM[PRODUK],AE66,TRANSHARI7_SPVOUMALAM[QUANTITY])</f>
        <v>0</v>
      </c>
      <c r="AR66" s="152">
        <f>SUMIF(TRANSHARI8_SPVOUPAGI[PRODUK],AE66,TRANSHARI8_SPVOUPAGI[QUANTITY])+SUMIF(TRANSHARI8_SPVOUMALAM[PRODUK],AE66,TRANSHARI8_SPVOUMALAM[QUANTITY])</f>
        <v>0</v>
      </c>
      <c r="AS66" s="152">
        <f>SUMIF(TRANSHARI9_SPVOUPAGI[PRODUK],AE66,TRANSHARI9_SPVOUPAGI[QUANTITY])+SUMIF(TRANSHARI9_SPVOUMALAM[PRODUK],AE66,TRANSHARI9_SPVOUMALAM[QUANTITY])</f>
        <v>0</v>
      </c>
      <c r="AT66" s="152">
        <f>SUMIF(TRANSHARI10_SPVOUPAGI[PRODUK],AE66,TRANSHARI10_SPVOUPAGI[QUANTITY])+SUMIF(TRANSHARI10_SPVOUMALAM[PRODUK],AE66,TRANSHARI10_SPVOUMALAM[QUANTITY])</f>
        <v>0</v>
      </c>
      <c r="AU66" s="152">
        <f>SUMIF(TRANSHARI11_SPVOUPAGI[PRODUK],AE66,TRANSHARI11_SPVOUPAGI[QUANTITY])+SUMIF(TRANSHARI11_SPVOUMALAM[PRODUK],AE66,TRANSHARI11_SPVOUMALAM[QUANTITY])</f>
        <v>0</v>
      </c>
      <c r="AV66" s="152">
        <f t="shared" si="30"/>
        <v>0</v>
      </c>
      <c r="AW66" s="152">
        <f t="shared" si="23"/>
        <v>0</v>
      </c>
      <c r="AX66" s="176">
        <f t="shared" si="5"/>
        <v>0</v>
      </c>
      <c r="CP66" s="174" t="str">
        <f>'DATA PRODUK'!BH63</f>
        <v>(CHARGER SET)(C-Iphone)(3A) Olike C308CL</v>
      </c>
      <c r="CQ66" s="178">
        <f>'DATA PRODUK'!BI63</f>
        <v>100000</v>
      </c>
      <c r="CR66" s="152"/>
      <c r="CS66" s="152"/>
      <c r="CT66" s="152"/>
      <c r="CU66" s="152"/>
      <c r="CV66" s="152">
        <f>SUMIF(TRANSHARI1_ACCPAGI[PRODUK],CP66,TRANSHARI1_ACCPAGI[QUANTITY])+SUMIF(TRANSHARI1_ACCMALAM[PRODUK],CP66,TRANSHARI1_ACCMALAM[QUANTITY])</f>
        <v>0</v>
      </c>
      <c r="CW66" s="152">
        <f>SUMIF(TRANSHARI2_ACCPAGI[PRODUK],CP66,TRANSHARI2_ACCPAGI[QUANTITY])+SUMIF(TRANSHARI2_ACCMALAM[PRODUK],CP66,TRANSHARI2_ACCMALAM[QUANTITY])</f>
        <v>0</v>
      </c>
      <c r="CX66" s="152">
        <f>SUMIF(TRANSHARI3_ACCPAGI[PRODUK],CP66,TRANSHARI3_ACCPAGI[QUANTITY])+SUMIF(TRANSHARI3_ACCMALAM[PRODUK],CP66,TRANSHARI3_ACCMALAM[QUANTITY])</f>
        <v>0</v>
      </c>
      <c r="CY66" s="152">
        <f>SUMIF(TRANSHARI4_ACCPAGI[PRODUK],CP66,TRANSHARI4_ACCPAGI[QUANTITY])+SUMIF(TRANSHARI4_ACCMALAM[PRODUK],CP66,TRANSHARI4_ACCMALAM[QUANTITY])</f>
        <v>0</v>
      </c>
      <c r="CZ66" s="152">
        <f>SUMIF(TRANSHARI5_ACCPAGI[PRODUK],CP66,TRANSHARI5_ACCPAGI[QUANTITY])+SUMIF(TRANSHARI5_ACCMALAM[PRODUK],CP66,TRANSHARI5_ACCMALAM[QUANTITY])</f>
        <v>0</v>
      </c>
      <c r="DA66" s="152">
        <f>SUMIF(TRANSHARI6_ACCPAGI[PRODUK],CP66,TRANSHARI6_ACCPAGI[QUANTITY])+SUMIF(TRANSHARI6_ACCMALAM[PRODUK],CP66,TRANSHARI6_ACCMALAM[QUANTITY])</f>
        <v>0</v>
      </c>
      <c r="DB66" s="152">
        <f>SUMIF(TRANSHARI7_ACCPAGI[PRODUK],CP66,TRANSHARI7_ACCPAGI[QUANTITY])+SUMIF(TRANSHARI7_ACCMALAM[PRODUK],CP66,TRANSHARI7_ACCMALAM[QUANTITY])</f>
        <v>0</v>
      </c>
      <c r="DC66" s="152">
        <f>SUMIF(TRANSHARI8_ACCPAGI[PRODUK],CP66,TRANSHARI8_ACCPAGI[QUANTITY])+SUMIF(TRANSHARI8_ACCMALAM[PRODUK],CP66,TRANSHARI8_ACCMALAM[QUANTITY])</f>
        <v>0</v>
      </c>
      <c r="DD66" s="152">
        <f>SUMIF(TRANSHARI9_ACCPAGI[PRODUK],CP66,TRANSHARI9_ACCPAGI[QUANTITY])+SUMIF(TRANSHARI9_ACCMALAM[PRODUK],CP66,TRANSHARI9_ACCMALAM[QUANTITY])</f>
        <v>0</v>
      </c>
      <c r="DE66" s="152">
        <f>SUMIF(TRANSHARI10_ACCPAGI[PRODUK],CP66,TRANSHARI10_ACCPAGI[QUANTITY])+SUMIF(TRANSHARI10_ACCMALAM[PRODUK],CP66,TRANSHARI10_ACCMALAM[QUANTITY])</f>
        <v>0</v>
      </c>
      <c r="DF66" s="152">
        <f>SUMIF(TRANSHARI11_ACCPAGI[PRODUK],CP66,TRANSHARI11_ACCPAGI[QUANTITY])+SUMIF(TRANSHARI11_ACCMALAM[PRODUK],CP66,TRANSHARI11_ACCMALAM[QUANTITY])</f>
        <v>0</v>
      </c>
      <c r="DG66" s="152">
        <f t="shared" si="27"/>
        <v>0</v>
      </c>
      <c r="DH66" s="152">
        <f t="shared" si="28"/>
        <v>0</v>
      </c>
      <c r="DI66" s="176">
        <f t="shared" si="31"/>
        <v>0</v>
      </c>
    </row>
    <row r="67" ht="18" spans="4:113">
      <c r="D67" s="127">
        <v>9</v>
      </c>
      <c r="E67" s="128">
        <f>'HARI 9'!L51+'HARI 9'!AA51</f>
        <v>0</v>
      </c>
      <c r="F67" s="128">
        <f>'HARI 9'!L52+'HARI 9'!AA52</f>
        <v>0</v>
      </c>
      <c r="G67" s="129">
        <f>'HARI 9'!L53+'HARI 9'!AA53</f>
        <v>0</v>
      </c>
      <c r="AE67" s="174" t="str">
        <f>'DATA PRODUK'!R64</f>
        <v>V. ISAT UL 1 (5.5 GB)</v>
      </c>
      <c r="AF67" s="175">
        <f>'DATA PRODUK'!S64</f>
        <v>38000</v>
      </c>
      <c r="AG67" s="12"/>
      <c r="AH67" s="12"/>
      <c r="AI67" s="12"/>
      <c r="AJ67" s="12"/>
      <c r="AK67" s="12">
        <f>SUMIF(TRANSHARI1_SPVOUPAGI[PRODUK],AE67,TRANSHARI1_SPVOUPAGI[QUANTITY])+SUMIF(TRANSHARI1_SPVOUMALAM[PRODUK],AE67,TRANSHARI1_SPVOUMALAM[QUANTITY])</f>
        <v>1</v>
      </c>
      <c r="AL67" s="12">
        <f>SUMIF(TRANSHARI2_SPVOUPAGI[PRODUK],AE67,TRANSHARI2_SPVOUPAGI[QUANTITY])+SUMIF(TRANSHARI2_SPVOUMALAM[PRODUK],AE67,TRANSHARI2_SPVOUMALAM[QUANTITY])</f>
        <v>0</v>
      </c>
      <c r="AM67" s="12">
        <f>SUMIF(TRANSHARI3_SPVOUPAGI[PRODUK],AE67,TRANSHARI3_SPVOUPAGI[QUANTITY])+SUMIF(TRANSHARI3_SPVOUMALAM[PRODUK],AE67,TRANSHARI3_SPVOUMALAM[QUANTITY])</f>
        <v>0</v>
      </c>
      <c r="AN67" s="12">
        <f>SUMIF(TRANSHARI4_SPVOUPAGI[PRODUK],AE67,TRANSHARI4_SPVOUPAGI[QUANTITY])+SUMIF(TRANSHARI4_SPVOUMALAM[PRODUK],AE67,TRANSHARI4_SPVOUMALAM[QUANTITY])</f>
        <v>0</v>
      </c>
      <c r="AO67" s="12">
        <f>SUMIF(TRANSHARI5_SPVOUPAGI[PRODUK],AE67,TRANSHARI5_SPVOUPAGI[QUANTITY])+SUMIF(TRANSHARI5_SPVOUMALAM[PRODUK],AE67,TRANSHARI5_SPVOUMALAM[QUANTITY])</f>
        <v>0</v>
      </c>
      <c r="AP67" s="12">
        <f>SUMIF(TRANSHARI6_SPVOUPAGI[PRODUK],AE67,TRANSHARI6_SPVOUPAGI[QUANTITY])+SUMIF(TRANSHARI6_SPVOUMALAM[PRODUK],AE67,TRANSHARI6_SPVOUMALAM[QUANTITY])</f>
        <v>0</v>
      </c>
      <c r="AQ67" s="12">
        <f>SUMIF(TRANSHARI7_SPVOUPAGI[PRODUK],AE67,TRANSHARI7_SPVOUPAGI[QUANTITY])+SUMIF(TRANSHARI7_SPVOUMALAM[PRODUK],AE67,TRANSHARI7_SPVOUMALAM[QUANTITY])</f>
        <v>0</v>
      </c>
      <c r="AR67" s="12">
        <f>SUMIF(TRANSHARI8_SPVOUPAGI[PRODUK],AE67,TRANSHARI8_SPVOUPAGI[QUANTITY])+SUMIF(TRANSHARI8_SPVOUMALAM[PRODUK],AE67,TRANSHARI8_SPVOUMALAM[QUANTITY])</f>
        <v>0</v>
      </c>
      <c r="AS67" s="12">
        <f>SUMIF(TRANSHARI9_SPVOUPAGI[PRODUK],AE67,TRANSHARI9_SPVOUPAGI[QUANTITY])+SUMIF(TRANSHARI9_SPVOUMALAM[PRODUK],AE67,TRANSHARI9_SPVOUMALAM[QUANTITY])</f>
        <v>0</v>
      </c>
      <c r="AT67" s="12">
        <f>SUMIF(TRANSHARI10_SPVOUPAGI[PRODUK],AE67,TRANSHARI10_SPVOUPAGI[QUANTITY])+SUMIF(TRANSHARI10_SPVOUMALAM[PRODUK],AE67,TRANSHARI10_SPVOUMALAM[QUANTITY])</f>
        <v>0</v>
      </c>
      <c r="AU67" s="12">
        <f>SUMIF(TRANSHARI11_SPVOUPAGI[PRODUK],AE67,TRANSHARI11_SPVOUPAGI[QUANTITY])+SUMIF(TRANSHARI11_SPVOUMALAM[PRODUK],AE67,TRANSHARI11_SPVOUMALAM[QUANTITY])</f>
        <v>0</v>
      </c>
      <c r="AV67" s="12">
        <f t="shared" si="30"/>
        <v>1</v>
      </c>
      <c r="AW67" s="12">
        <f t="shared" si="23"/>
        <v>-1</v>
      </c>
      <c r="AX67" s="173">
        <f t="shared" si="5"/>
        <v>38000</v>
      </c>
      <c r="CP67" s="177" t="str">
        <f>'DATA PRODUK'!BH64</f>
        <v>(CHARGER SET)(C-Iphone)(3A) Robot RT-F6</v>
      </c>
      <c r="CQ67" s="175">
        <f>'DATA PRODUK'!BI64</f>
        <v>125000</v>
      </c>
      <c r="CR67" s="12"/>
      <c r="CS67" s="12"/>
      <c r="CT67" s="12"/>
      <c r="CU67" s="12"/>
      <c r="CV67" s="12">
        <f>SUMIF(TRANSHARI1_ACCPAGI[PRODUK],CP67,TRANSHARI1_ACCPAGI[QUANTITY])+SUMIF(TRANSHARI1_ACCMALAM[PRODUK],CP67,TRANSHARI1_ACCMALAM[QUANTITY])</f>
        <v>0</v>
      </c>
      <c r="CW67" s="12">
        <f>SUMIF(TRANSHARI2_ACCPAGI[PRODUK],CP67,TRANSHARI2_ACCPAGI[QUANTITY])+SUMIF(TRANSHARI2_ACCMALAM[PRODUK],CP67,TRANSHARI2_ACCMALAM[QUANTITY])</f>
        <v>0</v>
      </c>
      <c r="CX67" s="12">
        <f>SUMIF(TRANSHARI3_ACCPAGI[PRODUK],CP67,TRANSHARI3_ACCPAGI[QUANTITY])+SUMIF(TRANSHARI3_ACCMALAM[PRODUK],CP67,TRANSHARI3_ACCMALAM[QUANTITY])</f>
        <v>0</v>
      </c>
      <c r="CY67" s="12">
        <f>SUMIF(TRANSHARI4_ACCPAGI[PRODUK],CP67,TRANSHARI4_ACCPAGI[QUANTITY])+SUMIF(TRANSHARI4_ACCMALAM[PRODUK],CP67,TRANSHARI4_ACCMALAM[QUANTITY])</f>
        <v>0</v>
      </c>
      <c r="CZ67" s="12">
        <f>SUMIF(TRANSHARI5_ACCPAGI[PRODUK],CP67,TRANSHARI5_ACCPAGI[QUANTITY])+SUMIF(TRANSHARI5_ACCMALAM[PRODUK],CP67,TRANSHARI5_ACCMALAM[QUANTITY])</f>
        <v>0</v>
      </c>
      <c r="DA67" s="12">
        <f>SUMIF(TRANSHARI6_ACCPAGI[PRODUK],CP67,TRANSHARI6_ACCPAGI[QUANTITY])+SUMIF(TRANSHARI6_ACCMALAM[PRODUK],CP67,TRANSHARI6_ACCMALAM[QUANTITY])</f>
        <v>0</v>
      </c>
      <c r="DB67" s="12">
        <f>SUMIF(TRANSHARI7_ACCPAGI[PRODUK],CP67,TRANSHARI7_ACCPAGI[QUANTITY])+SUMIF(TRANSHARI7_ACCMALAM[PRODUK],CP67,TRANSHARI7_ACCMALAM[QUANTITY])</f>
        <v>0</v>
      </c>
      <c r="DC67" s="12">
        <f>SUMIF(TRANSHARI8_ACCPAGI[PRODUK],CP67,TRANSHARI8_ACCPAGI[QUANTITY])+SUMIF(TRANSHARI8_ACCMALAM[PRODUK],CP67,TRANSHARI8_ACCMALAM[QUANTITY])</f>
        <v>0</v>
      </c>
      <c r="DD67" s="12">
        <f>SUMIF(TRANSHARI9_ACCPAGI[PRODUK],CP67,TRANSHARI9_ACCPAGI[QUANTITY])+SUMIF(TRANSHARI9_ACCMALAM[PRODUK],CP67,TRANSHARI9_ACCMALAM[QUANTITY])</f>
        <v>0</v>
      </c>
      <c r="DE67" s="12">
        <f>SUMIF(TRANSHARI10_ACCPAGI[PRODUK],CP67,TRANSHARI10_ACCPAGI[QUANTITY])+SUMIF(TRANSHARI10_ACCMALAM[PRODUK],CP67,TRANSHARI10_ACCMALAM[QUANTITY])</f>
        <v>0</v>
      </c>
      <c r="DF67" s="12">
        <f>SUMIF(TRANSHARI11_ACCPAGI[PRODUK],CP67,TRANSHARI11_ACCPAGI[QUANTITY])+SUMIF(TRANSHARI11_ACCMALAM[PRODUK],CP67,TRANSHARI11_ACCMALAM[QUANTITY])</f>
        <v>0</v>
      </c>
      <c r="DG67" s="12">
        <f t="shared" si="27"/>
        <v>0</v>
      </c>
      <c r="DH67" s="12">
        <f t="shared" si="28"/>
        <v>0</v>
      </c>
      <c r="DI67" s="173">
        <f t="shared" si="31"/>
        <v>0</v>
      </c>
    </row>
    <row r="68" ht="18" spans="4:113">
      <c r="D68" s="130">
        <v>10</v>
      </c>
      <c r="E68" s="131">
        <f>'HARI 10'!L51+'HARI 10'!AA51</f>
        <v>0</v>
      </c>
      <c r="F68" s="132">
        <f>'HARI 10'!L52+'HARI 10'!AA52</f>
        <v>0</v>
      </c>
      <c r="G68" s="132">
        <f>'HARI 10'!L53+'HARI 10'!AA53</f>
        <v>0</v>
      </c>
      <c r="AE68" s="177" t="str">
        <f>'DATA PRODUK'!R65</f>
        <v>AIGO 3 / 3hr</v>
      </c>
      <c r="AF68" s="178">
        <f>'DATA PRODUK'!S65</f>
        <v>12000</v>
      </c>
      <c r="AG68" s="152"/>
      <c r="AH68" s="152"/>
      <c r="AI68" s="152"/>
      <c r="AJ68" s="152"/>
      <c r="AK68" s="152">
        <f>SUMIF(TRANSHARI1_SPVOUPAGI[PRODUK],AE68,TRANSHARI1_SPVOUPAGI[QUANTITY])+SUMIF(TRANSHARI1_SPVOUMALAM[PRODUK],AE68,TRANSHARI1_SPVOUMALAM[QUANTITY])</f>
        <v>2</v>
      </c>
      <c r="AL68" s="152">
        <f>SUMIF(TRANSHARI2_SPVOUPAGI[PRODUK],AE68,TRANSHARI2_SPVOUPAGI[QUANTITY])+SUMIF(TRANSHARI2_SPVOUMALAM[PRODUK],AE68,TRANSHARI2_SPVOUMALAM[QUANTITY])</f>
        <v>0</v>
      </c>
      <c r="AM68" s="152">
        <f>SUMIF(TRANSHARI3_SPVOUPAGI[PRODUK],AE68,TRANSHARI3_SPVOUPAGI[QUANTITY])+SUMIF(TRANSHARI3_SPVOUMALAM[PRODUK],AE68,TRANSHARI3_SPVOUMALAM[QUANTITY])</f>
        <v>0</v>
      </c>
      <c r="AN68" s="152">
        <f>SUMIF(TRANSHARI4_SPVOUPAGI[PRODUK],AE68,TRANSHARI4_SPVOUPAGI[QUANTITY])+SUMIF(TRANSHARI4_SPVOUMALAM[PRODUK],AE68,TRANSHARI4_SPVOUMALAM[QUANTITY])</f>
        <v>0</v>
      </c>
      <c r="AO68" s="152">
        <f>SUMIF(TRANSHARI5_SPVOUPAGI[PRODUK],AE68,TRANSHARI5_SPVOUPAGI[QUANTITY])+SUMIF(TRANSHARI5_SPVOUMALAM[PRODUK],AE68,TRANSHARI5_SPVOUMALAM[QUANTITY])</f>
        <v>0</v>
      </c>
      <c r="AP68" s="152">
        <f>SUMIF(TRANSHARI6_SPVOUPAGI[PRODUK],AE68,TRANSHARI6_SPVOUPAGI[QUANTITY])+SUMIF(TRANSHARI6_SPVOUMALAM[PRODUK],AE68,TRANSHARI6_SPVOUMALAM[QUANTITY])</f>
        <v>0</v>
      </c>
      <c r="AQ68" s="152">
        <f>SUMIF(TRANSHARI7_SPVOUPAGI[PRODUK],AE68,TRANSHARI7_SPVOUPAGI[QUANTITY])+SUMIF(TRANSHARI7_SPVOUMALAM[PRODUK],AE68,TRANSHARI7_SPVOUMALAM[QUANTITY])</f>
        <v>0</v>
      </c>
      <c r="AR68" s="152">
        <f>SUMIF(TRANSHARI8_SPVOUPAGI[PRODUK],AE68,TRANSHARI8_SPVOUPAGI[QUANTITY])+SUMIF(TRANSHARI8_SPVOUMALAM[PRODUK],AE68,TRANSHARI8_SPVOUMALAM[QUANTITY])</f>
        <v>0</v>
      </c>
      <c r="AS68" s="152">
        <f>SUMIF(TRANSHARI9_SPVOUPAGI[PRODUK],AE68,TRANSHARI9_SPVOUPAGI[QUANTITY])+SUMIF(TRANSHARI9_SPVOUMALAM[PRODUK],AE68,TRANSHARI9_SPVOUMALAM[QUANTITY])</f>
        <v>0</v>
      </c>
      <c r="AT68" s="152">
        <f>SUMIF(TRANSHARI10_SPVOUPAGI[PRODUK],AE68,TRANSHARI10_SPVOUPAGI[QUANTITY])+SUMIF(TRANSHARI10_SPVOUMALAM[PRODUK],AE68,TRANSHARI10_SPVOUMALAM[QUANTITY])</f>
        <v>0</v>
      </c>
      <c r="AU68" s="152">
        <f>SUMIF(TRANSHARI11_SPVOUPAGI[PRODUK],AE68,TRANSHARI11_SPVOUPAGI[QUANTITY])+SUMIF(TRANSHARI11_SPVOUMALAM[PRODUK],AE68,TRANSHARI11_SPVOUMALAM[QUANTITY])</f>
        <v>0</v>
      </c>
      <c r="AV68" s="152">
        <f t="shared" si="30"/>
        <v>2</v>
      </c>
      <c r="AW68" s="152">
        <f t="shared" si="23"/>
        <v>-2</v>
      </c>
      <c r="AX68" s="176">
        <f t="shared" si="5"/>
        <v>24000</v>
      </c>
      <c r="CP68" s="174" t="str">
        <f>'DATA PRODUK'!BH65</f>
        <v>(CAR CHARGER) Olike R11</v>
      </c>
      <c r="CQ68" s="178">
        <f>'DATA PRODUK'!BI65</f>
        <v>38000</v>
      </c>
      <c r="CR68" s="152"/>
      <c r="CS68" s="152"/>
      <c r="CT68" s="152"/>
      <c r="CU68" s="152"/>
      <c r="CV68" s="152">
        <f>SUMIF(TRANSHARI1_ACCPAGI[PRODUK],CP68,TRANSHARI1_ACCPAGI[QUANTITY])+SUMIF(TRANSHARI1_ACCMALAM[PRODUK],CP68,TRANSHARI1_ACCMALAM[QUANTITY])</f>
        <v>0</v>
      </c>
      <c r="CW68" s="152">
        <f>SUMIF(TRANSHARI2_ACCPAGI[PRODUK],CP68,TRANSHARI2_ACCPAGI[QUANTITY])+SUMIF(TRANSHARI2_ACCMALAM[PRODUK],CP68,TRANSHARI2_ACCMALAM[QUANTITY])</f>
        <v>0</v>
      </c>
      <c r="CX68" s="152">
        <f>SUMIF(TRANSHARI3_ACCPAGI[PRODUK],CP68,TRANSHARI3_ACCPAGI[QUANTITY])+SUMIF(TRANSHARI3_ACCMALAM[PRODUK],CP68,TRANSHARI3_ACCMALAM[QUANTITY])</f>
        <v>0</v>
      </c>
      <c r="CY68" s="152">
        <f>SUMIF(TRANSHARI4_ACCPAGI[PRODUK],CP68,TRANSHARI4_ACCPAGI[QUANTITY])+SUMIF(TRANSHARI4_ACCMALAM[PRODUK],CP68,TRANSHARI4_ACCMALAM[QUANTITY])</f>
        <v>0</v>
      </c>
      <c r="CZ68" s="152">
        <f>SUMIF(TRANSHARI5_ACCPAGI[PRODUK],CP68,TRANSHARI5_ACCPAGI[QUANTITY])+SUMIF(TRANSHARI5_ACCMALAM[PRODUK],CP68,TRANSHARI5_ACCMALAM[QUANTITY])</f>
        <v>0</v>
      </c>
      <c r="DA68" s="152">
        <f>SUMIF(TRANSHARI6_ACCPAGI[PRODUK],CP68,TRANSHARI6_ACCPAGI[QUANTITY])+SUMIF(TRANSHARI6_ACCMALAM[PRODUK],CP68,TRANSHARI6_ACCMALAM[QUANTITY])</f>
        <v>0</v>
      </c>
      <c r="DB68" s="152">
        <f>SUMIF(TRANSHARI7_ACCPAGI[PRODUK],CP68,TRANSHARI7_ACCPAGI[QUANTITY])+SUMIF(TRANSHARI7_ACCMALAM[PRODUK],CP68,TRANSHARI7_ACCMALAM[QUANTITY])</f>
        <v>0</v>
      </c>
      <c r="DC68" s="152">
        <f>SUMIF(TRANSHARI8_ACCPAGI[PRODUK],CP68,TRANSHARI8_ACCPAGI[QUANTITY])+SUMIF(TRANSHARI8_ACCMALAM[PRODUK],CP68,TRANSHARI8_ACCMALAM[QUANTITY])</f>
        <v>0</v>
      </c>
      <c r="DD68" s="152">
        <f>SUMIF(TRANSHARI9_ACCPAGI[PRODUK],CP68,TRANSHARI9_ACCPAGI[QUANTITY])+SUMIF(TRANSHARI9_ACCMALAM[PRODUK],CP68,TRANSHARI9_ACCMALAM[QUANTITY])</f>
        <v>0</v>
      </c>
      <c r="DE68" s="152">
        <f>SUMIF(TRANSHARI10_ACCPAGI[PRODUK],CP68,TRANSHARI10_ACCPAGI[QUANTITY])+SUMIF(TRANSHARI10_ACCMALAM[PRODUK],CP68,TRANSHARI10_ACCMALAM[QUANTITY])</f>
        <v>0</v>
      </c>
      <c r="DF68" s="152">
        <f>SUMIF(TRANSHARI11_ACCPAGI[PRODUK],CP68,TRANSHARI11_ACCPAGI[QUANTITY])+SUMIF(TRANSHARI11_ACCMALAM[PRODUK],CP68,TRANSHARI11_ACCMALAM[QUANTITY])</f>
        <v>0</v>
      </c>
      <c r="DG68" s="152">
        <f t="shared" si="27"/>
        <v>0</v>
      </c>
      <c r="DH68" s="152">
        <f t="shared" si="28"/>
        <v>0</v>
      </c>
      <c r="DI68" s="176">
        <f t="shared" si="31"/>
        <v>0</v>
      </c>
    </row>
    <row r="69" ht="18" spans="4:113">
      <c r="D69" s="127">
        <v>11</v>
      </c>
      <c r="E69" s="128">
        <f>'HARI 11'!L51+'HARI 11'!AA51</f>
        <v>0</v>
      </c>
      <c r="F69" s="128">
        <f>'HARI 11'!L52+'HARI 11'!AA52</f>
        <v>0</v>
      </c>
      <c r="G69" s="129">
        <f>'HARI 11'!L53+'HARI 11'!AA53</f>
        <v>0</v>
      </c>
      <c r="AE69" s="177" t="str">
        <f>'DATA PRODUK'!R66</f>
        <v>AIGO 4 / 5hr</v>
      </c>
      <c r="AF69" s="175">
        <f>'DATA PRODUK'!S66</f>
        <v>16000</v>
      </c>
      <c r="AG69" s="12"/>
      <c r="AH69" s="12"/>
      <c r="AI69" s="12"/>
      <c r="AJ69" s="12"/>
      <c r="AK69" s="12">
        <f>SUMIF(TRANSHARI1_SPVOUPAGI[PRODUK],AE69,TRANSHARI1_SPVOUPAGI[QUANTITY])+SUMIF(TRANSHARI1_SPVOUMALAM[PRODUK],AE69,TRANSHARI1_SPVOUMALAM[QUANTITY])</f>
        <v>0</v>
      </c>
      <c r="AL69" s="12">
        <f>SUMIF(TRANSHARI2_SPVOUPAGI[PRODUK],AE69,TRANSHARI2_SPVOUPAGI[QUANTITY])+SUMIF(TRANSHARI2_SPVOUMALAM[PRODUK],AE69,TRANSHARI2_SPVOUMALAM[QUANTITY])</f>
        <v>0</v>
      </c>
      <c r="AM69" s="12">
        <f>SUMIF(TRANSHARI3_SPVOUPAGI[PRODUK],AE69,TRANSHARI3_SPVOUPAGI[QUANTITY])+SUMIF(TRANSHARI3_SPVOUMALAM[PRODUK],AE69,TRANSHARI3_SPVOUMALAM[QUANTITY])</f>
        <v>0</v>
      </c>
      <c r="AN69" s="12">
        <f>SUMIF(TRANSHARI4_SPVOUPAGI[PRODUK],AE69,TRANSHARI4_SPVOUPAGI[QUANTITY])+SUMIF(TRANSHARI4_SPVOUMALAM[PRODUK],AE69,TRANSHARI4_SPVOUMALAM[QUANTITY])</f>
        <v>0</v>
      </c>
      <c r="AO69" s="12">
        <f>SUMIF(TRANSHARI5_SPVOUPAGI[PRODUK],AE69,TRANSHARI5_SPVOUPAGI[QUANTITY])+SUMIF(TRANSHARI5_SPVOUMALAM[PRODUK],AE69,TRANSHARI5_SPVOUMALAM[QUANTITY])</f>
        <v>0</v>
      </c>
      <c r="AP69" s="12">
        <f>SUMIF(TRANSHARI6_SPVOUPAGI[PRODUK],AE69,TRANSHARI6_SPVOUPAGI[QUANTITY])+SUMIF(TRANSHARI6_SPVOUMALAM[PRODUK],AE69,TRANSHARI6_SPVOUMALAM[QUANTITY])</f>
        <v>0</v>
      </c>
      <c r="AQ69" s="12">
        <f>SUMIF(TRANSHARI7_SPVOUPAGI[PRODUK],AE69,TRANSHARI7_SPVOUPAGI[QUANTITY])+SUMIF(TRANSHARI7_SPVOUMALAM[PRODUK],AE69,TRANSHARI7_SPVOUMALAM[QUANTITY])</f>
        <v>0</v>
      </c>
      <c r="AR69" s="12">
        <f>SUMIF(TRANSHARI8_SPVOUPAGI[PRODUK],AE69,TRANSHARI8_SPVOUPAGI[QUANTITY])+SUMIF(TRANSHARI8_SPVOUMALAM[PRODUK],AE69,TRANSHARI8_SPVOUMALAM[QUANTITY])</f>
        <v>0</v>
      </c>
      <c r="AS69" s="12">
        <f>SUMIF(TRANSHARI9_SPVOUPAGI[PRODUK],AE69,TRANSHARI9_SPVOUPAGI[QUANTITY])+SUMIF(TRANSHARI9_SPVOUMALAM[PRODUK],AE69,TRANSHARI9_SPVOUMALAM[QUANTITY])</f>
        <v>0</v>
      </c>
      <c r="AT69" s="12">
        <f>SUMIF(TRANSHARI10_SPVOUPAGI[PRODUK],AE69,TRANSHARI10_SPVOUPAGI[QUANTITY])+SUMIF(TRANSHARI10_SPVOUMALAM[PRODUK],AE69,TRANSHARI10_SPVOUMALAM[QUANTITY])</f>
        <v>0</v>
      </c>
      <c r="AU69" s="12">
        <f>SUMIF(TRANSHARI11_SPVOUPAGI[PRODUK],AE69,TRANSHARI11_SPVOUPAGI[QUANTITY])+SUMIF(TRANSHARI11_SPVOUMALAM[PRODUK],AE69,TRANSHARI11_SPVOUMALAM[QUANTITY])</f>
        <v>0</v>
      </c>
      <c r="AV69" s="12">
        <f t="shared" si="30"/>
        <v>0</v>
      </c>
      <c r="AW69" s="12">
        <f t="shared" si="23"/>
        <v>0</v>
      </c>
      <c r="AX69" s="173">
        <f t="shared" si="5"/>
        <v>0</v>
      </c>
      <c r="CP69" s="177" t="str">
        <f>'DATA PRODUK'!BH66</f>
        <v>(CAR CHARGER) Olike R1</v>
      </c>
      <c r="CQ69" s="175">
        <f>'DATA PRODUK'!BI66</f>
        <v>45000</v>
      </c>
      <c r="CR69" s="12"/>
      <c r="CS69" s="12"/>
      <c r="CT69" s="12"/>
      <c r="CU69" s="12"/>
      <c r="CV69" s="12">
        <f>SUMIF(TRANSHARI1_ACCPAGI[PRODUK],CP69,TRANSHARI1_ACCPAGI[QUANTITY])+SUMIF(TRANSHARI1_ACCMALAM[PRODUK],CP69,TRANSHARI1_ACCMALAM[QUANTITY])</f>
        <v>0</v>
      </c>
      <c r="CW69" s="12">
        <f>SUMIF(TRANSHARI2_ACCPAGI[PRODUK],CP69,TRANSHARI2_ACCPAGI[QUANTITY])+SUMIF(TRANSHARI2_ACCMALAM[PRODUK],CP69,TRANSHARI2_ACCMALAM[QUANTITY])</f>
        <v>0</v>
      </c>
      <c r="CX69" s="12">
        <f>SUMIF(TRANSHARI3_ACCPAGI[PRODUK],CP69,TRANSHARI3_ACCPAGI[QUANTITY])+SUMIF(TRANSHARI3_ACCMALAM[PRODUK],CP69,TRANSHARI3_ACCMALAM[QUANTITY])</f>
        <v>0</v>
      </c>
      <c r="CY69" s="12">
        <f>SUMIF(TRANSHARI4_ACCPAGI[PRODUK],CP69,TRANSHARI4_ACCPAGI[QUANTITY])+SUMIF(TRANSHARI4_ACCMALAM[PRODUK],CP69,TRANSHARI4_ACCMALAM[QUANTITY])</f>
        <v>0</v>
      </c>
      <c r="CZ69" s="12">
        <f>SUMIF(TRANSHARI5_ACCPAGI[PRODUK],CP69,TRANSHARI5_ACCPAGI[QUANTITY])+SUMIF(TRANSHARI5_ACCMALAM[PRODUK],CP69,TRANSHARI5_ACCMALAM[QUANTITY])</f>
        <v>0</v>
      </c>
      <c r="DA69" s="12">
        <f>SUMIF(TRANSHARI6_ACCPAGI[PRODUK],CP69,TRANSHARI6_ACCPAGI[QUANTITY])+SUMIF(TRANSHARI6_ACCMALAM[PRODUK],CP69,TRANSHARI6_ACCMALAM[QUANTITY])</f>
        <v>0</v>
      </c>
      <c r="DB69" s="12">
        <f>SUMIF(TRANSHARI7_ACCPAGI[PRODUK],CP69,TRANSHARI7_ACCPAGI[QUANTITY])+SUMIF(TRANSHARI7_ACCMALAM[PRODUK],CP69,TRANSHARI7_ACCMALAM[QUANTITY])</f>
        <v>0</v>
      </c>
      <c r="DC69" s="12">
        <f>SUMIF(TRANSHARI8_ACCPAGI[PRODUK],CP69,TRANSHARI8_ACCPAGI[QUANTITY])+SUMIF(TRANSHARI8_ACCMALAM[PRODUK],CP69,TRANSHARI8_ACCMALAM[QUANTITY])</f>
        <v>0</v>
      </c>
      <c r="DD69" s="12">
        <f>SUMIF(TRANSHARI9_ACCPAGI[PRODUK],CP69,TRANSHARI9_ACCPAGI[QUANTITY])+SUMIF(TRANSHARI9_ACCMALAM[PRODUK],CP69,TRANSHARI9_ACCMALAM[QUANTITY])</f>
        <v>0</v>
      </c>
      <c r="DE69" s="12">
        <f>SUMIF(TRANSHARI10_ACCPAGI[PRODUK],CP69,TRANSHARI10_ACCPAGI[QUANTITY])+SUMIF(TRANSHARI10_ACCMALAM[PRODUK],CP69,TRANSHARI10_ACCMALAM[QUANTITY])</f>
        <v>0</v>
      </c>
      <c r="DF69" s="12">
        <f>SUMIF(TRANSHARI11_ACCPAGI[PRODUK],CP69,TRANSHARI11_ACCPAGI[QUANTITY])+SUMIF(TRANSHARI11_ACCMALAM[PRODUK],CP69,TRANSHARI11_ACCMALAM[QUANTITY])</f>
        <v>0</v>
      </c>
      <c r="DG69" s="12">
        <f t="shared" si="27"/>
        <v>0</v>
      </c>
      <c r="DH69" s="12">
        <f t="shared" si="28"/>
        <v>0</v>
      </c>
      <c r="DI69" s="173">
        <f t="shared" si="31"/>
        <v>0</v>
      </c>
    </row>
    <row r="70" ht="18" spans="4:113">
      <c r="D70" s="142" t="s">
        <v>141</v>
      </c>
      <c r="E70" s="194">
        <f>SUM(E59:E69)</f>
        <v>36800</v>
      </c>
      <c r="F70" s="195">
        <f>SUM(F59:F69)</f>
        <v>0</v>
      </c>
      <c r="G70" s="196">
        <f>SUM(G59:G69)</f>
        <v>5060</v>
      </c>
      <c r="AE70" s="174" t="str">
        <f>'DATA PRODUK'!R67</f>
        <v>AIGO 3 (1bln) / 4.5 GB</v>
      </c>
      <c r="AF70" s="178">
        <f>'DATA PRODUK'!S67</f>
        <v>23000</v>
      </c>
      <c r="AG70" s="152"/>
      <c r="AH70" s="152"/>
      <c r="AI70" s="152"/>
      <c r="AJ70" s="152"/>
      <c r="AK70" s="152">
        <f>SUMIF(TRANSHARI1_SPVOUPAGI[PRODUK],AE70,TRANSHARI1_SPVOUPAGI[QUANTITY])+SUMIF(TRANSHARI1_SPVOUMALAM[PRODUK],AE70,TRANSHARI1_SPVOUMALAM[QUANTITY])</f>
        <v>0</v>
      </c>
      <c r="AL70" s="152">
        <f>SUMIF(TRANSHARI2_SPVOUPAGI[PRODUK],AE70,TRANSHARI2_SPVOUPAGI[QUANTITY])+SUMIF(TRANSHARI2_SPVOUMALAM[PRODUK],AE70,TRANSHARI2_SPVOUMALAM[QUANTITY])</f>
        <v>2</v>
      </c>
      <c r="AM70" s="152">
        <f>SUMIF(TRANSHARI3_SPVOUPAGI[PRODUK],AE70,TRANSHARI3_SPVOUPAGI[QUANTITY])+SUMIF(TRANSHARI3_SPVOUMALAM[PRODUK],AE70,TRANSHARI3_SPVOUMALAM[QUANTITY])</f>
        <v>0</v>
      </c>
      <c r="AN70" s="152">
        <f>SUMIF(TRANSHARI4_SPVOUPAGI[PRODUK],AE70,TRANSHARI4_SPVOUPAGI[QUANTITY])+SUMIF(TRANSHARI4_SPVOUMALAM[PRODUK],AE70,TRANSHARI4_SPVOUMALAM[QUANTITY])</f>
        <v>0</v>
      </c>
      <c r="AO70" s="152">
        <f>SUMIF(TRANSHARI5_SPVOUPAGI[PRODUK],AE70,TRANSHARI5_SPVOUPAGI[QUANTITY])+SUMIF(TRANSHARI5_SPVOUMALAM[PRODUK],AE70,TRANSHARI5_SPVOUMALAM[QUANTITY])</f>
        <v>0</v>
      </c>
      <c r="AP70" s="152">
        <f>SUMIF(TRANSHARI6_SPVOUPAGI[PRODUK],AE70,TRANSHARI6_SPVOUPAGI[QUANTITY])+SUMIF(TRANSHARI6_SPVOUMALAM[PRODUK],AE70,TRANSHARI6_SPVOUMALAM[QUANTITY])</f>
        <v>0</v>
      </c>
      <c r="AQ70" s="152">
        <f>SUMIF(TRANSHARI7_SPVOUPAGI[PRODUK],AE70,TRANSHARI7_SPVOUPAGI[QUANTITY])+SUMIF(TRANSHARI7_SPVOUMALAM[PRODUK],AE70,TRANSHARI7_SPVOUMALAM[QUANTITY])</f>
        <v>0</v>
      </c>
      <c r="AR70" s="152">
        <f>SUMIF(TRANSHARI8_SPVOUPAGI[PRODUK],AE70,TRANSHARI8_SPVOUPAGI[QUANTITY])+SUMIF(TRANSHARI8_SPVOUMALAM[PRODUK],AE70,TRANSHARI8_SPVOUMALAM[QUANTITY])</f>
        <v>0</v>
      </c>
      <c r="AS70" s="152">
        <f>SUMIF(TRANSHARI9_SPVOUPAGI[PRODUK],AE70,TRANSHARI9_SPVOUPAGI[QUANTITY])+SUMIF(TRANSHARI9_SPVOUMALAM[PRODUK],AE70,TRANSHARI9_SPVOUMALAM[QUANTITY])</f>
        <v>0</v>
      </c>
      <c r="AT70" s="152">
        <f>SUMIF(TRANSHARI10_SPVOUPAGI[PRODUK],AE70,TRANSHARI10_SPVOUPAGI[QUANTITY])+SUMIF(TRANSHARI10_SPVOUMALAM[PRODUK],AE70,TRANSHARI10_SPVOUMALAM[QUANTITY])</f>
        <v>0</v>
      </c>
      <c r="AU70" s="152">
        <f>SUMIF(TRANSHARI11_SPVOUPAGI[PRODUK],AE70,TRANSHARI11_SPVOUPAGI[QUANTITY])+SUMIF(TRANSHARI11_SPVOUMALAM[PRODUK],AE70,TRANSHARI11_SPVOUMALAM[QUANTITY])</f>
        <v>0</v>
      </c>
      <c r="AV70" s="152">
        <f t="shared" si="30"/>
        <v>2</v>
      </c>
      <c r="AW70" s="152">
        <f t="shared" si="23"/>
        <v>-2</v>
      </c>
      <c r="AX70" s="176">
        <f t="shared" si="5"/>
        <v>46000</v>
      </c>
      <c r="CP70" s="174" t="str">
        <f>'DATA PRODUK'!BH67</f>
        <v>(CAR CHARGER) Robot RT-C06</v>
      </c>
      <c r="CQ70" s="178">
        <f>'DATA PRODUK'!BI67</f>
        <v>50000</v>
      </c>
      <c r="CR70" s="152"/>
      <c r="CS70" s="152"/>
      <c r="CT70" s="152"/>
      <c r="CU70" s="152"/>
      <c r="CV70" s="152">
        <f>SUMIF(TRANSHARI1_ACCPAGI[PRODUK],CP70,TRANSHARI1_ACCPAGI[QUANTITY])+SUMIF(TRANSHARI1_ACCMALAM[PRODUK],CP70,TRANSHARI1_ACCMALAM[QUANTITY])</f>
        <v>0</v>
      </c>
      <c r="CW70" s="152">
        <f>SUMIF(TRANSHARI2_ACCPAGI[PRODUK],CP70,TRANSHARI2_ACCPAGI[QUANTITY])+SUMIF(TRANSHARI2_ACCMALAM[PRODUK],CP70,TRANSHARI2_ACCMALAM[QUANTITY])</f>
        <v>0</v>
      </c>
      <c r="CX70" s="152">
        <f>SUMIF(TRANSHARI3_ACCPAGI[PRODUK],CP70,TRANSHARI3_ACCPAGI[QUANTITY])+SUMIF(TRANSHARI3_ACCMALAM[PRODUK],CP70,TRANSHARI3_ACCMALAM[QUANTITY])</f>
        <v>0</v>
      </c>
      <c r="CY70" s="152">
        <f>SUMIF(TRANSHARI4_ACCPAGI[PRODUK],CP70,TRANSHARI4_ACCPAGI[QUANTITY])+SUMIF(TRANSHARI4_ACCMALAM[PRODUK],CP70,TRANSHARI4_ACCMALAM[QUANTITY])</f>
        <v>0</v>
      </c>
      <c r="CZ70" s="152">
        <f>SUMIF(TRANSHARI5_ACCPAGI[PRODUK],CP70,TRANSHARI5_ACCPAGI[QUANTITY])+SUMIF(TRANSHARI5_ACCMALAM[PRODUK],CP70,TRANSHARI5_ACCMALAM[QUANTITY])</f>
        <v>0</v>
      </c>
      <c r="DA70" s="152">
        <f>SUMIF(TRANSHARI6_ACCPAGI[PRODUK],CP70,TRANSHARI6_ACCPAGI[QUANTITY])+SUMIF(TRANSHARI6_ACCMALAM[PRODUK],CP70,TRANSHARI6_ACCMALAM[QUANTITY])</f>
        <v>0</v>
      </c>
      <c r="DB70" s="152">
        <f>SUMIF(TRANSHARI7_ACCPAGI[PRODUK],CP70,TRANSHARI7_ACCPAGI[QUANTITY])+SUMIF(TRANSHARI7_ACCMALAM[PRODUK],CP70,TRANSHARI7_ACCMALAM[QUANTITY])</f>
        <v>0</v>
      </c>
      <c r="DC70" s="152">
        <f>SUMIF(TRANSHARI8_ACCPAGI[PRODUK],CP70,TRANSHARI8_ACCPAGI[QUANTITY])+SUMIF(TRANSHARI8_ACCMALAM[PRODUK],CP70,TRANSHARI8_ACCMALAM[QUANTITY])</f>
        <v>0</v>
      </c>
      <c r="DD70" s="152">
        <f>SUMIF(TRANSHARI9_ACCPAGI[PRODUK],CP70,TRANSHARI9_ACCPAGI[QUANTITY])+SUMIF(TRANSHARI9_ACCMALAM[PRODUK],CP70,TRANSHARI9_ACCMALAM[QUANTITY])</f>
        <v>0</v>
      </c>
      <c r="DE70" s="152">
        <f>SUMIF(TRANSHARI10_ACCPAGI[PRODUK],CP70,TRANSHARI10_ACCPAGI[QUANTITY])+SUMIF(TRANSHARI10_ACCMALAM[PRODUK],CP70,TRANSHARI10_ACCMALAM[QUANTITY])</f>
        <v>0</v>
      </c>
      <c r="DF70" s="152">
        <f>SUMIF(TRANSHARI11_ACCPAGI[PRODUK],CP70,TRANSHARI11_ACCPAGI[QUANTITY])+SUMIF(TRANSHARI11_ACCMALAM[PRODUK],CP70,TRANSHARI11_ACCMALAM[QUANTITY])</f>
        <v>0</v>
      </c>
      <c r="DG70" s="152">
        <f t="shared" si="27"/>
        <v>0</v>
      </c>
      <c r="DH70" s="152">
        <f t="shared" si="28"/>
        <v>0</v>
      </c>
      <c r="DI70" s="176">
        <f t="shared" si="31"/>
        <v>0</v>
      </c>
    </row>
    <row r="71" ht="18" spans="31:113">
      <c r="AE71" s="177" t="str">
        <f>'DATA PRODUK'!R68</f>
        <v>AIGO 6 / 9 GB</v>
      </c>
      <c r="AF71" s="175">
        <f>'DATA PRODUK'!S68</f>
        <v>35000</v>
      </c>
      <c r="AG71" s="12"/>
      <c r="AH71" s="12"/>
      <c r="AI71" s="12"/>
      <c r="AJ71" s="12"/>
      <c r="AK71" s="12">
        <f>SUMIF(TRANSHARI1_SPVOUPAGI[PRODUK],AE71,TRANSHARI1_SPVOUPAGI[QUANTITY])+SUMIF(TRANSHARI1_SPVOUMALAM[PRODUK],AE71,TRANSHARI1_SPVOUMALAM[QUANTITY])</f>
        <v>0</v>
      </c>
      <c r="AL71" s="12">
        <f>SUMIF(TRANSHARI2_SPVOUPAGI[PRODUK],AE71,TRANSHARI2_SPVOUPAGI[QUANTITY])+SUMIF(TRANSHARI2_SPVOUMALAM[PRODUK],AE71,TRANSHARI2_SPVOUMALAM[QUANTITY])</f>
        <v>0</v>
      </c>
      <c r="AM71" s="12">
        <f>SUMIF(TRANSHARI3_SPVOUPAGI[PRODUK],AE71,TRANSHARI3_SPVOUPAGI[QUANTITY])+SUMIF(TRANSHARI3_SPVOUMALAM[PRODUK],AE71,TRANSHARI3_SPVOUMALAM[QUANTITY])</f>
        <v>0</v>
      </c>
      <c r="AN71" s="12">
        <f>SUMIF(TRANSHARI4_SPVOUPAGI[PRODUK],AE71,TRANSHARI4_SPVOUPAGI[QUANTITY])+SUMIF(TRANSHARI4_SPVOUMALAM[PRODUK],AE71,TRANSHARI4_SPVOUMALAM[QUANTITY])</f>
        <v>0</v>
      </c>
      <c r="AO71" s="12">
        <f>SUMIF(TRANSHARI5_SPVOUPAGI[PRODUK],AE71,TRANSHARI5_SPVOUPAGI[QUANTITY])+SUMIF(TRANSHARI5_SPVOUMALAM[PRODUK],AE71,TRANSHARI5_SPVOUMALAM[QUANTITY])</f>
        <v>0</v>
      </c>
      <c r="AP71" s="12">
        <f>SUMIF(TRANSHARI6_SPVOUPAGI[PRODUK],AE71,TRANSHARI6_SPVOUPAGI[QUANTITY])+SUMIF(TRANSHARI6_SPVOUMALAM[PRODUK],AE71,TRANSHARI6_SPVOUMALAM[QUANTITY])</f>
        <v>0</v>
      </c>
      <c r="AQ71" s="12">
        <f>SUMIF(TRANSHARI7_SPVOUPAGI[PRODUK],AE71,TRANSHARI7_SPVOUPAGI[QUANTITY])+SUMIF(TRANSHARI7_SPVOUMALAM[PRODUK],AE71,TRANSHARI7_SPVOUMALAM[QUANTITY])</f>
        <v>0</v>
      </c>
      <c r="AR71" s="12">
        <f>SUMIF(TRANSHARI8_SPVOUPAGI[PRODUK],AE71,TRANSHARI8_SPVOUPAGI[QUANTITY])+SUMIF(TRANSHARI8_SPVOUMALAM[PRODUK],AE71,TRANSHARI8_SPVOUMALAM[QUANTITY])</f>
        <v>0</v>
      </c>
      <c r="AS71" s="12">
        <f>SUMIF(TRANSHARI9_SPVOUPAGI[PRODUK],AE71,TRANSHARI9_SPVOUPAGI[QUANTITY])+SUMIF(TRANSHARI9_SPVOUMALAM[PRODUK],AE71,TRANSHARI9_SPVOUMALAM[QUANTITY])</f>
        <v>0</v>
      </c>
      <c r="AT71" s="12">
        <f>SUMIF(TRANSHARI10_SPVOUPAGI[PRODUK],AE71,TRANSHARI10_SPVOUPAGI[QUANTITY])+SUMIF(TRANSHARI10_SPVOUMALAM[PRODUK],AE71,TRANSHARI10_SPVOUMALAM[QUANTITY])</f>
        <v>0</v>
      </c>
      <c r="AU71" s="12">
        <f>SUMIF(TRANSHARI11_SPVOUPAGI[PRODUK],AE71,TRANSHARI11_SPVOUPAGI[QUANTITY])+SUMIF(TRANSHARI11_SPVOUMALAM[PRODUK],AE71,TRANSHARI11_SPVOUMALAM[QUANTITY])</f>
        <v>0</v>
      </c>
      <c r="AV71" s="12">
        <f t="shared" si="30"/>
        <v>0</v>
      </c>
      <c r="AW71" s="12">
        <f t="shared" si="23"/>
        <v>0</v>
      </c>
      <c r="AX71" s="173">
        <f t="shared" si="5"/>
        <v>0</v>
      </c>
      <c r="CP71" s="177" t="str">
        <f>'DATA PRODUK'!BH68</f>
        <v>(CAR CHARGER) Robot RT-C08</v>
      </c>
      <c r="CQ71" s="175">
        <f>'DATA PRODUK'!BI68</f>
        <v>75000</v>
      </c>
      <c r="CR71" s="12"/>
      <c r="CS71" s="12"/>
      <c r="CT71" s="12"/>
      <c r="CU71" s="12"/>
      <c r="CV71" s="12">
        <f>SUMIF(TRANSHARI1_ACCPAGI[PRODUK],CP71,TRANSHARI1_ACCPAGI[QUANTITY])+SUMIF(TRANSHARI1_ACCMALAM[PRODUK],CP71,TRANSHARI1_ACCMALAM[QUANTITY])</f>
        <v>0</v>
      </c>
      <c r="CW71" s="12">
        <f>SUMIF(TRANSHARI2_ACCPAGI[PRODUK],CP71,TRANSHARI2_ACCPAGI[QUANTITY])+SUMIF(TRANSHARI2_ACCMALAM[PRODUK],CP71,TRANSHARI2_ACCMALAM[QUANTITY])</f>
        <v>0</v>
      </c>
      <c r="CX71" s="12">
        <f>SUMIF(TRANSHARI3_ACCPAGI[PRODUK],CP71,TRANSHARI3_ACCPAGI[QUANTITY])+SUMIF(TRANSHARI3_ACCMALAM[PRODUK],CP71,TRANSHARI3_ACCMALAM[QUANTITY])</f>
        <v>0</v>
      </c>
      <c r="CY71" s="12">
        <f>SUMIF(TRANSHARI4_ACCPAGI[PRODUK],CP71,TRANSHARI4_ACCPAGI[QUANTITY])+SUMIF(TRANSHARI4_ACCMALAM[PRODUK],CP71,TRANSHARI4_ACCMALAM[QUANTITY])</f>
        <v>0</v>
      </c>
      <c r="CZ71" s="12">
        <f>SUMIF(TRANSHARI5_ACCPAGI[PRODUK],CP71,TRANSHARI5_ACCPAGI[QUANTITY])+SUMIF(TRANSHARI5_ACCMALAM[PRODUK],CP71,TRANSHARI5_ACCMALAM[QUANTITY])</f>
        <v>0</v>
      </c>
      <c r="DA71" s="12">
        <f>SUMIF(TRANSHARI6_ACCPAGI[PRODUK],CP71,TRANSHARI6_ACCPAGI[QUANTITY])+SUMIF(TRANSHARI6_ACCMALAM[PRODUK],CP71,TRANSHARI6_ACCMALAM[QUANTITY])</f>
        <v>0</v>
      </c>
      <c r="DB71" s="12">
        <f>SUMIF(TRANSHARI7_ACCPAGI[PRODUK],CP71,TRANSHARI7_ACCPAGI[QUANTITY])+SUMIF(TRANSHARI7_ACCMALAM[PRODUK],CP71,TRANSHARI7_ACCMALAM[QUANTITY])</f>
        <v>0</v>
      </c>
      <c r="DC71" s="12">
        <f>SUMIF(TRANSHARI8_ACCPAGI[PRODUK],CP71,TRANSHARI8_ACCPAGI[QUANTITY])+SUMIF(TRANSHARI8_ACCMALAM[PRODUK],CP71,TRANSHARI8_ACCMALAM[QUANTITY])</f>
        <v>0</v>
      </c>
      <c r="DD71" s="12">
        <f>SUMIF(TRANSHARI9_ACCPAGI[PRODUK],CP71,TRANSHARI9_ACCPAGI[QUANTITY])+SUMIF(TRANSHARI9_ACCMALAM[PRODUK],CP71,TRANSHARI9_ACCMALAM[QUANTITY])</f>
        <v>0</v>
      </c>
      <c r="DE71" s="12">
        <f>SUMIF(TRANSHARI10_ACCPAGI[PRODUK],CP71,TRANSHARI10_ACCPAGI[QUANTITY])+SUMIF(TRANSHARI10_ACCMALAM[PRODUK],CP71,TRANSHARI10_ACCMALAM[QUANTITY])</f>
        <v>0</v>
      </c>
      <c r="DF71" s="12">
        <f>SUMIF(TRANSHARI11_ACCPAGI[PRODUK],CP71,TRANSHARI11_ACCPAGI[QUANTITY])+SUMIF(TRANSHARI11_ACCMALAM[PRODUK],CP71,TRANSHARI11_ACCMALAM[QUANTITY])</f>
        <v>0</v>
      </c>
      <c r="DG71" s="12">
        <f t="shared" si="27"/>
        <v>0</v>
      </c>
      <c r="DH71" s="12">
        <f t="shared" si="28"/>
        <v>0</v>
      </c>
      <c r="DI71" s="173">
        <f t="shared" si="31"/>
        <v>0</v>
      </c>
    </row>
    <row r="72" ht="18" spans="31:113">
      <c r="AE72" s="174" t="str">
        <f>'DATA PRODUK'!R69</f>
        <v>AIGO 8 / 12 GB</v>
      </c>
      <c r="AF72" s="178">
        <f>'DATA PRODUK'!S69</f>
        <v>44000</v>
      </c>
      <c r="AG72" s="152"/>
      <c r="AH72" s="152"/>
      <c r="AI72" s="152"/>
      <c r="AJ72" s="152"/>
      <c r="AK72" s="152">
        <f>SUMIF(TRANSHARI1_SPVOUPAGI[PRODUK],AE72,TRANSHARI1_SPVOUPAGI[QUANTITY])+SUMIF(TRANSHARI1_SPVOUMALAM[PRODUK],AE72,TRANSHARI1_SPVOUMALAM[QUANTITY])</f>
        <v>0</v>
      </c>
      <c r="AL72" s="152">
        <f>SUMIF(TRANSHARI2_SPVOUPAGI[PRODUK],AE72,TRANSHARI2_SPVOUPAGI[QUANTITY])+SUMIF(TRANSHARI2_SPVOUMALAM[PRODUK],AE72,TRANSHARI2_SPVOUMALAM[QUANTITY])</f>
        <v>0</v>
      </c>
      <c r="AM72" s="152">
        <f>SUMIF(TRANSHARI3_SPVOUPAGI[PRODUK],AE72,TRANSHARI3_SPVOUPAGI[QUANTITY])+SUMIF(TRANSHARI3_SPVOUMALAM[PRODUK],AE72,TRANSHARI3_SPVOUMALAM[QUANTITY])</f>
        <v>0</v>
      </c>
      <c r="AN72" s="152">
        <f>SUMIF(TRANSHARI4_SPVOUPAGI[PRODUK],AE72,TRANSHARI4_SPVOUPAGI[QUANTITY])+SUMIF(TRANSHARI4_SPVOUMALAM[PRODUK],AE72,TRANSHARI4_SPVOUMALAM[QUANTITY])</f>
        <v>0</v>
      </c>
      <c r="AO72" s="152">
        <f>SUMIF(TRANSHARI5_SPVOUPAGI[PRODUK],AE72,TRANSHARI5_SPVOUPAGI[QUANTITY])+SUMIF(TRANSHARI5_SPVOUMALAM[PRODUK],AE72,TRANSHARI5_SPVOUMALAM[QUANTITY])</f>
        <v>0</v>
      </c>
      <c r="AP72" s="152">
        <f>SUMIF(TRANSHARI6_SPVOUPAGI[PRODUK],AE72,TRANSHARI6_SPVOUPAGI[QUANTITY])+SUMIF(TRANSHARI6_SPVOUMALAM[PRODUK],AE72,TRANSHARI6_SPVOUMALAM[QUANTITY])</f>
        <v>0</v>
      </c>
      <c r="AQ72" s="152">
        <f>SUMIF(TRANSHARI7_SPVOUPAGI[PRODUK],AE72,TRANSHARI7_SPVOUPAGI[QUANTITY])+SUMIF(TRANSHARI7_SPVOUMALAM[PRODUK],AE72,TRANSHARI7_SPVOUMALAM[QUANTITY])</f>
        <v>0</v>
      </c>
      <c r="AR72" s="152">
        <f>SUMIF(TRANSHARI8_SPVOUPAGI[PRODUK],AE72,TRANSHARI8_SPVOUPAGI[QUANTITY])+SUMIF(TRANSHARI8_SPVOUMALAM[PRODUK],AE72,TRANSHARI8_SPVOUMALAM[QUANTITY])</f>
        <v>0</v>
      </c>
      <c r="AS72" s="152">
        <f>SUMIF(TRANSHARI9_SPVOUPAGI[PRODUK],AE72,TRANSHARI9_SPVOUPAGI[QUANTITY])+SUMIF(TRANSHARI9_SPVOUMALAM[PRODUK],AE72,TRANSHARI9_SPVOUMALAM[QUANTITY])</f>
        <v>0</v>
      </c>
      <c r="AT72" s="152">
        <f>SUMIF(TRANSHARI10_SPVOUPAGI[PRODUK],AE72,TRANSHARI10_SPVOUPAGI[QUANTITY])+SUMIF(TRANSHARI10_SPVOUMALAM[PRODUK],AE72,TRANSHARI10_SPVOUMALAM[QUANTITY])</f>
        <v>0</v>
      </c>
      <c r="AU72" s="152">
        <f>SUMIF(TRANSHARI11_SPVOUPAGI[PRODUK],AE72,TRANSHARI11_SPVOUPAGI[QUANTITY])+SUMIF(TRANSHARI11_SPVOUMALAM[PRODUK],AE72,TRANSHARI11_SPVOUMALAM[QUANTITY])</f>
        <v>0</v>
      </c>
      <c r="AV72" s="152">
        <f t="shared" si="30"/>
        <v>0</v>
      </c>
      <c r="AW72" s="152">
        <f t="shared" si="23"/>
        <v>0</v>
      </c>
      <c r="AX72" s="176">
        <f t="shared" si="5"/>
        <v>0</v>
      </c>
      <c r="CP72" s="174" t="str">
        <f>'DATA PRODUK'!BH69</f>
        <v>(POWERBANK)(4.500mAH)(Type C) Robot RT045C</v>
      </c>
      <c r="CQ72" s="178">
        <f>'DATA PRODUK'!BI69</f>
        <v>110000</v>
      </c>
      <c r="CR72" s="152"/>
      <c r="CS72" s="152"/>
      <c r="CT72" s="152"/>
      <c r="CU72" s="152"/>
      <c r="CV72" s="152">
        <f>SUMIF(TRANSHARI1_ACCPAGI[PRODUK],CP72,TRANSHARI1_ACCPAGI[QUANTITY])+SUMIF(TRANSHARI1_ACCMALAM[PRODUK],CP72,TRANSHARI1_ACCMALAM[QUANTITY])</f>
        <v>0</v>
      </c>
      <c r="CW72" s="152">
        <f>SUMIF(TRANSHARI2_ACCPAGI[PRODUK],CP72,TRANSHARI2_ACCPAGI[QUANTITY])+SUMIF(TRANSHARI2_ACCMALAM[PRODUK],CP72,TRANSHARI2_ACCMALAM[QUANTITY])</f>
        <v>0</v>
      </c>
      <c r="CX72" s="152">
        <f>SUMIF(TRANSHARI3_ACCPAGI[PRODUK],CP72,TRANSHARI3_ACCPAGI[QUANTITY])+SUMIF(TRANSHARI3_ACCMALAM[PRODUK],CP72,TRANSHARI3_ACCMALAM[QUANTITY])</f>
        <v>0</v>
      </c>
      <c r="CY72" s="152">
        <f>SUMIF(TRANSHARI4_ACCPAGI[PRODUK],CP72,TRANSHARI4_ACCPAGI[QUANTITY])+SUMIF(TRANSHARI4_ACCMALAM[PRODUK],CP72,TRANSHARI4_ACCMALAM[QUANTITY])</f>
        <v>0</v>
      </c>
      <c r="CZ72" s="152">
        <f>SUMIF(TRANSHARI5_ACCPAGI[PRODUK],CP72,TRANSHARI5_ACCPAGI[QUANTITY])+SUMIF(TRANSHARI5_ACCMALAM[PRODUK],CP72,TRANSHARI5_ACCMALAM[QUANTITY])</f>
        <v>0</v>
      </c>
      <c r="DA72" s="152">
        <f>SUMIF(TRANSHARI6_ACCPAGI[PRODUK],CP72,TRANSHARI6_ACCPAGI[QUANTITY])+SUMIF(TRANSHARI6_ACCMALAM[PRODUK],CP72,TRANSHARI6_ACCMALAM[QUANTITY])</f>
        <v>0</v>
      </c>
      <c r="DB72" s="152">
        <f>SUMIF(TRANSHARI7_ACCPAGI[PRODUK],CP72,TRANSHARI7_ACCPAGI[QUANTITY])+SUMIF(TRANSHARI7_ACCMALAM[PRODUK],CP72,TRANSHARI7_ACCMALAM[QUANTITY])</f>
        <v>0</v>
      </c>
      <c r="DC72" s="152">
        <f>SUMIF(TRANSHARI8_ACCPAGI[PRODUK],CP72,TRANSHARI8_ACCPAGI[QUANTITY])+SUMIF(TRANSHARI8_ACCMALAM[PRODUK],CP72,TRANSHARI8_ACCMALAM[QUANTITY])</f>
        <v>0</v>
      </c>
      <c r="DD72" s="152">
        <f>SUMIF(TRANSHARI9_ACCPAGI[PRODUK],CP72,TRANSHARI9_ACCPAGI[QUANTITY])+SUMIF(TRANSHARI9_ACCMALAM[PRODUK],CP72,TRANSHARI9_ACCMALAM[QUANTITY])</f>
        <v>0</v>
      </c>
      <c r="DE72" s="152">
        <f>SUMIF(TRANSHARI10_ACCPAGI[PRODUK],CP72,TRANSHARI10_ACCPAGI[QUANTITY])+SUMIF(TRANSHARI10_ACCMALAM[PRODUK],CP72,TRANSHARI10_ACCMALAM[QUANTITY])</f>
        <v>0</v>
      </c>
      <c r="DF72" s="152">
        <f>SUMIF(TRANSHARI11_ACCPAGI[PRODUK],CP72,TRANSHARI11_ACCPAGI[QUANTITY])+SUMIF(TRANSHARI11_ACCMALAM[PRODUK],CP72,TRANSHARI11_ACCMALAM[QUANTITY])</f>
        <v>0</v>
      </c>
      <c r="DG72" s="152">
        <f t="shared" si="27"/>
        <v>0</v>
      </c>
      <c r="DH72" s="152">
        <f t="shared" si="28"/>
        <v>0</v>
      </c>
      <c r="DI72" s="176">
        <f t="shared" si="31"/>
        <v>0</v>
      </c>
    </row>
    <row r="73" ht="18" spans="4:113">
      <c r="D73" s="115" t="s">
        <v>267</v>
      </c>
      <c r="E73" s="115" t="s">
        <v>19</v>
      </c>
      <c r="F73" s="115" t="s">
        <v>268</v>
      </c>
      <c r="G73" s="116" t="s">
        <v>269</v>
      </c>
      <c r="AE73" s="177" t="str">
        <f>'DATA PRODUK'!R70</f>
        <v>V. SMART 4 / 3hr</v>
      </c>
      <c r="AF73" s="175">
        <f>'DATA PRODUK'!S70</f>
        <v>10000</v>
      </c>
      <c r="AG73" s="12"/>
      <c r="AH73" s="12"/>
      <c r="AI73" s="12"/>
      <c r="AJ73" s="12"/>
      <c r="AK73" s="12">
        <f>SUMIF(TRANSHARI1_SPVOUPAGI[PRODUK],AE73,TRANSHARI1_SPVOUPAGI[QUANTITY])+SUMIF(TRANSHARI1_SPVOUMALAM[PRODUK],AE73,TRANSHARI1_SPVOUMALAM[QUANTITY])</f>
        <v>0</v>
      </c>
      <c r="AL73" s="12">
        <f>SUMIF(TRANSHARI2_SPVOUPAGI[PRODUK],AE73,TRANSHARI2_SPVOUPAGI[QUANTITY])+SUMIF(TRANSHARI2_SPVOUMALAM[PRODUK],AE73,TRANSHARI2_SPVOUMALAM[QUANTITY])</f>
        <v>1</v>
      </c>
      <c r="AM73" s="12">
        <f>SUMIF(TRANSHARI3_SPVOUPAGI[PRODUK],AE73,TRANSHARI3_SPVOUPAGI[QUANTITY])+SUMIF(TRANSHARI3_SPVOUMALAM[PRODUK],AE73,TRANSHARI3_SPVOUMALAM[QUANTITY])</f>
        <v>0</v>
      </c>
      <c r="AN73" s="12">
        <f>SUMIF(TRANSHARI4_SPVOUPAGI[PRODUK],AE73,TRANSHARI4_SPVOUPAGI[QUANTITY])+SUMIF(TRANSHARI4_SPVOUMALAM[PRODUK],AE73,TRANSHARI4_SPVOUMALAM[QUANTITY])</f>
        <v>0</v>
      </c>
      <c r="AO73" s="12">
        <f>SUMIF(TRANSHARI5_SPVOUPAGI[PRODUK],AE73,TRANSHARI5_SPVOUPAGI[QUANTITY])+SUMIF(TRANSHARI5_SPVOUMALAM[PRODUK],AE73,TRANSHARI5_SPVOUMALAM[QUANTITY])</f>
        <v>0</v>
      </c>
      <c r="AP73" s="12">
        <f>SUMIF(TRANSHARI6_SPVOUPAGI[PRODUK],AE73,TRANSHARI6_SPVOUPAGI[QUANTITY])+SUMIF(TRANSHARI6_SPVOUMALAM[PRODUK],AE73,TRANSHARI6_SPVOUMALAM[QUANTITY])</f>
        <v>0</v>
      </c>
      <c r="AQ73" s="12">
        <f>SUMIF(TRANSHARI7_SPVOUPAGI[PRODUK],AE73,TRANSHARI7_SPVOUPAGI[QUANTITY])+SUMIF(TRANSHARI7_SPVOUMALAM[PRODUK],AE73,TRANSHARI7_SPVOUMALAM[QUANTITY])</f>
        <v>0</v>
      </c>
      <c r="AR73" s="12">
        <f>SUMIF(TRANSHARI8_SPVOUPAGI[PRODUK],AE73,TRANSHARI8_SPVOUPAGI[QUANTITY])+SUMIF(TRANSHARI8_SPVOUMALAM[PRODUK],AE73,TRANSHARI8_SPVOUMALAM[QUANTITY])</f>
        <v>0</v>
      </c>
      <c r="AS73" s="12">
        <f>SUMIF(TRANSHARI9_SPVOUPAGI[PRODUK],AE73,TRANSHARI9_SPVOUPAGI[QUANTITY])+SUMIF(TRANSHARI9_SPVOUMALAM[PRODUK],AE73,TRANSHARI9_SPVOUMALAM[QUANTITY])</f>
        <v>0</v>
      </c>
      <c r="AT73" s="12">
        <f>SUMIF(TRANSHARI10_SPVOUPAGI[PRODUK],AE73,TRANSHARI10_SPVOUPAGI[QUANTITY])+SUMIF(TRANSHARI10_SPVOUMALAM[PRODUK],AE73,TRANSHARI10_SPVOUMALAM[QUANTITY])</f>
        <v>0</v>
      </c>
      <c r="AU73" s="12">
        <f>SUMIF(TRANSHARI11_SPVOUPAGI[PRODUK],AE73,TRANSHARI11_SPVOUPAGI[QUANTITY])+SUMIF(TRANSHARI11_SPVOUMALAM[PRODUK],AE73,TRANSHARI11_SPVOUMALAM[QUANTITY])</f>
        <v>0</v>
      </c>
      <c r="AV73" s="12">
        <f t="shared" si="30"/>
        <v>1</v>
      </c>
      <c r="AW73" s="12">
        <f t="shared" si="23"/>
        <v>-1</v>
      </c>
      <c r="AX73" s="173">
        <f t="shared" si="5"/>
        <v>10000</v>
      </c>
      <c r="CP73" s="177" t="str">
        <f>'DATA PRODUK'!BH70</f>
        <v>(POWERBANK)(4.500mAH)(Iphone) Robot RT045L</v>
      </c>
      <c r="CQ73" s="175">
        <f>'DATA PRODUK'!BI70</f>
        <v>120000</v>
      </c>
      <c r="CR73" s="12"/>
      <c r="CS73" s="12"/>
      <c r="CT73" s="12"/>
      <c r="CU73" s="12"/>
      <c r="CV73" s="12">
        <f>SUMIF(TRANSHARI1_ACCPAGI[PRODUK],CP73,TRANSHARI1_ACCPAGI[QUANTITY])+SUMIF(TRANSHARI1_ACCMALAM[PRODUK],CP73,TRANSHARI1_ACCMALAM[QUANTITY])</f>
        <v>0</v>
      </c>
      <c r="CW73" s="12">
        <f>SUMIF(TRANSHARI2_ACCPAGI[PRODUK],CP73,TRANSHARI2_ACCPAGI[QUANTITY])+SUMIF(TRANSHARI2_ACCMALAM[PRODUK],CP73,TRANSHARI2_ACCMALAM[QUANTITY])</f>
        <v>0</v>
      </c>
      <c r="CX73" s="12">
        <f>SUMIF(TRANSHARI3_ACCPAGI[PRODUK],CP73,TRANSHARI3_ACCPAGI[QUANTITY])+SUMIF(TRANSHARI3_ACCMALAM[PRODUK],CP73,TRANSHARI3_ACCMALAM[QUANTITY])</f>
        <v>0</v>
      </c>
      <c r="CY73" s="12">
        <f>SUMIF(TRANSHARI4_ACCPAGI[PRODUK],CP73,TRANSHARI4_ACCPAGI[QUANTITY])+SUMIF(TRANSHARI4_ACCMALAM[PRODUK],CP73,TRANSHARI4_ACCMALAM[QUANTITY])</f>
        <v>0</v>
      </c>
      <c r="CZ73" s="12">
        <f>SUMIF(TRANSHARI5_ACCPAGI[PRODUK],CP73,TRANSHARI5_ACCPAGI[QUANTITY])+SUMIF(TRANSHARI5_ACCMALAM[PRODUK],CP73,TRANSHARI5_ACCMALAM[QUANTITY])</f>
        <v>0</v>
      </c>
      <c r="DA73" s="12">
        <f>SUMIF(TRANSHARI6_ACCPAGI[PRODUK],CP73,TRANSHARI6_ACCPAGI[QUANTITY])+SUMIF(TRANSHARI6_ACCMALAM[PRODUK],CP73,TRANSHARI6_ACCMALAM[QUANTITY])</f>
        <v>0</v>
      </c>
      <c r="DB73" s="12">
        <f>SUMIF(TRANSHARI7_ACCPAGI[PRODUK],CP73,TRANSHARI7_ACCPAGI[QUANTITY])+SUMIF(TRANSHARI7_ACCMALAM[PRODUK],CP73,TRANSHARI7_ACCMALAM[QUANTITY])</f>
        <v>0</v>
      </c>
      <c r="DC73" s="12">
        <f>SUMIF(TRANSHARI8_ACCPAGI[PRODUK],CP73,TRANSHARI8_ACCPAGI[QUANTITY])+SUMIF(TRANSHARI8_ACCMALAM[PRODUK],CP73,TRANSHARI8_ACCMALAM[QUANTITY])</f>
        <v>0</v>
      </c>
      <c r="DD73" s="12">
        <f>SUMIF(TRANSHARI9_ACCPAGI[PRODUK],CP73,TRANSHARI9_ACCPAGI[QUANTITY])+SUMIF(TRANSHARI9_ACCMALAM[PRODUK],CP73,TRANSHARI9_ACCMALAM[QUANTITY])</f>
        <v>0</v>
      </c>
      <c r="DE73" s="12">
        <f>SUMIF(TRANSHARI10_ACCPAGI[PRODUK],CP73,TRANSHARI10_ACCPAGI[QUANTITY])+SUMIF(TRANSHARI10_ACCMALAM[PRODUK],CP73,TRANSHARI10_ACCMALAM[QUANTITY])</f>
        <v>0</v>
      </c>
      <c r="DF73" s="12">
        <f>SUMIF(TRANSHARI11_ACCPAGI[PRODUK],CP73,TRANSHARI11_ACCPAGI[QUANTITY])+SUMIF(TRANSHARI11_ACCMALAM[PRODUK],CP73,TRANSHARI11_ACCMALAM[QUANTITY])</f>
        <v>0</v>
      </c>
      <c r="DG73" s="12">
        <f t="shared" si="27"/>
        <v>0</v>
      </c>
      <c r="DH73" s="12">
        <f t="shared" si="28"/>
        <v>0</v>
      </c>
      <c r="DI73" s="173">
        <f t="shared" si="31"/>
        <v>0</v>
      </c>
    </row>
    <row r="74" ht="18" spans="4:113">
      <c r="D74" s="117">
        <v>1</v>
      </c>
      <c r="E74" s="118">
        <f>'HARI 1'!L58+'HARI 1'!AA58</f>
        <v>0</v>
      </c>
      <c r="F74" s="118">
        <f>'HARI 1'!L59+'HARI 1'!AA59</f>
        <v>0</v>
      </c>
      <c r="G74" s="119">
        <f>'HARI 1'!L60+'HARI 1'!AA60</f>
        <v>0</v>
      </c>
      <c r="AE74" s="174" t="str">
        <f>'DATA PRODUK'!R71</f>
        <v>V. SMART 6 / 7hr</v>
      </c>
      <c r="AF74" s="178">
        <f>'DATA PRODUK'!S71</f>
        <v>16000</v>
      </c>
      <c r="AG74" s="152"/>
      <c r="AH74" s="152"/>
      <c r="AI74" s="152"/>
      <c r="AJ74" s="152"/>
      <c r="AK74" s="152">
        <f>SUMIF(TRANSHARI1_SPVOUPAGI[PRODUK],AE74,TRANSHARI1_SPVOUPAGI[QUANTITY])+SUMIF(TRANSHARI1_SPVOUMALAM[PRODUK],AE74,TRANSHARI1_SPVOUMALAM[QUANTITY])</f>
        <v>0</v>
      </c>
      <c r="AL74" s="152">
        <f>SUMIF(TRANSHARI2_SPVOUPAGI[PRODUK],AE74,TRANSHARI2_SPVOUPAGI[QUANTITY])+SUMIF(TRANSHARI2_SPVOUMALAM[PRODUK],AE74,TRANSHARI2_SPVOUMALAM[QUANTITY])</f>
        <v>0</v>
      </c>
      <c r="AM74" s="152">
        <f>SUMIF(TRANSHARI3_SPVOUPAGI[PRODUK],AE74,TRANSHARI3_SPVOUPAGI[QUANTITY])+SUMIF(TRANSHARI3_SPVOUMALAM[PRODUK],AE74,TRANSHARI3_SPVOUMALAM[QUANTITY])</f>
        <v>0</v>
      </c>
      <c r="AN74" s="152">
        <f>SUMIF(TRANSHARI4_SPVOUPAGI[PRODUK],AE74,TRANSHARI4_SPVOUPAGI[QUANTITY])+SUMIF(TRANSHARI4_SPVOUMALAM[PRODUK],AE74,TRANSHARI4_SPVOUMALAM[QUANTITY])</f>
        <v>0</v>
      </c>
      <c r="AO74" s="152">
        <f>SUMIF(TRANSHARI5_SPVOUPAGI[PRODUK],AE74,TRANSHARI5_SPVOUPAGI[QUANTITY])+SUMIF(TRANSHARI5_SPVOUMALAM[PRODUK],AE74,TRANSHARI5_SPVOUMALAM[QUANTITY])</f>
        <v>0</v>
      </c>
      <c r="AP74" s="152">
        <f>SUMIF(TRANSHARI6_SPVOUPAGI[PRODUK],AE74,TRANSHARI6_SPVOUPAGI[QUANTITY])+SUMIF(TRANSHARI6_SPVOUMALAM[PRODUK],AE74,TRANSHARI6_SPVOUMALAM[QUANTITY])</f>
        <v>0</v>
      </c>
      <c r="AQ74" s="152">
        <f>SUMIF(TRANSHARI7_SPVOUPAGI[PRODUK],AE74,TRANSHARI7_SPVOUPAGI[QUANTITY])+SUMIF(TRANSHARI7_SPVOUMALAM[PRODUK],AE74,TRANSHARI7_SPVOUMALAM[QUANTITY])</f>
        <v>0</v>
      </c>
      <c r="AR74" s="152">
        <f>SUMIF(TRANSHARI8_SPVOUPAGI[PRODUK],AE74,TRANSHARI8_SPVOUPAGI[QUANTITY])+SUMIF(TRANSHARI8_SPVOUMALAM[PRODUK],AE74,TRANSHARI8_SPVOUMALAM[QUANTITY])</f>
        <v>0</v>
      </c>
      <c r="AS74" s="152">
        <f>SUMIF(TRANSHARI9_SPVOUPAGI[PRODUK],AE74,TRANSHARI9_SPVOUPAGI[QUANTITY])+SUMIF(TRANSHARI9_SPVOUMALAM[PRODUK],AE74,TRANSHARI9_SPVOUMALAM[QUANTITY])</f>
        <v>0</v>
      </c>
      <c r="AT74" s="152">
        <f>SUMIF(TRANSHARI10_SPVOUPAGI[PRODUK],AE74,TRANSHARI10_SPVOUPAGI[QUANTITY])+SUMIF(TRANSHARI10_SPVOUMALAM[PRODUK],AE74,TRANSHARI10_SPVOUMALAM[QUANTITY])</f>
        <v>0</v>
      </c>
      <c r="AU74" s="152">
        <f>SUMIF(TRANSHARI11_SPVOUPAGI[PRODUK],AE74,TRANSHARI11_SPVOUPAGI[QUANTITY])+SUMIF(TRANSHARI11_SPVOUMALAM[PRODUK],AE74,TRANSHARI11_SPVOUMALAM[QUANTITY])</f>
        <v>0</v>
      </c>
      <c r="AV74" s="152">
        <f t="shared" si="30"/>
        <v>0</v>
      </c>
      <c r="AW74" s="152">
        <f t="shared" si="23"/>
        <v>0</v>
      </c>
      <c r="AX74" s="176">
        <f t="shared" si="5"/>
        <v>0</v>
      </c>
      <c r="CP74" s="174" t="str">
        <f>'DATA PRODUK'!BH71</f>
        <v>(POWERBANK)(10.000mAH) Rexi MI10</v>
      </c>
      <c r="CQ74" s="178">
        <f>'DATA PRODUK'!BI71</f>
        <v>135000</v>
      </c>
      <c r="CR74" s="152"/>
      <c r="CS74" s="152"/>
      <c r="CT74" s="152"/>
      <c r="CU74" s="152"/>
      <c r="CV74" s="152">
        <f>SUMIF(TRANSHARI1_ACCPAGI[PRODUK],CP74,TRANSHARI1_ACCPAGI[QUANTITY])+SUMIF(TRANSHARI1_ACCMALAM[PRODUK],CP74,TRANSHARI1_ACCMALAM[QUANTITY])</f>
        <v>0</v>
      </c>
      <c r="CW74" s="152">
        <f>SUMIF(TRANSHARI2_ACCPAGI[PRODUK],CP74,TRANSHARI2_ACCPAGI[QUANTITY])+SUMIF(TRANSHARI2_ACCMALAM[PRODUK],CP74,TRANSHARI2_ACCMALAM[QUANTITY])</f>
        <v>0</v>
      </c>
      <c r="CX74" s="152">
        <f>SUMIF(TRANSHARI3_ACCPAGI[PRODUK],CP74,TRANSHARI3_ACCPAGI[QUANTITY])+SUMIF(TRANSHARI3_ACCMALAM[PRODUK],CP74,TRANSHARI3_ACCMALAM[QUANTITY])</f>
        <v>0</v>
      </c>
      <c r="CY74" s="152">
        <f>SUMIF(TRANSHARI4_ACCPAGI[PRODUK],CP74,TRANSHARI4_ACCPAGI[QUANTITY])+SUMIF(TRANSHARI4_ACCMALAM[PRODUK],CP74,TRANSHARI4_ACCMALAM[QUANTITY])</f>
        <v>0</v>
      </c>
      <c r="CZ74" s="152">
        <f>SUMIF(TRANSHARI5_ACCPAGI[PRODUK],CP74,TRANSHARI5_ACCPAGI[QUANTITY])+SUMIF(TRANSHARI5_ACCMALAM[PRODUK],CP74,TRANSHARI5_ACCMALAM[QUANTITY])</f>
        <v>0</v>
      </c>
      <c r="DA74" s="152">
        <f>SUMIF(TRANSHARI6_ACCPAGI[PRODUK],CP74,TRANSHARI6_ACCPAGI[QUANTITY])+SUMIF(TRANSHARI6_ACCMALAM[PRODUK],CP74,TRANSHARI6_ACCMALAM[QUANTITY])</f>
        <v>0</v>
      </c>
      <c r="DB74" s="152">
        <f>SUMIF(TRANSHARI7_ACCPAGI[PRODUK],CP74,TRANSHARI7_ACCPAGI[QUANTITY])+SUMIF(TRANSHARI7_ACCMALAM[PRODUK],CP74,TRANSHARI7_ACCMALAM[QUANTITY])</f>
        <v>0</v>
      </c>
      <c r="DC74" s="152">
        <f>SUMIF(TRANSHARI8_ACCPAGI[PRODUK],CP74,TRANSHARI8_ACCPAGI[QUANTITY])+SUMIF(TRANSHARI8_ACCMALAM[PRODUK],CP74,TRANSHARI8_ACCMALAM[QUANTITY])</f>
        <v>0</v>
      </c>
      <c r="DD74" s="152">
        <f>SUMIF(TRANSHARI9_ACCPAGI[PRODUK],CP74,TRANSHARI9_ACCPAGI[QUANTITY])+SUMIF(TRANSHARI9_ACCMALAM[PRODUK],CP74,TRANSHARI9_ACCMALAM[QUANTITY])</f>
        <v>0</v>
      </c>
      <c r="DE74" s="152">
        <f>SUMIF(TRANSHARI10_ACCPAGI[PRODUK],CP74,TRANSHARI10_ACCPAGI[QUANTITY])+SUMIF(TRANSHARI10_ACCMALAM[PRODUK],CP74,TRANSHARI10_ACCMALAM[QUANTITY])</f>
        <v>0</v>
      </c>
      <c r="DF74" s="152">
        <f>SUMIF(TRANSHARI11_ACCPAGI[PRODUK],CP74,TRANSHARI11_ACCPAGI[QUANTITY])+SUMIF(TRANSHARI11_ACCMALAM[PRODUK],CP74,TRANSHARI11_ACCMALAM[QUANTITY])</f>
        <v>0</v>
      </c>
      <c r="DG74" s="152">
        <f t="shared" si="27"/>
        <v>0</v>
      </c>
      <c r="DH74" s="152">
        <f t="shared" si="28"/>
        <v>0</v>
      </c>
      <c r="DI74" s="176">
        <f t="shared" si="31"/>
        <v>0</v>
      </c>
    </row>
    <row r="75" ht="18" spans="4:113">
      <c r="D75" s="120">
        <v>2</v>
      </c>
      <c r="E75" s="121">
        <f>'HARI 2'!L58+'HARI 2'!AA58</f>
        <v>0</v>
      </c>
      <c r="F75" s="122">
        <f>'HARI 2'!L59+'HARI 2'!AA59</f>
        <v>0</v>
      </c>
      <c r="G75" s="122">
        <f>'HARI 2'!L60+'HARI 2'!AA60</f>
        <v>0</v>
      </c>
      <c r="AE75" s="177" t="str">
        <f>'DATA PRODUK'!R72</f>
        <v>V. SMART 11 GB</v>
      </c>
      <c r="AF75" s="175">
        <f>'DATA PRODUK'!S72</f>
        <v>23000</v>
      </c>
      <c r="AG75" s="12"/>
      <c r="AH75" s="12"/>
      <c r="AI75" s="12"/>
      <c r="AJ75" s="12"/>
      <c r="AK75" s="12">
        <f>SUMIF(TRANSHARI1_SPVOUPAGI[PRODUK],AE75,TRANSHARI1_SPVOUPAGI[QUANTITY])+SUMIF(TRANSHARI1_SPVOUMALAM[PRODUK],AE75,TRANSHARI1_SPVOUMALAM[QUANTITY])</f>
        <v>0</v>
      </c>
      <c r="AL75" s="12">
        <f>SUMIF(TRANSHARI2_SPVOUPAGI[PRODUK],AE75,TRANSHARI2_SPVOUPAGI[QUANTITY])+SUMIF(TRANSHARI2_SPVOUMALAM[PRODUK],AE75,TRANSHARI2_SPVOUMALAM[QUANTITY])</f>
        <v>0</v>
      </c>
      <c r="AM75" s="12">
        <f>SUMIF(TRANSHARI3_SPVOUPAGI[PRODUK],AE75,TRANSHARI3_SPVOUPAGI[QUANTITY])+SUMIF(TRANSHARI3_SPVOUMALAM[PRODUK],AE75,TRANSHARI3_SPVOUMALAM[QUANTITY])</f>
        <v>0</v>
      </c>
      <c r="AN75" s="12">
        <f>SUMIF(TRANSHARI4_SPVOUPAGI[PRODUK],AE75,TRANSHARI4_SPVOUPAGI[QUANTITY])+SUMIF(TRANSHARI4_SPVOUMALAM[PRODUK],AE75,TRANSHARI4_SPVOUMALAM[QUANTITY])</f>
        <v>0</v>
      </c>
      <c r="AO75" s="12">
        <f>SUMIF(TRANSHARI5_SPVOUPAGI[PRODUK],AE75,TRANSHARI5_SPVOUPAGI[QUANTITY])+SUMIF(TRANSHARI5_SPVOUMALAM[PRODUK],AE75,TRANSHARI5_SPVOUMALAM[QUANTITY])</f>
        <v>0</v>
      </c>
      <c r="AP75" s="12">
        <f>SUMIF(TRANSHARI6_SPVOUPAGI[PRODUK],AE75,TRANSHARI6_SPVOUPAGI[QUANTITY])+SUMIF(TRANSHARI6_SPVOUMALAM[PRODUK],AE75,TRANSHARI6_SPVOUMALAM[QUANTITY])</f>
        <v>0</v>
      </c>
      <c r="AQ75" s="12">
        <f>SUMIF(TRANSHARI7_SPVOUPAGI[PRODUK],AE75,TRANSHARI7_SPVOUPAGI[QUANTITY])+SUMIF(TRANSHARI7_SPVOUMALAM[PRODUK],AE75,TRANSHARI7_SPVOUMALAM[QUANTITY])</f>
        <v>0</v>
      </c>
      <c r="AR75" s="12">
        <f>SUMIF(TRANSHARI8_SPVOUPAGI[PRODUK],AE75,TRANSHARI8_SPVOUPAGI[QUANTITY])+SUMIF(TRANSHARI8_SPVOUMALAM[PRODUK],AE75,TRANSHARI8_SPVOUMALAM[QUANTITY])</f>
        <v>0</v>
      </c>
      <c r="AS75" s="12">
        <f>SUMIF(TRANSHARI9_SPVOUPAGI[PRODUK],AE75,TRANSHARI9_SPVOUPAGI[QUANTITY])+SUMIF(TRANSHARI9_SPVOUMALAM[PRODUK],AE75,TRANSHARI9_SPVOUMALAM[QUANTITY])</f>
        <v>0</v>
      </c>
      <c r="AT75" s="12">
        <f>SUMIF(TRANSHARI10_SPVOUPAGI[PRODUK],AE75,TRANSHARI10_SPVOUPAGI[QUANTITY])+SUMIF(TRANSHARI10_SPVOUMALAM[PRODUK],AE75,TRANSHARI10_SPVOUMALAM[QUANTITY])</f>
        <v>0</v>
      </c>
      <c r="AU75" s="12">
        <f>SUMIF(TRANSHARI11_SPVOUPAGI[PRODUK],AE75,TRANSHARI11_SPVOUPAGI[QUANTITY])+SUMIF(TRANSHARI11_SPVOUMALAM[PRODUK],AE75,TRANSHARI11_SPVOUMALAM[QUANTITY])</f>
        <v>0</v>
      </c>
      <c r="AV75" s="12">
        <f t="shared" si="30"/>
        <v>0</v>
      </c>
      <c r="AW75" s="12">
        <f t="shared" si="23"/>
        <v>0</v>
      </c>
      <c r="AX75" s="173">
        <f t="shared" si="5"/>
        <v>0</v>
      </c>
      <c r="CP75" s="177" t="str">
        <f>'DATA PRODUK'!BH72</f>
        <v>(POWERBANK)(10.000mAH) Robot RT12</v>
      </c>
      <c r="CQ75" s="175">
        <f>'DATA PRODUK'!BI72</f>
        <v>145000</v>
      </c>
      <c r="CR75" s="12"/>
      <c r="CS75" s="12"/>
      <c r="CT75" s="12"/>
      <c r="CU75" s="12"/>
      <c r="CV75" s="12">
        <f>SUMIF(TRANSHARI1_ACCPAGI[PRODUK],CP75,TRANSHARI1_ACCPAGI[QUANTITY])+SUMIF(TRANSHARI1_ACCMALAM[PRODUK],CP75,TRANSHARI1_ACCMALAM[QUANTITY])</f>
        <v>0</v>
      </c>
      <c r="CW75" s="12">
        <f>SUMIF(TRANSHARI2_ACCPAGI[PRODUK],CP75,TRANSHARI2_ACCPAGI[QUANTITY])+SUMIF(TRANSHARI2_ACCMALAM[PRODUK],CP75,TRANSHARI2_ACCMALAM[QUANTITY])</f>
        <v>0</v>
      </c>
      <c r="CX75" s="12">
        <f>SUMIF(TRANSHARI3_ACCPAGI[PRODUK],CP75,TRANSHARI3_ACCPAGI[QUANTITY])+SUMIF(TRANSHARI3_ACCMALAM[PRODUK],CP75,TRANSHARI3_ACCMALAM[QUANTITY])</f>
        <v>0</v>
      </c>
      <c r="CY75" s="12">
        <f>SUMIF(TRANSHARI4_ACCPAGI[PRODUK],CP75,TRANSHARI4_ACCPAGI[QUANTITY])+SUMIF(TRANSHARI4_ACCMALAM[PRODUK],CP75,TRANSHARI4_ACCMALAM[QUANTITY])</f>
        <v>0</v>
      </c>
      <c r="CZ75" s="12">
        <f>SUMIF(TRANSHARI5_ACCPAGI[PRODUK],CP75,TRANSHARI5_ACCPAGI[QUANTITY])+SUMIF(TRANSHARI5_ACCMALAM[PRODUK],CP75,TRANSHARI5_ACCMALAM[QUANTITY])</f>
        <v>0</v>
      </c>
      <c r="DA75" s="12">
        <f>SUMIF(TRANSHARI6_ACCPAGI[PRODUK],CP75,TRANSHARI6_ACCPAGI[QUANTITY])+SUMIF(TRANSHARI6_ACCMALAM[PRODUK],CP75,TRANSHARI6_ACCMALAM[QUANTITY])</f>
        <v>0</v>
      </c>
      <c r="DB75" s="12">
        <f>SUMIF(TRANSHARI7_ACCPAGI[PRODUK],CP75,TRANSHARI7_ACCPAGI[QUANTITY])+SUMIF(TRANSHARI7_ACCMALAM[PRODUK],CP75,TRANSHARI7_ACCMALAM[QUANTITY])</f>
        <v>0</v>
      </c>
      <c r="DC75" s="12">
        <f>SUMIF(TRANSHARI8_ACCPAGI[PRODUK],CP75,TRANSHARI8_ACCPAGI[QUANTITY])+SUMIF(TRANSHARI8_ACCMALAM[PRODUK],CP75,TRANSHARI8_ACCMALAM[QUANTITY])</f>
        <v>0</v>
      </c>
      <c r="DD75" s="12">
        <f>SUMIF(TRANSHARI9_ACCPAGI[PRODUK],CP75,TRANSHARI9_ACCPAGI[QUANTITY])+SUMIF(TRANSHARI9_ACCMALAM[PRODUK],CP75,TRANSHARI9_ACCMALAM[QUANTITY])</f>
        <v>0</v>
      </c>
      <c r="DE75" s="12">
        <f>SUMIF(TRANSHARI10_ACCPAGI[PRODUK],CP75,TRANSHARI10_ACCPAGI[QUANTITY])+SUMIF(TRANSHARI10_ACCMALAM[PRODUK],CP75,TRANSHARI10_ACCMALAM[QUANTITY])</f>
        <v>0</v>
      </c>
      <c r="DF75" s="12">
        <f>SUMIF(TRANSHARI11_ACCPAGI[PRODUK],CP75,TRANSHARI11_ACCPAGI[QUANTITY])+SUMIF(TRANSHARI11_ACCMALAM[PRODUK],CP75,TRANSHARI11_ACCMALAM[QUANTITY])</f>
        <v>0</v>
      </c>
      <c r="DG75" s="12">
        <f t="shared" si="27"/>
        <v>0</v>
      </c>
      <c r="DH75" s="12">
        <f t="shared" si="28"/>
        <v>0</v>
      </c>
      <c r="DI75" s="173">
        <f t="shared" si="31"/>
        <v>0</v>
      </c>
    </row>
    <row r="76" ht="18" spans="4:113">
      <c r="D76" s="117">
        <v>3</v>
      </c>
      <c r="E76" s="118">
        <f>'HARI 3'!L58+'HARI 3'!AA58</f>
        <v>0</v>
      </c>
      <c r="F76" s="118">
        <f>'HARI 3'!L59+'HARI 3'!AA59</f>
        <v>0</v>
      </c>
      <c r="G76" s="119">
        <f>'HARI 3'!L60+'HARI 3'!AA60</f>
        <v>0</v>
      </c>
      <c r="AE76" s="174" t="str">
        <f>'DATA PRODUK'!R73</f>
        <v>V. SMART 6 NS (FULL)</v>
      </c>
      <c r="AF76" s="178">
        <f>'DATA PRODUK'!S73</f>
        <v>42000</v>
      </c>
      <c r="AG76" s="152"/>
      <c r="AH76" s="152"/>
      <c r="AI76" s="152"/>
      <c r="AJ76" s="152"/>
      <c r="AK76" s="152">
        <f>SUMIF(TRANSHARI1_SPVOUPAGI[PRODUK],AE76,TRANSHARI1_SPVOUPAGI[QUANTITY])+SUMIF(TRANSHARI1_SPVOUMALAM[PRODUK],AE76,TRANSHARI1_SPVOUMALAM[QUANTITY])</f>
        <v>0</v>
      </c>
      <c r="AL76" s="152">
        <f>SUMIF(TRANSHARI2_SPVOUPAGI[PRODUK],AE76,TRANSHARI2_SPVOUPAGI[QUANTITY])+SUMIF(TRANSHARI2_SPVOUMALAM[PRODUK],AE76,TRANSHARI2_SPVOUMALAM[QUANTITY])</f>
        <v>0</v>
      </c>
      <c r="AM76" s="152">
        <f>SUMIF(TRANSHARI3_SPVOUPAGI[PRODUK],AE76,TRANSHARI3_SPVOUPAGI[QUANTITY])+SUMIF(TRANSHARI3_SPVOUMALAM[PRODUK],AE76,TRANSHARI3_SPVOUMALAM[QUANTITY])</f>
        <v>0</v>
      </c>
      <c r="AN76" s="152">
        <f>SUMIF(TRANSHARI4_SPVOUPAGI[PRODUK],AE76,TRANSHARI4_SPVOUPAGI[QUANTITY])+SUMIF(TRANSHARI4_SPVOUMALAM[PRODUK],AE76,TRANSHARI4_SPVOUMALAM[QUANTITY])</f>
        <v>0</v>
      </c>
      <c r="AO76" s="152">
        <f>SUMIF(TRANSHARI5_SPVOUPAGI[PRODUK],AE76,TRANSHARI5_SPVOUPAGI[QUANTITY])+SUMIF(TRANSHARI5_SPVOUMALAM[PRODUK],AE76,TRANSHARI5_SPVOUMALAM[QUANTITY])</f>
        <v>0</v>
      </c>
      <c r="AP76" s="152">
        <f>SUMIF(TRANSHARI6_SPVOUPAGI[PRODUK],AE76,TRANSHARI6_SPVOUPAGI[QUANTITY])+SUMIF(TRANSHARI6_SPVOUMALAM[PRODUK],AE76,TRANSHARI6_SPVOUMALAM[QUANTITY])</f>
        <v>0</v>
      </c>
      <c r="AQ76" s="152">
        <f>SUMIF(TRANSHARI7_SPVOUPAGI[PRODUK],AE76,TRANSHARI7_SPVOUPAGI[QUANTITY])+SUMIF(TRANSHARI7_SPVOUMALAM[PRODUK],AE76,TRANSHARI7_SPVOUMALAM[QUANTITY])</f>
        <v>0</v>
      </c>
      <c r="AR76" s="152">
        <f>SUMIF(TRANSHARI8_SPVOUPAGI[PRODUK],AE76,TRANSHARI8_SPVOUPAGI[QUANTITY])+SUMIF(TRANSHARI8_SPVOUMALAM[PRODUK],AE76,TRANSHARI8_SPVOUMALAM[QUANTITY])</f>
        <v>0</v>
      </c>
      <c r="AS76" s="152">
        <f>SUMIF(TRANSHARI9_SPVOUPAGI[PRODUK],AE76,TRANSHARI9_SPVOUPAGI[QUANTITY])+SUMIF(TRANSHARI9_SPVOUMALAM[PRODUK],AE76,TRANSHARI9_SPVOUMALAM[QUANTITY])</f>
        <v>0</v>
      </c>
      <c r="AT76" s="152">
        <f>SUMIF(TRANSHARI10_SPVOUPAGI[PRODUK],AE76,TRANSHARI10_SPVOUPAGI[QUANTITY])+SUMIF(TRANSHARI10_SPVOUMALAM[PRODUK],AE76,TRANSHARI10_SPVOUMALAM[QUANTITY])</f>
        <v>0</v>
      </c>
      <c r="AU76" s="152">
        <f>SUMIF(TRANSHARI11_SPVOUPAGI[PRODUK],AE76,TRANSHARI11_SPVOUPAGI[QUANTITY])+SUMIF(TRANSHARI11_SPVOUMALAM[PRODUK],AE76,TRANSHARI11_SPVOUMALAM[QUANTITY])</f>
        <v>0</v>
      </c>
      <c r="AV76" s="152">
        <f t="shared" si="30"/>
        <v>0</v>
      </c>
      <c r="AW76" s="152">
        <f t="shared" si="23"/>
        <v>0</v>
      </c>
      <c r="AX76" s="176">
        <f t="shared" si="5"/>
        <v>0</v>
      </c>
      <c r="CP76" s="174" t="str">
        <f>'DATA PRODUK'!BH73</f>
        <v>(POWERBANK)(10.000mAH) Robot RT180S</v>
      </c>
      <c r="CQ76" s="178">
        <f>'DATA PRODUK'!BI73</f>
        <v>155000</v>
      </c>
      <c r="CR76" s="152"/>
      <c r="CS76" s="152"/>
      <c r="CT76" s="152"/>
      <c r="CU76" s="152"/>
      <c r="CV76" s="152">
        <f>SUMIF(TRANSHARI1_ACCPAGI[PRODUK],CP76,TRANSHARI1_ACCPAGI[QUANTITY])+SUMIF(TRANSHARI1_ACCMALAM[PRODUK],CP76,TRANSHARI1_ACCMALAM[QUANTITY])</f>
        <v>0</v>
      </c>
      <c r="CW76" s="152">
        <f>SUMIF(TRANSHARI2_ACCPAGI[PRODUK],CP76,TRANSHARI2_ACCPAGI[QUANTITY])+SUMIF(TRANSHARI2_ACCMALAM[PRODUK],CP76,TRANSHARI2_ACCMALAM[QUANTITY])</f>
        <v>0</v>
      </c>
      <c r="CX76" s="152">
        <f>SUMIF(TRANSHARI3_ACCPAGI[PRODUK],CP76,TRANSHARI3_ACCPAGI[QUANTITY])+SUMIF(TRANSHARI3_ACCMALAM[PRODUK],CP76,TRANSHARI3_ACCMALAM[QUANTITY])</f>
        <v>0</v>
      </c>
      <c r="CY76" s="152">
        <f>SUMIF(TRANSHARI4_ACCPAGI[PRODUK],CP76,TRANSHARI4_ACCPAGI[QUANTITY])+SUMIF(TRANSHARI4_ACCMALAM[PRODUK],CP76,TRANSHARI4_ACCMALAM[QUANTITY])</f>
        <v>0</v>
      </c>
      <c r="CZ76" s="152">
        <f>SUMIF(TRANSHARI5_ACCPAGI[PRODUK],CP76,TRANSHARI5_ACCPAGI[QUANTITY])+SUMIF(TRANSHARI5_ACCMALAM[PRODUK],CP76,TRANSHARI5_ACCMALAM[QUANTITY])</f>
        <v>0</v>
      </c>
      <c r="DA76" s="152">
        <f>SUMIF(TRANSHARI6_ACCPAGI[PRODUK],CP76,TRANSHARI6_ACCPAGI[QUANTITY])+SUMIF(TRANSHARI6_ACCMALAM[PRODUK],CP76,TRANSHARI6_ACCMALAM[QUANTITY])</f>
        <v>0</v>
      </c>
      <c r="DB76" s="152">
        <f>SUMIF(TRANSHARI7_ACCPAGI[PRODUK],CP76,TRANSHARI7_ACCPAGI[QUANTITY])+SUMIF(TRANSHARI7_ACCMALAM[PRODUK],CP76,TRANSHARI7_ACCMALAM[QUANTITY])</f>
        <v>0</v>
      </c>
      <c r="DC76" s="152">
        <f>SUMIF(TRANSHARI8_ACCPAGI[PRODUK],CP76,TRANSHARI8_ACCPAGI[QUANTITY])+SUMIF(TRANSHARI8_ACCMALAM[PRODUK],CP76,TRANSHARI8_ACCMALAM[QUANTITY])</f>
        <v>0</v>
      </c>
      <c r="DD76" s="152">
        <f>SUMIF(TRANSHARI9_ACCPAGI[PRODUK],CP76,TRANSHARI9_ACCPAGI[QUANTITY])+SUMIF(TRANSHARI9_ACCMALAM[PRODUK],CP76,TRANSHARI9_ACCMALAM[QUANTITY])</f>
        <v>0</v>
      </c>
      <c r="DE76" s="152">
        <f>SUMIF(TRANSHARI10_ACCPAGI[PRODUK],CP76,TRANSHARI10_ACCPAGI[QUANTITY])+SUMIF(TRANSHARI10_ACCMALAM[PRODUK],CP76,TRANSHARI10_ACCMALAM[QUANTITY])</f>
        <v>0</v>
      </c>
      <c r="DF76" s="152">
        <f>SUMIF(TRANSHARI11_ACCPAGI[PRODUK],CP76,TRANSHARI11_ACCPAGI[QUANTITY])+SUMIF(TRANSHARI11_ACCMALAM[PRODUK],CP76,TRANSHARI11_ACCMALAM[QUANTITY])</f>
        <v>0</v>
      </c>
      <c r="DG76" s="152">
        <f t="shared" si="27"/>
        <v>0</v>
      </c>
      <c r="DH76" s="152">
        <f t="shared" si="28"/>
        <v>0</v>
      </c>
      <c r="DI76" s="176">
        <f t="shared" si="31"/>
        <v>0</v>
      </c>
    </row>
    <row r="77" ht="18" spans="4:113">
      <c r="D77" s="120">
        <v>4</v>
      </c>
      <c r="E77" s="121">
        <f>'HARI 4'!L58+'HARI 4'!AA58</f>
        <v>0</v>
      </c>
      <c r="F77" s="122">
        <f>'HARI 4'!L59+'HARI 4'!AA59</f>
        <v>0</v>
      </c>
      <c r="G77" s="122">
        <f>'HARI 4'!L60+'HARI 4'!AA60</f>
        <v>0</v>
      </c>
      <c r="AE77" s="177" t="str">
        <f>'DATA PRODUK'!R74</f>
        <v>V. SMART 50 GB</v>
      </c>
      <c r="AF77" s="175">
        <f>'DATA PRODUK'!S74</f>
        <v>59000</v>
      </c>
      <c r="AG77" s="12"/>
      <c r="AH77" s="12"/>
      <c r="AI77" s="12"/>
      <c r="AJ77" s="12"/>
      <c r="AK77" s="12">
        <f>SUMIF(TRANSHARI1_SPVOUPAGI[PRODUK],AE77,TRANSHARI1_SPVOUPAGI[QUANTITY])+SUMIF(TRANSHARI1_SPVOUMALAM[PRODUK],AE77,TRANSHARI1_SPVOUMALAM[QUANTITY])</f>
        <v>0</v>
      </c>
      <c r="AL77" s="12">
        <f>SUMIF(TRANSHARI2_SPVOUPAGI[PRODUK],AE77,TRANSHARI2_SPVOUPAGI[QUANTITY])+SUMIF(TRANSHARI2_SPVOUMALAM[PRODUK],AE77,TRANSHARI2_SPVOUMALAM[QUANTITY])</f>
        <v>0</v>
      </c>
      <c r="AM77" s="12">
        <f>SUMIF(TRANSHARI3_SPVOUPAGI[PRODUK],AE77,TRANSHARI3_SPVOUPAGI[QUANTITY])+SUMIF(TRANSHARI3_SPVOUMALAM[PRODUK],AE77,TRANSHARI3_SPVOUMALAM[QUANTITY])</f>
        <v>0</v>
      </c>
      <c r="AN77" s="12">
        <f>SUMIF(TRANSHARI4_SPVOUPAGI[PRODUK],AE77,TRANSHARI4_SPVOUPAGI[QUANTITY])+SUMIF(TRANSHARI4_SPVOUMALAM[PRODUK],AE77,TRANSHARI4_SPVOUMALAM[QUANTITY])</f>
        <v>0</v>
      </c>
      <c r="AO77" s="12">
        <f>SUMIF(TRANSHARI5_SPVOUPAGI[PRODUK],AE77,TRANSHARI5_SPVOUPAGI[QUANTITY])+SUMIF(TRANSHARI5_SPVOUMALAM[PRODUK],AE77,TRANSHARI5_SPVOUMALAM[QUANTITY])</f>
        <v>0</v>
      </c>
      <c r="AP77" s="12">
        <f>SUMIF(TRANSHARI6_SPVOUPAGI[PRODUK],AE77,TRANSHARI6_SPVOUPAGI[QUANTITY])+SUMIF(TRANSHARI6_SPVOUMALAM[PRODUK],AE77,TRANSHARI6_SPVOUMALAM[QUANTITY])</f>
        <v>0</v>
      </c>
      <c r="AQ77" s="12">
        <f>SUMIF(TRANSHARI7_SPVOUPAGI[PRODUK],AE77,TRANSHARI7_SPVOUPAGI[QUANTITY])+SUMIF(TRANSHARI7_SPVOUMALAM[PRODUK],AE77,TRANSHARI7_SPVOUMALAM[QUANTITY])</f>
        <v>0</v>
      </c>
      <c r="AR77" s="12">
        <f>SUMIF(TRANSHARI8_SPVOUPAGI[PRODUK],AE77,TRANSHARI8_SPVOUPAGI[QUANTITY])+SUMIF(TRANSHARI8_SPVOUMALAM[PRODUK],AE77,TRANSHARI8_SPVOUMALAM[QUANTITY])</f>
        <v>0</v>
      </c>
      <c r="AS77" s="12">
        <f>SUMIF(TRANSHARI9_SPVOUPAGI[PRODUK],AE77,TRANSHARI9_SPVOUPAGI[QUANTITY])+SUMIF(TRANSHARI9_SPVOUMALAM[PRODUK],AE77,TRANSHARI9_SPVOUMALAM[QUANTITY])</f>
        <v>0</v>
      </c>
      <c r="AT77" s="12">
        <f>SUMIF(TRANSHARI10_SPVOUPAGI[PRODUK],AE77,TRANSHARI10_SPVOUPAGI[QUANTITY])+SUMIF(TRANSHARI10_SPVOUMALAM[PRODUK],AE77,TRANSHARI10_SPVOUMALAM[QUANTITY])</f>
        <v>0</v>
      </c>
      <c r="AU77" s="12">
        <f>SUMIF(TRANSHARI11_SPVOUPAGI[PRODUK],AE77,TRANSHARI11_SPVOUPAGI[QUANTITY])+SUMIF(TRANSHARI11_SPVOUMALAM[PRODUK],AE77,TRANSHARI11_SPVOUMALAM[QUANTITY])</f>
        <v>0</v>
      </c>
      <c r="AV77" s="12">
        <f t="shared" si="30"/>
        <v>0</v>
      </c>
      <c r="AW77" s="12">
        <f t="shared" si="23"/>
        <v>0</v>
      </c>
      <c r="AX77" s="173">
        <f t="shared" si="5"/>
        <v>0</v>
      </c>
      <c r="CP77" s="177" t="str">
        <f>'DATA PRODUK'!BH74</f>
        <v>(POWERBANK)(10.000mAH) Olike P102</v>
      </c>
      <c r="CQ77" s="175">
        <f>'DATA PRODUK'!BI74</f>
        <v>165000</v>
      </c>
      <c r="CR77" s="12"/>
      <c r="CS77" s="12"/>
      <c r="CT77" s="12"/>
      <c r="CU77" s="12"/>
      <c r="CV77" s="12">
        <f>SUMIF(TRANSHARI1_ACCPAGI[PRODUK],CP77,TRANSHARI1_ACCPAGI[QUANTITY])+SUMIF(TRANSHARI1_ACCMALAM[PRODUK],CP77,TRANSHARI1_ACCMALAM[QUANTITY])</f>
        <v>0</v>
      </c>
      <c r="CW77" s="12">
        <f>SUMIF(TRANSHARI2_ACCPAGI[PRODUK],CP77,TRANSHARI2_ACCPAGI[QUANTITY])+SUMIF(TRANSHARI2_ACCMALAM[PRODUK],CP77,TRANSHARI2_ACCMALAM[QUANTITY])</f>
        <v>0</v>
      </c>
      <c r="CX77" s="12">
        <f>SUMIF(TRANSHARI3_ACCPAGI[PRODUK],CP77,TRANSHARI3_ACCPAGI[QUANTITY])+SUMIF(TRANSHARI3_ACCMALAM[PRODUK],CP77,TRANSHARI3_ACCMALAM[QUANTITY])</f>
        <v>0</v>
      </c>
      <c r="CY77" s="12">
        <f>SUMIF(TRANSHARI4_ACCPAGI[PRODUK],CP77,TRANSHARI4_ACCPAGI[QUANTITY])+SUMIF(TRANSHARI4_ACCMALAM[PRODUK],CP77,TRANSHARI4_ACCMALAM[QUANTITY])</f>
        <v>0</v>
      </c>
      <c r="CZ77" s="12">
        <f>SUMIF(TRANSHARI5_ACCPAGI[PRODUK],CP77,TRANSHARI5_ACCPAGI[QUANTITY])+SUMIF(TRANSHARI5_ACCMALAM[PRODUK],CP77,TRANSHARI5_ACCMALAM[QUANTITY])</f>
        <v>0</v>
      </c>
      <c r="DA77" s="12">
        <f>SUMIF(TRANSHARI6_ACCPAGI[PRODUK],CP77,TRANSHARI6_ACCPAGI[QUANTITY])+SUMIF(TRANSHARI6_ACCMALAM[PRODUK],CP77,TRANSHARI6_ACCMALAM[QUANTITY])</f>
        <v>0</v>
      </c>
      <c r="DB77" s="12">
        <f>SUMIF(TRANSHARI7_ACCPAGI[PRODUK],CP77,TRANSHARI7_ACCPAGI[QUANTITY])+SUMIF(TRANSHARI7_ACCMALAM[PRODUK],CP77,TRANSHARI7_ACCMALAM[QUANTITY])</f>
        <v>0</v>
      </c>
      <c r="DC77" s="12">
        <f>SUMIF(TRANSHARI8_ACCPAGI[PRODUK],CP77,TRANSHARI8_ACCPAGI[QUANTITY])+SUMIF(TRANSHARI8_ACCMALAM[PRODUK],CP77,TRANSHARI8_ACCMALAM[QUANTITY])</f>
        <v>0</v>
      </c>
      <c r="DD77" s="12">
        <f>SUMIF(TRANSHARI9_ACCPAGI[PRODUK],CP77,TRANSHARI9_ACCPAGI[QUANTITY])+SUMIF(TRANSHARI9_ACCMALAM[PRODUK],CP77,TRANSHARI9_ACCMALAM[QUANTITY])</f>
        <v>0</v>
      </c>
      <c r="DE77" s="12">
        <f>SUMIF(TRANSHARI10_ACCPAGI[PRODUK],CP77,TRANSHARI10_ACCPAGI[QUANTITY])+SUMIF(TRANSHARI10_ACCMALAM[PRODUK],CP77,TRANSHARI10_ACCMALAM[QUANTITY])</f>
        <v>0</v>
      </c>
      <c r="DF77" s="12">
        <f>SUMIF(TRANSHARI11_ACCPAGI[PRODUK],CP77,TRANSHARI11_ACCPAGI[QUANTITY])+SUMIF(TRANSHARI11_ACCMALAM[PRODUK],CP77,TRANSHARI11_ACCMALAM[QUANTITY])</f>
        <v>0</v>
      </c>
      <c r="DG77" s="12">
        <f t="shared" si="27"/>
        <v>0</v>
      </c>
      <c r="DH77" s="12">
        <f t="shared" si="28"/>
        <v>0</v>
      </c>
      <c r="DI77" s="173">
        <f t="shared" si="31"/>
        <v>0</v>
      </c>
    </row>
    <row r="78" ht="18" spans="4:113">
      <c r="D78" s="117">
        <v>5</v>
      </c>
      <c r="E78" s="118">
        <f>'HARI 5'!L58+'HARI 5'!AA58</f>
        <v>0</v>
      </c>
      <c r="F78" s="118">
        <f>'HARI 5'!L59+'HARI 5'!AA59</f>
        <v>0</v>
      </c>
      <c r="G78" s="119">
        <f>'HARI 5'!L60+'HARI 5'!AA60</f>
        <v>0</v>
      </c>
      <c r="AE78" s="218" t="str">
        <f>'DATA PRODUK'!R75</f>
        <v>V. SMART MAXI</v>
      </c>
      <c r="AF78" s="219">
        <f>'DATA PRODUK'!S75</f>
        <v>63000</v>
      </c>
      <c r="AG78" s="154"/>
      <c r="AH78" s="154"/>
      <c r="AI78" s="154"/>
      <c r="AJ78" s="154"/>
      <c r="AK78" s="154">
        <f>SUMIF(TRANSHARI1_SPVOUPAGI[PRODUK],AE78,TRANSHARI1_SPVOUPAGI[QUANTITY])+SUMIF(TRANSHARI1_SPVOUMALAM[PRODUK],AE78,TRANSHARI1_SPVOUMALAM[QUANTITY])</f>
        <v>0</v>
      </c>
      <c r="AL78" s="154">
        <f>SUMIF(TRANSHARI2_SPVOUPAGI[PRODUK],AE78,TRANSHARI2_SPVOUPAGI[QUANTITY])+SUMIF(TRANSHARI2_SPVOUMALAM[PRODUK],AE78,TRANSHARI2_SPVOUMALAM[QUANTITY])</f>
        <v>0</v>
      </c>
      <c r="AM78" s="154">
        <f>SUMIF(TRANSHARI3_SPVOUPAGI[PRODUK],AE78,TRANSHARI3_SPVOUPAGI[QUANTITY])+SUMIF(TRANSHARI3_SPVOUMALAM[PRODUK],AE78,TRANSHARI3_SPVOUMALAM[QUANTITY])</f>
        <v>0</v>
      </c>
      <c r="AN78" s="154">
        <f>SUMIF(TRANSHARI4_SPVOUPAGI[PRODUK],AE78,TRANSHARI4_SPVOUPAGI[QUANTITY])+SUMIF(TRANSHARI4_SPVOUMALAM[PRODUK],AE78,TRANSHARI4_SPVOUMALAM[QUANTITY])</f>
        <v>0</v>
      </c>
      <c r="AO78" s="154">
        <f>SUMIF(TRANSHARI5_SPVOUPAGI[PRODUK],AE78,TRANSHARI5_SPVOUPAGI[QUANTITY])+SUMIF(TRANSHARI5_SPVOUMALAM[PRODUK],AE78,TRANSHARI5_SPVOUMALAM[QUANTITY])</f>
        <v>0</v>
      </c>
      <c r="AP78" s="154">
        <f>SUMIF(TRANSHARI6_SPVOUPAGI[PRODUK],AE78,TRANSHARI6_SPVOUPAGI[QUANTITY])+SUMIF(TRANSHARI6_SPVOUMALAM[PRODUK],AE78,TRANSHARI6_SPVOUMALAM[QUANTITY])</f>
        <v>0</v>
      </c>
      <c r="AQ78" s="154">
        <f>SUMIF(TRANSHARI7_SPVOUPAGI[PRODUK],AE78,TRANSHARI7_SPVOUPAGI[QUANTITY])+SUMIF(TRANSHARI7_SPVOUMALAM[PRODUK],AE78,TRANSHARI7_SPVOUMALAM[QUANTITY])</f>
        <v>0</v>
      </c>
      <c r="AR78" s="154">
        <f>SUMIF(TRANSHARI8_SPVOUPAGI[PRODUK],AE78,TRANSHARI8_SPVOUPAGI[QUANTITY])+SUMIF(TRANSHARI8_SPVOUMALAM[PRODUK],AE78,TRANSHARI8_SPVOUMALAM[QUANTITY])</f>
        <v>0</v>
      </c>
      <c r="AS78" s="154">
        <f>SUMIF(TRANSHARI9_SPVOUPAGI[PRODUK],AE78,TRANSHARI9_SPVOUPAGI[QUANTITY])+SUMIF(TRANSHARI9_SPVOUMALAM[PRODUK],AE78,TRANSHARI9_SPVOUMALAM[QUANTITY])</f>
        <v>0</v>
      </c>
      <c r="AT78" s="154">
        <f>SUMIF(TRANSHARI10_SPVOUPAGI[PRODUK],AE78,TRANSHARI10_SPVOUPAGI[QUANTITY])+SUMIF(TRANSHARI10_SPVOUMALAM[PRODUK],AE78,TRANSHARI10_SPVOUMALAM[QUANTITY])</f>
        <v>0</v>
      </c>
      <c r="AU78" s="154">
        <f>SUMIF(TRANSHARI11_SPVOUPAGI[PRODUK],AE78,TRANSHARI11_SPVOUPAGI[QUANTITY])+SUMIF(TRANSHARI11_SPVOUMALAM[PRODUK],AE78,TRANSHARI11_SPVOUMALAM[QUANTITY])</f>
        <v>0</v>
      </c>
      <c r="AV78" s="154">
        <f t="shared" si="30"/>
        <v>0</v>
      </c>
      <c r="AW78" s="154">
        <f t="shared" si="23"/>
        <v>0</v>
      </c>
      <c r="AX78" s="179">
        <f t="shared" si="5"/>
        <v>0</v>
      </c>
      <c r="CP78" s="174" t="str">
        <f>'DATA PRODUK'!BH75</f>
        <v>(POWERBANK)(10.000mAH) Robot RT190S</v>
      </c>
      <c r="CQ78" s="178">
        <f>'DATA PRODUK'!BI75</f>
        <v>175000</v>
      </c>
      <c r="CR78" s="152"/>
      <c r="CS78" s="152"/>
      <c r="CT78" s="152"/>
      <c r="CU78" s="152"/>
      <c r="CV78" s="152">
        <f>SUMIF(TRANSHARI1_ACCPAGI[PRODUK],CP78,TRANSHARI1_ACCPAGI[QUANTITY])+SUMIF(TRANSHARI1_ACCMALAM[PRODUK],CP78,TRANSHARI1_ACCMALAM[QUANTITY])</f>
        <v>0</v>
      </c>
      <c r="CW78" s="152">
        <f>SUMIF(TRANSHARI2_ACCPAGI[PRODUK],CP78,TRANSHARI2_ACCPAGI[QUANTITY])+SUMIF(TRANSHARI2_ACCMALAM[PRODUK],CP78,TRANSHARI2_ACCMALAM[QUANTITY])</f>
        <v>0</v>
      </c>
      <c r="CX78" s="152">
        <f>SUMIF(TRANSHARI3_ACCPAGI[PRODUK],CP78,TRANSHARI3_ACCPAGI[QUANTITY])+SUMIF(TRANSHARI3_ACCMALAM[PRODUK],CP78,TRANSHARI3_ACCMALAM[QUANTITY])</f>
        <v>0</v>
      </c>
      <c r="CY78" s="152">
        <f>SUMIF(TRANSHARI4_ACCPAGI[PRODUK],CP78,TRANSHARI4_ACCPAGI[QUANTITY])+SUMIF(TRANSHARI4_ACCMALAM[PRODUK],CP78,TRANSHARI4_ACCMALAM[QUANTITY])</f>
        <v>0</v>
      </c>
      <c r="CZ78" s="152">
        <f>SUMIF(TRANSHARI5_ACCPAGI[PRODUK],CP78,TRANSHARI5_ACCPAGI[QUANTITY])+SUMIF(TRANSHARI5_ACCMALAM[PRODUK],CP78,TRANSHARI5_ACCMALAM[QUANTITY])</f>
        <v>0</v>
      </c>
      <c r="DA78" s="152">
        <f>SUMIF(TRANSHARI6_ACCPAGI[PRODUK],CP78,TRANSHARI6_ACCPAGI[QUANTITY])+SUMIF(TRANSHARI6_ACCMALAM[PRODUK],CP78,TRANSHARI6_ACCMALAM[QUANTITY])</f>
        <v>0</v>
      </c>
      <c r="DB78" s="152">
        <f>SUMIF(TRANSHARI7_ACCPAGI[PRODUK],CP78,TRANSHARI7_ACCPAGI[QUANTITY])+SUMIF(TRANSHARI7_ACCMALAM[PRODUK],CP78,TRANSHARI7_ACCMALAM[QUANTITY])</f>
        <v>0</v>
      </c>
      <c r="DC78" s="152">
        <f>SUMIF(TRANSHARI8_ACCPAGI[PRODUK],CP78,TRANSHARI8_ACCPAGI[QUANTITY])+SUMIF(TRANSHARI8_ACCMALAM[PRODUK],CP78,TRANSHARI8_ACCMALAM[QUANTITY])</f>
        <v>0</v>
      </c>
      <c r="DD78" s="152">
        <f>SUMIF(TRANSHARI9_ACCPAGI[PRODUK],CP78,TRANSHARI9_ACCPAGI[QUANTITY])+SUMIF(TRANSHARI9_ACCMALAM[PRODUK],CP78,TRANSHARI9_ACCMALAM[QUANTITY])</f>
        <v>0</v>
      </c>
      <c r="DE78" s="152">
        <f>SUMIF(TRANSHARI10_ACCPAGI[PRODUK],CP78,TRANSHARI10_ACCPAGI[QUANTITY])+SUMIF(TRANSHARI10_ACCMALAM[PRODUK],CP78,TRANSHARI10_ACCMALAM[QUANTITY])</f>
        <v>0</v>
      </c>
      <c r="DF78" s="152">
        <f>SUMIF(TRANSHARI11_ACCPAGI[PRODUK],CP78,TRANSHARI11_ACCPAGI[QUANTITY])+SUMIF(TRANSHARI11_ACCMALAM[PRODUK],CP78,TRANSHARI11_ACCMALAM[QUANTITY])</f>
        <v>0</v>
      </c>
      <c r="DG78" s="152">
        <f t="shared" si="27"/>
        <v>0</v>
      </c>
      <c r="DH78" s="152">
        <f t="shared" si="28"/>
        <v>0</v>
      </c>
      <c r="DI78" s="176">
        <f t="shared" si="31"/>
        <v>0</v>
      </c>
    </row>
    <row r="79" ht="18" spans="4:113">
      <c r="D79" s="120">
        <v>6</v>
      </c>
      <c r="E79" s="121">
        <f>'HARI 6'!L58+'HARI 6'!AA58</f>
        <v>0</v>
      </c>
      <c r="F79" s="122">
        <f>'HARI 6'!L59+'HARI 6'!AA59</f>
        <v>0</v>
      </c>
      <c r="G79" s="122">
        <f>'HARI 6'!L60+'HARI 6'!AA60</f>
        <v>0</v>
      </c>
      <c r="AE79" s="177" t="str">
        <f>'DATA PRODUK'!R76</f>
        <v>V. by.U 3 GB</v>
      </c>
      <c r="AF79" s="175">
        <f>'DATA PRODUK'!S76</f>
        <v>12000</v>
      </c>
      <c r="AG79" s="12"/>
      <c r="AH79" s="12"/>
      <c r="AI79" s="12"/>
      <c r="AJ79" s="12"/>
      <c r="AK79" s="12">
        <f>SUMIF(TRANSHARI1_SPVOUPAGI[PRODUK],AE79,TRANSHARI1_SPVOUPAGI[QUANTITY])+SUMIF(TRANSHARI1_SPVOUMALAM[PRODUK],AE79,TRANSHARI1_SPVOUMALAM[QUANTITY])</f>
        <v>0</v>
      </c>
      <c r="AL79" s="12">
        <f>SUMIF(TRANSHARI2_SPVOUPAGI[PRODUK],AE79,TRANSHARI2_SPVOUPAGI[QUANTITY])+SUMIF(TRANSHARI2_SPVOUMALAM[PRODUK],AE79,TRANSHARI2_SPVOUMALAM[QUANTITY])</f>
        <v>0</v>
      </c>
      <c r="AM79" s="12">
        <f>SUMIF(TRANSHARI3_SPVOUPAGI[PRODUK],AE79,TRANSHARI3_SPVOUPAGI[QUANTITY])+SUMIF(TRANSHARI3_SPVOUMALAM[PRODUK],AE79,TRANSHARI3_SPVOUMALAM[QUANTITY])</f>
        <v>0</v>
      </c>
      <c r="AN79" s="12">
        <f>SUMIF(TRANSHARI4_SPVOUPAGI[PRODUK],AE79,TRANSHARI4_SPVOUPAGI[QUANTITY])+SUMIF(TRANSHARI4_SPVOUMALAM[PRODUK],AE79,TRANSHARI4_SPVOUMALAM[QUANTITY])</f>
        <v>0</v>
      </c>
      <c r="AO79" s="12">
        <f>SUMIF(TRANSHARI5_SPVOUPAGI[PRODUK],AE79,TRANSHARI5_SPVOUPAGI[QUANTITY])+SUMIF(TRANSHARI5_SPVOUMALAM[PRODUK],AE79,TRANSHARI5_SPVOUMALAM[QUANTITY])</f>
        <v>0</v>
      </c>
      <c r="AP79" s="12">
        <f>SUMIF(TRANSHARI6_SPVOUPAGI[PRODUK],AE79,TRANSHARI6_SPVOUPAGI[QUANTITY])+SUMIF(TRANSHARI6_SPVOUMALAM[PRODUK],AE79,TRANSHARI6_SPVOUMALAM[QUANTITY])</f>
        <v>0</v>
      </c>
      <c r="AQ79" s="12">
        <f>SUMIF(TRANSHARI7_SPVOUPAGI[PRODUK],AE79,TRANSHARI7_SPVOUPAGI[QUANTITY])+SUMIF(TRANSHARI7_SPVOUMALAM[PRODUK],AE79,TRANSHARI7_SPVOUMALAM[QUANTITY])</f>
        <v>0</v>
      </c>
      <c r="AR79" s="12">
        <f>SUMIF(TRANSHARI8_SPVOUPAGI[PRODUK],AE79,TRANSHARI8_SPVOUPAGI[QUANTITY])+SUMIF(TRANSHARI8_SPVOUMALAM[PRODUK],AE79,TRANSHARI8_SPVOUMALAM[QUANTITY])</f>
        <v>0</v>
      </c>
      <c r="AS79" s="12">
        <f>SUMIF(TRANSHARI9_SPVOUPAGI[PRODUK],AE79,TRANSHARI9_SPVOUPAGI[QUANTITY])+SUMIF(TRANSHARI9_SPVOUMALAM[PRODUK],AE79,TRANSHARI9_SPVOUMALAM[QUANTITY])</f>
        <v>0</v>
      </c>
      <c r="AT79" s="12">
        <f>SUMIF(TRANSHARI10_SPVOUPAGI[PRODUK],AE79,TRANSHARI10_SPVOUPAGI[QUANTITY])+SUMIF(TRANSHARI10_SPVOUMALAM[PRODUK],AE79,TRANSHARI10_SPVOUMALAM[QUANTITY])</f>
        <v>0</v>
      </c>
      <c r="AU79" s="12">
        <f>SUMIF(TRANSHARI11_SPVOUPAGI[PRODUK],AE79,TRANSHARI11_SPVOUPAGI[QUANTITY])+SUMIF(TRANSHARI11_SPVOUMALAM[PRODUK],AE79,TRANSHARI11_SPVOUMALAM[QUANTITY])</f>
        <v>0</v>
      </c>
      <c r="AV79" s="12">
        <f t="shared" si="30"/>
        <v>0</v>
      </c>
      <c r="AW79" s="12">
        <f t="shared" si="23"/>
        <v>0</v>
      </c>
      <c r="AX79" s="173">
        <f t="shared" si="5"/>
        <v>0</v>
      </c>
      <c r="CP79" s="177" t="str">
        <f>'DATA PRODUK'!BH76</f>
        <v>(POWERBANK)(10.000mAH) Vivan VPB-M10</v>
      </c>
      <c r="CQ79" s="175">
        <f>'DATA PRODUK'!BI76</f>
        <v>185000</v>
      </c>
      <c r="CR79" s="12"/>
      <c r="CS79" s="12"/>
      <c r="CT79" s="12"/>
      <c r="CU79" s="12"/>
      <c r="CV79" s="12">
        <f>SUMIF(TRANSHARI1_ACCPAGI[PRODUK],CP79,TRANSHARI1_ACCPAGI[QUANTITY])+SUMIF(TRANSHARI1_ACCMALAM[PRODUK],CP79,TRANSHARI1_ACCMALAM[QUANTITY])</f>
        <v>0</v>
      </c>
      <c r="CW79" s="12">
        <f>SUMIF(TRANSHARI2_ACCPAGI[PRODUK],CP79,TRANSHARI2_ACCPAGI[QUANTITY])+SUMIF(TRANSHARI2_ACCMALAM[PRODUK],CP79,TRANSHARI2_ACCMALAM[QUANTITY])</f>
        <v>0</v>
      </c>
      <c r="CX79" s="12">
        <f>SUMIF(TRANSHARI3_ACCPAGI[PRODUK],CP79,TRANSHARI3_ACCPAGI[QUANTITY])+SUMIF(TRANSHARI3_ACCMALAM[PRODUK],CP79,TRANSHARI3_ACCMALAM[QUANTITY])</f>
        <v>0</v>
      </c>
      <c r="CY79" s="12">
        <f>SUMIF(TRANSHARI4_ACCPAGI[PRODUK],CP79,TRANSHARI4_ACCPAGI[QUANTITY])+SUMIF(TRANSHARI4_ACCMALAM[PRODUK],CP79,TRANSHARI4_ACCMALAM[QUANTITY])</f>
        <v>0</v>
      </c>
      <c r="CZ79" s="12">
        <f>SUMIF(TRANSHARI5_ACCPAGI[PRODUK],CP79,TRANSHARI5_ACCPAGI[QUANTITY])+SUMIF(TRANSHARI5_ACCMALAM[PRODUK],CP79,TRANSHARI5_ACCMALAM[QUANTITY])</f>
        <v>0</v>
      </c>
      <c r="DA79" s="12">
        <f>SUMIF(TRANSHARI6_ACCPAGI[PRODUK],CP79,TRANSHARI6_ACCPAGI[QUANTITY])+SUMIF(TRANSHARI6_ACCMALAM[PRODUK],CP79,TRANSHARI6_ACCMALAM[QUANTITY])</f>
        <v>0</v>
      </c>
      <c r="DB79" s="12">
        <f>SUMIF(TRANSHARI7_ACCPAGI[PRODUK],CP79,TRANSHARI7_ACCPAGI[QUANTITY])+SUMIF(TRANSHARI7_ACCMALAM[PRODUK],CP79,TRANSHARI7_ACCMALAM[QUANTITY])</f>
        <v>0</v>
      </c>
      <c r="DC79" s="12">
        <f>SUMIF(TRANSHARI8_ACCPAGI[PRODUK],CP79,TRANSHARI8_ACCPAGI[QUANTITY])+SUMIF(TRANSHARI8_ACCMALAM[PRODUK],CP79,TRANSHARI8_ACCMALAM[QUANTITY])</f>
        <v>0</v>
      </c>
      <c r="DD79" s="12">
        <f>SUMIF(TRANSHARI9_ACCPAGI[PRODUK],CP79,TRANSHARI9_ACCPAGI[QUANTITY])+SUMIF(TRANSHARI9_ACCMALAM[PRODUK],CP79,TRANSHARI9_ACCMALAM[QUANTITY])</f>
        <v>0</v>
      </c>
      <c r="DE79" s="12">
        <f>SUMIF(TRANSHARI10_ACCPAGI[PRODUK],CP79,TRANSHARI10_ACCPAGI[QUANTITY])+SUMIF(TRANSHARI10_ACCMALAM[PRODUK],CP79,TRANSHARI10_ACCMALAM[QUANTITY])</f>
        <v>0</v>
      </c>
      <c r="DF79" s="12">
        <f>SUMIF(TRANSHARI11_ACCPAGI[PRODUK],CP79,TRANSHARI11_ACCPAGI[QUANTITY])+SUMIF(TRANSHARI11_ACCMALAM[PRODUK],CP79,TRANSHARI11_ACCMALAM[QUANTITY])</f>
        <v>0</v>
      </c>
      <c r="DG79" s="12">
        <f t="shared" si="27"/>
        <v>0</v>
      </c>
      <c r="DH79" s="12">
        <f t="shared" si="28"/>
        <v>0</v>
      </c>
      <c r="DI79" s="173">
        <f t="shared" si="31"/>
        <v>0</v>
      </c>
    </row>
    <row r="80" ht="18" spans="4:113">
      <c r="D80" s="117">
        <v>7</v>
      </c>
      <c r="E80" s="118">
        <f>'HARI 7'!L58+'HARI 7'!AA58</f>
        <v>0</v>
      </c>
      <c r="F80" s="118">
        <f>'HARI 7'!L59+'HARI 7'!AA59</f>
        <v>0</v>
      </c>
      <c r="G80" s="119">
        <f>'HARI 7'!L60+'HARI 7'!AA60</f>
        <v>0</v>
      </c>
      <c r="AE80" s="218" t="str">
        <f>'DATA PRODUK'!R77</f>
        <v>V. by.U 7 GB</v>
      </c>
      <c r="AF80" s="219">
        <f>'DATA PRODUK'!S77</f>
        <v>20000</v>
      </c>
      <c r="AG80" s="156"/>
      <c r="AH80" s="156"/>
      <c r="AI80" s="156"/>
      <c r="AJ80" s="156"/>
      <c r="AK80" s="156">
        <f>SUMIF(TRANSHARI1_SPVOUPAGI[PRODUK],AE80,TRANSHARI1_SPVOUPAGI[QUANTITY])+SUMIF(TRANSHARI1_SPVOUMALAM[PRODUK],AE80,TRANSHARI1_SPVOUMALAM[QUANTITY])</f>
        <v>0</v>
      </c>
      <c r="AL80" s="156">
        <f>SUMIF(TRANSHARI2_SPVOUPAGI[PRODUK],AE80,TRANSHARI2_SPVOUPAGI[QUANTITY])+SUMIF(TRANSHARI2_SPVOUMALAM[PRODUK],AE80,TRANSHARI2_SPVOUMALAM[QUANTITY])</f>
        <v>0</v>
      </c>
      <c r="AM80" s="156">
        <f>SUMIF(TRANSHARI3_SPVOUPAGI[PRODUK],AE80,TRANSHARI3_SPVOUPAGI[QUANTITY])+SUMIF(TRANSHARI3_SPVOUMALAM[PRODUK],AE80,TRANSHARI3_SPVOUMALAM[QUANTITY])</f>
        <v>0</v>
      </c>
      <c r="AN80" s="156">
        <f>SUMIF(TRANSHARI4_SPVOUPAGI[PRODUK],AE80,TRANSHARI4_SPVOUPAGI[QUANTITY])+SUMIF(TRANSHARI4_SPVOUMALAM[PRODUK],AE80,TRANSHARI4_SPVOUMALAM[QUANTITY])</f>
        <v>0</v>
      </c>
      <c r="AO80" s="156">
        <f>SUMIF(TRANSHARI5_SPVOUPAGI[PRODUK],AE80,TRANSHARI5_SPVOUPAGI[QUANTITY])+SUMIF(TRANSHARI5_SPVOUMALAM[PRODUK],AE80,TRANSHARI5_SPVOUMALAM[QUANTITY])</f>
        <v>0</v>
      </c>
      <c r="AP80" s="156">
        <f>SUMIF(TRANSHARI6_SPVOUPAGI[PRODUK],AE80,TRANSHARI6_SPVOUPAGI[QUANTITY])+SUMIF(TRANSHARI6_SPVOUMALAM[PRODUK],AE80,TRANSHARI6_SPVOUMALAM[QUANTITY])</f>
        <v>0</v>
      </c>
      <c r="AQ80" s="156">
        <f>SUMIF(TRANSHARI7_SPVOUPAGI[PRODUK],AE80,TRANSHARI7_SPVOUPAGI[QUANTITY])+SUMIF(TRANSHARI7_SPVOUMALAM[PRODUK],AE80,TRANSHARI7_SPVOUMALAM[QUANTITY])</f>
        <v>0</v>
      </c>
      <c r="AR80" s="156">
        <f>SUMIF(TRANSHARI8_SPVOUPAGI[PRODUK],AE80,TRANSHARI8_SPVOUPAGI[QUANTITY])+SUMIF(TRANSHARI8_SPVOUMALAM[PRODUK],AE80,TRANSHARI8_SPVOUMALAM[QUANTITY])</f>
        <v>0</v>
      </c>
      <c r="AS80" s="156">
        <f>SUMIF(TRANSHARI9_SPVOUPAGI[PRODUK],AE80,TRANSHARI9_SPVOUPAGI[QUANTITY])+SUMIF(TRANSHARI9_SPVOUMALAM[PRODUK],AE80,TRANSHARI9_SPVOUMALAM[QUANTITY])</f>
        <v>0</v>
      </c>
      <c r="AT80" s="156">
        <f>SUMIF(TRANSHARI10_SPVOUPAGI[PRODUK],AE80,TRANSHARI10_SPVOUPAGI[QUANTITY])+SUMIF(TRANSHARI10_SPVOUMALAM[PRODUK],AE80,TRANSHARI10_SPVOUMALAM[QUANTITY])</f>
        <v>0</v>
      </c>
      <c r="AU80" s="156">
        <f>SUMIF(TRANSHARI11_SPVOUPAGI[PRODUK],AE80,TRANSHARI11_SPVOUPAGI[QUANTITY])+SUMIF(TRANSHARI11_SPVOUMALAM[PRODUK],AE80,TRANSHARI11_SPVOUMALAM[QUANTITY])</f>
        <v>0</v>
      </c>
      <c r="AV80" s="156">
        <f t="shared" ref="AV80:AV83" si="33">SUM(AK80:AU80)</f>
        <v>0</v>
      </c>
      <c r="AW80" s="156">
        <f t="shared" ref="AW80:AW83" si="34">AG80+AH80+AI80-AJ80-AV80</f>
        <v>0</v>
      </c>
      <c r="AX80" s="180">
        <f t="shared" ref="AX80:AX83" si="35">IFERROR(AV80*AF80,"")</f>
        <v>0</v>
      </c>
      <c r="CP80" s="174" t="str">
        <f>'DATA PRODUK'!BH77</f>
        <v>(POWERBANK)(20.000mAH) Redskull RSPB-A20</v>
      </c>
      <c r="CQ80" s="178">
        <f>'DATA PRODUK'!BI77</f>
        <v>215000</v>
      </c>
      <c r="CR80" s="152"/>
      <c r="CS80" s="152"/>
      <c r="CT80" s="152"/>
      <c r="CU80" s="152"/>
      <c r="CV80" s="152">
        <f>SUMIF(TRANSHARI1_ACCPAGI[PRODUK],CP80,TRANSHARI1_ACCPAGI[QUANTITY])+SUMIF(TRANSHARI1_ACCMALAM[PRODUK],CP80,TRANSHARI1_ACCMALAM[QUANTITY])</f>
        <v>0</v>
      </c>
      <c r="CW80" s="152">
        <f>SUMIF(TRANSHARI2_ACCPAGI[PRODUK],CP80,TRANSHARI2_ACCPAGI[QUANTITY])+SUMIF(TRANSHARI2_ACCMALAM[PRODUK],CP80,TRANSHARI2_ACCMALAM[QUANTITY])</f>
        <v>0</v>
      </c>
      <c r="CX80" s="152">
        <f>SUMIF(TRANSHARI3_ACCPAGI[PRODUK],CP80,TRANSHARI3_ACCPAGI[QUANTITY])+SUMIF(TRANSHARI3_ACCMALAM[PRODUK],CP80,TRANSHARI3_ACCMALAM[QUANTITY])</f>
        <v>0</v>
      </c>
      <c r="CY80" s="152">
        <f>SUMIF(TRANSHARI4_ACCPAGI[PRODUK],CP80,TRANSHARI4_ACCPAGI[QUANTITY])+SUMIF(TRANSHARI4_ACCMALAM[PRODUK],CP80,TRANSHARI4_ACCMALAM[QUANTITY])</f>
        <v>0</v>
      </c>
      <c r="CZ80" s="152">
        <f>SUMIF(TRANSHARI5_ACCPAGI[PRODUK],CP80,TRANSHARI5_ACCPAGI[QUANTITY])+SUMIF(TRANSHARI5_ACCMALAM[PRODUK],CP80,TRANSHARI5_ACCMALAM[QUANTITY])</f>
        <v>0</v>
      </c>
      <c r="DA80" s="152">
        <f>SUMIF(TRANSHARI6_ACCPAGI[PRODUK],CP80,TRANSHARI6_ACCPAGI[QUANTITY])+SUMIF(TRANSHARI6_ACCMALAM[PRODUK],CP80,TRANSHARI6_ACCMALAM[QUANTITY])</f>
        <v>0</v>
      </c>
      <c r="DB80" s="152">
        <f>SUMIF(TRANSHARI7_ACCPAGI[PRODUK],CP80,TRANSHARI7_ACCPAGI[QUANTITY])+SUMIF(TRANSHARI7_ACCMALAM[PRODUK],CP80,TRANSHARI7_ACCMALAM[QUANTITY])</f>
        <v>0</v>
      </c>
      <c r="DC80" s="152">
        <f>SUMIF(TRANSHARI8_ACCPAGI[PRODUK],CP80,TRANSHARI8_ACCPAGI[QUANTITY])+SUMIF(TRANSHARI8_ACCMALAM[PRODUK],CP80,TRANSHARI8_ACCMALAM[QUANTITY])</f>
        <v>0</v>
      </c>
      <c r="DD80" s="152">
        <f>SUMIF(TRANSHARI9_ACCPAGI[PRODUK],CP80,TRANSHARI9_ACCPAGI[QUANTITY])+SUMIF(TRANSHARI9_ACCMALAM[PRODUK],CP80,TRANSHARI9_ACCMALAM[QUANTITY])</f>
        <v>0</v>
      </c>
      <c r="DE80" s="152">
        <f>SUMIF(TRANSHARI10_ACCPAGI[PRODUK],CP80,TRANSHARI10_ACCPAGI[QUANTITY])+SUMIF(TRANSHARI10_ACCMALAM[PRODUK],CP80,TRANSHARI10_ACCMALAM[QUANTITY])</f>
        <v>0</v>
      </c>
      <c r="DF80" s="152">
        <f>SUMIF(TRANSHARI11_ACCPAGI[PRODUK],CP80,TRANSHARI11_ACCPAGI[QUANTITY])+SUMIF(TRANSHARI11_ACCMALAM[PRODUK],CP80,TRANSHARI11_ACCMALAM[QUANTITY])</f>
        <v>0</v>
      </c>
      <c r="DG80" s="152">
        <f t="shared" si="27"/>
        <v>0</v>
      </c>
      <c r="DH80" s="152">
        <f t="shared" si="28"/>
        <v>0</v>
      </c>
      <c r="DI80" s="176">
        <f t="shared" si="31"/>
        <v>0</v>
      </c>
    </row>
    <row r="81" ht="18" spans="4:113">
      <c r="D81" s="120">
        <v>8</v>
      </c>
      <c r="E81" s="121">
        <f>'HARI 8'!L58+'HARI 8'!AA58</f>
        <v>0</v>
      </c>
      <c r="F81" s="122">
        <f>'HARI 8'!L59+'HARI 8'!AA59</f>
        <v>0</v>
      </c>
      <c r="G81" s="122">
        <f>'HARI 8'!L60+'HARI 8'!AA60</f>
        <v>0</v>
      </c>
      <c r="AE81" s="177" t="str">
        <f>'DATA PRODUK'!R78</f>
        <v>NEW PRODUCT (1)</v>
      </c>
      <c r="AF81" s="175">
        <f>'DATA PRODUK'!S78</f>
        <v>0</v>
      </c>
      <c r="AG81" s="12"/>
      <c r="AH81" s="12"/>
      <c r="AI81" s="12"/>
      <c r="AJ81" s="12"/>
      <c r="AK81" s="12">
        <f>SUMIF(TRANSHARI1_SPVOUPAGI[PRODUK],AE81,TRANSHARI1_SPVOUPAGI[QUANTITY])+SUMIF(TRANSHARI1_SPVOUMALAM[PRODUK],AE81,TRANSHARI1_SPVOUMALAM[QUANTITY])</f>
        <v>0</v>
      </c>
      <c r="AL81" s="12">
        <f>SUMIF(TRANSHARI2_SPVOUPAGI[PRODUK],AE81,TRANSHARI2_SPVOUPAGI[QUANTITY])+SUMIF(TRANSHARI2_SPVOUMALAM[PRODUK],AE81,TRANSHARI2_SPVOUMALAM[QUANTITY])</f>
        <v>0</v>
      </c>
      <c r="AM81" s="12">
        <f>SUMIF(TRANSHARI3_SPVOUPAGI[PRODUK],AE81,TRANSHARI3_SPVOUPAGI[QUANTITY])+SUMIF(TRANSHARI3_SPVOUMALAM[PRODUK],AE81,TRANSHARI3_SPVOUMALAM[QUANTITY])</f>
        <v>0</v>
      </c>
      <c r="AN81" s="12">
        <f>SUMIF(TRANSHARI4_SPVOUPAGI[PRODUK],AE81,TRANSHARI4_SPVOUPAGI[QUANTITY])+SUMIF(TRANSHARI4_SPVOUMALAM[PRODUK],AE81,TRANSHARI4_SPVOUMALAM[QUANTITY])</f>
        <v>0</v>
      </c>
      <c r="AO81" s="12">
        <f>SUMIF(TRANSHARI5_SPVOUPAGI[PRODUK],AE81,TRANSHARI5_SPVOUPAGI[QUANTITY])+SUMIF(TRANSHARI5_SPVOUMALAM[PRODUK],AE81,TRANSHARI5_SPVOUMALAM[QUANTITY])</f>
        <v>0</v>
      </c>
      <c r="AP81" s="12">
        <f>SUMIF(TRANSHARI6_SPVOUPAGI[PRODUK],AE81,TRANSHARI6_SPVOUPAGI[QUANTITY])+SUMIF(TRANSHARI6_SPVOUMALAM[PRODUK],AE81,TRANSHARI6_SPVOUMALAM[QUANTITY])</f>
        <v>0</v>
      </c>
      <c r="AQ81" s="12">
        <f>SUMIF(TRANSHARI7_SPVOUPAGI[PRODUK],AE81,TRANSHARI7_SPVOUPAGI[QUANTITY])+SUMIF(TRANSHARI7_SPVOUMALAM[PRODUK],AE81,TRANSHARI7_SPVOUMALAM[QUANTITY])</f>
        <v>0</v>
      </c>
      <c r="AR81" s="12">
        <f>SUMIF(TRANSHARI8_SPVOUPAGI[PRODUK],AE81,TRANSHARI8_SPVOUPAGI[QUANTITY])+SUMIF(TRANSHARI8_SPVOUMALAM[PRODUK],AE81,TRANSHARI8_SPVOUMALAM[QUANTITY])</f>
        <v>0</v>
      </c>
      <c r="AS81" s="12">
        <f>SUMIF(TRANSHARI9_SPVOUPAGI[PRODUK],AE81,TRANSHARI9_SPVOUPAGI[QUANTITY])+SUMIF(TRANSHARI9_SPVOUMALAM[PRODUK],AE81,TRANSHARI9_SPVOUMALAM[QUANTITY])</f>
        <v>0</v>
      </c>
      <c r="AT81" s="12">
        <f>SUMIF(TRANSHARI10_SPVOUPAGI[PRODUK],AE81,TRANSHARI10_SPVOUPAGI[QUANTITY])+SUMIF(TRANSHARI10_SPVOUMALAM[PRODUK],AE81,TRANSHARI10_SPVOUMALAM[QUANTITY])</f>
        <v>0</v>
      </c>
      <c r="AU81" s="12">
        <f>SUMIF(TRANSHARI11_SPVOUPAGI[PRODUK],AE81,TRANSHARI11_SPVOUPAGI[QUANTITY])+SUMIF(TRANSHARI11_SPVOUMALAM[PRODUK],AE81,TRANSHARI11_SPVOUMALAM[QUANTITY])</f>
        <v>0</v>
      </c>
      <c r="AV81" s="12">
        <f t="shared" si="33"/>
        <v>0</v>
      </c>
      <c r="AW81" s="12">
        <f t="shared" si="34"/>
        <v>0</v>
      </c>
      <c r="AX81" s="173">
        <f t="shared" si="35"/>
        <v>0</v>
      </c>
      <c r="CP81" s="177" t="str">
        <f>'DATA PRODUK'!BH78</f>
        <v>(POWERBANK)(20.000mAH) Vivan VPB-C20</v>
      </c>
      <c r="CQ81" s="175">
        <f>'DATA PRODUK'!BI78</f>
        <v>325000</v>
      </c>
      <c r="CR81" s="12"/>
      <c r="CS81" s="12"/>
      <c r="CT81" s="12"/>
      <c r="CU81" s="12"/>
      <c r="CV81" s="12">
        <f>SUMIF(TRANSHARI1_ACCPAGI[PRODUK],CP81,TRANSHARI1_ACCPAGI[QUANTITY])+SUMIF(TRANSHARI1_ACCMALAM[PRODUK],CP81,TRANSHARI1_ACCMALAM[QUANTITY])</f>
        <v>0</v>
      </c>
      <c r="CW81" s="12">
        <f>SUMIF(TRANSHARI2_ACCPAGI[PRODUK],CP81,TRANSHARI2_ACCPAGI[QUANTITY])+SUMIF(TRANSHARI2_ACCMALAM[PRODUK],CP81,TRANSHARI2_ACCMALAM[QUANTITY])</f>
        <v>0</v>
      </c>
      <c r="CX81" s="12">
        <f>SUMIF(TRANSHARI3_ACCPAGI[PRODUK],CP81,TRANSHARI3_ACCPAGI[QUANTITY])+SUMIF(TRANSHARI3_ACCMALAM[PRODUK],CP81,TRANSHARI3_ACCMALAM[QUANTITY])</f>
        <v>0</v>
      </c>
      <c r="CY81" s="12">
        <f>SUMIF(TRANSHARI4_ACCPAGI[PRODUK],CP81,TRANSHARI4_ACCPAGI[QUANTITY])+SUMIF(TRANSHARI4_ACCMALAM[PRODUK],CP81,TRANSHARI4_ACCMALAM[QUANTITY])</f>
        <v>0</v>
      </c>
      <c r="CZ81" s="12">
        <f>SUMIF(TRANSHARI5_ACCPAGI[PRODUK],CP81,TRANSHARI5_ACCPAGI[QUANTITY])+SUMIF(TRANSHARI5_ACCMALAM[PRODUK],CP81,TRANSHARI5_ACCMALAM[QUANTITY])</f>
        <v>0</v>
      </c>
      <c r="DA81" s="12">
        <f>SUMIF(TRANSHARI6_ACCPAGI[PRODUK],CP81,TRANSHARI6_ACCPAGI[QUANTITY])+SUMIF(TRANSHARI6_ACCMALAM[PRODUK],CP81,TRANSHARI6_ACCMALAM[QUANTITY])</f>
        <v>0</v>
      </c>
      <c r="DB81" s="12">
        <f>SUMIF(TRANSHARI7_ACCPAGI[PRODUK],CP81,TRANSHARI7_ACCPAGI[QUANTITY])+SUMIF(TRANSHARI7_ACCMALAM[PRODUK],CP81,TRANSHARI7_ACCMALAM[QUANTITY])</f>
        <v>0</v>
      </c>
      <c r="DC81" s="12">
        <f>SUMIF(TRANSHARI8_ACCPAGI[PRODUK],CP81,TRANSHARI8_ACCPAGI[QUANTITY])+SUMIF(TRANSHARI8_ACCMALAM[PRODUK],CP81,TRANSHARI8_ACCMALAM[QUANTITY])</f>
        <v>0</v>
      </c>
      <c r="DD81" s="12">
        <f>SUMIF(TRANSHARI9_ACCPAGI[PRODUK],CP81,TRANSHARI9_ACCPAGI[QUANTITY])+SUMIF(TRANSHARI9_ACCMALAM[PRODUK],CP81,TRANSHARI9_ACCMALAM[QUANTITY])</f>
        <v>0</v>
      </c>
      <c r="DE81" s="12">
        <f>SUMIF(TRANSHARI10_ACCPAGI[PRODUK],CP81,TRANSHARI10_ACCPAGI[QUANTITY])+SUMIF(TRANSHARI10_ACCMALAM[PRODUK],CP81,TRANSHARI10_ACCMALAM[QUANTITY])</f>
        <v>0</v>
      </c>
      <c r="DF81" s="12">
        <f>SUMIF(TRANSHARI11_ACCPAGI[PRODUK],CP81,TRANSHARI11_ACCPAGI[QUANTITY])+SUMIF(TRANSHARI11_ACCMALAM[PRODUK],CP81,TRANSHARI11_ACCMALAM[QUANTITY])</f>
        <v>0</v>
      </c>
      <c r="DG81" s="12">
        <f t="shared" si="27"/>
        <v>0</v>
      </c>
      <c r="DH81" s="12">
        <f t="shared" si="28"/>
        <v>0</v>
      </c>
      <c r="DI81" s="173">
        <f t="shared" si="31"/>
        <v>0</v>
      </c>
    </row>
    <row r="82" ht="18" spans="4:113">
      <c r="D82" s="117">
        <v>9</v>
      </c>
      <c r="E82" s="118">
        <f>'HARI 9'!L58+'HARI 9'!AA58</f>
        <v>0</v>
      </c>
      <c r="F82" s="118">
        <f>'HARI 9'!L59+'HARI 9'!AA59</f>
        <v>0</v>
      </c>
      <c r="G82" s="119">
        <f>'HARI 9'!L60+'HARI 9'!AA60</f>
        <v>0</v>
      </c>
      <c r="AE82" s="218" t="str">
        <f>'DATA PRODUK'!R79</f>
        <v>NEW PRODUCT (2)</v>
      </c>
      <c r="AF82" s="219">
        <f>'DATA PRODUK'!S79</f>
        <v>0</v>
      </c>
      <c r="AG82" s="154"/>
      <c r="AH82" s="154"/>
      <c r="AI82" s="154"/>
      <c r="AJ82" s="154"/>
      <c r="AK82" s="154">
        <f>SUMIF(TRANSHARI1_SPVOUPAGI[PRODUK],AE82,TRANSHARI1_SPVOUPAGI[QUANTITY])+SUMIF(TRANSHARI1_SPVOUMALAM[PRODUK],AE82,TRANSHARI1_SPVOUMALAM[QUANTITY])</f>
        <v>0</v>
      </c>
      <c r="AL82" s="154">
        <f>SUMIF(TRANSHARI2_SPVOUPAGI[PRODUK],AE82,TRANSHARI2_SPVOUPAGI[QUANTITY])+SUMIF(TRANSHARI2_SPVOUMALAM[PRODUK],AE82,TRANSHARI2_SPVOUMALAM[QUANTITY])</f>
        <v>0</v>
      </c>
      <c r="AM82" s="154">
        <f>SUMIF(TRANSHARI3_SPVOUPAGI[PRODUK],AE82,TRANSHARI3_SPVOUPAGI[QUANTITY])+SUMIF(TRANSHARI3_SPVOUMALAM[PRODUK],AE82,TRANSHARI3_SPVOUMALAM[QUANTITY])</f>
        <v>0</v>
      </c>
      <c r="AN82" s="154">
        <f>SUMIF(TRANSHARI4_SPVOUPAGI[PRODUK],AE82,TRANSHARI4_SPVOUPAGI[QUANTITY])+SUMIF(TRANSHARI4_SPVOUMALAM[PRODUK],AE82,TRANSHARI4_SPVOUMALAM[QUANTITY])</f>
        <v>0</v>
      </c>
      <c r="AO82" s="154">
        <f>SUMIF(TRANSHARI5_SPVOUPAGI[PRODUK],AE82,TRANSHARI5_SPVOUPAGI[QUANTITY])+SUMIF(TRANSHARI5_SPVOUMALAM[PRODUK],AE82,TRANSHARI5_SPVOUMALAM[QUANTITY])</f>
        <v>0</v>
      </c>
      <c r="AP82" s="154">
        <f>SUMIF(TRANSHARI6_SPVOUPAGI[PRODUK],AE82,TRANSHARI6_SPVOUPAGI[QUANTITY])+SUMIF(TRANSHARI6_SPVOUMALAM[PRODUK],AE82,TRANSHARI6_SPVOUMALAM[QUANTITY])</f>
        <v>0</v>
      </c>
      <c r="AQ82" s="154">
        <f>SUMIF(TRANSHARI7_SPVOUPAGI[PRODUK],AE82,TRANSHARI7_SPVOUPAGI[QUANTITY])+SUMIF(TRANSHARI7_SPVOUMALAM[PRODUK],AE82,TRANSHARI7_SPVOUMALAM[QUANTITY])</f>
        <v>0</v>
      </c>
      <c r="AR82" s="154">
        <f>SUMIF(TRANSHARI8_SPVOUPAGI[PRODUK],AE82,TRANSHARI8_SPVOUPAGI[QUANTITY])+SUMIF(TRANSHARI8_SPVOUMALAM[PRODUK],AE82,TRANSHARI8_SPVOUMALAM[QUANTITY])</f>
        <v>0</v>
      </c>
      <c r="AS82" s="154">
        <f>SUMIF(TRANSHARI9_SPVOUPAGI[PRODUK],AE82,TRANSHARI9_SPVOUPAGI[QUANTITY])+SUMIF(TRANSHARI9_SPVOUMALAM[PRODUK],AE82,TRANSHARI9_SPVOUMALAM[QUANTITY])</f>
        <v>0</v>
      </c>
      <c r="AT82" s="154">
        <f>SUMIF(TRANSHARI10_SPVOUPAGI[PRODUK],AE82,TRANSHARI10_SPVOUPAGI[QUANTITY])+SUMIF(TRANSHARI10_SPVOUMALAM[PRODUK],AE82,TRANSHARI10_SPVOUMALAM[QUANTITY])</f>
        <v>0</v>
      </c>
      <c r="AU82" s="154">
        <f>SUMIF(TRANSHARI11_SPVOUPAGI[PRODUK],AE82,TRANSHARI11_SPVOUPAGI[QUANTITY])+SUMIF(TRANSHARI11_SPVOUMALAM[PRODUK],AE82,TRANSHARI11_SPVOUMALAM[QUANTITY])</f>
        <v>0</v>
      </c>
      <c r="AV82" s="154">
        <f t="shared" si="33"/>
        <v>0</v>
      </c>
      <c r="AW82" s="154">
        <f t="shared" si="34"/>
        <v>0</v>
      </c>
      <c r="AX82" s="179">
        <f t="shared" si="35"/>
        <v>0</v>
      </c>
      <c r="CP82" s="174" t="str">
        <f>'DATA PRODUK'!BH79</f>
        <v>(H.S)(Half-Ear) Samsung Basic Putih</v>
      </c>
      <c r="CQ82" s="178">
        <f>'DATA PRODUK'!BI79</f>
        <v>15000</v>
      </c>
      <c r="CR82" s="152"/>
      <c r="CS82" s="152"/>
      <c r="CT82" s="152"/>
      <c r="CU82" s="152"/>
      <c r="CV82" s="152">
        <f>SUMIF(TRANSHARI1_ACCPAGI[PRODUK],CP82,TRANSHARI1_ACCPAGI[QUANTITY])+SUMIF(TRANSHARI1_ACCMALAM[PRODUK],CP82,TRANSHARI1_ACCMALAM[QUANTITY])</f>
        <v>0</v>
      </c>
      <c r="CW82" s="152">
        <f>SUMIF(TRANSHARI2_ACCPAGI[PRODUK],CP82,TRANSHARI2_ACCPAGI[QUANTITY])+SUMIF(TRANSHARI2_ACCMALAM[PRODUK],CP82,TRANSHARI2_ACCMALAM[QUANTITY])</f>
        <v>0</v>
      </c>
      <c r="CX82" s="152">
        <f>SUMIF(TRANSHARI3_ACCPAGI[PRODUK],CP82,TRANSHARI3_ACCPAGI[QUANTITY])+SUMIF(TRANSHARI3_ACCMALAM[PRODUK],CP82,TRANSHARI3_ACCMALAM[QUANTITY])</f>
        <v>0</v>
      </c>
      <c r="CY82" s="152">
        <f>SUMIF(TRANSHARI4_ACCPAGI[PRODUK],CP82,TRANSHARI4_ACCPAGI[QUANTITY])+SUMIF(TRANSHARI4_ACCMALAM[PRODUK],CP82,TRANSHARI4_ACCMALAM[QUANTITY])</f>
        <v>0</v>
      </c>
      <c r="CZ82" s="152">
        <f>SUMIF(TRANSHARI5_ACCPAGI[PRODUK],CP82,TRANSHARI5_ACCPAGI[QUANTITY])+SUMIF(TRANSHARI5_ACCMALAM[PRODUK],CP82,TRANSHARI5_ACCMALAM[QUANTITY])</f>
        <v>0</v>
      </c>
      <c r="DA82" s="152">
        <f>SUMIF(TRANSHARI6_ACCPAGI[PRODUK],CP82,TRANSHARI6_ACCPAGI[QUANTITY])+SUMIF(TRANSHARI6_ACCMALAM[PRODUK],CP82,TRANSHARI6_ACCMALAM[QUANTITY])</f>
        <v>0</v>
      </c>
      <c r="DB82" s="152">
        <f>SUMIF(TRANSHARI7_ACCPAGI[PRODUK],CP82,TRANSHARI7_ACCPAGI[QUANTITY])+SUMIF(TRANSHARI7_ACCMALAM[PRODUK],CP82,TRANSHARI7_ACCMALAM[QUANTITY])</f>
        <v>0</v>
      </c>
      <c r="DC82" s="152">
        <f>SUMIF(TRANSHARI8_ACCPAGI[PRODUK],CP82,TRANSHARI8_ACCPAGI[QUANTITY])+SUMIF(TRANSHARI8_ACCMALAM[PRODUK],CP82,TRANSHARI8_ACCMALAM[QUANTITY])</f>
        <v>0</v>
      </c>
      <c r="DD82" s="152">
        <f>SUMIF(TRANSHARI9_ACCPAGI[PRODUK],CP82,TRANSHARI9_ACCPAGI[QUANTITY])+SUMIF(TRANSHARI9_ACCMALAM[PRODUK],CP82,TRANSHARI9_ACCMALAM[QUANTITY])</f>
        <v>0</v>
      </c>
      <c r="DE82" s="152">
        <f>SUMIF(TRANSHARI10_ACCPAGI[PRODUK],CP82,TRANSHARI10_ACCPAGI[QUANTITY])+SUMIF(TRANSHARI10_ACCMALAM[PRODUK],CP82,TRANSHARI10_ACCMALAM[QUANTITY])</f>
        <v>0</v>
      </c>
      <c r="DF82" s="152">
        <f>SUMIF(TRANSHARI11_ACCPAGI[PRODUK],CP82,TRANSHARI11_ACCPAGI[QUANTITY])+SUMIF(TRANSHARI11_ACCMALAM[PRODUK],CP82,TRANSHARI11_ACCMALAM[QUANTITY])</f>
        <v>0</v>
      </c>
      <c r="DG82" s="152">
        <f t="shared" si="27"/>
        <v>0</v>
      </c>
      <c r="DH82" s="152">
        <f t="shared" si="28"/>
        <v>0</v>
      </c>
      <c r="DI82" s="176">
        <f t="shared" si="31"/>
        <v>0</v>
      </c>
    </row>
    <row r="83" ht="18" spans="4:113">
      <c r="D83" s="120">
        <v>10</v>
      </c>
      <c r="E83" s="121">
        <f>'HARI 10'!L58+'HARI 10'!AA58</f>
        <v>0</v>
      </c>
      <c r="F83" s="122">
        <f>'HARI 10'!L59+'HARI 10'!AA59</f>
        <v>0</v>
      </c>
      <c r="G83" s="122">
        <f>'HARI 10'!L60+'HARI 10'!AA60</f>
        <v>0</v>
      </c>
      <c r="AE83" s="177" t="str">
        <f>'DATA PRODUK'!R80</f>
        <v>NEW PRODUCT (3)</v>
      </c>
      <c r="AF83" s="190">
        <f>'DATA PRODUK'!S80</f>
        <v>0</v>
      </c>
      <c r="AG83" s="12"/>
      <c r="AH83" s="12"/>
      <c r="AI83" s="12"/>
      <c r="AJ83" s="12"/>
      <c r="AK83" s="12">
        <f>SUMIF(TRANSHARI1_SPVOUPAGI[PRODUK],AE83,TRANSHARI1_SPVOUPAGI[QUANTITY])+SUMIF(TRANSHARI1_SPVOUMALAM[PRODUK],AE83,TRANSHARI1_SPVOUMALAM[QUANTITY])</f>
        <v>0</v>
      </c>
      <c r="AL83" s="12">
        <f>SUMIF(TRANSHARI2_SPVOUPAGI[PRODUK],AE83,TRANSHARI2_SPVOUPAGI[QUANTITY])+SUMIF(TRANSHARI2_SPVOUMALAM[PRODUK],AE83,TRANSHARI2_SPVOUMALAM[QUANTITY])</f>
        <v>0</v>
      </c>
      <c r="AM83" s="12">
        <f>SUMIF(TRANSHARI3_SPVOUPAGI[PRODUK],AE83,TRANSHARI3_SPVOUPAGI[QUANTITY])+SUMIF(TRANSHARI3_SPVOUMALAM[PRODUK],AE83,TRANSHARI3_SPVOUMALAM[QUANTITY])</f>
        <v>0</v>
      </c>
      <c r="AN83" s="12">
        <f>SUMIF(TRANSHARI4_SPVOUPAGI[PRODUK],AE83,TRANSHARI4_SPVOUPAGI[QUANTITY])+SUMIF(TRANSHARI4_SPVOUMALAM[PRODUK],AE83,TRANSHARI4_SPVOUMALAM[QUANTITY])</f>
        <v>0</v>
      </c>
      <c r="AO83" s="12">
        <f>SUMIF(TRANSHARI5_SPVOUPAGI[PRODUK],AE83,TRANSHARI5_SPVOUPAGI[QUANTITY])+SUMIF(TRANSHARI5_SPVOUMALAM[PRODUK],AE83,TRANSHARI5_SPVOUMALAM[QUANTITY])</f>
        <v>0</v>
      </c>
      <c r="AP83" s="12">
        <f>SUMIF(TRANSHARI6_SPVOUPAGI[PRODUK],AE83,TRANSHARI6_SPVOUPAGI[QUANTITY])+SUMIF(TRANSHARI6_SPVOUMALAM[PRODUK],AE83,TRANSHARI6_SPVOUMALAM[QUANTITY])</f>
        <v>0</v>
      </c>
      <c r="AQ83" s="12">
        <f>SUMIF(TRANSHARI7_SPVOUPAGI[PRODUK],AE83,TRANSHARI7_SPVOUPAGI[QUANTITY])+SUMIF(TRANSHARI7_SPVOUMALAM[PRODUK],AE83,TRANSHARI7_SPVOUMALAM[QUANTITY])</f>
        <v>0</v>
      </c>
      <c r="AR83" s="12">
        <f>SUMIF(TRANSHARI8_SPVOUPAGI[PRODUK],AE83,TRANSHARI8_SPVOUPAGI[QUANTITY])+SUMIF(TRANSHARI8_SPVOUMALAM[PRODUK],AE83,TRANSHARI8_SPVOUMALAM[QUANTITY])</f>
        <v>0</v>
      </c>
      <c r="AS83" s="12">
        <f>SUMIF(TRANSHARI9_SPVOUPAGI[PRODUK],AE83,TRANSHARI9_SPVOUPAGI[QUANTITY])+SUMIF(TRANSHARI9_SPVOUMALAM[PRODUK],AE83,TRANSHARI9_SPVOUMALAM[QUANTITY])</f>
        <v>0</v>
      </c>
      <c r="AT83" s="12">
        <f>SUMIF(TRANSHARI10_SPVOUPAGI[PRODUK],AE83,TRANSHARI10_SPVOUPAGI[QUANTITY])+SUMIF(TRANSHARI10_SPVOUMALAM[PRODUK],AE83,TRANSHARI10_SPVOUMALAM[QUANTITY])</f>
        <v>0</v>
      </c>
      <c r="AU83" s="12">
        <f>SUMIF(TRANSHARI11_SPVOUPAGI[PRODUK],AE83,TRANSHARI11_SPVOUPAGI[QUANTITY])+SUMIF(TRANSHARI11_SPVOUMALAM[PRODUK],AE83,TRANSHARI11_SPVOUMALAM[QUANTITY])</f>
        <v>0</v>
      </c>
      <c r="AV83" s="12">
        <f t="shared" si="33"/>
        <v>0</v>
      </c>
      <c r="AW83" s="12">
        <f t="shared" si="34"/>
        <v>0</v>
      </c>
      <c r="AX83" s="173">
        <f t="shared" si="35"/>
        <v>0</v>
      </c>
      <c r="CP83" s="177" t="str">
        <f>'DATA PRODUK'!BH80</f>
        <v>(H.S)(Half-Ear) Samsung Basic Hitam</v>
      </c>
      <c r="CQ83" s="175">
        <f>'DATA PRODUK'!BI80</f>
        <v>20000</v>
      </c>
      <c r="CR83" s="12"/>
      <c r="CS83" s="12"/>
      <c r="CT83" s="12"/>
      <c r="CU83" s="12"/>
      <c r="CV83" s="12">
        <f>SUMIF(TRANSHARI1_ACCPAGI[PRODUK],CP83,TRANSHARI1_ACCPAGI[QUANTITY])+SUMIF(TRANSHARI1_ACCMALAM[PRODUK],CP83,TRANSHARI1_ACCMALAM[QUANTITY])</f>
        <v>0</v>
      </c>
      <c r="CW83" s="12">
        <f>SUMIF(TRANSHARI2_ACCPAGI[PRODUK],CP83,TRANSHARI2_ACCPAGI[QUANTITY])+SUMIF(TRANSHARI2_ACCMALAM[PRODUK],CP83,TRANSHARI2_ACCMALAM[QUANTITY])</f>
        <v>0</v>
      </c>
      <c r="CX83" s="12">
        <f>SUMIF(TRANSHARI3_ACCPAGI[PRODUK],CP83,TRANSHARI3_ACCPAGI[QUANTITY])+SUMIF(TRANSHARI3_ACCMALAM[PRODUK],CP83,TRANSHARI3_ACCMALAM[QUANTITY])</f>
        <v>0</v>
      </c>
      <c r="CY83" s="12">
        <f>SUMIF(TRANSHARI4_ACCPAGI[PRODUK],CP83,TRANSHARI4_ACCPAGI[QUANTITY])+SUMIF(TRANSHARI4_ACCMALAM[PRODUK],CP83,TRANSHARI4_ACCMALAM[QUANTITY])</f>
        <v>0</v>
      </c>
      <c r="CZ83" s="12">
        <f>SUMIF(TRANSHARI5_ACCPAGI[PRODUK],CP83,TRANSHARI5_ACCPAGI[QUANTITY])+SUMIF(TRANSHARI5_ACCMALAM[PRODUK],CP83,TRANSHARI5_ACCMALAM[QUANTITY])</f>
        <v>0</v>
      </c>
      <c r="DA83" s="12">
        <f>SUMIF(TRANSHARI6_ACCPAGI[PRODUK],CP83,TRANSHARI6_ACCPAGI[QUANTITY])+SUMIF(TRANSHARI6_ACCMALAM[PRODUK],CP83,TRANSHARI6_ACCMALAM[QUANTITY])</f>
        <v>0</v>
      </c>
      <c r="DB83" s="12">
        <f>SUMIF(TRANSHARI7_ACCPAGI[PRODUK],CP83,TRANSHARI7_ACCPAGI[QUANTITY])+SUMIF(TRANSHARI7_ACCMALAM[PRODUK],CP83,TRANSHARI7_ACCMALAM[QUANTITY])</f>
        <v>0</v>
      </c>
      <c r="DC83" s="12">
        <f>SUMIF(TRANSHARI8_ACCPAGI[PRODUK],CP83,TRANSHARI8_ACCPAGI[QUANTITY])+SUMIF(TRANSHARI8_ACCMALAM[PRODUK],CP83,TRANSHARI8_ACCMALAM[QUANTITY])</f>
        <v>0</v>
      </c>
      <c r="DD83" s="12">
        <f>SUMIF(TRANSHARI9_ACCPAGI[PRODUK],CP83,TRANSHARI9_ACCPAGI[QUANTITY])+SUMIF(TRANSHARI9_ACCMALAM[PRODUK],CP83,TRANSHARI9_ACCMALAM[QUANTITY])</f>
        <v>0</v>
      </c>
      <c r="DE83" s="12">
        <f>SUMIF(TRANSHARI10_ACCPAGI[PRODUK],CP83,TRANSHARI10_ACCPAGI[QUANTITY])+SUMIF(TRANSHARI10_ACCMALAM[PRODUK],CP83,TRANSHARI10_ACCMALAM[QUANTITY])</f>
        <v>0</v>
      </c>
      <c r="DF83" s="12">
        <f>SUMIF(TRANSHARI11_ACCPAGI[PRODUK],CP83,TRANSHARI11_ACCPAGI[QUANTITY])+SUMIF(TRANSHARI11_ACCMALAM[PRODUK],CP83,TRANSHARI11_ACCMALAM[QUANTITY])</f>
        <v>0</v>
      </c>
      <c r="DG83" s="12">
        <f t="shared" si="27"/>
        <v>0</v>
      </c>
      <c r="DH83" s="12">
        <f t="shared" si="28"/>
        <v>0</v>
      </c>
      <c r="DI83" s="173">
        <f t="shared" si="31"/>
        <v>0</v>
      </c>
    </row>
    <row r="84" ht="18" spans="4:113">
      <c r="D84" s="117">
        <v>11</v>
      </c>
      <c r="E84" s="118">
        <f>'HARI 11'!L58+'HARI 11'!AA58</f>
        <v>0</v>
      </c>
      <c r="F84" s="118">
        <f>'HARI 11'!L59+'HARI 11'!AA59</f>
        <v>0</v>
      </c>
      <c r="G84" s="119">
        <f>'HARI 11'!L60+'HARI 11'!AA60</f>
        <v>0</v>
      </c>
      <c r="AE84" s="157" t="s">
        <v>141</v>
      </c>
      <c r="AF84" s="157"/>
      <c r="AG84" s="161">
        <f t="shared" ref="AG84:AX84" si="36">SUM(AG15:AG83)</f>
        <v>0</v>
      </c>
      <c r="AH84" s="158">
        <f t="shared" si="36"/>
        <v>0</v>
      </c>
      <c r="AI84" s="159">
        <f t="shared" si="36"/>
        <v>0</v>
      </c>
      <c r="AJ84" s="160">
        <f t="shared" si="36"/>
        <v>0</v>
      </c>
      <c r="AK84" s="161">
        <f t="shared" si="36"/>
        <v>19</v>
      </c>
      <c r="AL84" s="169">
        <f t="shared" si="36"/>
        <v>12</v>
      </c>
      <c r="AM84" s="161">
        <f t="shared" si="36"/>
        <v>0</v>
      </c>
      <c r="AN84" s="169">
        <f t="shared" si="36"/>
        <v>0</v>
      </c>
      <c r="AO84" s="161">
        <f t="shared" si="36"/>
        <v>0</v>
      </c>
      <c r="AP84" s="169">
        <f t="shared" si="36"/>
        <v>0</v>
      </c>
      <c r="AQ84" s="161">
        <f t="shared" si="36"/>
        <v>0</v>
      </c>
      <c r="AR84" s="169">
        <f t="shared" si="36"/>
        <v>0</v>
      </c>
      <c r="AS84" s="161">
        <f t="shared" si="36"/>
        <v>0</v>
      </c>
      <c r="AT84" s="169">
        <f t="shared" si="36"/>
        <v>0</v>
      </c>
      <c r="AU84" s="161">
        <f t="shared" si="36"/>
        <v>0</v>
      </c>
      <c r="AV84" s="181">
        <f t="shared" si="36"/>
        <v>31</v>
      </c>
      <c r="AW84" s="182">
        <f t="shared" si="36"/>
        <v>-31</v>
      </c>
      <c r="AX84" s="191">
        <f t="shared" si="36"/>
        <v>593000</v>
      </c>
      <c r="CP84" s="174" t="str">
        <f>'DATA PRODUK'!BH81</f>
        <v>(H.S)(Half-Ear) Olike E20S</v>
      </c>
      <c r="CQ84" s="178">
        <f>'DATA PRODUK'!BI81</f>
        <v>25000</v>
      </c>
      <c r="CR84" s="152"/>
      <c r="CS84" s="152"/>
      <c r="CT84" s="152"/>
      <c r="CU84" s="152"/>
      <c r="CV84" s="152">
        <f>SUMIF(TRANSHARI1_ACCPAGI[PRODUK],CP84,TRANSHARI1_ACCPAGI[QUANTITY])+SUMIF(TRANSHARI1_ACCMALAM[PRODUK],CP84,TRANSHARI1_ACCMALAM[QUANTITY])</f>
        <v>0</v>
      </c>
      <c r="CW84" s="152">
        <f>SUMIF(TRANSHARI2_ACCPAGI[PRODUK],CP84,TRANSHARI2_ACCPAGI[QUANTITY])+SUMIF(TRANSHARI2_ACCMALAM[PRODUK],CP84,TRANSHARI2_ACCMALAM[QUANTITY])</f>
        <v>0</v>
      </c>
      <c r="CX84" s="152">
        <f>SUMIF(TRANSHARI3_ACCPAGI[PRODUK],CP84,TRANSHARI3_ACCPAGI[QUANTITY])+SUMIF(TRANSHARI3_ACCMALAM[PRODUK],CP84,TRANSHARI3_ACCMALAM[QUANTITY])</f>
        <v>0</v>
      </c>
      <c r="CY84" s="152">
        <f>SUMIF(TRANSHARI4_ACCPAGI[PRODUK],CP84,TRANSHARI4_ACCPAGI[QUANTITY])+SUMIF(TRANSHARI4_ACCMALAM[PRODUK],CP84,TRANSHARI4_ACCMALAM[QUANTITY])</f>
        <v>0</v>
      </c>
      <c r="CZ84" s="152">
        <f>SUMIF(TRANSHARI5_ACCPAGI[PRODUK],CP84,TRANSHARI5_ACCPAGI[QUANTITY])+SUMIF(TRANSHARI5_ACCMALAM[PRODUK],CP84,TRANSHARI5_ACCMALAM[QUANTITY])</f>
        <v>0</v>
      </c>
      <c r="DA84" s="152">
        <f>SUMIF(TRANSHARI6_ACCPAGI[PRODUK],CP84,TRANSHARI6_ACCPAGI[QUANTITY])+SUMIF(TRANSHARI6_ACCMALAM[PRODUK],CP84,TRANSHARI6_ACCMALAM[QUANTITY])</f>
        <v>0</v>
      </c>
      <c r="DB84" s="152">
        <f>SUMIF(TRANSHARI7_ACCPAGI[PRODUK],CP84,TRANSHARI7_ACCPAGI[QUANTITY])+SUMIF(TRANSHARI7_ACCMALAM[PRODUK],CP84,TRANSHARI7_ACCMALAM[QUANTITY])</f>
        <v>0</v>
      </c>
      <c r="DC84" s="152">
        <f>SUMIF(TRANSHARI8_ACCPAGI[PRODUK],CP84,TRANSHARI8_ACCPAGI[QUANTITY])+SUMIF(TRANSHARI8_ACCMALAM[PRODUK],CP84,TRANSHARI8_ACCMALAM[QUANTITY])</f>
        <v>0</v>
      </c>
      <c r="DD84" s="152">
        <f>SUMIF(TRANSHARI9_ACCPAGI[PRODUK],CP84,TRANSHARI9_ACCPAGI[QUANTITY])+SUMIF(TRANSHARI9_ACCMALAM[PRODUK],CP84,TRANSHARI9_ACCMALAM[QUANTITY])</f>
        <v>0</v>
      </c>
      <c r="DE84" s="152">
        <f>SUMIF(TRANSHARI10_ACCPAGI[PRODUK],CP84,TRANSHARI10_ACCPAGI[QUANTITY])+SUMIF(TRANSHARI10_ACCMALAM[PRODUK],CP84,TRANSHARI10_ACCMALAM[QUANTITY])</f>
        <v>0</v>
      </c>
      <c r="DF84" s="152">
        <f>SUMIF(TRANSHARI11_ACCPAGI[PRODUK],CP84,TRANSHARI11_ACCPAGI[QUANTITY])+SUMIF(TRANSHARI11_ACCMALAM[PRODUK],CP84,TRANSHARI11_ACCMALAM[QUANTITY])</f>
        <v>0</v>
      </c>
      <c r="DG84" s="152">
        <f t="shared" si="27"/>
        <v>0</v>
      </c>
      <c r="DH84" s="152">
        <f t="shared" si="28"/>
        <v>0</v>
      </c>
      <c r="DI84" s="176">
        <f t="shared" si="31"/>
        <v>0</v>
      </c>
    </row>
    <row r="85" ht="18" spans="4:113">
      <c r="D85" s="123" t="s">
        <v>141</v>
      </c>
      <c r="E85" s="124">
        <f>SUM(E74:E84)</f>
        <v>0</v>
      </c>
      <c r="F85" s="124">
        <f>SUM(F74:F84)</f>
        <v>0</v>
      </c>
      <c r="G85" s="197">
        <f>SUM(G74:G84)</f>
        <v>0</v>
      </c>
      <c r="AE85" s="162"/>
      <c r="AF85" s="162"/>
      <c r="AG85" s="166"/>
      <c r="AH85" s="163"/>
      <c r="AI85" s="164"/>
      <c r="AJ85" s="165"/>
      <c r="AK85" s="166"/>
      <c r="AL85" s="170"/>
      <c r="AM85" s="166"/>
      <c r="AN85" s="170"/>
      <c r="AO85" s="166"/>
      <c r="AP85" s="170"/>
      <c r="AQ85" s="166"/>
      <c r="AR85" s="170"/>
      <c r="AS85" s="166"/>
      <c r="AT85" s="170"/>
      <c r="AU85" s="166"/>
      <c r="AV85" s="184"/>
      <c r="AW85" s="185"/>
      <c r="AX85" s="192"/>
      <c r="CP85" s="177" t="str">
        <f>'DATA PRODUK'!BH82</f>
        <v>(H.S)(Half-Ear) Robot RE10</v>
      </c>
      <c r="CQ85" s="175">
        <f>'DATA PRODUK'!BI82</f>
        <v>35000</v>
      </c>
      <c r="CR85" s="12"/>
      <c r="CS85" s="12"/>
      <c r="CT85" s="12"/>
      <c r="CU85" s="12"/>
      <c r="CV85" s="12">
        <f>SUMIF(TRANSHARI1_ACCPAGI[PRODUK],CP85,TRANSHARI1_ACCPAGI[QUANTITY])+SUMIF(TRANSHARI1_ACCMALAM[PRODUK],CP85,TRANSHARI1_ACCMALAM[QUANTITY])</f>
        <v>0</v>
      </c>
      <c r="CW85" s="12">
        <f>SUMIF(TRANSHARI2_ACCPAGI[PRODUK],CP85,TRANSHARI2_ACCPAGI[QUANTITY])+SUMIF(TRANSHARI2_ACCMALAM[PRODUK],CP85,TRANSHARI2_ACCMALAM[QUANTITY])</f>
        <v>0</v>
      </c>
      <c r="CX85" s="12">
        <f>SUMIF(TRANSHARI3_ACCPAGI[PRODUK],CP85,TRANSHARI3_ACCPAGI[QUANTITY])+SUMIF(TRANSHARI3_ACCMALAM[PRODUK],CP85,TRANSHARI3_ACCMALAM[QUANTITY])</f>
        <v>0</v>
      </c>
      <c r="CY85" s="12">
        <f>SUMIF(TRANSHARI4_ACCPAGI[PRODUK],CP85,TRANSHARI4_ACCPAGI[QUANTITY])+SUMIF(TRANSHARI4_ACCMALAM[PRODUK],CP85,TRANSHARI4_ACCMALAM[QUANTITY])</f>
        <v>0</v>
      </c>
      <c r="CZ85" s="12">
        <f>SUMIF(TRANSHARI5_ACCPAGI[PRODUK],CP85,TRANSHARI5_ACCPAGI[QUANTITY])+SUMIF(TRANSHARI5_ACCMALAM[PRODUK],CP85,TRANSHARI5_ACCMALAM[QUANTITY])</f>
        <v>0</v>
      </c>
      <c r="DA85" s="12">
        <f>SUMIF(TRANSHARI6_ACCPAGI[PRODUK],CP85,TRANSHARI6_ACCPAGI[QUANTITY])+SUMIF(TRANSHARI6_ACCMALAM[PRODUK],CP85,TRANSHARI6_ACCMALAM[QUANTITY])</f>
        <v>0</v>
      </c>
      <c r="DB85" s="12">
        <f>SUMIF(TRANSHARI7_ACCPAGI[PRODUK],CP85,TRANSHARI7_ACCPAGI[QUANTITY])+SUMIF(TRANSHARI7_ACCMALAM[PRODUK],CP85,TRANSHARI7_ACCMALAM[QUANTITY])</f>
        <v>0</v>
      </c>
      <c r="DC85" s="12">
        <f>SUMIF(TRANSHARI8_ACCPAGI[PRODUK],CP85,TRANSHARI8_ACCPAGI[QUANTITY])+SUMIF(TRANSHARI8_ACCMALAM[PRODUK],CP85,TRANSHARI8_ACCMALAM[QUANTITY])</f>
        <v>0</v>
      </c>
      <c r="DD85" s="12">
        <f>SUMIF(TRANSHARI9_ACCPAGI[PRODUK],CP85,TRANSHARI9_ACCPAGI[QUANTITY])+SUMIF(TRANSHARI9_ACCMALAM[PRODUK],CP85,TRANSHARI9_ACCMALAM[QUANTITY])</f>
        <v>0</v>
      </c>
      <c r="DE85" s="12">
        <f>SUMIF(TRANSHARI10_ACCPAGI[PRODUK],CP85,TRANSHARI10_ACCPAGI[QUANTITY])+SUMIF(TRANSHARI10_ACCMALAM[PRODUK],CP85,TRANSHARI10_ACCMALAM[QUANTITY])</f>
        <v>0</v>
      </c>
      <c r="DF85" s="12">
        <f>SUMIF(TRANSHARI11_ACCPAGI[PRODUK],CP85,TRANSHARI11_ACCPAGI[QUANTITY])+SUMIF(TRANSHARI11_ACCMALAM[PRODUK],CP85,TRANSHARI11_ACCMALAM[QUANTITY])</f>
        <v>0</v>
      </c>
      <c r="DG85" s="12">
        <f t="shared" si="27"/>
        <v>0</v>
      </c>
      <c r="DH85" s="12">
        <f t="shared" si="28"/>
        <v>0</v>
      </c>
      <c r="DI85" s="173">
        <f t="shared" si="31"/>
        <v>0</v>
      </c>
    </row>
    <row r="86" ht="18" spans="33:113">
      <c r="AG86" s="167"/>
      <c r="AH86" s="167"/>
      <c r="AI86" s="167"/>
      <c r="AJ86" s="167"/>
      <c r="AK86" s="12" t="s">
        <v>246</v>
      </c>
      <c r="AL86" s="12" t="s">
        <v>247</v>
      </c>
      <c r="AM86" s="12" t="s">
        <v>248</v>
      </c>
      <c r="AN86" s="12" t="s">
        <v>249</v>
      </c>
      <c r="AO86" s="12" t="s">
        <v>250</v>
      </c>
      <c r="AP86" s="12" t="s">
        <v>251</v>
      </c>
      <c r="AQ86" s="12" t="s">
        <v>252</v>
      </c>
      <c r="AR86" s="12" t="s">
        <v>253</v>
      </c>
      <c r="AS86" s="12" t="s">
        <v>254</v>
      </c>
      <c r="AT86" s="12" t="s">
        <v>255</v>
      </c>
      <c r="AU86" s="12" t="s">
        <v>256</v>
      </c>
      <c r="AV86" s="167"/>
      <c r="AW86" s="167"/>
      <c r="AX86" s="167"/>
      <c r="CP86" s="174" t="str">
        <f>'DATA PRODUK'!BH83</f>
        <v>(H.S)(Half-Ear) Oase Cable E-T2H</v>
      </c>
      <c r="CQ86" s="178">
        <f>'DATA PRODUK'!BI83</f>
        <v>45000</v>
      </c>
      <c r="CR86" s="152"/>
      <c r="CS86" s="152"/>
      <c r="CT86" s="152"/>
      <c r="CU86" s="152"/>
      <c r="CV86" s="152">
        <f>SUMIF(TRANSHARI1_ACCPAGI[PRODUK],CP86,TRANSHARI1_ACCPAGI[QUANTITY])+SUMIF(TRANSHARI1_ACCMALAM[PRODUK],CP86,TRANSHARI1_ACCMALAM[QUANTITY])</f>
        <v>0</v>
      </c>
      <c r="CW86" s="152">
        <f>SUMIF(TRANSHARI2_ACCPAGI[PRODUK],CP86,TRANSHARI2_ACCPAGI[QUANTITY])+SUMIF(TRANSHARI2_ACCMALAM[PRODUK],CP86,TRANSHARI2_ACCMALAM[QUANTITY])</f>
        <v>0</v>
      </c>
      <c r="CX86" s="152">
        <f>SUMIF(TRANSHARI3_ACCPAGI[PRODUK],CP86,TRANSHARI3_ACCPAGI[QUANTITY])+SUMIF(TRANSHARI3_ACCMALAM[PRODUK],CP86,TRANSHARI3_ACCMALAM[QUANTITY])</f>
        <v>0</v>
      </c>
      <c r="CY86" s="152">
        <f>SUMIF(TRANSHARI4_ACCPAGI[PRODUK],CP86,TRANSHARI4_ACCPAGI[QUANTITY])+SUMIF(TRANSHARI4_ACCMALAM[PRODUK],CP86,TRANSHARI4_ACCMALAM[QUANTITY])</f>
        <v>0</v>
      </c>
      <c r="CZ86" s="152">
        <f>SUMIF(TRANSHARI5_ACCPAGI[PRODUK],CP86,TRANSHARI5_ACCPAGI[QUANTITY])+SUMIF(TRANSHARI5_ACCMALAM[PRODUK],CP86,TRANSHARI5_ACCMALAM[QUANTITY])</f>
        <v>0</v>
      </c>
      <c r="DA86" s="152">
        <f>SUMIF(TRANSHARI6_ACCPAGI[PRODUK],CP86,TRANSHARI6_ACCPAGI[QUANTITY])+SUMIF(TRANSHARI6_ACCMALAM[PRODUK],CP86,TRANSHARI6_ACCMALAM[QUANTITY])</f>
        <v>0</v>
      </c>
      <c r="DB86" s="152">
        <f>SUMIF(TRANSHARI7_ACCPAGI[PRODUK],CP86,TRANSHARI7_ACCPAGI[QUANTITY])+SUMIF(TRANSHARI7_ACCMALAM[PRODUK],CP86,TRANSHARI7_ACCMALAM[QUANTITY])</f>
        <v>0</v>
      </c>
      <c r="DC86" s="152">
        <f>SUMIF(TRANSHARI8_ACCPAGI[PRODUK],CP86,TRANSHARI8_ACCPAGI[QUANTITY])+SUMIF(TRANSHARI8_ACCMALAM[PRODUK],CP86,TRANSHARI8_ACCMALAM[QUANTITY])</f>
        <v>0</v>
      </c>
      <c r="DD86" s="152">
        <f>SUMIF(TRANSHARI9_ACCPAGI[PRODUK],CP86,TRANSHARI9_ACCPAGI[QUANTITY])+SUMIF(TRANSHARI9_ACCMALAM[PRODUK],CP86,TRANSHARI9_ACCMALAM[QUANTITY])</f>
        <v>0</v>
      </c>
      <c r="DE86" s="152">
        <f>SUMIF(TRANSHARI10_ACCPAGI[PRODUK],CP86,TRANSHARI10_ACCPAGI[QUANTITY])+SUMIF(TRANSHARI10_ACCMALAM[PRODUK],CP86,TRANSHARI10_ACCMALAM[QUANTITY])</f>
        <v>0</v>
      </c>
      <c r="DF86" s="152">
        <f>SUMIF(TRANSHARI11_ACCPAGI[PRODUK],CP86,TRANSHARI11_ACCPAGI[QUANTITY])+SUMIF(TRANSHARI11_ACCMALAM[PRODUK],CP86,TRANSHARI11_ACCMALAM[QUANTITY])</f>
        <v>0</v>
      </c>
      <c r="DG86" s="152">
        <f t="shared" si="27"/>
        <v>0</v>
      </c>
      <c r="DH86" s="152">
        <f t="shared" si="28"/>
        <v>0</v>
      </c>
      <c r="DI86" s="176">
        <f t="shared" si="31"/>
        <v>0</v>
      </c>
    </row>
    <row r="87" ht="18" spans="31:113">
      <c r="AE87" s="167">
        <f>COUNTA(AE15:AE83)</f>
        <v>68</v>
      </c>
      <c r="AF87" s="168">
        <f>SUM(AF15:AF83)</f>
        <v>2098000</v>
      </c>
      <c r="CP87" s="177" t="str">
        <f>'DATA PRODUK'!BH84</f>
        <v>(H.S)(In-Ear) Olike E30S</v>
      </c>
      <c r="CQ87" s="175">
        <f>'DATA PRODUK'!BI84</f>
        <v>20000</v>
      </c>
      <c r="CR87" s="12"/>
      <c r="CS87" s="12"/>
      <c r="CT87" s="12"/>
      <c r="CU87" s="12"/>
      <c r="CV87" s="12">
        <f>SUMIF(TRANSHARI1_ACCPAGI[PRODUK],CP87,TRANSHARI1_ACCPAGI[QUANTITY])+SUMIF(TRANSHARI1_ACCMALAM[PRODUK],CP87,TRANSHARI1_ACCMALAM[QUANTITY])</f>
        <v>0</v>
      </c>
      <c r="CW87" s="12">
        <f>SUMIF(TRANSHARI2_ACCPAGI[PRODUK],CP87,TRANSHARI2_ACCPAGI[QUANTITY])+SUMIF(TRANSHARI2_ACCMALAM[PRODUK],CP87,TRANSHARI2_ACCMALAM[QUANTITY])</f>
        <v>0</v>
      </c>
      <c r="CX87" s="12">
        <f>SUMIF(TRANSHARI3_ACCPAGI[PRODUK],CP87,TRANSHARI3_ACCPAGI[QUANTITY])+SUMIF(TRANSHARI3_ACCMALAM[PRODUK],CP87,TRANSHARI3_ACCMALAM[QUANTITY])</f>
        <v>0</v>
      </c>
      <c r="CY87" s="12">
        <f>SUMIF(TRANSHARI4_ACCPAGI[PRODUK],CP87,TRANSHARI4_ACCPAGI[QUANTITY])+SUMIF(TRANSHARI4_ACCMALAM[PRODUK],CP87,TRANSHARI4_ACCMALAM[QUANTITY])</f>
        <v>0</v>
      </c>
      <c r="CZ87" s="12">
        <f>SUMIF(TRANSHARI5_ACCPAGI[PRODUK],CP87,TRANSHARI5_ACCPAGI[QUANTITY])+SUMIF(TRANSHARI5_ACCMALAM[PRODUK],CP87,TRANSHARI5_ACCMALAM[QUANTITY])</f>
        <v>0</v>
      </c>
      <c r="DA87" s="12">
        <f>SUMIF(TRANSHARI6_ACCPAGI[PRODUK],CP87,TRANSHARI6_ACCPAGI[QUANTITY])+SUMIF(TRANSHARI6_ACCMALAM[PRODUK],CP87,TRANSHARI6_ACCMALAM[QUANTITY])</f>
        <v>0</v>
      </c>
      <c r="DB87" s="12">
        <f>SUMIF(TRANSHARI7_ACCPAGI[PRODUK],CP87,TRANSHARI7_ACCPAGI[QUANTITY])+SUMIF(TRANSHARI7_ACCMALAM[PRODUK],CP87,TRANSHARI7_ACCMALAM[QUANTITY])</f>
        <v>0</v>
      </c>
      <c r="DC87" s="12">
        <f>SUMIF(TRANSHARI8_ACCPAGI[PRODUK],CP87,TRANSHARI8_ACCPAGI[QUANTITY])+SUMIF(TRANSHARI8_ACCMALAM[PRODUK],CP87,TRANSHARI8_ACCMALAM[QUANTITY])</f>
        <v>0</v>
      </c>
      <c r="DD87" s="12">
        <f>SUMIF(TRANSHARI9_ACCPAGI[PRODUK],CP87,TRANSHARI9_ACCPAGI[QUANTITY])+SUMIF(TRANSHARI9_ACCMALAM[PRODUK],CP87,TRANSHARI9_ACCMALAM[QUANTITY])</f>
        <v>0</v>
      </c>
      <c r="DE87" s="12">
        <f>SUMIF(TRANSHARI10_ACCPAGI[PRODUK],CP87,TRANSHARI10_ACCPAGI[QUANTITY])+SUMIF(TRANSHARI10_ACCMALAM[PRODUK],CP87,TRANSHARI10_ACCMALAM[QUANTITY])</f>
        <v>0</v>
      </c>
      <c r="DF87" s="12">
        <f>SUMIF(TRANSHARI11_ACCPAGI[PRODUK],CP87,TRANSHARI11_ACCPAGI[QUANTITY])+SUMIF(TRANSHARI11_ACCMALAM[PRODUK],CP87,TRANSHARI11_ACCMALAM[QUANTITY])</f>
        <v>0</v>
      </c>
      <c r="DG87" s="12">
        <f t="shared" si="27"/>
        <v>0</v>
      </c>
      <c r="DH87" s="12">
        <f t="shared" si="28"/>
        <v>0</v>
      </c>
      <c r="DI87" s="173">
        <f t="shared" si="31"/>
        <v>0</v>
      </c>
    </row>
    <row r="88" ht="18.75" spans="94:113">
      <c r="CP88" s="174" t="str">
        <f>'DATA PRODUK'!BH85</f>
        <v>(H.S)(In-Ear) Robot RE20</v>
      </c>
      <c r="CQ88" s="178">
        <f>'DATA PRODUK'!BI85</f>
        <v>25000</v>
      </c>
      <c r="CR88" s="152"/>
      <c r="CS88" s="152"/>
      <c r="CT88" s="152"/>
      <c r="CU88" s="152"/>
      <c r="CV88" s="152">
        <f>SUMIF(TRANSHARI1_ACCPAGI[PRODUK],CP88,TRANSHARI1_ACCPAGI[QUANTITY])+SUMIF(TRANSHARI1_ACCMALAM[PRODUK],CP88,TRANSHARI1_ACCMALAM[QUANTITY])</f>
        <v>0</v>
      </c>
      <c r="CW88" s="152">
        <f>SUMIF(TRANSHARI2_ACCPAGI[PRODUK],CP88,TRANSHARI2_ACCPAGI[QUANTITY])+SUMIF(TRANSHARI2_ACCMALAM[PRODUK],CP88,TRANSHARI2_ACCMALAM[QUANTITY])</f>
        <v>0</v>
      </c>
      <c r="CX88" s="152">
        <f>SUMIF(TRANSHARI3_ACCPAGI[PRODUK],CP88,TRANSHARI3_ACCPAGI[QUANTITY])+SUMIF(TRANSHARI3_ACCMALAM[PRODUK],CP88,TRANSHARI3_ACCMALAM[QUANTITY])</f>
        <v>0</v>
      </c>
      <c r="CY88" s="152">
        <f>SUMIF(TRANSHARI4_ACCPAGI[PRODUK],CP88,TRANSHARI4_ACCPAGI[QUANTITY])+SUMIF(TRANSHARI4_ACCMALAM[PRODUK],CP88,TRANSHARI4_ACCMALAM[QUANTITY])</f>
        <v>0</v>
      </c>
      <c r="CZ88" s="152">
        <f>SUMIF(TRANSHARI5_ACCPAGI[PRODUK],CP88,TRANSHARI5_ACCPAGI[QUANTITY])+SUMIF(TRANSHARI5_ACCMALAM[PRODUK],CP88,TRANSHARI5_ACCMALAM[QUANTITY])</f>
        <v>0</v>
      </c>
      <c r="DA88" s="152">
        <f>SUMIF(TRANSHARI6_ACCPAGI[PRODUK],CP88,TRANSHARI6_ACCPAGI[QUANTITY])+SUMIF(TRANSHARI6_ACCMALAM[PRODUK],CP88,TRANSHARI6_ACCMALAM[QUANTITY])</f>
        <v>0</v>
      </c>
      <c r="DB88" s="152">
        <f>SUMIF(TRANSHARI7_ACCPAGI[PRODUK],CP88,TRANSHARI7_ACCPAGI[QUANTITY])+SUMIF(TRANSHARI7_ACCMALAM[PRODUK],CP88,TRANSHARI7_ACCMALAM[QUANTITY])</f>
        <v>0</v>
      </c>
      <c r="DC88" s="152">
        <f>SUMIF(TRANSHARI8_ACCPAGI[PRODUK],CP88,TRANSHARI8_ACCPAGI[QUANTITY])+SUMIF(TRANSHARI8_ACCMALAM[PRODUK],CP88,TRANSHARI8_ACCMALAM[QUANTITY])</f>
        <v>0</v>
      </c>
      <c r="DD88" s="152">
        <f>SUMIF(TRANSHARI9_ACCPAGI[PRODUK],CP88,TRANSHARI9_ACCPAGI[QUANTITY])+SUMIF(TRANSHARI9_ACCMALAM[PRODUK],CP88,TRANSHARI9_ACCMALAM[QUANTITY])</f>
        <v>0</v>
      </c>
      <c r="DE88" s="152">
        <f>SUMIF(TRANSHARI10_ACCPAGI[PRODUK],CP88,TRANSHARI10_ACCPAGI[QUANTITY])+SUMIF(TRANSHARI10_ACCMALAM[PRODUK],CP88,TRANSHARI10_ACCMALAM[QUANTITY])</f>
        <v>0</v>
      </c>
      <c r="DF88" s="152">
        <f>SUMIF(TRANSHARI11_ACCPAGI[PRODUK],CP88,TRANSHARI11_ACCPAGI[QUANTITY])+SUMIF(TRANSHARI11_ACCMALAM[PRODUK],CP88,TRANSHARI11_ACCMALAM[QUANTITY])</f>
        <v>0</v>
      </c>
      <c r="DG88" s="152">
        <f t="shared" si="27"/>
        <v>0</v>
      </c>
      <c r="DH88" s="152">
        <f t="shared" si="28"/>
        <v>0</v>
      </c>
      <c r="DI88" s="176">
        <f t="shared" si="31"/>
        <v>0</v>
      </c>
    </row>
    <row r="89" ht="18" spans="1:113">
      <c r="A89" s="198" t="s">
        <v>278</v>
      </c>
      <c r="B89" s="199"/>
      <c r="C89" s="200"/>
      <c r="D89" s="201" t="s">
        <v>267</v>
      </c>
      <c r="E89" s="202" t="s">
        <v>19</v>
      </c>
      <c r="F89" s="202" t="s">
        <v>268</v>
      </c>
      <c r="G89" s="203" t="s">
        <v>269</v>
      </c>
      <c r="AE89" s="167" t="str">
        <f>IF(AE87='DATA PRODUK'!R82,"MATCHED","NOT MATCHED")</f>
        <v>MATCHED</v>
      </c>
      <c r="AF89" s="167" t="str">
        <f>IF(AF87='DATA PRODUK'!S82,"MATCHED","NOT MATCHED")</f>
        <v>MATCHED</v>
      </c>
      <c r="CP89" s="177" t="str">
        <f>'DATA PRODUK'!BH86</f>
        <v>(H.S)(In-Ear) Olike E-11</v>
      </c>
      <c r="CQ89" s="175">
        <f>'DATA PRODUK'!BI86</f>
        <v>30000</v>
      </c>
      <c r="CR89" s="12"/>
      <c r="CS89" s="12"/>
      <c r="CT89" s="12"/>
      <c r="CU89" s="12"/>
      <c r="CV89" s="12">
        <f>SUMIF(TRANSHARI1_ACCPAGI[PRODUK],CP89,TRANSHARI1_ACCPAGI[QUANTITY])+SUMIF(TRANSHARI1_ACCMALAM[PRODUK],CP89,TRANSHARI1_ACCMALAM[QUANTITY])</f>
        <v>0</v>
      </c>
      <c r="CW89" s="12">
        <f>SUMIF(TRANSHARI2_ACCPAGI[PRODUK],CP89,TRANSHARI2_ACCPAGI[QUANTITY])+SUMIF(TRANSHARI2_ACCMALAM[PRODUK],CP89,TRANSHARI2_ACCMALAM[QUANTITY])</f>
        <v>0</v>
      </c>
      <c r="CX89" s="12">
        <f>SUMIF(TRANSHARI3_ACCPAGI[PRODUK],CP89,TRANSHARI3_ACCPAGI[QUANTITY])+SUMIF(TRANSHARI3_ACCMALAM[PRODUK],CP89,TRANSHARI3_ACCMALAM[QUANTITY])</f>
        <v>0</v>
      </c>
      <c r="CY89" s="12">
        <f>SUMIF(TRANSHARI4_ACCPAGI[PRODUK],CP89,TRANSHARI4_ACCPAGI[QUANTITY])+SUMIF(TRANSHARI4_ACCMALAM[PRODUK],CP89,TRANSHARI4_ACCMALAM[QUANTITY])</f>
        <v>0</v>
      </c>
      <c r="CZ89" s="12">
        <f>SUMIF(TRANSHARI5_ACCPAGI[PRODUK],CP89,TRANSHARI5_ACCPAGI[QUANTITY])+SUMIF(TRANSHARI5_ACCMALAM[PRODUK],CP89,TRANSHARI5_ACCMALAM[QUANTITY])</f>
        <v>0</v>
      </c>
      <c r="DA89" s="12">
        <f>SUMIF(TRANSHARI6_ACCPAGI[PRODUK],CP89,TRANSHARI6_ACCPAGI[QUANTITY])+SUMIF(TRANSHARI6_ACCMALAM[PRODUK],CP89,TRANSHARI6_ACCMALAM[QUANTITY])</f>
        <v>0</v>
      </c>
      <c r="DB89" s="12">
        <f>SUMIF(TRANSHARI7_ACCPAGI[PRODUK],CP89,TRANSHARI7_ACCPAGI[QUANTITY])+SUMIF(TRANSHARI7_ACCMALAM[PRODUK],CP89,TRANSHARI7_ACCMALAM[QUANTITY])</f>
        <v>0</v>
      </c>
      <c r="DC89" s="12">
        <f>SUMIF(TRANSHARI8_ACCPAGI[PRODUK],CP89,TRANSHARI8_ACCPAGI[QUANTITY])+SUMIF(TRANSHARI8_ACCMALAM[PRODUK],CP89,TRANSHARI8_ACCMALAM[QUANTITY])</f>
        <v>0</v>
      </c>
      <c r="DD89" s="12">
        <f>SUMIF(TRANSHARI9_ACCPAGI[PRODUK],CP89,TRANSHARI9_ACCPAGI[QUANTITY])+SUMIF(TRANSHARI9_ACCMALAM[PRODUK],CP89,TRANSHARI9_ACCMALAM[QUANTITY])</f>
        <v>0</v>
      </c>
      <c r="DE89" s="12">
        <f>SUMIF(TRANSHARI10_ACCPAGI[PRODUK],CP89,TRANSHARI10_ACCPAGI[QUANTITY])+SUMIF(TRANSHARI10_ACCMALAM[PRODUK],CP89,TRANSHARI10_ACCMALAM[QUANTITY])</f>
        <v>0</v>
      </c>
      <c r="DF89" s="12">
        <f>SUMIF(TRANSHARI11_ACCPAGI[PRODUK],CP89,TRANSHARI11_ACCPAGI[QUANTITY])+SUMIF(TRANSHARI11_ACCMALAM[PRODUK],CP89,TRANSHARI11_ACCMALAM[QUANTITY])</f>
        <v>0</v>
      </c>
      <c r="DG89" s="12">
        <f t="shared" si="27"/>
        <v>0</v>
      </c>
      <c r="DH89" s="12">
        <f t="shared" si="28"/>
        <v>0</v>
      </c>
      <c r="DI89" s="173">
        <f t="shared" si="31"/>
        <v>0</v>
      </c>
    </row>
    <row r="90" ht="18" spans="1:113">
      <c r="A90" s="204"/>
      <c r="B90" s="205"/>
      <c r="C90" s="206"/>
      <c r="D90" s="207">
        <v>1</v>
      </c>
      <c r="E90" s="128">
        <f>E14+E29+E44+E59+E74</f>
        <v>658168</v>
      </c>
      <c r="F90" s="128">
        <f>F14+F29+F44+F59+F74</f>
        <v>1000132</v>
      </c>
      <c r="G90" s="128">
        <f>G14+G29+G44+G59+G74</f>
        <v>0</v>
      </c>
      <c r="CP90" s="174" t="str">
        <f>'DATA PRODUK'!BH87</f>
        <v>(H.S)(In-Ear) Robot RE101S</v>
      </c>
      <c r="CQ90" s="178">
        <f>'DATA PRODUK'!BI87</f>
        <v>35000</v>
      </c>
      <c r="CR90" s="152"/>
      <c r="CS90" s="152"/>
      <c r="CT90" s="152"/>
      <c r="CU90" s="152"/>
      <c r="CV90" s="152">
        <f>SUMIF(TRANSHARI1_ACCPAGI[PRODUK],CP90,TRANSHARI1_ACCPAGI[QUANTITY])+SUMIF(TRANSHARI1_ACCMALAM[PRODUK],CP90,TRANSHARI1_ACCMALAM[QUANTITY])</f>
        <v>0</v>
      </c>
      <c r="CW90" s="152">
        <f>SUMIF(TRANSHARI2_ACCPAGI[PRODUK],CP90,TRANSHARI2_ACCPAGI[QUANTITY])+SUMIF(TRANSHARI2_ACCMALAM[PRODUK],CP90,TRANSHARI2_ACCMALAM[QUANTITY])</f>
        <v>0</v>
      </c>
      <c r="CX90" s="152">
        <f>SUMIF(TRANSHARI3_ACCPAGI[PRODUK],CP90,TRANSHARI3_ACCPAGI[QUANTITY])+SUMIF(TRANSHARI3_ACCMALAM[PRODUK],CP90,TRANSHARI3_ACCMALAM[QUANTITY])</f>
        <v>0</v>
      </c>
      <c r="CY90" s="152">
        <f>SUMIF(TRANSHARI4_ACCPAGI[PRODUK],CP90,TRANSHARI4_ACCPAGI[QUANTITY])+SUMIF(TRANSHARI4_ACCMALAM[PRODUK],CP90,TRANSHARI4_ACCMALAM[QUANTITY])</f>
        <v>0</v>
      </c>
      <c r="CZ90" s="152">
        <f>SUMIF(TRANSHARI5_ACCPAGI[PRODUK],CP90,TRANSHARI5_ACCPAGI[QUANTITY])+SUMIF(TRANSHARI5_ACCMALAM[PRODUK],CP90,TRANSHARI5_ACCMALAM[QUANTITY])</f>
        <v>0</v>
      </c>
      <c r="DA90" s="152">
        <f>SUMIF(TRANSHARI6_ACCPAGI[PRODUK],CP90,TRANSHARI6_ACCPAGI[QUANTITY])+SUMIF(TRANSHARI6_ACCMALAM[PRODUK],CP90,TRANSHARI6_ACCMALAM[QUANTITY])</f>
        <v>0</v>
      </c>
      <c r="DB90" s="152">
        <f>SUMIF(TRANSHARI7_ACCPAGI[PRODUK],CP90,TRANSHARI7_ACCPAGI[QUANTITY])+SUMIF(TRANSHARI7_ACCMALAM[PRODUK],CP90,TRANSHARI7_ACCMALAM[QUANTITY])</f>
        <v>0</v>
      </c>
      <c r="DC90" s="152">
        <f>SUMIF(TRANSHARI8_ACCPAGI[PRODUK],CP90,TRANSHARI8_ACCPAGI[QUANTITY])+SUMIF(TRANSHARI8_ACCMALAM[PRODUK],CP90,TRANSHARI8_ACCMALAM[QUANTITY])</f>
        <v>0</v>
      </c>
      <c r="DD90" s="152">
        <f>SUMIF(TRANSHARI9_ACCPAGI[PRODUK],CP90,TRANSHARI9_ACCPAGI[QUANTITY])+SUMIF(TRANSHARI9_ACCMALAM[PRODUK],CP90,TRANSHARI9_ACCMALAM[QUANTITY])</f>
        <v>0</v>
      </c>
      <c r="DE90" s="152">
        <f>SUMIF(TRANSHARI10_ACCPAGI[PRODUK],CP90,TRANSHARI10_ACCPAGI[QUANTITY])+SUMIF(TRANSHARI10_ACCMALAM[PRODUK],CP90,TRANSHARI10_ACCMALAM[QUANTITY])</f>
        <v>0</v>
      </c>
      <c r="DF90" s="152">
        <f>SUMIF(TRANSHARI11_ACCPAGI[PRODUK],CP90,TRANSHARI11_ACCPAGI[QUANTITY])+SUMIF(TRANSHARI11_ACCMALAM[PRODUK],CP90,TRANSHARI11_ACCMALAM[QUANTITY])</f>
        <v>0</v>
      </c>
      <c r="DG90" s="152">
        <f t="shared" si="27"/>
        <v>0</v>
      </c>
      <c r="DH90" s="152">
        <f t="shared" si="28"/>
        <v>0</v>
      </c>
      <c r="DI90" s="176">
        <f t="shared" si="31"/>
        <v>0</v>
      </c>
    </row>
    <row r="91" ht="18" spans="1:113">
      <c r="A91" s="204"/>
      <c r="B91" s="205"/>
      <c r="C91" s="206"/>
      <c r="D91" s="208">
        <v>2</v>
      </c>
      <c r="E91" s="131">
        <f t="shared" ref="E91:G99" si="37">E15+E30+E45+E60+E75</f>
        <v>267379</v>
      </c>
      <c r="F91" s="132">
        <f t="shared" si="37"/>
        <v>0</v>
      </c>
      <c r="G91" s="209">
        <f t="shared" si="37"/>
        <v>5060</v>
      </c>
      <c r="CP91" s="177" t="str">
        <f>'DATA PRODUK'!BH88</f>
        <v>(H.S)(In-Ear) Rexi EI03</v>
      </c>
      <c r="CQ91" s="175">
        <f>'DATA PRODUK'!BI88</f>
        <v>40000</v>
      </c>
      <c r="CR91" s="12"/>
      <c r="CS91" s="12"/>
      <c r="CT91" s="12"/>
      <c r="CU91" s="12"/>
      <c r="CV91" s="12">
        <f>SUMIF(TRANSHARI1_ACCPAGI[PRODUK],CP91,TRANSHARI1_ACCPAGI[QUANTITY])+SUMIF(TRANSHARI1_ACCMALAM[PRODUK],CP91,TRANSHARI1_ACCMALAM[QUANTITY])</f>
        <v>0</v>
      </c>
      <c r="CW91" s="12">
        <f>SUMIF(TRANSHARI2_ACCPAGI[PRODUK],CP91,TRANSHARI2_ACCPAGI[QUANTITY])+SUMIF(TRANSHARI2_ACCMALAM[PRODUK],CP91,TRANSHARI2_ACCMALAM[QUANTITY])</f>
        <v>0</v>
      </c>
      <c r="CX91" s="12">
        <f>SUMIF(TRANSHARI3_ACCPAGI[PRODUK],CP91,TRANSHARI3_ACCPAGI[QUANTITY])+SUMIF(TRANSHARI3_ACCMALAM[PRODUK],CP91,TRANSHARI3_ACCMALAM[QUANTITY])</f>
        <v>0</v>
      </c>
      <c r="CY91" s="12">
        <f>SUMIF(TRANSHARI4_ACCPAGI[PRODUK],CP91,TRANSHARI4_ACCPAGI[QUANTITY])+SUMIF(TRANSHARI4_ACCMALAM[PRODUK],CP91,TRANSHARI4_ACCMALAM[QUANTITY])</f>
        <v>0</v>
      </c>
      <c r="CZ91" s="12">
        <f>SUMIF(TRANSHARI5_ACCPAGI[PRODUK],CP91,TRANSHARI5_ACCPAGI[QUANTITY])+SUMIF(TRANSHARI5_ACCMALAM[PRODUK],CP91,TRANSHARI5_ACCMALAM[QUANTITY])</f>
        <v>0</v>
      </c>
      <c r="DA91" s="12">
        <f>SUMIF(TRANSHARI6_ACCPAGI[PRODUK],CP91,TRANSHARI6_ACCPAGI[QUANTITY])+SUMIF(TRANSHARI6_ACCMALAM[PRODUK],CP91,TRANSHARI6_ACCMALAM[QUANTITY])</f>
        <v>0</v>
      </c>
      <c r="DB91" s="12">
        <f>SUMIF(TRANSHARI7_ACCPAGI[PRODUK],CP91,TRANSHARI7_ACCPAGI[QUANTITY])+SUMIF(TRANSHARI7_ACCMALAM[PRODUK],CP91,TRANSHARI7_ACCMALAM[QUANTITY])</f>
        <v>0</v>
      </c>
      <c r="DC91" s="12">
        <f>SUMIF(TRANSHARI8_ACCPAGI[PRODUK],CP91,TRANSHARI8_ACCPAGI[QUANTITY])+SUMIF(TRANSHARI8_ACCMALAM[PRODUK],CP91,TRANSHARI8_ACCMALAM[QUANTITY])</f>
        <v>0</v>
      </c>
      <c r="DD91" s="12">
        <f>SUMIF(TRANSHARI9_ACCPAGI[PRODUK],CP91,TRANSHARI9_ACCPAGI[QUANTITY])+SUMIF(TRANSHARI9_ACCMALAM[PRODUK],CP91,TRANSHARI9_ACCMALAM[QUANTITY])</f>
        <v>0</v>
      </c>
      <c r="DE91" s="12">
        <f>SUMIF(TRANSHARI10_ACCPAGI[PRODUK],CP91,TRANSHARI10_ACCPAGI[QUANTITY])+SUMIF(TRANSHARI10_ACCMALAM[PRODUK],CP91,TRANSHARI10_ACCMALAM[QUANTITY])</f>
        <v>0</v>
      </c>
      <c r="DF91" s="12">
        <f>SUMIF(TRANSHARI11_ACCPAGI[PRODUK],CP91,TRANSHARI11_ACCPAGI[QUANTITY])+SUMIF(TRANSHARI11_ACCMALAM[PRODUK],CP91,TRANSHARI11_ACCMALAM[QUANTITY])</f>
        <v>0</v>
      </c>
      <c r="DG91" s="12">
        <f t="shared" si="27"/>
        <v>0</v>
      </c>
      <c r="DH91" s="12">
        <f t="shared" si="28"/>
        <v>0</v>
      </c>
      <c r="DI91" s="173">
        <f t="shared" si="31"/>
        <v>0</v>
      </c>
    </row>
    <row r="92" ht="18" spans="1:113">
      <c r="A92" s="204"/>
      <c r="B92" s="205"/>
      <c r="C92" s="206"/>
      <c r="D92" s="207">
        <v>3</v>
      </c>
      <c r="E92" s="128">
        <f t="shared" si="37"/>
        <v>0</v>
      </c>
      <c r="F92" s="128">
        <f t="shared" si="37"/>
        <v>0</v>
      </c>
      <c r="G92" s="210">
        <f t="shared" si="37"/>
        <v>0</v>
      </c>
      <c r="CP92" s="174" t="str">
        <f>'DATA PRODUK'!BH89</f>
        <v>(H.S)(In-Ear) Vivan Q15</v>
      </c>
      <c r="CQ92" s="178">
        <f>'DATA PRODUK'!BI89</f>
        <v>75000</v>
      </c>
      <c r="CR92" s="152"/>
      <c r="CS92" s="152"/>
      <c r="CT92" s="152"/>
      <c r="CU92" s="152"/>
      <c r="CV92" s="152">
        <f>SUMIF(TRANSHARI1_ACCPAGI[PRODUK],CP92,TRANSHARI1_ACCPAGI[QUANTITY])+SUMIF(TRANSHARI1_ACCMALAM[PRODUK],CP92,TRANSHARI1_ACCMALAM[QUANTITY])</f>
        <v>0</v>
      </c>
      <c r="CW92" s="152">
        <f>SUMIF(TRANSHARI2_ACCPAGI[PRODUK],CP92,TRANSHARI2_ACCPAGI[QUANTITY])+SUMIF(TRANSHARI2_ACCMALAM[PRODUK],CP92,TRANSHARI2_ACCMALAM[QUANTITY])</f>
        <v>0</v>
      </c>
      <c r="CX92" s="152">
        <f>SUMIF(TRANSHARI3_ACCPAGI[PRODUK],CP92,TRANSHARI3_ACCPAGI[QUANTITY])+SUMIF(TRANSHARI3_ACCMALAM[PRODUK],CP92,TRANSHARI3_ACCMALAM[QUANTITY])</f>
        <v>0</v>
      </c>
      <c r="CY92" s="152">
        <f>SUMIF(TRANSHARI4_ACCPAGI[PRODUK],CP92,TRANSHARI4_ACCPAGI[QUANTITY])+SUMIF(TRANSHARI4_ACCMALAM[PRODUK],CP92,TRANSHARI4_ACCMALAM[QUANTITY])</f>
        <v>0</v>
      </c>
      <c r="CZ92" s="152">
        <f>SUMIF(TRANSHARI5_ACCPAGI[PRODUK],CP92,TRANSHARI5_ACCPAGI[QUANTITY])+SUMIF(TRANSHARI5_ACCMALAM[PRODUK],CP92,TRANSHARI5_ACCMALAM[QUANTITY])</f>
        <v>0</v>
      </c>
      <c r="DA92" s="152">
        <f>SUMIF(TRANSHARI6_ACCPAGI[PRODUK],CP92,TRANSHARI6_ACCPAGI[QUANTITY])+SUMIF(TRANSHARI6_ACCMALAM[PRODUK],CP92,TRANSHARI6_ACCMALAM[QUANTITY])</f>
        <v>0</v>
      </c>
      <c r="DB92" s="152">
        <f>SUMIF(TRANSHARI7_ACCPAGI[PRODUK],CP92,TRANSHARI7_ACCPAGI[QUANTITY])+SUMIF(TRANSHARI7_ACCMALAM[PRODUK],CP92,TRANSHARI7_ACCMALAM[QUANTITY])</f>
        <v>0</v>
      </c>
      <c r="DC92" s="152">
        <f>SUMIF(TRANSHARI8_ACCPAGI[PRODUK],CP92,TRANSHARI8_ACCPAGI[QUANTITY])+SUMIF(TRANSHARI8_ACCMALAM[PRODUK],CP92,TRANSHARI8_ACCMALAM[QUANTITY])</f>
        <v>0</v>
      </c>
      <c r="DD92" s="152">
        <f>SUMIF(TRANSHARI9_ACCPAGI[PRODUK],CP92,TRANSHARI9_ACCPAGI[QUANTITY])+SUMIF(TRANSHARI9_ACCMALAM[PRODUK],CP92,TRANSHARI9_ACCMALAM[QUANTITY])</f>
        <v>0</v>
      </c>
      <c r="DE92" s="152">
        <f>SUMIF(TRANSHARI10_ACCPAGI[PRODUK],CP92,TRANSHARI10_ACCPAGI[QUANTITY])+SUMIF(TRANSHARI10_ACCMALAM[PRODUK],CP92,TRANSHARI10_ACCMALAM[QUANTITY])</f>
        <v>0</v>
      </c>
      <c r="DF92" s="152">
        <f>SUMIF(TRANSHARI11_ACCPAGI[PRODUK],CP92,TRANSHARI11_ACCPAGI[QUANTITY])+SUMIF(TRANSHARI11_ACCMALAM[PRODUK],CP92,TRANSHARI11_ACCMALAM[QUANTITY])</f>
        <v>0</v>
      </c>
      <c r="DG92" s="152">
        <f t="shared" si="27"/>
        <v>0</v>
      </c>
      <c r="DH92" s="152">
        <f t="shared" si="28"/>
        <v>0</v>
      </c>
      <c r="DI92" s="176">
        <f t="shared" si="31"/>
        <v>0</v>
      </c>
    </row>
    <row r="93" ht="18" spans="1:113">
      <c r="A93" s="204"/>
      <c r="B93" s="205"/>
      <c r="C93" s="206"/>
      <c r="D93" s="208">
        <v>4</v>
      </c>
      <c r="E93" s="131">
        <f t="shared" si="37"/>
        <v>0</v>
      </c>
      <c r="F93" s="132">
        <f t="shared" si="37"/>
        <v>0</v>
      </c>
      <c r="G93" s="209">
        <f t="shared" si="37"/>
        <v>0</v>
      </c>
      <c r="CP93" s="177" t="str">
        <f>'DATA PRODUK'!BH90</f>
        <v>(H.S)(In-Ear)(Type-C) Olike E202C</v>
      </c>
      <c r="CQ93" s="175">
        <f>'DATA PRODUK'!BI90</f>
        <v>75000</v>
      </c>
      <c r="CR93" s="12"/>
      <c r="CS93" s="12"/>
      <c r="CT93" s="12"/>
      <c r="CU93" s="12"/>
      <c r="CV93" s="12">
        <f>SUMIF(TRANSHARI1_ACCPAGI[PRODUK],CP93,TRANSHARI1_ACCPAGI[QUANTITY])+SUMIF(TRANSHARI1_ACCMALAM[PRODUK],CP93,TRANSHARI1_ACCMALAM[QUANTITY])</f>
        <v>0</v>
      </c>
      <c r="CW93" s="12">
        <f>SUMIF(TRANSHARI2_ACCPAGI[PRODUK],CP93,TRANSHARI2_ACCPAGI[QUANTITY])+SUMIF(TRANSHARI2_ACCMALAM[PRODUK],CP93,TRANSHARI2_ACCMALAM[QUANTITY])</f>
        <v>0</v>
      </c>
      <c r="CX93" s="12">
        <f>SUMIF(TRANSHARI3_ACCPAGI[PRODUK],CP93,TRANSHARI3_ACCPAGI[QUANTITY])+SUMIF(TRANSHARI3_ACCMALAM[PRODUK],CP93,TRANSHARI3_ACCMALAM[QUANTITY])</f>
        <v>0</v>
      </c>
      <c r="CY93" s="12">
        <f>SUMIF(TRANSHARI4_ACCPAGI[PRODUK],CP93,TRANSHARI4_ACCPAGI[QUANTITY])+SUMIF(TRANSHARI4_ACCMALAM[PRODUK],CP93,TRANSHARI4_ACCMALAM[QUANTITY])</f>
        <v>0</v>
      </c>
      <c r="CZ93" s="12">
        <f>SUMIF(TRANSHARI5_ACCPAGI[PRODUK],CP93,TRANSHARI5_ACCPAGI[QUANTITY])+SUMIF(TRANSHARI5_ACCMALAM[PRODUK],CP93,TRANSHARI5_ACCMALAM[QUANTITY])</f>
        <v>0</v>
      </c>
      <c r="DA93" s="12">
        <f>SUMIF(TRANSHARI6_ACCPAGI[PRODUK],CP93,TRANSHARI6_ACCPAGI[QUANTITY])+SUMIF(TRANSHARI6_ACCMALAM[PRODUK],CP93,TRANSHARI6_ACCMALAM[QUANTITY])</f>
        <v>0</v>
      </c>
      <c r="DB93" s="12">
        <f>SUMIF(TRANSHARI7_ACCPAGI[PRODUK],CP93,TRANSHARI7_ACCPAGI[QUANTITY])+SUMIF(TRANSHARI7_ACCMALAM[PRODUK],CP93,TRANSHARI7_ACCMALAM[QUANTITY])</f>
        <v>0</v>
      </c>
      <c r="DC93" s="12">
        <f>SUMIF(TRANSHARI8_ACCPAGI[PRODUK],CP93,TRANSHARI8_ACCPAGI[QUANTITY])+SUMIF(TRANSHARI8_ACCMALAM[PRODUK],CP93,TRANSHARI8_ACCMALAM[QUANTITY])</f>
        <v>0</v>
      </c>
      <c r="DD93" s="12">
        <f>SUMIF(TRANSHARI9_ACCPAGI[PRODUK],CP93,TRANSHARI9_ACCPAGI[QUANTITY])+SUMIF(TRANSHARI9_ACCMALAM[PRODUK],CP93,TRANSHARI9_ACCMALAM[QUANTITY])</f>
        <v>0</v>
      </c>
      <c r="DE93" s="12">
        <f>SUMIF(TRANSHARI10_ACCPAGI[PRODUK],CP93,TRANSHARI10_ACCPAGI[QUANTITY])+SUMIF(TRANSHARI10_ACCMALAM[PRODUK],CP93,TRANSHARI10_ACCMALAM[QUANTITY])</f>
        <v>0</v>
      </c>
      <c r="DF93" s="12">
        <f>SUMIF(TRANSHARI11_ACCPAGI[PRODUK],CP93,TRANSHARI11_ACCPAGI[QUANTITY])+SUMIF(TRANSHARI11_ACCMALAM[PRODUK],CP93,TRANSHARI11_ACCMALAM[QUANTITY])</f>
        <v>0</v>
      </c>
      <c r="DG93" s="12">
        <f t="shared" si="27"/>
        <v>0</v>
      </c>
      <c r="DH93" s="12">
        <f t="shared" si="28"/>
        <v>0</v>
      </c>
      <c r="DI93" s="173">
        <f t="shared" si="31"/>
        <v>0</v>
      </c>
    </row>
    <row r="94" ht="18" spans="1:113">
      <c r="A94" s="204"/>
      <c r="B94" s="205"/>
      <c r="C94" s="206"/>
      <c r="D94" s="207">
        <v>5</v>
      </c>
      <c r="E94" s="128">
        <f t="shared" si="37"/>
        <v>0</v>
      </c>
      <c r="F94" s="128">
        <f t="shared" si="37"/>
        <v>0</v>
      </c>
      <c r="G94" s="210">
        <f t="shared" si="37"/>
        <v>0</v>
      </c>
      <c r="CP94" s="174" t="str">
        <f>'DATA PRODUK'!BH91</f>
        <v>(H.S)(Iphone) Olike E12</v>
      </c>
      <c r="CQ94" s="178">
        <f>'DATA PRODUK'!BI91</f>
        <v>75000</v>
      </c>
      <c r="CR94" s="152"/>
      <c r="CS94" s="152"/>
      <c r="CT94" s="152"/>
      <c r="CU94" s="152"/>
      <c r="CV94" s="152">
        <f>SUMIF(TRANSHARI1_ACCPAGI[PRODUK],CP94,TRANSHARI1_ACCPAGI[QUANTITY])+SUMIF(TRANSHARI1_ACCMALAM[PRODUK],CP94,TRANSHARI1_ACCMALAM[QUANTITY])</f>
        <v>0</v>
      </c>
      <c r="CW94" s="152">
        <f>SUMIF(TRANSHARI2_ACCPAGI[PRODUK],CP94,TRANSHARI2_ACCPAGI[QUANTITY])+SUMIF(TRANSHARI2_ACCMALAM[PRODUK],CP94,TRANSHARI2_ACCMALAM[QUANTITY])</f>
        <v>0</v>
      </c>
      <c r="CX94" s="152">
        <f>SUMIF(TRANSHARI3_ACCPAGI[PRODUK],CP94,TRANSHARI3_ACCPAGI[QUANTITY])+SUMIF(TRANSHARI3_ACCMALAM[PRODUK],CP94,TRANSHARI3_ACCMALAM[QUANTITY])</f>
        <v>0</v>
      </c>
      <c r="CY94" s="152">
        <f>SUMIF(TRANSHARI4_ACCPAGI[PRODUK],CP94,TRANSHARI4_ACCPAGI[QUANTITY])+SUMIF(TRANSHARI4_ACCMALAM[PRODUK],CP94,TRANSHARI4_ACCMALAM[QUANTITY])</f>
        <v>0</v>
      </c>
      <c r="CZ94" s="152">
        <f>SUMIF(TRANSHARI5_ACCPAGI[PRODUK],CP94,TRANSHARI5_ACCPAGI[QUANTITY])+SUMIF(TRANSHARI5_ACCMALAM[PRODUK],CP94,TRANSHARI5_ACCMALAM[QUANTITY])</f>
        <v>0</v>
      </c>
      <c r="DA94" s="152">
        <f>SUMIF(TRANSHARI6_ACCPAGI[PRODUK],CP94,TRANSHARI6_ACCPAGI[QUANTITY])+SUMIF(TRANSHARI6_ACCMALAM[PRODUK],CP94,TRANSHARI6_ACCMALAM[QUANTITY])</f>
        <v>0</v>
      </c>
      <c r="DB94" s="152">
        <f>SUMIF(TRANSHARI7_ACCPAGI[PRODUK],CP94,TRANSHARI7_ACCPAGI[QUANTITY])+SUMIF(TRANSHARI7_ACCMALAM[PRODUK],CP94,TRANSHARI7_ACCMALAM[QUANTITY])</f>
        <v>0</v>
      </c>
      <c r="DC94" s="152">
        <f>SUMIF(TRANSHARI8_ACCPAGI[PRODUK],CP94,TRANSHARI8_ACCPAGI[QUANTITY])+SUMIF(TRANSHARI8_ACCMALAM[PRODUK],CP94,TRANSHARI8_ACCMALAM[QUANTITY])</f>
        <v>0</v>
      </c>
      <c r="DD94" s="152">
        <f>SUMIF(TRANSHARI9_ACCPAGI[PRODUK],CP94,TRANSHARI9_ACCPAGI[QUANTITY])+SUMIF(TRANSHARI9_ACCMALAM[PRODUK],CP94,TRANSHARI9_ACCMALAM[QUANTITY])</f>
        <v>0</v>
      </c>
      <c r="DE94" s="152">
        <f>SUMIF(TRANSHARI10_ACCPAGI[PRODUK],CP94,TRANSHARI10_ACCPAGI[QUANTITY])+SUMIF(TRANSHARI10_ACCMALAM[PRODUK],CP94,TRANSHARI10_ACCMALAM[QUANTITY])</f>
        <v>0</v>
      </c>
      <c r="DF94" s="152">
        <f>SUMIF(TRANSHARI11_ACCPAGI[PRODUK],CP94,TRANSHARI11_ACCPAGI[QUANTITY])+SUMIF(TRANSHARI11_ACCMALAM[PRODUK],CP94,TRANSHARI11_ACCMALAM[QUANTITY])</f>
        <v>0</v>
      </c>
      <c r="DG94" s="152">
        <f t="shared" si="27"/>
        <v>0</v>
      </c>
      <c r="DH94" s="152">
        <f t="shared" si="28"/>
        <v>0</v>
      </c>
      <c r="DI94" s="176">
        <f t="shared" si="31"/>
        <v>0</v>
      </c>
    </row>
    <row r="95" ht="18" spans="1:113">
      <c r="A95" s="204"/>
      <c r="B95" s="205"/>
      <c r="C95" s="206"/>
      <c r="D95" s="208">
        <v>6</v>
      </c>
      <c r="E95" s="131">
        <f t="shared" si="37"/>
        <v>0</v>
      </c>
      <c r="F95" s="132">
        <f t="shared" si="37"/>
        <v>0</v>
      </c>
      <c r="G95" s="209">
        <f t="shared" si="37"/>
        <v>0</v>
      </c>
      <c r="CP95" s="177" t="str">
        <f>'DATA PRODUK'!BH92</f>
        <v>(HEADPHONE) Robot Spirit H20</v>
      </c>
      <c r="CQ95" s="175">
        <f>'DATA PRODUK'!BI92</f>
        <v>195000</v>
      </c>
      <c r="CR95" s="12"/>
      <c r="CS95" s="12"/>
      <c r="CT95" s="12"/>
      <c r="CU95" s="12"/>
      <c r="CV95" s="12">
        <f>SUMIF(TRANSHARI1_ACCPAGI[PRODUK],CP95,TRANSHARI1_ACCPAGI[QUANTITY])+SUMIF(TRANSHARI1_ACCMALAM[PRODUK],CP95,TRANSHARI1_ACCMALAM[QUANTITY])</f>
        <v>0</v>
      </c>
      <c r="CW95" s="12">
        <f>SUMIF(TRANSHARI2_ACCPAGI[PRODUK],CP95,TRANSHARI2_ACCPAGI[QUANTITY])+SUMIF(TRANSHARI2_ACCMALAM[PRODUK],CP95,TRANSHARI2_ACCMALAM[QUANTITY])</f>
        <v>0</v>
      </c>
      <c r="CX95" s="12">
        <f>SUMIF(TRANSHARI3_ACCPAGI[PRODUK],CP95,TRANSHARI3_ACCPAGI[QUANTITY])+SUMIF(TRANSHARI3_ACCMALAM[PRODUK],CP95,TRANSHARI3_ACCMALAM[QUANTITY])</f>
        <v>0</v>
      </c>
      <c r="CY95" s="12">
        <f>SUMIF(TRANSHARI4_ACCPAGI[PRODUK],CP95,TRANSHARI4_ACCPAGI[QUANTITY])+SUMIF(TRANSHARI4_ACCMALAM[PRODUK],CP95,TRANSHARI4_ACCMALAM[QUANTITY])</f>
        <v>0</v>
      </c>
      <c r="CZ95" s="12">
        <f>SUMIF(TRANSHARI5_ACCPAGI[PRODUK],CP95,TRANSHARI5_ACCPAGI[QUANTITY])+SUMIF(TRANSHARI5_ACCMALAM[PRODUK],CP95,TRANSHARI5_ACCMALAM[QUANTITY])</f>
        <v>0</v>
      </c>
      <c r="DA95" s="12">
        <f>SUMIF(TRANSHARI6_ACCPAGI[PRODUK],CP95,TRANSHARI6_ACCPAGI[QUANTITY])+SUMIF(TRANSHARI6_ACCMALAM[PRODUK],CP95,TRANSHARI6_ACCMALAM[QUANTITY])</f>
        <v>0</v>
      </c>
      <c r="DB95" s="12">
        <f>SUMIF(TRANSHARI7_ACCPAGI[PRODUK],CP95,TRANSHARI7_ACCPAGI[QUANTITY])+SUMIF(TRANSHARI7_ACCMALAM[PRODUK],CP95,TRANSHARI7_ACCMALAM[QUANTITY])</f>
        <v>0</v>
      </c>
      <c r="DC95" s="12">
        <f>SUMIF(TRANSHARI8_ACCPAGI[PRODUK],CP95,TRANSHARI8_ACCPAGI[QUANTITY])+SUMIF(TRANSHARI8_ACCMALAM[PRODUK],CP95,TRANSHARI8_ACCMALAM[QUANTITY])</f>
        <v>0</v>
      </c>
      <c r="DD95" s="12">
        <f>SUMIF(TRANSHARI9_ACCPAGI[PRODUK],CP95,TRANSHARI9_ACCPAGI[QUANTITY])+SUMIF(TRANSHARI9_ACCMALAM[PRODUK],CP95,TRANSHARI9_ACCMALAM[QUANTITY])</f>
        <v>0</v>
      </c>
      <c r="DE95" s="12">
        <f>SUMIF(TRANSHARI10_ACCPAGI[PRODUK],CP95,TRANSHARI10_ACCPAGI[QUANTITY])+SUMIF(TRANSHARI10_ACCMALAM[PRODUK],CP95,TRANSHARI10_ACCMALAM[QUANTITY])</f>
        <v>0</v>
      </c>
      <c r="DF95" s="12">
        <f>SUMIF(TRANSHARI11_ACCPAGI[PRODUK],CP95,TRANSHARI11_ACCPAGI[QUANTITY])+SUMIF(TRANSHARI11_ACCMALAM[PRODUK],CP95,TRANSHARI11_ACCMALAM[QUANTITY])</f>
        <v>0</v>
      </c>
      <c r="DG95" s="12">
        <f t="shared" si="27"/>
        <v>0</v>
      </c>
      <c r="DH95" s="12">
        <f t="shared" si="28"/>
        <v>0</v>
      </c>
      <c r="DI95" s="173">
        <f t="shared" si="31"/>
        <v>0</v>
      </c>
    </row>
    <row r="96" ht="18" spans="1:113">
      <c r="A96" s="204"/>
      <c r="B96" s="205"/>
      <c r="C96" s="206"/>
      <c r="D96" s="207">
        <v>7</v>
      </c>
      <c r="E96" s="128">
        <f t="shared" si="37"/>
        <v>0</v>
      </c>
      <c r="F96" s="128">
        <f t="shared" si="37"/>
        <v>0</v>
      </c>
      <c r="G96" s="210">
        <f t="shared" si="37"/>
        <v>0</v>
      </c>
      <c r="CP96" s="174" t="str">
        <f>'DATA PRODUK'!BH93</f>
        <v>(TWS)(Half-Ear) Robot Airbuds T60</v>
      </c>
      <c r="CQ96" s="178">
        <f>'DATA PRODUK'!BI93</f>
        <v>150000</v>
      </c>
      <c r="CR96" s="152"/>
      <c r="CS96" s="152"/>
      <c r="CT96" s="152"/>
      <c r="CU96" s="152"/>
      <c r="CV96" s="152">
        <f>SUMIF(TRANSHARI1_ACCPAGI[PRODUK],CP96,TRANSHARI1_ACCPAGI[QUANTITY])+SUMIF(TRANSHARI1_ACCMALAM[PRODUK],CP96,TRANSHARI1_ACCMALAM[QUANTITY])</f>
        <v>0</v>
      </c>
      <c r="CW96" s="152">
        <f>SUMIF(TRANSHARI2_ACCPAGI[PRODUK],CP96,TRANSHARI2_ACCPAGI[QUANTITY])+SUMIF(TRANSHARI2_ACCMALAM[PRODUK],CP96,TRANSHARI2_ACCMALAM[QUANTITY])</f>
        <v>0</v>
      </c>
      <c r="CX96" s="152">
        <f>SUMIF(TRANSHARI3_ACCPAGI[PRODUK],CP96,TRANSHARI3_ACCPAGI[QUANTITY])+SUMIF(TRANSHARI3_ACCMALAM[PRODUK],CP96,TRANSHARI3_ACCMALAM[QUANTITY])</f>
        <v>0</v>
      </c>
      <c r="CY96" s="152">
        <f>SUMIF(TRANSHARI4_ACCPAGI[PRODUK],CP96,TRANSHARI4_ACCPAGI[QUANTITY])+SUMIF(TRANSHARI4_ACCMALAM[PRODUK],CP96,TRANSHARI4_ACCMALAM[QUANTITY])</f>
        <v>0</v>
      </c>
      <c r="CZ96" s="152">
        <f>SUMIF(TRANSHARI5_ACCPAGI[PRODUK],CP96,TRANSHARI5_ACCPAGI[QUANTITY])+SUMIF(TRANSHARI5_ACCMALAM[PRODUK],CP96,TRANSHARI5_ACCMALAM[QUANTITY])</f>
        <v>0</v>
      </c>
      <c r="DA96" s="152">
        <f>SUMIF(TRANSHARI6_ACCPAGI[PRODUK],CP96,TRANSHARI6_ACCPAGI[QUANTITY])+SUMIF(TRANSHARI6_ACCMALAM[PRODUK],CP96,TRANSHARI6_ACCMALAM[QUANTITY])</f>
        <v>0</v>
      </c>
      <c r="DB96" s="152">
        <f>SUMIF(TRANSHARI7_ACCPAGI[PRODUK],CP96,TRANSHARI7_ACCPAGI[QUANTITY])+SUMIF(TRANSHARI7_ACCMALAM[PRODUK],CP96,TRANSHARI7_ACCMALAM[QUANTITY])</f>
        <v>0</v>
      </c>
      <c r="DC96" s="152">
        <f>SUMIF(TRANSHARI8_ACCPAGI[PRODUK],CP96,TRANSHARI8_ACCPAGI[QUANTITY])+SUMIF(TRANSHARI8_ACCMALAM[PRODUK],CP96,TRANSHARI8_ACCMALAM[QUANTITY])</f>
        <v>0</v>
      </c>
      <c r="DD96" s="152">
        <f>SUMIF(TRANSHARI9_ACCPAGI[PRODUK],CP96,TRANSHARI9_ACCPAGI[QUANTITY])+SUMIF(TRANSHARI9_ACCMALAM[PRODUK],CP96,TRANSHARI9_ACCMALAM[QUANTITY])</f>
        <v>0</v>
      </c>
      <c r="DE96" s="152">
        <f>SUMIF(TRANSHARI10_ACCPAGI[PRODUK],CP96,TRANSHARI10_ACCPAGI[QUANTITY])+SUMIF(TRANSHARI10_ACCMALAM[PRODUK],CP96,TRANSHARI10_ACCMALAM[QUANTITY])</f>
        <v>0</v>
      </c>
      <c r="DF96" s="152">
        <f>SUMIF(TRANSHARI11_ACCPAGI[PRODUK],CP96,TRANSHARI11_ACCPAGI[QUANTITY])+SUMIF(TRANSHARI11_ACCMALAM[PRODUK],CP96,TRANSHARI11_ACCMALAM[QUANTITY])</f>
        <v>0</v>
      </c>
      <c r="DG96" s="152">
        <f t="shared" si="27"/>
        <v>0</v>
      </c>
      <c r="DH96" s="152">
        <f t="shared" si="28"/>
        <v>0</v>
      </c>
      <c r="DI96" s="176">
        <f t="shared" si="31"/>
        <v>0</v>
      </c>
    </row>
    <row r="97" ht="18" spans="1:113">
      <c r="A97" s="204"/>
      <c r="B97" s="205"/>
      <c r="C97" s="206"/>
      <c r="D97" s="208">
        <v>8</v>
      </c>
      <c r="E97" s="131">
        <f t="shared" si="37"/>
        <v>0</v>
      </c>
      <c r="F97" s="132">
        <f t="shared" si="37"/>
        <v>0</v>
      </c>
      <c r="G97" s="209">
        <f t="shared" si="37"/>
        <v>0</v>
      </c>
      <c r="CP97" s="177" t="str">
        <f>'DATA PRODUK'!BH94</f>
        <v>(TWS)(Half-Ear) Robot Flybuds T10S</v>
      </c>
      <c r="CQ97" s="175">
        <f>'DATA PRODUK'!BI94</f>
        <v>165000</v>
      </c>
      <c r="CR97" s="12"/>
      <c r="CS97" s="12"/>
      <c r="CT97" s="12"/>
      <c r="CU97" s="12"/>
      <c r="CV97" s="12">
        <f>SUMIF(TRANSHARI1_ACCPAGI[PRODUK],CP97,TRANSHARI1_ACCPAGI[QUANTITY])+SUMIF(TRANSHARI1_ACCMALAM[PRODUK],CP97,TRANSHARI1_ACCMALAM[QUANTITY])</f>
        <v>0</v>
      </c>
      <c r="CW97" s="12">
        <f>SUMIF(TRANSHARI2_ACCPAGI[PRODUK],CP97,TRANSHARI2_ACCPAGI[QUANTITY])+SUMIF(TRANSHARI2_ACCMALAM[PRODUK],CP97,TRANSHARI2_ACCMALAM[QUANTITY])</f>
        <v>0</v>
      </c>
      <c r="CX97" s="12">
        <f>SUMIF(TRANSHARI3_ACCPAGI[PRODUK],CP97,TRANSHARI3_ACCPAGI[QUANTITY])+SUMIF(TRANSHARI3_ACCMALAM[PRODUK],CP97,TRANSHARI3_ACCMALAM[QUANTITY])</f>
        <v>0</v>
      </c>
      <c r="CY97" s="12">
        <f>SUMIF(TRANSHARI4_ACCPAGI[PRODUK],CP97,TRANSHARI4_ACCPAGI[QUANTITY])+SUMIF(TRANSHARI4_ACCMALAM[PRODUK],CP97,TRANSHARI4_ACCMALAM[QUANTITY])</f>
        <v>0</v>
      </c>
      <c r="CZ97" s="12">
        <f>SUMIF(TRANSHARI5_ACCPAGI[PRODUK],CP97,TRANSHARI5_ACCPAGI[QUANTITY])+SUMIF(TRANSHARI5_ACCMALAM[PRODUK],CP97,TRANSHARI5_ACCMALAM[QUANTITY])</f>
        <v>0</v>
      </c>
      <c r="DA97" s="12">
        <f>SUMIF(TRANSHARI6_ACCPAGI[PRODUK],CP97,TRANSHARI6_ACCPAGI[QUANTITY])+SUMIF(TRANSHARI6_ACCMALAM[PRODUK],CP97,TRANSHARI6_ACCMALAM[QUANTITY])</f>
        <v>0</v>
      </c>
      <c r="DB97" s="12">
        <f>SUMIF(TRANSHARI7_ACCPAGI[PRODUK],CP97,TRANSHARI7_ACCPAGI[QUANTITY])+SUMIF(TRANSHARI7_ACCMALAM[PRODUK],CP97,TRANSHARI7_ACCMALAM[QUANTITY])</f>
        <v>0</v>
      </c>
      <c r="DC97" s="12">
        <f>SUMIF(TRANSHARI8_ACCPAGI[PRODUK],CP97,TRANSHARI8_ACCPAGI[QUANTITY])+SUMIF(TRANSHARI8_ACCMALAM[PRODUK],CP97,TRANSHARI8_ACCMALAM[QUANTITY])</f>
        <v>0</v>
      </c>
      <c r="DD97" s="12">
        <f>SUMIF(TRANSHARI9_ACCPAGI[PRODUK],CP97,TRANSHARI9_ACCPAGI[QUANTITY])+SUMIF(TRANSHARI9_ACCMALAM[PRODUK],CP97,TRANSHARI9_ACCMALAM[QUANTITY])</f>
        <v>0</v>
      </c>
      <c r="DE97" s="12">
        <f>SUMIF(TRANSHARI10_ACCPAGI[PRODUK],CP97,TRANSHARI10_ACCPAGI[QUANTITY])+SUMIF(TRANSHARI10_ACCMALAM[PRODUK],CP97,TRANSHARI10_ACCMALAM[QUANTITY])</f>
        <v>0</v>
      </c>
      <c r="DF97" s="12">
        <f>SUMIF(TRANSHARI11_ACCPAGI[PRODUK],CP97,TRANSHARI11_ACCPAGI[QUANTITY])+SUMIF(TRANSHARI11_ACCMALAM[PRODUK],CP97,TRANSHARI11_ACCMALAM[QUANTITY])</f>
        <v>0</v>
      </c>
      <c r="DG97" s="12">
        <f t="shared" si="27"/>
        <v>0</v>
      </c>
      <c r="DH97" s="12">
        <f t="shared" si="28"/>
        <v>0</v>
      </c>
      <c r="DI97" s="173">
        <f t="shared" si="31"/>
        <v>0</v>
      </c>
    </row>
    <row r="98" ht="18" spans="1:113">
      <c r="A98" s="204"/>
      <c r="B98" s="205"/>
      <c r="C98" s="206"/>
      <c r="D98" s="207">
        <v>9</v>
      </c>
      <c r="E98" s="128">
        <f t="shared" si="37"/>
        <v>0</v>
      </c>
      <c r="F98" s="128">
        <f t="shared" si="37"/>
        <v>0</v>
      </c>
      <c r="G98" s="210">
        <f t="shared" si="37"/>
        <v>0</v>
      </c>
      <c r="CP98" s="174" t="str">
        <f>'DATA PRODUK'!BH95</f>
        <v>(TWS)(In-Ear) Oase Bluetooth K09</v>
      </c>
      <c r="CQ98" s="178">
        <f>'DATA PRODUK'!BI95</f>
        <v>120000</v>
      </c>
      <c r="CR98" s="152"/>
      <c r="CS98" s="152"/>
      <c r="CT98" s="152"/>
      <c r="CU98" s="152"/>
      <c r="CV98" s="152">
        <f>SUMIF(TRANSHARI1_ACCPAGI[PRODUK],CP98,TRANSHARI1_ACCPAGI[QUANTITY])+SUMIF(TRANSHARI1_ACCMALAM[PRODUK],CP98,TRANSHARI1_ACCMALAM[QUANTITY])</f>
        <v>0</v>
      </c>
      <c r="CW98" s="152">
        <f>SUMIF(TRANSHARI2_ACCPAGI[PRODUK],CP98,TRANSHARI2_ACCPAGI[QUANTITY])+SUMIF(TRANSHARI2_ACCMALAM[PRODUK],CP98,TRANSHARI2_ACCMALAM[QUANTITY])</f>
        <v>0</v>
      </c>
      <c r="CX98" s="152">
        <f>SUMIF(TRANSHARI3_ACCPAGI[PRODUK],CP98,TRANSHARI3_ACCPAGI[QUANTITY])+SUMIF(TRANSHARI3_ACCMALAM[PRODUK],CP98,TRANSHARI3_ACCMALAM[QUANTITY])</f>
        <v>0</v>
      </c>
      <c r="CY98" s="152">
        <f>SUMIF(TRANSHARI4_ACCPAGI[PRODUK],CP98,TRANSHARI4_ACCPAGI[QUANTITY])+SUMIF(TRANSHARI4_ACCMALAM[PRODUK],CP98,TRANSHARI4_ACCMALAM[QUANTITY])</f>
        <v>0</v>
      </c>
      <c r="CZ98" s="152">
        <f>SUMIF(TRANSHARI5_ACCPAGI[PRODUK],CP98,TRANSHARI5_ACCPAGI[QUANTITY])+SUMIF(TRANSHARI5_ACCMALAM[PRODUK],CP98,TRANSHARI5_ACCMALAM[QUANTITY])</f>
        <v>0</v>
      </c>
      <c r="DA98" s="152">
        <f>SUMIF(TRANSHARI6_ACCPAGI[PRODUK],CP98,TRANSHARI6_ACCPAGI[QUANTITY])+SUMIF(TRANSHARI6_ACCMALAM[PRODUK],CP98,TRANSHARI6_ACCMALAM[QUANTITY])</f>
        <v>0</v>
      </c>
      <c r="DB98" s="152">
        <f>SUMIF(TRANSHARI7_ACCPAGI[PRODUK],CP98,TRANSHARI7_ACCPAGI[QUANTITY])+SUMIF(TRANSHARI7_ACCMALAM[PRODUK],CP98,TRANSHARI7_ACCMALAM[QUANTITY])</f>
        <v>0</v>
      </c>
      <c r="DC98" s="152">
        <f>SUMIF(TRANSHARI8_ACCPAGI[PRODUK],CP98,TRANSHARI8_ACCPAGI[QUANTITY])+SUMIF(TRANSHARI8_ACCMALAM[PRODUK],CP98,TRANSHARI8_ACCMALAM[QUANTITY])</f>
        <v>0</v>
      </c>
      <c r="DD98" s="152">
        <f>SUMIF(TRANSHARI9_ACCPAGI[PRODUK],CP98,TRANSHARI9_ACCPAGI[QUANTITY])+SUMIF(TRANSHARI9_ACCMALAM[PRODUK],CP98,TRANSHARI9_ACCMALAM[QUANTITY])</f>
        <v>0</v>
      </c>
      <c r="DE98" s="152">
        <f>SUMIF(TRANSHARI10_ACCPAGI[PRODUK],CP98,TRANSHARI10_ACCPAGI[QUANTITY])+SUMIF(TRANSHARI10_ACCMALAM[PRODUK],CP98,TRANSHARI10_ACCMALAM[QUANTITY])</f>
        <v>0</v>
      </c>
      <c r="DF98" s="152">
        <f>SUMIF(TRANSHARI11_ACCPAGI[PRODUK],CP98,TRANSHARI11_ACCPAGI[QUANTITY])+SUMIF(TRANSHARI11_ACCMALAM[PRODUK],CP98,TRANSHARI11_ACCMALAM[QUANTITY])</f>
        <v>0</v>
      </c>
      <c r="DG98" s="152">
        <f t="shared" si="27"/>
        <v>0</v>
      </c>
      <c r="DH98" s="152">
        <f t="shared" si="28"/>
        <v>0</v>
      </c>
      <c r="DI98" s="176">
        <f t="shared" si="31"/>
        <v>0</v>
      </c>
    </row>
    <row r="99" ht="18" spans="1:113">
      <c r="A99" s="204"/>
      <c r="B99" s="205"/>
      <c r="C99" s="206"/>
      <c r="D99" s="208">
        <v>10</v>
      </c>
      <c r="E99" s="131">
        <f t="shared" si="37"/>
        <v>0</v>
      </c>
      <c r="F99" s="132">
        <f t="shared" si="37"/>
        <v>0</v>
      </c>
      <c r="G99" s="209">
        <f t="shared" si="37"/>
        <v>0</v>
      </c>
      <c r="CP99" s="177" t="str">
        <f>'DATA PRODUK'!BH96</f>
        <v>(TWS)(In-Ear) Rexi WA03 Pro</v>
      </c>
      <c r="CQ99" s="175">
        <f>'DATA PRODUK'!BI96</f>
        <v>150000</v>
      </c>
      <c r="CR99" s="12"/>
      <c r="CS99" s="12"/>
      <c r="CT99" s="12"/>
      <c r="CU99" s="12"/>
      <c r="CV99" s="12">
        <f>SUMIF(TRANSHARI1_ACCPAGI[PRODUK],CP99,TRANSHARI1_ACCPAGI[QUANTITY])+SUMIF(TRANSHARI1_ACCMALAM[PRODUK],CP99,TRANSHARI1_ACCMALAM[QUANTITY])</f>
        <v>0</v>
      </c>
      <c r="CW99" s="12">
        <f>SUMIF(TRANSHARI2_ACCPAGI[PRODUK],CP99,TRANSHARI2_ACCPAGI[QUANTITY])+SUMIF(TRANSHARI2_ACCMALAM[PRODUK],CP99,TRANSHARI2_ACCMALAM[QUANTITY])</f>
        <v>0</v>
      </c>
      <c r="CX99" s="12">
        <f>SUMIF(TRANSHARI3_ACCPAGI[PRODUK],CP99,TRANSHARI3_ACCPAGI[QUANTITY])+SUMIF(TRANSHARI3_ACCMALAM[PRODUK],CP99,TRANSHARI3_ACCMALAM[QUANTITY])</f>
        <v>0</v>
      </c>
      <c r="CY99" s="12">
        <f>SUMIF(TRANSHARI4_ACCPAGI[PRODUK],CP99,TRANSHARI4_ACCPAGI[QUANTITY])+SUMIF(TRANSHARI4_ACCMALAM[PRODUK],CP99,TRANSHARI4_ACCMALAM[QUANTITY])</f>
        <v>0</v>
      </c>
      <c r="CZ99" s="12">
        <f>SUMIF(TRANSHARI5_ACCPAGI[PRODUK],CP99,TRANSHARI5_ACCPAGI[QUANTITY])+SUMIF(TRANSHARI5_ACCMALAM[PRODUK],CP99,TRANSHARI5_ACCMALAM[QUANTITY])</f>
        <v>0</v>
      </c>
      <c r="DA99" s="12">
        <f>SUMIF(TRANSHARI6_ACCPAGI[PRODUK],CP99,TRANSHARI6_ACCPAGI[QUANTITY])+SUMIF(TRANSHARI6_ACCMALAM[PRODUK],CP99,TRANSHARI6_ACCMALAM[QUANTITY])</f>
        <v>0</v>
      </c>
      <c r="DB99" s="12">
        <f>SUMIF(TRANSHARI7_ACCPAGI[PRODUK],CP99,TRANSHARI7_ACCPAGI[QUANTITY])+SUMIF(TRANSHARI7_ACCMALAM[PRODUK],CP99,TRANSHARI7_ACCMALAM[QUANTITY])</f>
        <v>0</v>
      </c>
      <c r="DC99" s="12">
        <f>SUMIF(TRANSHARI8_ACCPAGI[PRODUK],CP99,TRANSHARI8_ACCPAGI[QUANTITY])+SUMIF(TRANSHARI8_ACCMALAM[PRODUK],CP99,TRANSHARI8_ACCMALAM[QUANTITY])</f>
        <v>0</v>
      </c>
      <c r="DD99" s="12">
        <f>SUMIF(TRANSHARI9_ACCPAGI[PRODUK],CP99,TRANSHARI9_ACCPAGI[QUANTITY])+SUMIF(TRANSHARI9_ACCMALAM[PRODUK],CP99,TRANSHARI9_ACCMALAM[QUANTITY])</f>
        <v>0</v>
      </c>
      <c r="DE99" s="12">
        <f>SUMIF(TRANSHARI10_ACCPAGI[PRODUK],CP99,TRANSHARI10_ACCPAGI[QUANTITY])+SUMIF(TRANSHARI10_ACCMALAM[PRODUK],CP99,TRANSHARI10_ACCMALAM[QUANTITY])</f>
        <v>0</v>
      </c>
      <c r="DF99" s="12">
        <f>SUMIF(TRANSHARI11_ACCPAGI[PRODUK],CP99,TRANSHARI11_ACCPAGI[QUANTITY])+SUMIF(TRANSHARI11_ACCMALAM[PRODUK],CP99,TRANSHARI11_ACCMALAM[QUANTITY])</f>
        <v>0</v>
      </c>
      <c r="DG99" s="12">
        <f t="shared" si="27"/>
        <v>0</v>
      </c>
      <c r="DH99" s="12">
        <f t="shared" si="28"/>
        <v>0</v>
      </c>
      <c r="DI99" s="173">
        <f t="shared" ref="DI99:DI108" si="38">DG99*CQ99</f>
        <v>0</v>
      </c>
    </row>
    <row r="100" ht="18" spans="1:113">
      <c r="A100" s="204"/>
      <c r="B100" s="205"/>
      <c r="C100" s="206"/>
      <c r="D100" s="207">
        <v>11</v>
      </c>
      <c r="E100" s="128">
        <f>E24+E39+E54+E69+E84</f>
        <v>0</v>
      </c>
      <c r="F100" s="128">
        <f>F24+F39+F54+F69+F84</f>
        <v>0</v>
      </c>
      <c r="G100" s="210">
        <f>G24+G39+G54+G69+G84</f>
        <v>0</v>
      </c>
      <c r="CP100" s="174" t="str">
        <f>'DATA PRODUK'!BH97</f>
        <v>(TWS)(In-Ear) Olike T112</v>
      </c>
      <c r="CQ100" s="178">
        <f>'DATA PRODUK'!BI97</f>
        <v>160000</v>
      </c>
      <c r="CR100" s="152"/>
      <c r="CS100" s="152"/>
      <c r="CT100" s="152"/>
      <c r="CU100" s="152"/>
      <c r="CV100" s="152">
        <f>SUMIF(TRANSHARI1_ACCPAGI[PRODUK],CP100,TRANSHARI1_ACCPAGI[QUANTITY])+SUMIF(TRANSHARI1_ACCMALAM[PRODUK],CP100,TRANSHARI1_ACCMALAM[QUANTITY])</f>
        <v>0</v>
      </c>
      <c r="CW100" s="152">
        <f>SUMIF(TRANSHARI2_ACCPAGI[PRODUK],CP100,TRANSHARI2_ACCPAGI[QUANTITY])+SUMIF(TRANSHARI2_ACCMALAM[PRODUK],CP100,TRANSHARI2_ACCMALAM[QUANTITY])</f>
        <v>0</v>
      </c>
      <c r="CX100" s="152">
        <f>SUMIF(TRANSHARI3_ACCPAGI[PRODUK],CP100,TRANSHARI3_ACCPAGI[QUANTITY])+SUMIF(TRANSHARI3_ACCMALAM[PRODUK],CP100,TRANSHARI3_ACCMALAM[QUANTITY])</f>
        <v>0</v>
      </c>
      <c r="CY100" s="152">
        <f>SUMIF(TRANSHARI4_ACCPAGI[PRODUK],CP100,TRANSHARI4_ACCPAGI[QUANTITY])+SUMIF(TRANSHARI4_ACCMALAM[PRODUK],CP100,TRANSHARI4_ACCMALAM[QUANTITY])</f>
        <v>0</v>
      </c>
      <c r="CZ100" s="152">
        <f>SUMIF(TRANSHARI5_ACCPAGI[PRODUK],CP100,TRANSHARI5_ACCPAGI[QUANTITY])+SUMIF(TRANSHARI5_ACCMALAM[PRODUK],CP100,TRANSHARI5_ACCMALAM[QUANTITY])</f>
        <v>0</v>
      </c>
      <c r="DA100" s="152">
        <f>SUMIF(TRANSHARI6_ACCPAGI[PRODUK],CP100,TRANSHARI6_ACCPAGI[QUANTITY])+SUMIF(TRANSHARI6_ACCMALAM[PRODUK],CP100,TRANSHARI6_ACCMALAM[QUANTITY])</f>
        <v>0</v>
      </c>
      <c r="DB100" s="152">
        <f>SUMIF(TRANSHARI7_ACCPAGI[PRODUK],CP100,TRANSHARI7_ACCPAGI[QUANTITY])+SUMIF(TRANSHARI7_ACCMALAM[PRODUK],CP100,TRANSHARI7_ACCMALAM[QUANTITY])</f>
        <v>0</v>
      </c>
      <c r="DC100" s="152">
        <f>SUMIF(TRANSHARI8_ACCPAGI[PRODUK],CP100,TRANSHARI8_ACCPAGI[QUANTITY])+SUMIF(TRANSHARI8_ACCMALAM[PRODUK],CP100,TRANSHARI8_ACCMALAM[QUANTITY])</f>
        <v>0</v>
      </c>
      <c r="DD100" s="152">
        <f>SUMIF(TRANSHARI9_ACCPAGI[PRODUK],CP100,TRANSHARI9_ACCPAGI[QUANTITY])+SUMIF(TRANSHARI9_ACCMALAM[PRODUK],CP100,TRANSHARI9_ACCMALAM[QUANTITY])</f>
        <v>0</v>
      </c>
      <c r="DE100" s="152">
        <f>SUMIF(TRANSHARI10_ACCPAGI[PRODUK],CP100,TRANSHARI10_ACCPAGI[QUANTITY])+SUMIF(TRANSHARI10_ACCMALAM[PRODUK],CP100,TRANSHARI10_ACCMALAM[QUANTITY])</f>
        <v>0</v>
      </c>
      <c r="DF100" s="152">
        <f>SUMIF(TRANSHARI11_ACCPAGI[PRODUK],CP100,TRANSHARI11_ACCPAGI[QUANTITY])+SUMIF(TRANSHARI11_ACCMALAM[PRODUK],CP100,TRANSHARI11_ACCMALAM[QUANTITY])</f>
        <v>0</v>
      </c>
      <c r="DG100" s="152">
        <f t="shared" ref="DG100:DG108" si="39">SUM(CV100:DF100)</f>
        <v>0</v>
      </c>
      <c r="DH100" s="152">
        <f t="shared" ref="DH100:DH108" si="40">CR100+CS100+CT100-CU100-DG100</f>
        <v>0</v>
      </c>
      <c r="DI100" s="176">
        <f t="shared" si="38"/>
        <v>0</v>
      </c>
    </row>
    <row r="101" ht="18.75" spans="1:113">
      <c r="A101" s="211"/>
      <c r="B101" s="212"/>
      <c r="C101" s="213"/>
      <c r="D101" s="214" t="s">
        <v>141</v>
      </c>
      <c r="E101" s="215">
        <f>SUM(E90:E100)</f>
        <v>925547</v>
      </c>
      <c r="F101" s="216">
        <f>SUM(F90:F100)</f>
        <v>1000132</v>
      </c>
      <c r="G101" s="217">
        <f>SUM(G90:G100)</f>
        <v>5060</v>
      </c>
      <c r="CP101" s="177" t="str">
        <f>'DATA PRODUK'!BH98</f>
        <v>(TWS)(In-Ear) Robot Airbuds T70</v>
      </c>
      <c r="CQ101" s="175">
        <f>'DATA PRODUK'!BI98</f>
        <v>165000</v>
      </c>
      <c r="CR101" s="12"/>
      <c r="CS101" s="12"/>
      <c r="CT101" s="12"/>
      <c r="CU101" s="12"/>
      <c r="CV101" s="12">
        <f>SUMIF(TRANSHARI1_ACCPAGI[PRODUK],CP101,TRANSHARI1_ACCPAGI[QUANTITY])+SUMIF(TRANSHARI1_ACCMALAM[PRODUK],CP101,TRANSHARI1_ACCMALAM[QUANTITY])</f>
        <v>0</v>
      </c>
      <c r="CW101" s="12">
        <f>SUMIF(TRANSHARI2_ACCPAGI[PRODUK],CP101,TRANSHARI2_ACCPAGI[QUANTITY])+SUMIF(TRANSHARI2_ACCMALAM[PRODUK],CP101,TRANSHARI2_ACCMALAM[QUANTITY])</f>
        <v>0</v>
      </c>
      <c r="CX101" s="12">
        <f>SUMIF(TRANSHARI3_ACCPAGI[PRODUK],CP101,TRANSHARI3_ACCPAGI[QUANTITY])+SUMIF(TRANSHARI3_ACCMALAM[PRODUK],CP101,TRANSHARI3_ACCMALAM[QUANTITY])</f>
        <v>0</v>
      </c>
      <c r="CY101" s="12">
        <f>SUMIF(TRANSHARI4_ACCPAGI[PRODUK],CP101,TRANSHARI4_ACCPAGI[QUANTITY])+SUMIF(TRANSHARI4_ACCMALAM[PRODUK],CP101,TRANSHARI4_ACCMALAM[QUANTITY])</f>
        <v>0</v>
      </c>
      <c r="CZ101" s="12">
        <f>SUMIF(TRANSHARI5_ACCPAGI[PRODUK],CP101,TRANSHARI5_ACCPAGI[QUANTITY])+SUMIF(TRANSHARI5_ACCMALAM[PRODUK],CP101,TRANSHARI5_ACCMALAM[QUANTITY])</f>
        <v>0</v>
      </c>
      <c r="DA101" s="12">
        <f>SUMIF(TRANSHARI6_ACCPAGI[PRODUK],CP101,TRANSHARI6_ACCPAGI[QUANTITY])+SUMIF(TRANSHARI6_ACCMALAM[PRODUK],CP101,TRANSHARI6_ACCMALAM[QUANTITY])</f>
        <v>0</v>
      </c>
      <c r="DB101" s="12">
        <f>SUMIF(TRANSHARI7_ACCPAGI[PRODUK],CP101,TRANSHARI7_ACCPAGI[QUANTITY])+SUMIF(TRANSHARI7_ACCMALAM[PRODUK],CP101,TRANSHARI7_ACCMALAM[QUANTITY])</f>
        <v>0</v>
      </c>
      <c r="DC101" s="12">
        <f>SUMIF(TRANSHARI8_ACCPAGI[PRODUK],CP101,TRANSHARI8_ACCPAGI[QUANTITY])+SUMIF(TRANSHARI8_ACCMALAM[PRODUK],CP101,TRANSHARI8_ACCMALAM[QUANTITY])</f>
        <v>0</v>
      </c>
      <c r="DD101" s="12">
        <f>SUMIF(TRANSHARI9_ACCPAGI[PRODUK],CP101,TRANSHARI9_ACCPAGI[QUANTITY])+SUMIF(TRANSHARI9_ACCMALAM[PRODUK],CP101,TRANSHARI9_ACCMALAM[QUANTITY])</f>
        <v>0</v>
      </c>
      <c r="DE101" s="12">
        <f>SUMIF(TRANSHARI10_ACCPAGI[PRODUK],CP101,TRANSHARI10_ACCPAGI[QUANTITY])+SUMIF(TRANSHARI10_ACCMALAM[PRODUK],CP101,TRANSHARI10_ACCMALAM[QUANTITY])</f>
        <v>0</v>
      </c>
      <c r="DF101" s="12">
        <f>SUMIF(TRANSHARI11_ACCPAGI[PRODUK],CP101,TRANSHARI11_ACCPAGI[QUANTITY])+SUMIF(TRANSHARI11_ACCMALAM[PRODUK],CP101,TRANSHARI11_ACCMALAM[QUANTITY])</f>
        <v>0</v>
      </c>
      <c r="DG101" s="12">
        <f t="shared" si="39"/>
        <v>0</v>
      </c>
      <c r="DH101" s="12">
        <f t="shared" si="40"/>
        <v>0</v>
      </c>
      <c r="DI101" s="173">
        <f t="shared" si="38"/>
        <v>0</v>
      </c>
    </row>
    <row r="102" ht="18" spans="94:113">
      <c r="CP102" s="174" t="str">
        <f>'DATA PRODUK'!BH99</f>
        <v>(TWS Case) Robot Airbuds T60 Case</v>
      </c>
      <c r="CQ102" s="178">
        <f>'DATA PRODUK'!BI99</f>
        <v>30000</v>
      </c>
      <c r="CR102" s="152"/>
      <c r="CS102" s="152"/>
      <c r="CT102" s="152"/>
      <c r="CU102" s="152"/>
      <c r="CV102" s="152">
        <f>SUMIF(TRANSHARI1_ACCPAGI[PRODUK],CP102,TRANSHARI1_ACCPAGI[QUANTITY])+SUMIF(TRANSHARI1_ACCMALAM[PRODUK],CP102,TRANSHARI1_ACCMALAM[QUANTITY])</f>
        <v>0</v>
      </c>
      <c r="CW102" s="152">
        <f>SUMIF(TRANSHARI2_ACCPAGI[PRODUK],CP102,TRANSHARI2_ACCPAGI[QUANTITY])+SUMIF(TRANSHARI2_ACCMALAM[PRODUK],CP102,TRANSHARI2_ACCMALAM[QUANTITY])</f>
        <v>0</v>
      </c>
      <c r="CX102" s="152">
        <f>SUMIF(TRANSHARI3_ACCPAGI[PRODUK],CP102,TRANSHARI3_ACCPAGI[QUANTITY])+SUMIF(TRANSHARI3_ACCMALAM[PRODUK],CP102,TRANSHARI3_ACCMALAM[QUANTITY])</f>
        <v>0</v>
      </c>
      <c r="CY102" s="152">
        <f>SUMIF(TRANSHARI4_ACCPAGI[PRODUK],CP102,TRANSHARI4_ACCPAGI[QUANTITY])+SUMIF(TRANSHARI4_ACCMALAM[PRODUK],CP102,TRANSHARI4_ACCMALAM[QUANTITY])</f>
        <v>0</v>
      </c>
      <c r="CZ102" s="152">
        <f>SUMIF(TRANSHARI5_ACCPAGI[PRODUK],CP102,TRANSHARI5_ACCPAGI[QUANTITY])+SUMIF(TRANSHARI5_ACCMALAM[PRODUK],CP102,TRANSHARI5_ACCMALAM[QUANTITY])</f>
        <v>0</v>
      </c>
      <c r="DA102" s="152">
        <f>SUMIF(TRANSHARI6_ACCPAGI[PRODUK],CP102,TRANSHARI6_ACCPAGI[QUANTITY])+SUMIF(TRANSHARI6_ACCMALAM[PRODUK],CP102,TRANSHARI6_ACCMALAM[QUANTITY])</f>
        <v>0</v>
      </c>
      <c r="DB102" s="152">
        <f>SUMIF(TRANSHARI7_ACCPAGI[PRODUK],CP102,TRANSHARI7_ACCPAGI[QUANTITY])+SUMIF(TRANSHARI7_ACCMALAM[PRODUK],CP102,TRANSHARI7_ACCMALAM[QUANTITY])</f>
        <v>0</v>
      </c>
      <c r="DC102" s="152">
        <f>SUMIF(TRANSHARI8_ACCPAGI[PRODUK],CP102,TRANSHARI8_ACCPAGI[QUANTITY])+SUMIF(TRANSHARI8_ACCMALAM[PRODUK],CP102,TRANSHARI8_ACCMALAM[QUANTITY])</f>
        <v>0</v>
      </c>
      <c r="DD102" s="152">
        <f>SUMIF(TRANSHARI9_ACCPAGI[PRODUK],CP102,TRANSHARI9_ACCPAGI[QUANTITY])+SUMIF(TRANSHARI9_ACCMALAM[PRODUK],CP102,TRANSHARI9_ACCMALAM[QUANTITY])</f>
        <v>0</v>
      </c>
      <c r="DE102" s="152">
        <f>SUMIF(TRANSHARI10_ACCPAGI[PRODUK],CP102,TRANSHARI10_ACCPAGI[QUANTITY])+SUMIF(TRANSHARI10_ACCMALAM[PRODUK],CP102,TRANSHARI10_ACCMALAM[QUANTITY])</f>
        <v>0</v>
      </c>
      <c r="DF102" s="152">
        <f>SUMIF(TRANSHARI11_ACCPAGI[PRODUK],CP102,TRANSHARI11_ACCPAGI[QUANTITY])+SUMIF(TRANSHARI11_ACCMALAM[PRODUK],CP102,TRANSHARI11_ACCMALAM[QUANTITY])</f>
        <v>0</v>
      </c>
      <c r="DG102" s="152">
        <f t="shared" si="39"/>
        <v>0</v>
      </c>
      <c r="DH102" s="152">
        <f t="shared" si="40"/>
        <v>0</v>
      </c>
      <c r="DI102" s="176">
        <f t="shared" si="38"/>
        <v>0</v>
      </c>
    </row>
    <row r="103" ht="18" spans="94:113">
      <c r="CP103" s="177" t="str">
        <f>'DATA PRODUK'!BH100</f>
        <v>(TWS Cleaning Pen) Robot RMC10</v>
      </c>
      <c r="CQ103" s="175">
        <f>'DATA PRODUK'!BI100</f>
        <v>30000</v>
      </c>
      <c r="CR103" s="12"/>
      <c r="CS103" s="12"/>
      <c r="CT103" s="12"/>
      <c r="CU103" s="12"/>
      <c r="CV103" s="12">
        <f>SUMIF(TRANSHARI1_ACCPAGI[PRODUK],CP103,TRANSHARI1_ACCPAGI[QUANTITY])+SUMIF(TRANSHARI1_ACCMALAM[PRODUK],CP103,TRANSHARI1_ACCMALAM[QUANTITY])</f>
        <v>0</v>
      </c>
      <c r="CW103" s="12">
        <f>SUMIF(TRANSHARI2_ACCPAGI[PRODUK],CP103,TRANSHARI2_ACCPAGI[QUANTITY])+SUMIF(TRANSHARI2_ACCMALAM[PRODUK],CP103,TRANSHARI2_ACCMALAM[QUANTITY])</f>
        <v>0</v>
      </c>
      <c r="CX103" s="12">
        <f>SUMIF(TRANSHARI3_ACCPAGI[PRODUK],CP103,TRANSHARI3_ACCPAGI[QUANTITY])+SUMIF(TRANSHARI3_ACCMALAM[PRODUK],CP103,TRANSHARI3_ACCMALAM[QUANTITY])</f>
        <v>0</v>
      </c>
      <c r="CY103" s="12">
        <f>SUMIF(TRANSHARI4_ACCPAGI[PRODUK],CP103,TRANSHARI4_ACCPAGI[QUANTITY])+SUMIF(TRANSHARI4_ACCMALAM[PRODUK],CP103,TRANSHARI4_ACCMALAM[QUANTITY])</f>
        <v>0</v>
      </c>
      <c r="CZ103" s="12">
        <f>SUMIF(TRANSHARI5_ACCPAGI[PRODUK],CP103,TRANSHARI5_ACCPAGI[QUANTITY])+SUMIF(TRANSHARI5_ACCMALAM[PRODUK],CP103,TRANSHARI5_ACCMALAM[QUANTITY])</f>
        <v>0</v>
      </c>
      <c r="DA103" s="12">
        <f>SUMIF(TRANSHARI6_ACCPAGI[PRODUK],CP103,TRANSHARI6_ACCPAGI[QUANTITY])+SUMIF(TRANSHARI6_ACCMALAM[PRODUK],CP103,TRANSHARI6_ACCMALAM[QUANTITY])</f>
        <v>0</v>
      </c>
      <c r="DB103" s="12">
        <f>SUMIF(TRANSHARI7_ACCPAGI[PRODUK],CP103,TRANSHARI7_ACCPAGI[QUANTITY])+SUMIF(TRANSHARI7_ACCMALAM[PRODUK],CP103,TRANSHARI7_ACCMALAM[QUANTITY])</f>
        <v>0</v>
      </c>
      <c r="DC103" s="12">
        <f>SUMIF(TRANSHARI8_ACCPAGI[PRODUK],CP103,TRANSHARI8_ACCPAGI[QUANTITY])+SUMIF(TRANSHARI8_ACCMALAM[PRODUK],CP103,TRANSHARI8_ACCMALAM[QUANTITY])</f>
        <v>0</v>
      </c>
      <c r="DD103" s="12">
        <f>SUMIF(TRANSHARI9_ACCPAGI[PRODUK],CP103,TRANSHARI9_ACCPAGI[QUANTITY])+SUMIF(TRANSHARI9_ACCMALAM[PRODUK],CP103,TRANSHARI9_ACCMALAM[QUANTITY])</f>
        <v>0</v>
      </c>
      <c r="DE103" s="12">
        <f>SUMIF(TRANSHARI10_ACCPAGI[PRODUK],CP103,TRANSHARI10_ACCPAGI[QUANTITY])+SUMIF(TRANSHARI10_ACCMALAM[PRODUK],CP103,TRANSHARI10_ACCMALAM[QUANTITY])</f>
        <v>0</v>
      </c>
      <c r="DF103" s="12">
        <f>SUMIF(TRANSHARI11_ACCPAGI[PRODUK],CP103,TRANSHARI11_ACCPAGI[QUANTITY])+SUMIF(TRANSHARI11_ACCMALAM[PRODUK],CP103,TRANSHARI11_ACCMALAM[QUANTITY])</f>
        <v>0</v>
      </c>
      <c r="DG103" s="12">
        <f t="shared" si="39"/>
        <v>0</v>
      </c>
      <c r="DH103" s="12">
        <f t="shared" si="40"/>
        <v>0</v>
      </c>
      <c r="DI103" s="173">
        <f t="shared" si="38"/>
        <v>0</v>
      </c>
    </row>
    <row r="104" ht="18" spans="94:113">
      <c r="CP104" s="174" t="str">
        <f>'DATA PRODUK'!BH101</f>
        <v>(OWS)(Open-Ear) Acome Open Soft AE03</v>
      </c>
      <c r="CQ104" s="178">
        <f>'DATA PRODUK'!BI101</f>
        <v>115000</v>
      </c>
      <c r="CR104" s="152"/>
      <c r="CS104" s="152"/>
      <c r="CT104" s="152"/>
      <c r="CU104" s="152"/>
      <c r="CV104" s="152">
        <f>SUMIF(TRANSHARI1_ACCPAGI[PRODUK],CP104,TRANSHARI1_ACCPAGI[QUANTITY])+SUMIF(TRANSHARI1_ACCMALAM[PRODUK],CP104,TRANSHARI1_ACCMALAM[QUANTITY])</f>
        <v>0</v>
      </c>
      <c r="CW104" s="152">
        <f>SUMIF(TRANSHARI2_ACCPAGI[PRODUK],CP104,TRANSHARI2_ACCPAGI[QUANTITY])+SUMIF(TRANSHARI2_ACCMALAM[PRODUK],CP104,TRANSHARI2_ACCMALAM[QUANTITY])</f>
        <v>0</v>
      </c>
      <c r="CX104" s="152">
        <f>SUMIF(TRANSHARI3_ACCPAGI[PRODUK],CP104,TRANSHARI3_ACCPAGI[QUANTITY])+SUMIF(TRANSHARI3_ACCMALAM[PRODUK],CP104,TRANSHARI3_ACCMALAM[QUANTITY])</f>
        <v>0</v>
      </c>
      <c r="CY104" s="152">
        <f>SUMIF(TRANSHARI4_ACCPAGI[PRODUK],CP104,TRANSHARI4_ACCPAGI[QUANTITY])+SUMIF(TRANSHARI4_ACCMALAM[PRODUK],CP104,TRANSHARI4_ACCMALAM[QUANTITY])</f>
        <v>0</v>
      </c>
      <c r="CZ104" s="152">
        <f>SUMIF(TRANSHARI5_ACCPAGI[PRODUK],CP104,TRANSHARI5_ACCPAGI[QUANTITY])+SUMIF(TRANSHARI5_ACCMALAM[PRODUK],CP104,TRANSHARI5_ACCMALAM[QUANTITY])</f>
        <v>0</v>
      </c>
      <c r="DA104" s="152">
        <f>SUMIF(TRANSHARI6_ACCPAGI[PRODUK],CP104,TRANSHARI6_ACCPAGI[QUANTITY])+SUMIF(TRANSHARI6_ACCMALAM[PRODUK],CP104,TRANSHARI6_ACCMALAM[QUANTITY])</f>
        <v>0</v>
      </c>
      <c r="DB104" s="152">
        <f>SUMIF(TRANSHARI7_ACCPAGI[PRODUK],CP104,TRANSHARI7_ACCPAGI[QUANTITY])+SUMIF(TRANSHARI7_ACCMALAM[PRODUK],CP104,TRANSHARI7_ACCMALAM[QUANTITY])</f>
        <v>0</v>
      </c>
      <c r="DC104" s="152">
        <f>SUMIF(TRANSHARI8_ACCPAGI[PRODUK],CP104,TRANSHARI8_ACCPAGI[QUANTITY])+SUMIF(TRANSHARI8_ACCMALAM[PRODUK],CP104,TRANSHARI8_ACCMALAM[QUANTITY])</f>
        <v>0</v>
      </c>
      <c r="DD104" s="152">
        <f>SUMIF(TRANSHARI9_ACCPAGI[PRODUK],CP104,TRANSHARI9_ACCPAGI[QUANTITY])+SUMIF(TRANSHARI9_ACCMALAM[PRODUK],CP104,TRANSHARI9_ACCMALAM[QUANTITY])</f>
        <v>0</v>
      </c>
      <c r="DE104" s="152">
        <f>SUMIF(TRANSHARI10_ACCPAGI[PRODUK],CP104,TRANSHARI10_ACCPAGI[QUANTITY])+SUMIF(TRANSHARI10_ACCMALAM[PRODUK],CP104,TRANSHARI10_ACCMALAM[QUANTITY])</f>
        <v>0</v>
      </c>
      <c r="DF104" s="152">
        <f>SUMIF(TRANSHARI11_ACCPAGI[PRODUK],CP104,TRANSHARI11_ACCPAGI[QUANTITY])+SUMIF(TRANSHARI11_ACCMALAM[PRODUK],CP104,TRANSHARI11_ACCMALAM[QUANTITY])</f>
        <v>0</v>
      </c>
      <c r="DG104" s="152">
        <f t="shared" si="39"/>
        <v>0</v>
      </c>
      <c r="DH104" s="152">
        <f t="shared" si="40"/>
        <v>0</v>
      </c>
      <c r="DI104" s="176">
        <f t="shared" si="38"/>
        <v>0</v>
      </c>
    </row>
    <row r="105" ht="18" spans="94:113">
      <c r="CP105" s="177" t="str">
        <f>'DATA PRODUK'!BH102</f>
        <v>(OWS)(Open-Ear) Robot Open Run 1</v>
      </c>
      <c r="CQ105" s="175">
        <f>'DATA PRODUK'!BI102</f>
        <v>130000</v>
      </c>
      <c r="CR105" s="12"/>
      <c r="CS105" s="12"/>
      <c r="CT105" s="12"/>
      <c r="CU105" s="12"/>
      <c r="CV105" s="12">
        <f>SUMIF(TRANSHARI1_ACCPAGI[PRODUK],CP105,TRANSHARI1_ACCPAGI[QUANTITY])+SUMIF(TRANSHARI1_ACCMALAM[PRODUK],CP105,TRANSHARI1_ACCMALAM[QUANTITY])</f>
        <v>0</v>
      </c>
      <c r="CW105" s="12">
        <f>SUMIF(TRANSHARI2_ACCPAGI[PRODUK],CP105,TRANSHARI2_ACCPAGI[QUANTITY])+SUMIF(TRANSHARI2_ACCMALAM[PRODUK],CP105,TRANSHARI2_ACCMALAM[QUANTITY])</f>
        <v>0</v>
      </c>
      <c r="CX105" s="12">
        <f>SUMIF(TRANSHARI3_ACCPAGI[PRODUK],CP105,TRANSHARI3_ACCPAGI[QUANTITY])+SUMIF(TRANSHARI3_ACCMALAM[PRODUK],CP105,TRANSHARI3_ACCMALAM[QUANTITY])</f>
        <v>0</v>
      </c>
      <c r="CY105" s="12">
        <f>SUMIF(TRANSHARI4_ACCPAGI[PRODUK],CP105,TRANSHARI4_ACCPAGI[QUANTITY])+SUMIF(TRANSHARI4_ACCMALAM[PRODUK],CP105,TRANSHARI4_ACCMALAM[QUANTITY])</f>
        <v>0</v>
      </c>
      <c r="CZ105" s="12">
        <f>SUMIF(TRANSHARI5_ACCPAGI[PRODUK],CP105,TRANSHARI5_ACCPAGI[QUANTITY])+SUMIF(TRANSHARI5_ACCMALAM[PRODUK],CP105,TRANSHARI5_ACCMALAM[QUANTITY])</f>
        <v>0</v>
      </c>
      <c r="DA105" s="12">
        <f>SUMIF(TRANSHARI6_ACCPAGI[PRODUK],CP105,TRANSHARI6_ACCPAGI[QUANTITY])+SUMIF(TRANSHARI6_ACCMALAM[PRODUK],CP105,TRANSHARI6_ACCMALAM[QUANTITY])</f>
        <v>0</v>
      </c>
      <c r="DB105" s="12">
        <f>SUMIF(TRANSHARI7_ACCPAGI[PRODUK],CP105,TRANSHARI7_ACCPAGI[QUANTITY])+SUMIF(TRANSHARI7_ACCMALAM[PRODUK],CP105,TRANSHARI7_ACCMALAM[QUANTITY])</f>
        <v>0</v>
      </c>
      <c r="DC105" s="12">
        <f>SUMIF(TRANSHARI8_ACCPAGI[PRODUK],CP105,TRANSHARI8_ACCPAGI[QUANTITY])+SUMIF(TRANSHARI8_ACCMALAM[PRODUK],CP105,TRANSHARI8_ACCMALAM[QUANTITY])</f>
        <v>0</v>
      </c>
      <c r="DD105" s="12">
        <f>SUMIF(TRANSHARI9_ACCPAGI[PRODUK],CP105,TRANSHARI9_ACCPAGI[QUANTITY])+SUMIF(TRANSHARI9_ACCMALAM[PRODUK],CP105,TRANSHARI9_ACCMALAM[QUANTITY])</f>
        <v>0</v>
      </c>
      <c r="DE105" s="12">
        <f>SUMIF(TRANSHARI10_ACCPAGI[PRODUK],CP105,TRANSHARI10_ACCPAGI[QUANTITY])+SUMIF(TRANSHARI10_ACCMALAM[PRODUK],CP105,TRANSHARI10_ACCMALAM[QUANTITY])</f>
        <v>0</v>
      </c>
      <c r="DF105" s="12">
        <f>SUMIF(TRANSHARI11_ACCPAGI[PRODUK],CP105,TRANSHARI11_ACCPAGI[QUANTITY])+SUMIF(TRANSHARI11_ACCMALAM[PRODUK],CP105,TRANSHARI11_ACCMALAM[QUANTITY])</f>
        <v>0</v>
      </c>
      <c r="DG105" s="12">
        <f t="shared" si="39"/>
        <v>0</v>
      </c>
      <c r="DH105" s="12">
        <f t="shared" si="40"/>
        <v>0</v>
      </c>
      <c r="DI105" s="173">
        <f t="shared" si="38"/>
        <v>0</v>
      </c>
    </row>
    <row r="106" ht="18" spans="94:113">
      <c r="CP106" s="174" t="str">
        <f>'DATA PRODUK'!BH103</f>
        <v>(OWS)(Open-Ear) Vivan Sport S</v>
      </c>
      <c r="CQ106" s="178">
        <f>'DATA PRODUK'!BI103</f>
        <v>170000</v>
      </c>
      <c r="CR106" s="152"/>
      <c r="CS106" s="152"/>
      <c r="CT106" s="152"/>
      <c r="CU106" s="152"/>
      <c r="CV106" s="152">
        <f>SUMIF(TRANSHARI1_ACCPAGI[PRODUK],CP106,TRANSHARI1_ACCPAGI[QUANTITY])+SUMIF(TRANSHARI1_ACCMALAM[PRODUK],CP106,TRANSHARI1_ACCMALAM[QUANTITY])</f>
        <v>0</v>
      </c>
      <c r="CW106" s="152">
        <f>SUMIF(TRANSHARI2_ACCPAGI[PRODUK],CP106,TRANSHARI2_ACCPAGI[QUANTITY])+SUMIF(TRANSHARI2_ACCMALAM[PRODUK],CP106,TRANSHARI2_ACCMALAM[QUANTITY])</f>
        <v>0</v>
      </c>
      <c r="CX106" s="152">
        <f>SUMIF(TRANSHARI3_ACCPAGI[PRODUK],CP106,TRANSHARI3_ACCPAGI[QUANTITY])+SUMIF(TRANSHARI3_ACCMALAM[PRODUK],CP106,TRANSHARI3_ACCMALAM[QUANTITY])</f>
        <v>0</v>
      </c>
      <c r="CY106" s="152">
        <f>SUMIF(TRANSHARI4_ACCPAGI[PRODUK],CP106,TRANSHARI4_ACCPAGI[QUANTITY])+SUMIF(TRANSHARI4_ACCMALAM[PRODUK],CP106,TRANSHARI4_ACCMALAM[QUANTITY])</f>
        <v>0</v>
      </c>
      <c r="CZ106" s="152">
        <f>SUMIF(TRANSHARI5_ACCPAGI[PRODUK],CP106,TRANSHARI5_ACCPAGI[QUANTITY])+SUMIF(TRANSHARI5_ACCMALAM[PRODUK],CP106,TRANSHARI5_ACCMALAM[QUANTITY])</f>
        <v>0</v>
      </c>
      <c r="DA106" s="152">
        <f>SUMIF(TRANSHARI6_ACCPAGI[PRODUK],CP106,TRANSHARI6_ACCPAGI[QUANTITY])+SUMIF(TRANSHARI6_ACCMALAM[PRODUK],CP106,TRANSHARI6_ACCMALAM[QUANTITY])</f>
        <v>0</v>
      </c>
      <c r="DB106" s="152">
        <f>SUMIF(TRANSHARI7_ACCPAGI[PRODUK],CP106,TRANSHARI7_ACCPAGI[QUANTITY])+SUMIF(TRANSHARI7_ACCMALAM[PRODUK],CP106,TRANSHARI7_ACCMALAM[QUANTITY])</f>
        <v>0</v>
      </c>
      <c r="DC106" s="152">
        <f>SUMIF(TRANSHARI8_ACCPAGI[PRODUK],CP106,TRANSHARI8_ACCPAGI[QUANTITY])+SUMIF(TRANSHARI8_ACCMALAM[PRODUK],CP106,TRANSHARI8_ACCMALAM[QUANTITY])</f>
        <v>0</v>
      </c>
      <c r="DD106" s="152">
        <f>SUMIF(TRANSHARI9_ACCPAGI[PRODUK],CP106,TRANSHARI9_ACCPAGI[QUANTITY])+SUMIF(TRANSHARI9_ACCMALAM[PRODUK],CP106,TRANSHARI9_ACCMALAM[QUANTITY])</f>
        <v>0</v>
      </c>
      <c r="DE106" s="152">
        <f>SUMIF(TRANSHARI10_ACCPAGI[PRODUK],CP106,TRANSHARI10_ACCPAGI[QUANTITY])+SUMIF(TRANSHARI10_ACCMALAM[PRODUK],CP106,TRANSHARI10_ACCMALAM[QUANTITY])</f>
        <v>0</v>
      </c>
      <c r="DF106" s="152">
        <f>SUMIF(TRANSHARI11_ACCPAGI[PRODUK],CP106,TRANSHARI11_ACCPAGI[QUANTITY])+SUMIF(TRANSHARI11_ACCMALAM[PRODUK],CP106,TRANSHARI11_ACCMALAM[QUANTITY])</f>
        <v>0</v>
      </c>
      <c r="DG106" s="152">
        <f t="shared" si="39"/>
        <v>0</v>
      </c>
      <c r="DH106" s="152">
        <f t="shared" si="40"/>
        <v>0</v>
      </c>
      <c r="DI106" s="176">
        <f t="shared" si="38"/>
        <v>0</v>
      </c>
    </row>
    <row r="107" ht="18" spans="94:113">
      <c r="CP107" s="177" t="str">
        <f>'DATA PRODUK'!BH104</f>
        <v>(SPEAKER) Robot RB20</v>
      </c>
      <c r="CQ107" s="175">
        <f>'DATA PRODUK'!BI104</f>
        <v>75000</v>
      </c>
      <c r="CR107" s="12"/>
      <c r="CS107" s="12"/>
      <c r="CT107" s="12"/>
      <c r="CU107" s="12"/>
      <c r="CV107" s="12">
        <f>SUMIF(TRANSHARI1_ACCPAGI[PRODUK],CP107,TRANSHARI1_ACCPAGI[QUANTITY])+SUMIF(TRANSHARI1_ACCMALAM[PRODUK],CP107,TRANSHARI1_ACCMALAM[QUANTITY])</f>
        <v>0</v>
      </c>
      <c r="CW107" s="12">
        <f>SUMIF(TRANSHARI2_ACCPAGI[PRODUK],CP107,TRANSHARI2_ACCPAGI[QUANTITY])+SUMIF(TRANSHARI2_ACCMALAM[PRODUK],CP107,TRANSHARI2_ACCMALAM[QUANTITY])</f>
        <v>0</v>
      </c>
      <c r="CX107" s="12">
        <f>SUMIF(TRANSHARI3_ACCPAGI[PRODUK],CP107,TRANSHARI3_ACCPAGI[QUANTITY])+SUMIF(TRANSHARI3_ACCMALAM[PRODUK],CP107,TRANSHARI3_ACCMALAM[QUANTITY])</f>
        <v>0</v>
      </c>
      <c r="CY107" s="12">
        <f>SUMIF(TRANSHARI4_ACCPAGI[PRODUK],CP107,TRANSHARI4_ACCPAGI[QUANTITY])+SUMIF(TRANSHARI4_ACCMALAM[PRODUK],CP107,TRANSHARI4_ACCMALAM[QUANTITY])</f>
        <v>0</v>
      </c>
      <c r="CZ107" s="12">
        <f>SUMIF(TRANSHARI5_ACCPAGI[PRODUK],CP107,TRANSHARI5_ACCPAGI[QUANTITY])+SUMIF(TRANSHARI5_ACCMALAM[PRODUK],CP107,TRANSHARI5_ACCMALAM[QUANTITY])</f>
        <v>0</v>
      </c>
      <c r="DA107" s="12">
        <f>SUMIF(TRANSHARI6_ACCPAGI[PRODUK],CP107,TRANSHARI6_ACCPAGI[QUANTITY])+SUMIF(TRANSHARI6_ACCMALAM[PRODUK],CP107,TRANSHARI6_ACCMALAM[QUANTITY])</f>
        <v>0</v>
      </c>
      <c r="DB107" s="12">
        <f>SUMIF(TRANSHARI7_ACCPAGI[PRODUK],CP107,TRANSHARI7_ACCPAGI[QUANTITY])+SUMIF(TRANSHARI7_ACCMALAM[PRODUK],CP107,TRANSHARI7_ACCMALAM[QUANTITY])</f>
        <v>0</v>
      </c>
      <c r="DC107" s="12">
        <f>SUMIF(TRANSHARI8_ACCPAGI[PRODUK],CP107,TRANSHARI8_ACCPAGI[QUANTITY])+SUMIF(TRANSHARI8_ACCMALAM[PRODUK],CP107,TRANSHARI8_ACCMALAM[QUANTITY])</f>
        <v>0</v>
      </c>
      <c r="DD107" s="12">
        <f>SUMIF(TRANSHARI9_ACCPAGI[PRODUK],CP107,TRANSHARI9_ACCPAGI[QUANTITY])+SUMIF(TRANSHARI9_ACCMALAM[PRODUK],CP107,TRANSHARI9_ACCMALAM[QUANTITY])</f>
        <v>0</v>
      </c>
      <c r="DE107" s="12">
        <f>SUMIF(TRANSHARI10_ACCPAGI[PRODUK],CP107,TRANSHARI10_ACCPAGI[QUANTITY])+SUMIF(TRANSHARI10_ACCMALAM[PRODUK],CP107,TRANSHARI10_ACCMALAM[QUANTITY])</f>
        <v>0</v>
      </c>
      <c r="DF107" s="12">
        <f>SUMIF(TRANSHARI11_ACCPAGI[PRODUK],CP107,TRANSHARI11_ACCPAGI[QUANTITY])+SUMIF(TRANSHARI11_ACCMALAM[PRODUK],CP107,TRANSHARI11_ACCMALAM[QUANTITY])</f>
        <v>0</v>
      </c>
      <c r="DG107" s="12">
        <f t="shared" si="39"/>
        <v>0</v>
      </c>
      <c r="DH107" s="12">
        <f t="shared" si="40"/>
        <v>0</v>
      </c>
      <c r="DI107" s="173">
        <f t="shared" si="38"/>
        <v>0</v>
      </c>
    </row>
    <row r="108" ht="18" spans="94:113">
      <c r="CP108" s="174" t="str">
        <f>'DATA PRODUK'!BH105</f>
        <v>(SPEAKER) Robot RB30</v>
      </c>
      <c r="CQ108" s="178">
        <f>'DATA PRODUK'!BI105</f>
        <v>100000</v>
      </c>
      <c r="CR108" s="152"/>
      <c r="CS108" s="152"/>
      <c r="CT108" s="152"/>
      <c r="CU108" s="152"/>
      <c r="CV108" s="152">
        <f>SUMIF(TRANSHARI1_ACCPAGI[PRODUK],CP108,TRANSHARI1_ACCPAGI[QUANTITY])+SUMIF(TRANSHARI1_ACCMALAM[PRODUK],CP108,TRANSHARI1_ACCMALAM[QUANTITY])</f>
        <v>0</v>
      </c>
      <c r="CW108" s="152">
        <f>SUMIF(TRANSHARI2_ACCPAGI[PRODUK],CP108,TRANSHARI2_ACCPAGI[QUANTITY])+SUMIF(TRANSHARI2_ACCMALAM[PRODUK],CP108,TRANSHARI2_ACCMALAM[QUANTITY])</f>
        <v>0</v>
      </c>
      <c r="CX108" s="152">
        <f>SUMIF(TRANSHARI3_ACCPAGI[PRODUK],CP108,TRANSHARI3_ACCPAGI[QUANTITY])+SUMIF(TRANSHARI3_ACCMALAM[PRODUK],CP108,TRANSHARI3_ACCMALAM[QUANTITY])</f>
        <v>0</v>
      </c>
      <c r="CY108" s="152">
        <f>SUMIF(TRANSHARI4_ACCPAGI[PRODUK],CP108,TRANSHARI4_ACCPAGI[QUANTITY])+SUMIF(TRANSHARI4_ACCMALAM[PRODUK],CP108,TRANSHARI4_ACCMALAM[QUANTITY])</f>
        <v>0</v>
      </c>
      <c r="CZ108" s="152">
        <f>SUMIF(TRANSHARI5_ACCPAGI[PRODUK],CP108,TRANSHARI5_ACCPAGI[QUANTITY])+SUMIF(TRANSHARI5_ACCMALAM[PRODUK],CP108,TRANSHARI5_ACCMALAM[QUANTITY])</f>
        <v>0</v>
      </c>
      <c r="DA108" s="152">
        <f>SUMIF(TRANSHARI6_ACCPAGI[PRODUK],CP108,TRANSHARI6_ACCPAGI[QUANTITY])+SUMIF(TRANSHARI6_ACCMALAM[PRODUK],CP108,TRANSHARI6_ACCMALAM[QUANTITY])</f>
        <v>0</v>
      </c>
      <c r="DB108" s="152">
        <f>SUMIF(TRANSHARI7_ACCPAGI[PRODUK],CP108,TRANSHARI7_ACCPAGI[QUANTITY])+SUMIF(TRANSHARI7_ACCMALAM[PRODUK],CP108,TRANSHARI7_ACCMALAM[QUANTITY])</f>
        <v>0</v>
      </c>
      <c r="DC108" s="152">
        <f>SUMIF(TRANSHARI8_ACCPAGI[PRODUK],CP108,TRANSHARI8_ACCPAGI[QUANTITY])+SUMIF(TRANSHARI8_ACCMALAM[PRODUK],CP108,TRANSHARI8_ACCMALAM[QUANTITY])</f>
        <v>0</v>
      </c>
      <c r="DD108" s="152">
        <f>SUMIF(TRANSHARI9_ACCPAGI[PRODUK],CP108,TRANSHARI9_ACCPAGI[QUANTITY])+SUMIF(TRANSHARI9_ACCMALAM[PRODUK],CP108,TRANSHARI9_ACCMALAM[QUANTITY])</f>
        <v>0</v>
      </c>
      <c r="DE108" s="152">
        <f>SUMIF(TRANSHARI10_ACCPAGI[PRODUK],CP108,TRANSHARI10_ACCPAGI[QUANTITY])+SUMIF(TRANSHARI10_ACCMALAM[PRODUK],CP108,TRANSHARI10_ACCMALAM[QUANTITY])</f>
        <v>0</v>
      </c>
      <c r="DF108" s="152">
        <f>SUMIF(TRANSHARI11_ACCPAGI[PRODUK],CP108,TRANSHARI11_ACCPAGI[QUANTITY])+SUMIF(TRANSHARI11_ACCMALAM[PRODUK],CP108,TRANSHARI11_ACCMALAM[QUANTITY])</f>
        <v>0</v>
      </c>
      <c r="DG108" s="152">
        <f t="shared" si="39"/>
        <v>0</v>
      </c>
      <c r="DH108" s="152">
        <f t="shared" si="40"/>
        <v>0</v>
      </c>
      <c r="DI108" s="176">
        <f t="shared" si="38"/>
        <v>0</v>
      </c>
    </row>
    <row r="109" ht="18" spans="94:113">
      <c r="CP109" s="177" t="str">
        <f>'DATA PRODUK'!BH106</f>
        <v>(SPEAKER) Olike Beatz SF3</v>
      </c>
      <c r="CQ109" s="175">
        <f>'DATA PRODUK'!BI106</f>
        <v>110000</v>
      </c>
      <c r="CR109" s="12"/>
      <c r="CS109" s="12"/>
      <c r="CT109" s="12"/>
      <c r="CU109" s="12"/>
      <c r="CV109" s="12">
        <f>SUMIF(TRANSHARI1_ACCPAGI[PRODUK],CP109,TRANSHARI1_ACCPAGI[QUANTITY])+SUMIF(TRANSHARI1_ACCMALAM[PRODUK],CP109,TRANSHARI1_ACCMALAM[QUANTITY])</f>
        <v>0</v>
      </c>
      <c r="CW109" s="12">
        <f>SUMIF(TRANSHARI2_ACCPAGI[PRODUK],CP109,TRANSHARI2_ACCPAGI[QUANTITY])+SUMIF(TRANSHARI2_ACCMALAM[PRODUK],CP109,TRANSHARI2_ACCMALAM[QUANTITY])</f>
        <v>0</v>
      </c>
      <c r="CX109" s="12">
        <f>SUMIF(TRANSHARI3_ACCPAGI[PRODUK],CP109,TRANSHARI3_ACCPAGI[QUANTITY])+SUMIF(TRANSHARI3_ACCMALAM[PRODUK],CP109,TRANSHARI3_ACCMALAM[QUANTITY])</f>
        <v>0</v>
      </c>
      <c r="CY109" s="12">
        <f>SUMIF(TRANSHARI4_ACCPAGI[PRODUK],CP109,TRANSHARI4_ACCPAGI[QUANTITY])+SUMIF(TRANSHARI4_ACCMALAM[PRODUK],CP109,TRANSHARI4_ACCMALAM[QUANTITY])</f>
        <v>0</v>
      </c>
      <c r="CZ109" s="12">
        <f>SUMIF(TRANSHARI5_ACCPAGI[PRODUK],CP109,TRANSHARI5_ACCPAGI[QUANTITY])+SUMIF(TRANSHARI5_ACCMALAM[PRODUK],CP109,TRANSHARI5_ACCMALAM[QUANTITY])</f>
        <v>0</v>
      </c>
      <c r="DA109" s="12">
        <f>SUMIF(TRANSHARI6_ACCPAGI[PRODUK],CP109,TRANSHARI6_ACCPAGI[QUANTITY])+SUMIF(TRANSHARI6_ACCMALAM[PRODUK],CP109,TRANSHARI6_ACCMALAM[QUANTITY])</f>
        <v>0</v>
      </c>
      <c r="DB109" s="12">
        <f>SUMIF(TRANSHARI7_ACCPAGI[PRODUK],CP109,TRANSHARI7_ACCPAGI[QUANTITY])+SUMIF(TRANSHARI7_ACCMALAM[PRODUK],CP109,TRANSHARI7_ACCMALAM[QUANTITY])</f>
        <v>0</v>
      </c>
      <c r="DC109" s="12">
        <f>SUMIF(TRANSHARI8_ACCPAGI[PRODUK],CP109,TRANSHARI8_ACCPAGI[QUANTITY])+SUMIF(TRANSHARI8_ACCMALAM[PRODUK],CP109,TRANSHARI8_ACCMALAM[QUANTITY])</f>
        <v>0</v>
      </c>
      <c r="DD109" s="12">
        <f>SUMIF(TRANSHARI9_ACCPAGI[PRODUK],CP109,TRANSHARI9_ACCPAGI[QUANTITY])+SUMIF(TRANSHARI9_ACCMALAM[PRODUK],CP109,TRANSHARI9_ACCMALAM[QUANTITY])</f>
        <v>0</v>
      </c>
      <c r="DE109" s="12">
        <f>SUMIF(TRANSHARI10_ACCPAGI[PRODUK],CP109,TRANSHARI10_ACCPAGI[QUANTITY])+SUMIF(TRANSHARI10_ACCMALAM[PRODUK],CP109,TRANSHARI10_ACCMALAM[QUANTITY])</f>
        <v>0</v>
      </c>
      <c r="DF109" s="12">
        <f>SUMIF(TRANSHARI11_ACCPAGI[PRODUK],CP109,TRANSHARI11_ACCPAGI[QUANTITY])+SUMIF(TRANSHARI11_ACCMALAM[PRODUK],CP109,TRANSHARI11_ACCMALAM[QUANTITY])</f>
        <v>0</v>
      </c>
      <c r="DG109" s="12">
        <f t="shared" ref="DG109:DG133" si="41">SUM(CV109:DF109)</f>
        <v>0</v>
      </c>
      <c r="DH109" s="12">
        <f t="shared" ref="DH109:DH133" si="42">CR109+CS109+CT109-CU109-DG109</f>
        <v>0</v>
      </c>
      <c r="DI109" s="173">
        <f t="shared" ref="DI109:DI133" si="43">DG109*CQ109</f>
        <v>0</v>
      </c>
    </row>
    <row r="110" ht="18" spans="94:113">
      <c r="CP110" s="174" t="str">
        <f>'DATA PRODUK'!BH107</f>
        <v>(SPEAKER) Robot RB120</v>
      </c>
      <c r="CQ110" s="178">
        <f>'DATA PRODUK'!BI107</f>
        <v>135000</v>
      </c>
      <c r="CR110" s="152"/>
      <c r="CS110" s="152"/>
      <c r="CT110" s="152"/>
      <c r="CU110" s="152"/>
      <c r="CV110" s="152">
        <f>SUMIF(TRANSHARI1_ACCPAGI[PRODUK],CP110,TRANSHARI1_ACCPAGI[QUANTITY])+SUMIF(TRANSHARI1_ACCMALAM[PRODUK],CP110,TRANSHARI1_ACCMALAM[QUANTITY])</f>
        <v>0</v>
      </c>
      <c r="CW110" s="152">
        <f>SUMIF(TRANSHARI2_ACCPAGI[PRODUK],CP110,TRANSHARI2_ACCPAGI[QUANTITY])+SUMIF(TRANSHARI2_ACCMALAM[PRODUK],CP110,TRANSHARI2_ACCMALAM[QUANTITY])</f>
        <v>0</v>
      </c>
      <c r="CX110" s="152">
        <f>SUMIF(TRANSHARI3_ACCPAGI[PRODUK],CP110,TRANSHARI3_ACCPAGI[QUANTITY])+SUMIF(TRANSHARI3_ACCMALAM[PRODUK],CP110,TRANSHARI3_ACCMALAM[QUANTITY])</f>
        <v>0</v>
      </c>
      <c r="CY110" s="152">
        <f>SUMIF(TRANSHARI4_ACCPAGI[PRODUK],CP110,TRANSHARI4_ACCPAGI[QUANTITY])+SUMIF(TRANSHARI4_ACCMALAM[PRODUK],CP110,TRANSHARI4_ACCMALAM[QUANTITY])</f>
        <v>0</v>
      </c>
      <c r="CZ110" s="152">
        <f>SUMIF(TRANSHARI5_ACCPAGI[PRODUK],CP110,TRANSHARI5_ACCPAGI[QUANTITY])+SUMIF(TRANSHARI5_ACCMALAM[PRODUK],CP110,TRANSHARI5_ACCMALAM[QUANTITY])</f>
        <v>0</v>
      </c>
      <c r="DA110" s="152">
        <f>SUMIF(TRANSHARI6_ACCPAGI[PRODUK],CP110,TRANSHARI6_ACCPAGI[QUANTITY])+SUMIF(TRANSHARI6_ACCMALAM[PRODUK],CP110,TRANSHARI6_ACCMALAM[QUANTITY])</f>
        <v>0</v>
      </c>
      <c r="DB110" s="152">
        <f>SUMIF(TRANSHARI7_ACCPAGI[PRODUK],CP110,TRANSHARI7_ACCPAGI[QUANTITY])+SUMIF(TRANSHARI7_ACCMALAM[PRODUK],CP110,TRANSHARI7_ACCMALAM[QUANTITY])</f>
        <v>0</v>
      </c>
      <c r="DC110" s="152">
        <f>SUMIF(TRANSHARI8_ACCPAGI[PRODUK],CP110,TRANSHARI8_ACCPAGI[QUANTITY])+SUMIF(TRANSHARI8_ACCMALAM[PRODUK],CP110,TRANSHARI8_ACCMALAM[QUANTITY])</f>
        <v>0</v>
      </c>
      <c r="DD110" s="152">
        <f>SUMIF(TRANSHARI9_ACCPAGI[PRODUK],CP110,TRANSHARI9_ACCPAGI[QUANTITY])+SUMIF(TRANSHARI9_ACCMALAM[PRODUK],CP110,TRANSHARI9_ACCMALAM[QUANTITY])</f>
        <v>0</v>
      </c>
      <c r="DE110" s="152">
        <f>SUMIF(TRANSHARI10_ACCPAGI[PRODUK],CP110,TRANSHARI10_ACCPAGI[QUANTITY])+SUMIF(TRANSHARI10_ACCMALAM[PRODUK],CP110,TRANSHARI10_ACCMALAM[QUANTITY])</f>
        <v>0</v>
      </c>
      <c r="DF110" s="152">
        <f>SUMIF(TRANSHARI11_ACCPAGI[PRODUK],CP110,TRANSHARI11_ACCPAGI[QUANTITY])+SUMIF(TRANSHARI11_ACCMALAM[PRODUK],CP110,TRANSHARI11_ACCMALAM[QUANTITY])</f>
        <v>0</v>
      </c>
      <c r="DG110" s="152">
        <f t="shared" si="41"/>
        <v>0</v>
      </c>
      <c r="DH110" s="152">
        <f t="shared" si="42"/>
        <v>0</v>
      </c>
      <c r="DI110" s="176">
        <f t="shared" si="43"/>
        <v>0</v>
      </c>
    </row>
    <row r="111" ht="18" spans="94:113">
      <c r="CP111" s="177" t="str">
        <f>'DATA PRODUK'!BH108</f>
        <v>(SPEAKER) Vivan VS1</v>
      </c>
      <c r="CQ111" s="175">
        <f>'DATA PRODUK'!BI108</f>
        <v>165000</v>
      </c>
      <c r="CR111" s="12"/>
      <c r="CS111" s="12"/>
      <c r="CT111" s="12"/>
      <c r="CU111" s="12"/>
      <c r="CV111" s="12">
        <f>SUMIF(TRANSHARI1_ACCPAGI[PRODUK],CP111,TRANSHARI1_ACCPAGI[QUANTITY])+SUMIF(TRANSHARI1_ACCMALAM[PRODUK],CP111,TRANSHARI1_ACCMALAM[QUANTITY])</f>
        <v>0</v>
      </c>
      <c r="CW111" s="12">
        <f>SUMIF(TRANSHARI2_ACCPAGI[PRODUK],CP111,TRANSHARI2_ACCPAGI[QUANTITY])+SUMIF(TRANSHARI2_ACCMALAM[PRODUK],CP111,TRANSHARI2_ACCMALAM[QUANTITY])</f>
        <v>0</v>
      </c>
      <c r="CX111" s="12">
        <f>SUMIF(TRANSHARI3_ACCPAGI[PRODUK],CP111,TRANSHARI3_ACCPAGI[QUANTITY])+SUMIF(TRANSHARI3_ACCMALAM[PRODUK],CP111,TRANSHARI3_ACCMALAM[QUANTITY])</f>
        <v>0</v>
      </c>
      <c r="CY111" s="12">
        <f>SUMIF(TRANSHARI4_ACCPAGI[PRODUK],CP111,TRANSHARI4_ACCPAGI[QUANTITY])+SUMIF(TRANSHARI4_ACCMALAM[PRODUK],CP111,TRANSHARI4_ACCMALAM[QUANTITY])</f>
        <v>0</v>
      </c>
      <c r="CZ111" s="12">
        <f>SUMIF(TRANSHARI5_ACCPAGI[PRODUK],CP111,TRANSHARI5_ACCPAGI[QUANTITY])+SUMIF(TRANSHARI5_ACCMALAM[PRODUK],CP111,TRANSHARI5_ACCMALAM[QUANTITY])</f>
        <v>0</v>
      </c>
      <c r="DA111" s="12">
        <f>SUMIF(TRANSHARI6_ACCPAGI[PRODUK],CP111,TRANSHARI6_ACCPAGI[QUANTITY])+SUMIF(TRANSHARI6_ACCMALAM[PRODUK],CP111,TRANSHARI6_ACCMALAM[QUANTITY])</f>
        <v>0</v>
      </c>
      <c r="DB111" s="12">
        <f>SUMIF(TRANSHARI7_ACCPAGI[PRODUK],CP111,TRANSHARI7_ACCPAGI[QUANTITY])+SUMIF(TRANSHARI7_ACCMALAM[PRODUK],CP111,TRANSHARI7_ACCMALAM[QUANTITY])</f>
        <v>0</v>
      </c>
      <c r="DC111" s="12">
        <f>SUMIF(TRANSHARI8_ACCPAGI[PRODUK],CP111,TRANSHARI8_ACCPAGI[QUANTITY])+SUMIF(TRANSHARI8_ACCMALAM[PRODUK],CP111,TRANSHARI8_ACCMALAM[QUANTITY])</f>
        <v>0</v>
      </c>
      <c r="DD111" s="12">
        <f>SUMIF(TRANSHARI9_ACCPAGI[PRODUK],CP111,TRANSHARI9_ACCPAGI[QUANTITY])+SUMIF(TRANSHARI9_ACCMALAM[PRODUK],CP111,TRANSHARI9_ACCMALAM[QUANTITY])</f>
        <v>0</v>
      </c>
      <c r="DE111" s="12">
        <f>SUMIF(TRANSHARI10_ACCPAGI[PRODUK],CP111,TRANSHARI10_ACCPAGI[QUANTITY])+SUMIF(TRANSHARI10_ACCMALAM[PRODUK],CP111,TRANSHARI10_ACCMALAM[QUANTITY])</f>
        <v>0</v>
      </c>
      <c r="DF111" s="12">
        <f>SUMIF(TRANSHARI11_ACCPAGI[PRODUK],CP111,TRANSHARI11_ACCPAGI[QUANTITY])+SUMIF(TRANSHARI11_ACCMALAM[PRODUK],CP111,TRANSHARI11_ACCMALAM[QUANTITY])</f>
        <v>0</v>
      </c>
      <c r="DG111" s="12">
        <f t="shared" si="41"/>
        <v>0</v>
      </c>
      <c r="DH111" s="12">
        <f t="shared" si="42"/>
        <v>0</v>
      </c>
      <c r="DI111" s="173">
        <f t="shared" si="43"/>
        <v>0</v>
      </c>
    </row>
    <row r="112" ht="18" spans="94:113">
      <c r="CP112" s="174" t="str">
        <f>'DATA PRODUK'!BH109</f>
        <v>(AUDIO)(Aux) Cable Basic</v>
      </c>
      <c r="CQ112" s="178">
        <f>'DATA PRODUK'!BI109</f>
        <v>10000</v>
      </c>
      <c r="CR112" s="152"/>
      <c r="CS112" s="152"/>
      <c r="CT112" s="152"/>
      <c r="CU112" s="152"/>
      <c r="CV112" s="152">
        <f>SUMIF(TRANSHARI1_ACCPAGI[PRODUK],CP112,TRANSHARI1_ACCPAGI[QUANTITY])+SUMIF(TRANSHARI1_ACCMALAM[PRODUK],CP112,TRANSHARI1_ACCMALAM[QUANTITY])</f>
        <v>0</v>
      </c>
      <c r="CW112" s="152">
        <f>SUMIF(TRANSHARI2_ACCPAGI[PRODUK],CP112,TRANSHARI2_ACCPAGI[QUANTITY])+SUMIF(TRANSHARI2_ACCMALAM[PRODUK],CP112,TRANSHARI2_ACCMALAM[QUANTITY])</f>
        <v>0</v>
      </c>
      <c r="CX112" s="152">
        <f>SUMIF(TRANSHARI3_ACCPAGI[PRODUK],CP112,TRANSHARI3_ACCPAGI[QUANTITY])+SUMIF(TRANSHARI3_ACCMALAM[PRODUK],CP112,TRANSHARI3_ACCMALAM[QUANTITY])</f>
        <v>0</v>
      </c>
      <c r="CY112" s="152">
        <f>SUMIF(TRANSHARI4_ACCPAGI[PRODUK],CP112,TRANSHARI4_ACCPAGI[QUANTITY])+SUMIF(TRANSHARI4_ACCMALAM[PRODUK],CP112,TRANSHARI4_ACCMALAM[QUANTITY])</f>
        <v>0</v>
      </c>
      <c r="CZ112" s="152">
        <f>SUMIF(TRANSHARI5_ACCPAGI[PRODUK],CP112,TRANSHARI5_ACCPAGI[QUANTITY])+SUMIF(TRANSHARI5_ACCMALAM[PRODUK],CP112,TRANSHARI5_ACCMALAM[QUANTITY])</f>
        <v>0</v>
      </c>
      <c r="DA112" s="152">
        <f>SUMIF(TRANSHARI6_ACCPAGI[PRODUK],CP112,TRANSHARI6_ACCPAGI[QUANTITY])+SUMIF(TRANSHARI6_ACCMALAM[PRODUK],CP112,TRANSHARI6_ACCMALAM[QUANTITY])</f>
        <v>0</v>
      </c>
      <c r="DB112" s="152">
        <f>SUMIF(TRANSHARI7_ACCPAGI[PRODUK],CP112,TRANSHARI7_ACCPAGI[QUANTITY])+SUMIF(TRANSHARI7_ACCMALAM[PRODUK],CP112,TRANSHARI7_ACCMALAM[QUANTITY])</f>
        <v>0</v>
      </c>
      <c r="DC112" s="152">
        <f>SUMIF(TRANSHARI8_ACCPAGI[PRODUK],CP112,TRANSHARI8_ACCPAGI[QUANTITY])+SUMIF(TRANSHARI8_ACCMALAM[PRODUK],CP112,TRANSHARI8_ACCMALAM[QUANTITY])</f>
        <v>0</v>
      </c>
      <c r="DD112" s="152">
        <f>SUMIF(TRANSHARI9_ACCPAGI[PRODUK],CP112,TRANSHARI9_ACCPAGI[QUANTITY])+SUMIF(TRANSHARI9_ACCMALAM[PRODUK],CP112,TRANSHARI9_ACCMALAM[QUANTITY])</f>
        <v>0</v>
      </c>
      <c r="DE112" s="152">
        <f>SUMIF(TRANSHARI10_ACCPAGI[PRODUK],CP112,TRANSHARI10_ACCPAGI[QUANTITY])+SUMIF(TRANSHARI10_ACCMALAM[PRODUK],CP112,TRANSHARI10_ACCMALAM[QUANTITY])</f>
        <v>0</v>
      </c>
      <c r="DF112" s="152">
        <f>SUMIF(TRANSHARI11_ACCPAGI[PRODUK],CP112,TRANSHARI11_ACCPAGI[QUANTITY])+SUMIF(TRANSHARI11_ACCMALAM[PRODUK],CP112,TRANSHARI11_ACCMALAM[QUANTITY])</f>
        <v>0</v>
      </c>
      <c r="DG112" s="152">
        <f t="shared" si="41"/>
        <v>0</v>
      </c>
      <c r="DH112" s="152">
        <f t="shared" si="42"/>
        <v>0</v>
      </c>
      <c r="DI112" s="176">
        <f t="shared" si="43"/>
        <v>0</v>
      </c>
    </row>
    <row r="113" ht="18" spans="94:113">
      <c r="CP113" s="177" t="str">
        <f>'DATA PRODUK'!BH110</f>
        <v>(AUDIO)(Aux) Rexi TF20-AX</v>
      </c>
      <c r="CQ113" s="175">
        <f>'DATA PRODUK'!BI110</f>
        <v>25000</v>
      </c>
      <c r="CR113" s="12"/>
      <c r="CS113" s="12"/>
      <c r="CT113" s="12"/>
      <c r="CU113" s="12"/>
      <c r="CV113" s="12">
        <f>SUMIF(TRANSHARI1_ACCPAGI[PRODUK],CP113,TRANSHARI1_ACCPAGI[QUANTITY])+SUMIF(TRANSHARI1_ACCMALAM[PRODUK],CP113,TRANSHARI1_ACCMALAM[QUANTITY])</f>
        <v>0</v>
      </c>
      <c r="CW113" s="12">
        <f>SUMIF(TRANSHARI2_ACCPAGI[PRODUK],CP113,TRANSHARI2_ACCPAGI[QUANTITY])+SUMIF(TRANSHARI2_ACCMALAM[PRODUK],CP113,TRANSHARI2_ACCMALAM[QUANTITY])</f>
        <v>0</v>
      </c>
      <c r="CX113" s="12">
        <f>SUMIF(TRANSHARI3_ACCPAGI[PRODUK],CP113,TRANSHARI3_ACCPAGI[QUANTITY])+SUMIF(TRANSHARI3_ACCMALAM[PRODUK],CP113,TRANSHARI3_ACCMALAM[QUANTITY])</f>
        <v>0</v>
      </c>
      <c r="CY113" s="12">
        <f>SUMIF(TRANSHARI4_ACCPAGI[PRODUK],CP113,TRANSHARI4_ACCPAGI[QUANTITY])+SUMIF(TRANSHARI4_ACCMALAM[PRODUK],CP113,TRANSHARI4_ACCMALAM[QUANTITY])</f>
        <v>0</v>
      </c>
      <c r="CZ113" s="12">
        <f>SUMIF(TRANSHARI5_ACCPAGI[PRODUK],CP113,TRANSHARI5_ACCPAGI[QUANTITY])+SUMIF(TRANSHARI5_ACCMALAM[PRODUK],CP113,TRANSHARI5_ACCMALAM[QUANTITY])</f>
        <v>0</v>
      </c>
      <c r="DA113" s="12">
        <f>SUMIF(TRANSHARI6_ACCPAGI[PRODUK],CP113,TRANSHARI6_ACCPAGI[QUANTITY])+SUMIF(TRANSHARI6_ACCMALAM[PRODUK],CP113,TRANSHARI6_ACCMALAM[QUANTITY])</f>
        <v>0</v>
      </c>
      <c r="DB113" s="12">
        <f>SUMIF(TRANSHARI7_ACCPAGI[PRODUK],CP113,TRANSHARI7_ACCPAGI[QUANTITY])+SUMIF(TRANSHARI7_ACCMALAM[PRODUK],CP113,TRANSHARI7_ACCMALAM[QUANTITY])</f>
        <v>0</v>
      </c>
      <c r="DC113" s="12">
        <f>SUMIF(TRANSHARI8_ACCPAGI[PRODUK],CP113,TRANSHARI8_ACCPAGI[QUANTITY])+SUMIF(TRANSHARI8_ACCMALAM[PRODUK],CP113,TRANSHARI8_ACCMALAM[QUANTITY])</f>
        <v>0</v>
      </c>
      <c r="DD113" s="12">
        <f>SUMIF(TRANSHARI9_ACCPAGI[PRODUK],CP113,TRANSHARI9_ACCPAGI[QUANTITY])+SUMIF(TRANSHARI9_ACCMALAM[PRODUK],CP113,TRANSHARI9_ACCMALAM[QUANTITY])</f>
        <v>0</v>
      </c>
      <c r="DE113" s="12">
        <f>SUMIF(TRANSHARI10_ACCPAGI[PRODUK],CP113,TRANSHARI10_ACCPAGI[QUANTITY])+SUMIF(TRANSHARI10_ACCMALAM[PRODUK],CP113,TRANSHARI10_ACCMALAM[QUANTITY])</f>
        <v>0</v>
      </c>
      <c r="DF113" s="12">
        <f>SUMIF(TRANSHARI11_ACCPAGI[PRODUK],CP113,TRANSHARI11_ACCPAGI[QUANTITY])+SUMIF(TRANSHARI11_ACCMALAM[PRODUK],CP113,TRANSHARI11_ACCMALAM[QUANTITY])</f>
        <v>0</v>
      </c>
      <c r="DG113" s="12">
        <f t="shared" si="41"/>
        <v>0</v>
      </c>
      <c r="DH113" s="12">
        <f t="shared" si="42"/>
        <v>0</v>
      </c>
      <c r="DI113" s="173">
        <f t="shared" si="43"/>
        <v>0</v>
      </c>
    </row>
    <row r="114" ht="18" spans="94:113">
      <c r="CP114" s="174" t="str">
        <f>'DATA PRODUK'!BH111</f>
        <v>(AUDIO)(Aux) Olike ATA1</v>
      </c>
      <c r="CQ114" s="178">
        <f>'DATA PRODUK'!BI111</f>
        <v>40000</v>
      </c>
      <c r="CR114" s="152"/>
      <c r="CS114" s="152"/>
      <c r="CT114" s="152"/>
      <c r="CU114" s="152"/>
      <c r="CV114" s="152">
        <f>SUMIF(TRANSHARI1_ACCPAGI[PRODUK],CP114,TRANSHARI1_ACCPAGI[QUANTITY])+SUMIF(TRANSHARI1_ACCMALAM[PRODUK],CP114,TRANSHARI1_ACCMALAM[QUANTITY])</f>
        <v>0</v>
      </c>
      <c r="CW114" s="152">
        <f>SUMIF(TRANSHARI2_ACCPAGI[PRODUK],CP114,TRANSHARI2_ACCPAGI[QUANTITY])+SUMIF(TRANSHARI2_ACCMALAM[PRODUK],CP114,TRANSHARI2_ACCMALAM[QUANTITY])</f>
        <v>0</v>
      </c>
      <c r="CX114" s="152">
        <f>SUMIF(TRANSHARI3_ACCPAGI[PRODUK],CP114,TRANSHARI3_ACCPAGI[QUANTITY])+SUMIF(TRANSHARI3_ACCMALAM[PRODUK],CP114,TRANSHARI3_ACCMALAM[QUANTITY])</f>
        <v>0</v>
      </c>
      <c r="CY114" s="152">
        <f>SUMIF(TRANSHARI4_ACCPAGI[PRODUK],CP114,TRANSHARI4_ACCPAGI[QUANTITY])+SUMIF(TRANSHARI4_ACCMALAM[PRODUK],CP114,TRANSHARI4_ACCMALAM[QUANTITY])</f>
        <v>0</v>
      </c>
      <c r="CZ114" s="152">
        <f>SUMIF(TRANSHARI5_ACCPAGI[PRODUK],CP114,TRANSHARI5_ACCPAGI[QUANTITY])+SUMIF(TRANSHARI5_ACCMALAM[PRODUK],CP114,TRANSHARI5_ACCMALAM[QUANTITY])</f>
        <v>0</v>
      </c>
      <c r="DA114" s="152">
        <f>SUMIF(TRANSHARI6_ACCPAGI[PRODUK],CP114,TRANSHARI6_ACCPAGI[QUANTITY])+SUMIF(TRANSHARI6_ACCMALAM[PRODUK],CP114,TRANSHARI6_ACCMALAM[QUANTITY])</f>
        <v>0</v>
      </c>
      <c r="DB114" s="152">
        <f>SUMIF(TRANSHARI7_ACCPAGI[PRODUK],CP114,TRANSHARI7_ACCPAGI[QUANTITY])+SUMIF(TRANSHARI7_ACCMALAM[PRODUK],CP114,TRANSHARI7_ACCMALAM[QUANTITY])</f>
        <v>0</v>
      </c>
      <c r="DC114" s="152">
        <f>SUMIF(TRANSHARI8_ACCPAGI[PRODUK],CP114,TRANSHARI8_ACCPAGI[QUANTITY])+SUMIF(TRANSHARI8_ACCMALAM[PRODUK],CP114,TRANSHARI8_ACCMALAM[QUANTITY])</f>
        <v>0</v>
      </c>
      <c r="DD114" s="152">
        <f>SUMIF(TRANSHARI9_ACCPAGI[PRODUK],CP114,TRANSHARI9_ACCPAGI[QUANTITY])+SUMIF(TRANSHARI9_ACCMALAM[PRODUK],CP114,TRANSHARI9_ACCMALAM[QUANTITY])</f>
        <v>0</v>
      </c>
      <c r="DE114" s="152">
        <f>SUMIF(TRANSHARI10_ACCPAGI[PRODUK],CP114,TRANSHARI10_ACCPAGI[QUANTITY])+SUMIF(TRANSHARI10_ACCMALAM[PRODUK],CP114,TRANSHARI10_ACCMALAM[QUANTITY])</f>
        <v>0</v>
      </c>
      <c r="DF114" s="152">
        <f>SUMIF(TRANSHARI11_ACCPAGI[PRODUK],CP114,TRANSHARI11_ACCPAGI[QUANTITY])+SUMIF(TRANSHARI11_ACCMALAM[PRODUK],CP114,TRANSHARI11_ACCMALAM[QUANTITY])</f>
        <v>0</v>
      </c>
      <c r="DG114" s="152">
        <f t="shared" si="41"/>
        <v>0</v>
      </c>
      <c r="DH114" s="152">
        <f t="shared" si="42"/>
        <v>0</v>
      </c>
      <c r="DI114" s="176">
        <f t="shared" si="43"/>
        <v>0</v>
      </c>
    </row>
    <row r="115" ht="18" spans="94:113">
      <c r="CP115" s="177" t="str">
        <f>'DATA PRODUK'!BH112</f>
        <v>(AUDIO)(Aux) Vivan AUX01</v>
      </c>
      <c r="CQ115" s="175">
        <f>'DATA PRODUK'!BI112</f>
        <v>50000</v>
      </c>
      <c r="CR115" s="12"/>
      <c r="CS115" s="12"/>
      <c r="CT115" s="12"/>
      <c r="CU115" s="12"/>
      <c r="CV115" s="12">
        <f>SUMIF(TRANSHARI1_ACCPAGI[PRODUK],CP115,TRANSHARI1_ACCPAGI[QUANTITY])+SUMIF(TRANSHARI1_ACCMALAM[PRODUK],CP115,TRANSHARI1_ACCMALAM[QUANTITY])</f>
        <v>0</v>
      </c>
      <c r="CW115" s="12">
        <f>SUMIF(TRANSHARI2_ACCPAGI[PRODUK],CP115,TRANSHARI2_ACCPAGI[QUANTITY])+SUMIF(TRANSHARI2_ACCMALAM[PRODUK],CP115,TRANSHARI2_ACCMALAM[QUANTITY])</f>
        <v>0</v>
      </c>
      <c r="CX115" s="12">
        <f>SUMIF(TRANSHARI3_ACCPAGI[PRODUK],CP115,TRANSHARI3_ACCPAGI[QUANTITY])+SUMIF(TRANSHARI3_ACCMALAM[PRODUK],CP115,TRANSHARI3_ACCMALAM[QUANTITY])</f>
        <v>0</v>
      </c>
      <c r="CY115" s="12">
        <f>SUMIF(TRANSHARI4_ACCPAGI[PRODUK],CP115,TRANSHARI4_ACCPAGI[QUANTITY])+SUMIF(TRANSHARI4_ACCMALAM[PRODUK],CP115,TRANSHARI4_ACCMALAM[QUANTITY])</f>
        <v>0</v>
      </c>
      <c r="CZ115" s="12">
        <f>SUMIF(TRANSHARI5_ACCPAGI[PRODUK],CP115,TRANSHARI5_ACCPAGI[QUANTITY])+SUMIF(TRANSHARI5_ACCMALAM[PRODUK],CP115,TRANSHARI5_ACCMALAM[QUANTITY])</f>
        <v>0</v>
      </c>
      <c r="DA115" s="12">
        <f>SUMIF(TRANSHARI6_ACCPAGI[PRODUK],CP115,TRANSHARI6_ACCPAGI[QUANTITY])+SUMIF(TRANSHARI6_ACCMALAM[PRODUK],CP115,TRANSHARI6_ACCMALAM[QUANTITY])</f>
        <v>0</v>
      </c>
      <c r="DB115" s="12">
        <f>SUMIF(TRANSHARI7_ACCPAGI[PRODUK],CP115,TRANSHARI7_ACCPAGI[QUANTITY])+SUMIF(TRANSHARI7_ACCMALAM[PRODUK],CP115,TRANSHARI7_ACCMALAM[QUANTITY])</f>
        <v>0</v>
      </c>
      <c r="DC115" s="12">
        <f>SUMIF(TRANSHARI8_ACCPAGI[PRODUK],CP115,TRANSHARI8_ACCPAGI[QUANTITY])+SUMIF(TRANSHARI8_ACCMALAM[PRODUK],CP115,TRANSHARI8_ACCMALAM[QUANTITY])</f>
        <v>0</v>
      </c>
      <c r="DD115" s="12">
        <f>SUMIF(TRANSHARI9_ACCPAGI[PRODUK],CP115,TRANSHARI9_ACCPAGI[QUANTITY])+SUMIF(TRANSHARI9_ACCMALAM[PRODUK],CP115,TRANSHARI9_ACCMALAM[QUANTITY])</f>
        <v>0</v>
      </c>
      <c r="DE115" s="12">
        <f>SUMIF(TRANSHARI10_ACCPAGI[PRODUK],CP115,TRANSHARI10_ACCPAGI[QUANTITY])+SUMIF(TRANSHARI10_ACCMALAM[PRODUK],CP115,TRANSHARI10_ACCMALAM[QUANTITY])</f>
        <v>0</v>
      </c>
      <c r="DF115" s="12">
        <f>SUMIF(TRANSHARI11_ACCPAGI[PRODUK],CP115,TRANSHARI11_ACCPAGI[QUANTITY])+SUMIF(TRANSHARI11_ACCMALAM[PRODUK],CP115,TRANSHARI11_ACCMALAM[QUANTITY])</f>
        <v>0</v>
      </c>
      <c r="DG115" s="12">
        <f t="shared" si="41"/>
        <v>0</v>
      </c>
      <c r="DH115" s="12">
        <f t="shared" si="42"/>
        <v>0</v>
      </c>
      <c r="DI115" s="173">
        <f t="shared" si="43"/>
        <v>0</v>
      </c>
    </row>
    <row r="116" ht="18" spans="94:113">
      <c r="CP116" s="174" t="str">
        <f>'DATA PRODUK'!BH113</f>
        <v>(Audio Converter)(C-Aux) Rexi OJ01-CX</v>
      </c>
      <c r="CQ116" s="178">
        <f>'DATA PRODUK'!BI113</f>
        <v>35000</v>
      </c>
      <c r="CR116" s="152"/>
      <c r="CS116" s="152"/>
      <c r="CT116" s="152"/>
      <c r="CU116" s="152"/>
      <c r="CV116" s="152">
        <f>SUMIF(TRANSHARI1_ACCPAGI[PRODUK],CP116,TRANSHARI1_ACCPAGI[QUANTITY])+SUMIF(TRANSHARI1_ACCMALAM[PRODUK],CP116,TRANSHARI1_ACCMALAM[QUANTITY])</f>
        <v>0</v>
      </c>
      <c r="CW116" s="152">
        <f>SUMIF(TRANSHARI2_ACCPAGI[PRODUK],CP116,TRANSHARI2_ACCPAGI[QUANTITY])+SUMIF(TRANSHARI2_ACCMALAM[PRODUK],CP116,TRANSHARI2_ACCMALAM[QUANTITY])</f>
        <v>0</v>
      </c>
      <c r="CX116" s="152">
        <f>SUMIF(TRANSHARI3_ACCPAGI[PRODUK],CP116,TRANSHARI3_ACCPAGI[QUANTITY])+SUMIF(TRANSHARI3_ACCMALAM[PRODUK],CP116,TRANSHARI3_ACCMALAM[QUANTITY])</f>
        <v>0</v>
      </c>
      <c r="CY116" s="152">
        <f>SUMIF(TRANSHARI4_ACCPAGI[PRODUK],CP116,TRANSHARI4_ACCPAGI[QUANTITY])+SUMIF(TRANSHARI4_ACCMALAM[PRODUK],CP116,TRANSHARI4_ACCMALAM[QUANTITY])</f>
        <v>0</v>
      </c>
      <c r="CZ116" s="152">
        <f>SUMIF(TRANSHARI5_ACCPAGI[PRODUK],CP116,TRANSHARI5_ACCPAGI[QUANTITY])+SUMIF(TRANSHARI5_ACCMALAM[PRODUK],CP116,TRANSHARI5_ACCMALAM[QUANTITY])</f>
        <v>0</v>
      </c>
      <c r="DA116" s="152">
        <f>SUMIF(TRANSHARI6_ACCPAGI[PRODUK],CP116,TRANSHARI6_ACCPAGI[QUANTITY])+SUMIF(TRANSHARI6_ACCMALAM[PRODUK],CP116,TRANSHARI6_ACCMALAM[QUANTITY])</f>
        <v>0</v>
      </c>
      <c r="DB116" s="152">
        <f>SUMIF(TRANSHARI7_ACCPAGI[PRODUK],CP116,TRANSHARI7_ACCPAGI[QUANTITY])+SUMIF(TRANSHARI7_ACCMALAM[PRODUK],CP116,TRANSHARI7_ACCMALAM[QUANTITY])</f>
        <v>0</v>
      </c>
      <c r="DC116" s="152">
        <f>SUMIF(TRANSHARI8_ACCPAGI[PRODUK],CP116,TRANSHARI8_ACCPAGI[QUANTITY])+SUMIF(TRANSHARI8_ACCMALAM[PRODUK],CP116,TRANSHARI8_ACCMALAM[QUANTITY])</f>
        <v>0</v>
      </c>
      <c r="DD116" s="152">
        <f>SUMIF(TRANSHARI9_ACCPAGI[PRODUK],CP116,TRANSHARI9_ACCPAGI[QUANTITY])+SUMIF(TRANSHARI9_ACCMALAM[PRODUK],CP116,TRANSHARI9_ACCMALAM[QUANTITY])</f>
        <v>0</v>
      </c>
      <c r="DE116" s="152">
        <f>SUMIF(TRANSHARI10_ACCPAGI[PRODUK],CP116,TRANSHARI10_ACCPAGI[QUANTITY])+SUMIF(TRANSHARI10_ACCMALAM[PRODUK],CP116,TRANSHARI10_ACCMALAM[QUANTITY])</f>
        <v>0</v>
      </c>
      <c r="DF116" s="152">
        <f>SUMIF(TRANSHARI11_ACCPAGI[PRODUK],CP116,TRANSHARI11_ACCPAGI[QUANTITY])+SUMIF(TRANSHARI11_ACCMALAM[PRODUK],CP116,TRANSHARI11_ACCMALAM[QUANTITY])</f>
        <v>0</v>
      </c>
      <c r="DG116" s="152">
        <f t="shared" si="41"/>
        <v>0</v>
      </c>
      <c r="DH116" s="152">
        <f t="shared" si="42"/>
        <v>0</v>
      </c>
      <c r="DI116" s="176">
        <f t="shared" si="43"/>
        <v>0</v>
      </c>
    </row>
    <row r="117" ht="18" spans="94:113">
      <c r="CP117" s="177" t="str">
        <f>'DATA PRODUK'!BH114</f>
        <v>(Audio Converter)(C-Aux)(Braided) Olike ATC1</v>
      </c>
      <c r="CQ117" s="175">
        <f>'DATA PRODUK'!BI114</f>
        <v>50000</v>
      </c>
      <c r="CR117" s="12"/>
      <c r="CS117" s="12"/>
      <c r="CT117" s="12"/>
      <c r="CU117" s="12"/>
      <c r="CV117" s="12">
        <f>SUMIF(TRANSHARI1_ACCPAGI[PRODUK],CP117,TRANSHARI1_ACCPAGI[QUANTITY])+SUMIF(TRANSHARI1_ACCMALAM[PRODUK],CP117,TRANSHARI1_ACCMALAM[QUANTITY])</f>
        <v>0</v>
      </c>
      <c r="CW117" s="12">
        <f>SUMIF(TRANSHARI2_ACCPAGI[PRODUK],CP117,TRANSHARI2_ACCPAGI[QUANTITY])+SUMIF(TRANSHARI2_ACCMALAM[PRODUK],CP117,TRANSHARI2_ACCMALAM[QUANTITY])</f>
        <v>0</v>
      </c>
      <c r="CX117" s="12">
        <f>SUMIF(TRANSHARI3_ACCPAGI[PRODUK],CP117,TRANSHARI3_ACCPAGI[QUANTITY])+SUMIF(TRANSHARI3_ACCMALAM[PRODUK],CP117,TRANSHARI3_ACCMALAM[QUANTITY])</f>
        <v>0</v>
      </c>
      <c r="CY117" s="12">
        <f>SUMIF(TRANSHARI4_ACCPAGI[PRODUK],CP117,TRANSHARI4_ACCPAGI[QUANTITY])+SUMIF(TRANSHARI4_ACCMALAM[PRODUK],CP117,TRANSHARI4_ACCMALAM[QUANTITY])</f>
        <v>0</v>
      </c>
      <c r="CZ117" s="12">
        <f>SUMIF(TRANSHARI5_ACCPAGI[PRODUK],CP117,TRANSHARI5_ACCPAGI[QUANTITY])+SUMIF(TRANSHARI5_ACCMALAM[PRODUK],CP117,TRANSHARI5_ACCMALAM[QUANTITY])</f>
        <v>0</v>
      </c>
      <c r="DA117" s="12">
        <f>SUMIF(TRANSHARI6_ACCPAGI[PRODUK],CP117,TRANSHARI6_ACCPAGI[QUANTITY])+SUMIF(TRANSHARI6_ACCMALAM[PRODUK],CP117,TRANSHARI6_ACCMALAM[QUANTITY])</f>
        <v>0</v>
      </c>
      <c r="DB117" s="12">
        <f>SUMIF(TRANSHARI7_ACCPAGI[PRODUK],CP117,TRANSHARI7_ACCPAGI[QUANTITY])+SUMIF(TRANSHARI7_ACCMALAM[PRODUK],CP117,TRANSHARI7_ACCMALAM[QUANTITY])</f>
        <v>0</v>
      </c>
      <c r="DC117" s="12">
        <f>SUMIF(TRANSHARI8_ACCPAGI[PRODUK],CP117,TRANSHARI8_ACCPAGI[QUANTITY])+SUMIF(TRANSHARI8_ACCMALAM[PRODUK],CP117,TRANSHARI8_ACCMALAM[QUANTITY])</f>
        <v>0</v>
      </c>
      <c r="DD117" s="12">
        <f>SUMIF(TRANSHARI9_ACCPAGI[PRODUK],CP117,TRANSHARI9_ACCPAGI[QUANTITY])+SUMIF(TRANSHARI9_ACCMALAM[PRODUK],CP117,TRANSHARI9_ACCMALAM[QUANTITY])</f>
        <v>0</v>
      </c>
      <c r="DE117" s="12">
        <f>SUMIF(TRANSHARI10_ACCPAGI[PRODUK],CP117,TRANSHARI10_ACCPAGI[QUANTITY])+SUMIF(TRANSHARI10_ACCMALAM[PRODUK],CP117,TRANSHARI10_ACCMALAM[QUANTITY])</f>
        <v>0</v>
      </c>
      <c r="DF117" s="12">
        <f>SUMIF(TRANSHARI11_ACCPAGI[PRODUK],CP117,TRANSHARI11_ACCPAGI[QUANTITY])+SUMIF(TRANSHARI11_ACCMALAM[PRODUK],CP117,TRANSHARI11_ACCMALAM[QUANTITY])</f>
        <v>0</v>
      </c>
      <c r="DG117" s="12">
        <f t="shared" si="41"/>
        <v>0</v>
      </c>
      <c r="DH117" s="12">
        <f t="shared" si="42"/>
        <v>0</v>
      </c>
      <c r="DI117" s="173">
        <f t="shared" si="43"/>
        <v>0</v>
      </c>
    </row>
    <row r="118" ht="18" spans="94:113">
      <c r="CP118" s="174" t="str">
        <f>'DATA PRODUK'!BH115</f>
        <v>(Audio Converter)(L-Aux) Robot RUL03</v>
      </c>
      <c r="CQ118" s="178">
        <f>'DATA PRODUK'!BI115</f>
        <v>85000</v>
      </c>
      <c r="CR118" s="152"/>
      <c r="CS118" s="152"/>
      <c r="CT118" s="152"/>
      <c r="CU118" s="152"/>
      <c r="CV118" s="152">
        <f>SUMIF(TRANSHARI1_ACCPAGI[PRODUK],CP118,TRANSHARI1_ACCPAGI[QUANTITY])+SUMIF(TRANSHARI1_ACCMALAM[PRODUK],CP118,TRANSHARI1_ACCMALAM[QUANTITY])</f>
        <v>0</v>
      </c>
      <c r="CW118" s="152">
        <f>SUMIF(TRANSHARI2_ACCPAGI[PRODUK],CP118,TRANSHARI2_ACCPAGI[QUANTITY])+SUMIF(TRANSHARI2_ACCMALAM[PRODUK],CP118,TRANSHARI2_ACCMALAM[QUANTITY])</f>
        <v>0</v>
      </c>
      <c r="CX118" s="152">
        <f>SUMIF(TRANSHARI3_ACCPAGI[PRODUK],CP118,TRANSHARI3_ACCPAGI[QUANTITY])+SUMIF(TRANSHARI3_ACCMALAM[PRODUK],CP118,TRANSHARI3_ACCMALAM[QUANTITY])</f>
        <v>0</v>
      </c>
      <c r="CY118" s="152">
        <f>SUMIF(TRANSHARI4_ACCPAGI[PRODUK],CP118,TRANSHARI4_ACCPAGI[QUANTITY])+SUMIF(TRANSHARI4_ACCMALAM[PRODUK],CP118,TRANSHARI4_ACCMALAM[QUANTITY])</f>
        <v>0</v>
      </c>
      <c r="CZ118" s="152">
        <f>SUMIF(TRANSHARI5_ACCPAGI[PRODUK],CP118,TRANSHARI5_ACCPAGI[QUANTITY])+SUMIF(TRANSHARI5_ACCMALAM[PRODUK],CP118,TRANSHARI5_ACCMALAM[QUANTITY])</f>
        <v>0</v>
      </c>
      <c r="DA118" s="152">
        <f>SUMIF(TRANSHARI6_ACCPAGI[PRODUK],CP118,TRANSHARI6_ACCPAGI[QUANTITY])+SUMIF(TRANSHARI6_ACCMALAM[PRODUK],CP118,TRANSHARI6_ACCMALAM[QUANTITY])</f>
        <v>0</v>
      </c>
      <c r="DB118" s="152">
        <f>SUMIF(TRANSHARI7_ACCPAGI[PRODUK],CP118,TRANSHARI7_ACCPAGI[QUANTITY])+SUMIF(TRANSHARI7_ACCMALAM[PRODUK],CP118,TRANSHARI7_ACCMALAM[QUANTITY])</f>
        <v>0</v>
      </c>
      <c r="DC118" s="152">
        <f>SUMIF(TRANSHARI8_ACCPAGI[PRODUK],CP118,TRANSHARI8_ACCPAGI[QUANTITY])+SUMIF(TRANSHARI8_ACCMALAM[PRODUK],CP118,TRANSHARI8_ACCMALAM[QUANTITY])</f>
        <v>0</v>
      </c>
      <c r="DD118" s="152">
        <f>SUMIF(TRANSHARI9_ACCPAGI[PRODUK],CP118,TRANSHARI9_ACCPAGI[QUANTITY])+SUMIF(TRANSHARI9_ACCMALAM[PRODUK],CP118,TRANSHARI9_ACCMALAM[QUANTITY])</f>
        <v>0</v>
      </c>
      <c r="DE118" s="152">
        <f>SUMIF(TRANSHARI10_ACCPAGI[PRODUK],CP118,TRANSHARI10_ACCPAGI[QUANTITY])+SUMIF(TRANSHARI10_ACCMALAM[PRODUK],CP118,TRANSHARI10_ACCMALAM[QUANTITY])</f>
        <v>0</v>
      </c>
      <c r="DF118" s="152">
        <f>SUMIF(TRANSHARI11_ACCPAGI[PRODUK],CP118,TRANSHARI11_ACCPAGI[QUANTITY])+SUMIF(TRANSHARI11_ACCMALAM[PRODUK],CP118,TRANSHARI11_ACCMALAM[QUANTITY])</f>
        <v>0</v>
      </c>
      <c r="DG118" s="152">
        <f t="shared" si="41"/>
        <v>0</v>
      </c>
      <c r="DH118" s="152">
        <f t="shared" si="42"/>
        <v>0</v>
      </c>
      <c r="DI118" s="176">
        <f t="shared" si="43"/>
        <v>0</v>
      </c>
    </row>
    <row r="119" ht="18" spans="94:113">
      <c r="CP119" s="177" t="str">
        <f>'DATA PRODUK'!BH116</f>
        <v>(CARD READER) Robot CR102</v>
      </c>
      <c r="CQ119" s="175">
        <f>'DATA PRODUK'!BI116</f>
        <v>60000</v>
      </c>
      <c r="CR119" s="12"/>
      <c r="CS119" s="12"/>
      <c r="CT119" s="12"/>
      <c r="CU119" s="12"/>
      <c r="CV119" s="12">
        <f>SUMIF(TRANSHARI1_ACCPAGI[PRODUK],CP119,TRANSHARI1_ACCPAGI[QUANTITY])+SUMIF(TRANSHARI1_ACCMALAM[PRODUK],CP119,TRANSHARI1_ACCMALAM[QUANTITY])</f>
        <v>0</v>
      </c>
      <c r="CW119" s="12">
        <f>SUMIF(TRANSHARI2_ACCPAGI[PRODUK],CP119,TRANSHARI2_ACCPAGI[QUANTITY])+SUMIF(TRANSHARI2_ACCMALAM[PRODUK],CP119,TRANSHARI2_ACCMALAM[QUANTITY])</f>
        <v>0</v>
      </c>
      <c r="CX119" s="12">
        <f>SUMIF(TRANSHARI3_ACCPAGI[PRODUK],CP119,TRANSHARI3_ACCPAGI[QUANTITY])+SUMIF(TRANSHARI3_ACCMALAM[PRODUK],CP119,TRANSHARI3_ACCMALAM[QUANTITY])</f>
        <v>0</v>
      </c>
      <c r="CY119" s="12">
        <f>SUMIF(TRANSHARI4_ACCPAGI[PRODUK],CP119,TRANSHARI4_ACCPAGI[QUANTITY])+SUMIF(TRANSHARI4_ACCMALAM[PRODUK],CP119,TRANSHARI4_ACCMALAM[QUANTITY])</f>
        <v>0</v>
      </c>
      <c r="CZ119" s="12">
        <f>SUMIF(TRANSHARI5_ACCPAGI[PRODUK],CP119,TRANSHARI5_ACCPAGI[QUANTITY])+SUMIF(TRANSHARI5_ACCMALAM[PRODUK],CP119,TRANSHARI5_ACCMALAM[QUANTITY])</f>
        <v>0</v>
      </c>
      <c r="DA119" s="12">
        <f>SUMIF(TRANSHARI6_ACCPAGI[PRODUK],CP119,TRANSHARI6_ACCPAGI[QUANTITY])+SUMIF(TRANSHARI6_ACCMALAM[PRODUK],CP119,TRANSHARI6_ACCMALAM[QUANTITY])</f>
        <v>0</v>
      </c>
      <c r="DB119" s="12">
        <f>SUMIF(TRANSHARI7_ACCPAGI[PRODUK],CP119,TRANSHARI7_ACCPAGI[QUANTITY])+SUMIF(TRANSHARI7_ACCMALAM[PRODUK],CP119,TRANSHARI7_ACCMALAM[QUANTITY])</f>
        <v>0</v>
      </c>
      <c r="DC119" s="12">
        <f>SUMIF(TRANSHARI8_ACCPAGI[PRODUK],CP119,TRANSHARI8_ACCPAGI[QUANTITY])+SUMIF(TRANSHARI8_ACCMALAM[PRODUK],CP119,TRANSHARI8_ACCMALAM[QUANTITY])</f>
        <v>0</v>
      </c>
      <c r="DD119" s="12">
        <f>SUMIF(TRANSHARI9_ACCPAGI[PRODUK],CP119,TRANSHARI9_ACCPAGI[QUANTITY])+SUMIF(TRANSHARI9_ACCMALAM[PRODUK],CP119,TRANSHARI9_ACCMALAM[QUANTITY])</f>
        <v>0</v>
      </c>
      <c r="DE119" s="12">
        <f>SUMIF(TRANSHARI10_ACCPAGI[PRODUK],CP119,TRANSHARI10_ACCPAGI[QUANTITY])+SUMIF(TRANSHARI10_ACCMALAM[PRODUK],CP119,TRANSHARI10_ACCMALAM[QUANTITY])</f>
        <v>0</v>
      </c>
      <c r="DF119" s="12">
        <f>SUMIF(TRANSHARI11_ACCPAGI[PRODUK],CP119,TRANSHARI11_ACCPAGI[QUANTITY])+SUMIF(TRANSHARI11_ACCMALAM[PRODUK],CP119,TRANSHARI11_ACCMALAM[QUANTITY])</f>
        <v>0</v>
      </c>
      <c r="DG119" s="12">
        <f t="shared" si="41"/>
        <v>0</v>
      </c>
      <c r="DH119" s="12">
        <f t="shared" si="42"/>
        <v>0</v>
      </c>
      <c r="DI119" s="173">
        <f t="shared" si="43"/>
        <v>0</v>
      </c>
    </row>
    <row r="120" ht="18" spans="94:113">
      <c r="CP120" s="174" t="str">
        <f>'DATA PRODUK'!BH117</f>
        <v>(OTG)(USB A - Micro&amp;Type C) ZBOX Basic</v>
      </c>
      <c r="CQ120" s="178">
        <f>'DATA PRODUK'!BI117</f>
        <v>20000</v>
      </c>
      <c r="CR120" s="152"/>
      <c r="CS120" s="152"/>
      <c r="CT120" s="152"/>
      <c r="CU120" s="152"/>
      <c r="CV120" s="152">
        <f>SUMIF(TRANSHARI1_ACCPAGI[PRODUK],CP120,TRANSHARI1_ACCPAGI[QUANTITY])+SUMIF(TRANSHARI1_ACCMALAM[PRODUK],CP120,TRANSHARI1_ACCMALAM[QUANTITY])</f>
        <v>0</v>
      </c>
      <c r="CW120" s="152">
        <f>SUMIF(TRANSHARI2_ACCPAGI[PRODUK],CP120,TRANSHARI2_ACCPAGI[QUANTITY])+SUMIF(TRANSHARI2_ACCMALAM[PRODUK],CP120,TRANSHARI2_ACCMALAM[QUANTITY])</f>
        <v>0</v>
      </c>
      <c r="CX120" s="152">
        <f>SUMIF(TRANSHARI3_ACCPAGI[PRODUK],CP120,TRANSHARI3_ACCPAGI[QUANTITY])+SUMIF(TRANSHARI3_ACCMALAM[PRODUK],CP120,TRANSHARI3_ACCMALAM[QUANTITY])</f>
        <v>0</v>
      </c>
      <c r="CY120" s="152">
        <f>SUMIF(TRANSHARI4_ACCPAGI[PRODUK],CP120,TRANSHARI4_ACCPAGI[QUANTITY])+SUMIF(TRANSHARI4_ACCMALAM[PRODUK],CP120,TRANSHARI4_ACCMALAM[QUANTITY])</f>
        <v>0</v>
      </c>
      <c r="CZ120" s="152">
        <f>SUMIF(TRANSHARI5_ACCPAGI[PRODUK],CP120,TRANSHARI5_ACCPAGI[QUANTITY])+SUMIF(TRANSHARI5_ACCMALAM[PRODUK],CP120,TRANSHARI5_ACCMALAM[QUANTITY])</f>
        <v>0</v>
      </c>
      <c r="DA120" s="152">
        <f>SUMIF(TRANSHARI6_ACCPAGI[PRODUK],CP120,TRANSHARI6_ACCPAGI[QUANTITY])+SUMIF(TRANSHARI6_ACCMALAM[PRODUK],CP120,TRANSHARI6_ACCMALAM[QUANTITY])</f>
        <v>0</v>
      </c>
      <c r="DB120" s="152">
        <f>SUMIF(TRANSHARI7_ACCPAGI[PRODUK],CP120,TRANSHARI7_ACCPAGI[QUANTITY])+SUMIF(TRANSHARI7_ACCMALAM[PRODUK],CP120,TRANSHARI7_ACCMALAM[QUANTITY])</f>
        <v>0</v>
      </c>
      <c r="DC120" s="152">
        <f>SUMIF(TRANSHARI8_ACCPAGI[PRODUK],CP120,TRANSHARI8_ACCPAGI[QUANTITY])+SUMIF(TRANSHARI8_ACCMALAM[PRODUK],CP120,TRANSHARI8_ACCMALAM[QUANTITY])</f>
        <v>0</v>
      </c>
      <c r="DD120" s="152">
        <f>SUMIF(TRANSHARI9_ACCPAGI[PRODUK],CP120,TRANSHARI9_ACCPAGI[QUANTITY])+SUMIF(TRANSHARI9_ACCMALAM[PRODUK],CP120,TRANSHARI9_ACCMALAM[QUANTITY])</f>
        <v>0</v>
      </c>
      <c r="DE120" s="152">
        <f>SUMIF(TRANSHARI10_ACCPAGI[PRODUK],CP120,TRANSHARI10_ACCPAGI[QUANTITY])+SUMIF(TRANSHARI10_ACCMALAM[PRODUK],CP120,TRANSHARI10_ACCMALAM[QUANTITY])</f>
        <v>0</v>
      </c>
      <c r="DF120" s="152">
        <f>SUMIF(TRANSHARI11_ACCPAGI[PRODUK],CP120,TRANSHARI11_ACCPAGI[QUANTITY])+SUMIF(TRANSHARI11_ACCMALAM[PRODUK],CP120,TRANSHARI11_ACCMALAM[QUANTITY])</f>
        <v>0</v>
      </c>
      <c r="DG120" s="152">
        <f t="shared" si="41"/>
        <v>0</v>
      </c>
      <c r="DH120" s="152">
        <f t="shared" si="42"/>
        <v>0</v>
      </c>
      <c r="DI120" s="176">
        <f t="shared" si="43"/>
        <v>0</v>
      </c>
    </row>
    <row r="121" ht="18" spans="94:113">
      <c r="CP121" s="177" t="str">
        <f>'DATA PRODUK'!BH118</f>
        <v>(OTG)(Type C - Micro) Robot RT-OTG01</v>
      </c>
      <c r="CQ121" s="175">
        <f>'DATA PRODUK'!BI118</f>
        <v>30000</v>
      </c>
      <c r="CR121" s="12"/>
      <c r="CS121" s="12"/>
      <c r="CT121" s="12"/>
      <c r="CU121" s="12"/>
      <c r="CV121" s="12">
        <f>SUMIF(TRANSHARI1_ACCPAGI[PRODUK],CP121,TRANSHARI1_ACCPAGI[QUANTITY])+SUMIF(TRANSHARI1_ACCMALAM[PRODUK],CP121,TRANSHARI1_ACCMALAM[QUANTITY])</f>
        <v>0</v>
      </c>
      <c r="CW121" s="12">
        <f>SUMIF(TRANSHARI2_ACCPAGI[PRODUK],CP121,TRANSHARI2_ACCPAGI[QUANTITY])+SUMIF(TRANSHARI2_ACCMALAM[PRODUK],CP121,TRANSHARI2_ACCMALAM[QUANTITY])</f>
        <v>0</v>
      </c>
      <c r="CX121" s="12">
        <f>SUMIF(TRANSHARI3_ACCPAGI[PRODUK],CP121,TRANSHARI3_ACCPAGI[QUANTITY])+SUMIF(TRANSHARI3_ACCMALAM[PRODUK],CP121,TRANSHARI3_ACCMALAM[QUANTITY])</f>
        <v>0</v>
      </c>
      <c r="CY121" s="12">
        <f>SUMIF(TRANSHARI4_ACCPAGI[PRODUK],CP121,TRANSHARI4_ACCPAGI[QUANTITY])+SUMIF(TRANSHARI4_ACCMALAM[PRODUK],CP121,TRANSHARI4_ACCMALAM[QUANTITY])</f>
        <v>0</v>
      </c>
      <c r="CZ121" s="12">
        <f>SUMIF(TRANSHARI5_ACCPAGI[PRODUK],CP121,TRANSHARI5_ACCPAGI[QUANTITY])+SUMIF(TRANSHARI5_ACCMALAM[PRODUK],CP121,TRANSHARI5_ACCMALAM[QUANTITY])</f>
        <v>0</v>
      </c>
      <c r="DA121" s="12">
        <f>SUMIF(TRANSHARI6_ACCPAGI[PRODUK],CP121,TRANSHARI6_ACCPAGI[QUANTITY])+SUMIF(TRANSHARI6_ACCMALAM[PRODUK],CP121,TRANSHARI6_ACCMALAM[QUANTITY])</f>
        <v>0</v>
      </c>
      <c r="DB121" s="12">
        <f>SUMIF(TRANSHARI7_ACCPAGI[PRODUK],CP121,TRANSHARI7_ACCPAGI[QUANTITY])+SUMIF(TRANSHARI7_ACCMALAM[PRODUK],CP121,TRANSHARI7_ACCMALAM[QUANTITY])</f>
        <v>0</v>
      </c>
      <c r="DC121" s="12">
        <f>SUMIF(TRANSHARI8_ACCPAGI[PRODUK],CP121,TRANSHARI8_ACCPAGI[QUANTITY])+SUMIF(TRANSHARI8_ACCMALAM[PRODUK],CP121,TRANSHARI8_ACCMALAM[QUANTITY])</f>
        <v>0</v>
      </c>
      <c r="DD121" s="12">
        <f>SUMIF(TRANSHARI9_ACCPAGI[PRODUK],CP121,TRANSHARI9_ACCPAGI[QUANTITY])+SUMIF(TRANSHARI9_ACCMALAM[PRODUK],CP121,TRANSHARI9_ACCMALAM[QUANTITY])</f>
        <v>0</v>
      </c>
      <c r="DE121" s="12">
        <f>SUMIF(TRANSHARI10_ACCPAGI[PRODUK],CP121,TRANSHARI10_ACCPAGI[QUANTITY])+SUMIF(TRANSHARI10_ACCMALAM[PRODUK],CP121,TRANSHARI10_ACCMALAM[QUANTITY])</f>
        <v>0</v>
      </c>
      <c r="DF121" s="12">
        <f>SUMIF(TRANSHARI11_ACCPAGI[PRODUK],CP121,TRANSHARI11_ACCPAGI[QUANTITY])+SUMIF(TRANSHARI11_ACCMALAM[PRODUK],CP121,TRANSHARI11_ACCMALAM[QUANTITY])</f>
        <v>0</v>
      </c>
      <c r="DG121" s="12">
        <f t="shared" si="41"/>
        <v>0</v>
      </c>
      <c r="DH121" s="12">
        <f t="shared" si="42"/>
        <v>0</v>
      </c>
      <c r="DI121" s="173">
        <f t="shared" si="43"/>
        <v>0</v>
      </c>
    </row>
    <row r="122" ht="18" spans="94:113">
      <c r="CP122" s="174" t="str">
        <f>'DATA PRODUK'!BH119</f>
        <v>(OTG)(Micro - Type C) Robot RT-OTG02</v>
      </c>
      <c r="CQ122" s="178">
        <f>'DATA PRODUK'!BI119</f>
        <v>40000</v>
      </c>
      <c r="CR122" s="152"/>
      <c r="CS122" s="152"/>
      <c r="CT122" s="152"/>
      <c r="CU122" s="152"/>
      <c r="CV122" s="152">
        <f>SUMIF(TRANSHARI1_ACCPAGI[PRODUK],CP122,TRANSHARI1_ACCPAGI[QUANTITY])+SUMIF(TRANSHARI1_ACCMALAM[PRODUK],CP122,TRANSHARI1_ACCMALAM[QUANTITY])</f>
        <v>0</v>
      </c>
      <c r="CW122" s="152">
        <f>SUMIF(TRANSHARI2_ACCPAGI[PRODUK],CP122,TRANSHARI2_ACCPAGI[QUANTITY])+SUMIF(TRANSHARI2_ACCMALAM[PRODUK],CP122,TRANSHARI2_ACCMALAM[QUANTITY])</f>
        <v>0</v>
      </c>
      <c r="CX122" s="152">
        <f>SUMIF(TRANSHARI3_ACCPAGI[PRODUK],CP122,TRANSHARI3_ACCPAGI[QUANTITY])+SUMIF(TRANSHARI3_ACCMALAM[PRODUK],CP122,TRANSHARI3_ACCMALAM[QUANTITY])</f>
        <v>0</v>
      </c>
      <c r="CY122" s="152">
        <f>SUMIF(TRANSHARI4_ACCPAGI[PRODUK],CP122,TRANSHARI4_ACCPAGI[QUANTITY])+SUMIF(TRANSHARI4_ACCMALAM[PRODUK],CP122,TRANSHARI4_ACCMALAM[QUANTITY])</f>
        <v>0</v>
      </c>
      <c r="CZ122" s="152">
        <f>SUMIF(TRANSHARI5_ACCPAGI[PRODUK],CP122,TRANSHARI5_ACCPAGI[QUANTITY])+SUMIF(TRANSHARI5_ACCMALAM[PRODUK],CP122,TRANSHARI5_ACCMALAM[QUANTITY])</f>
        <v>0</v>
      </c>
      <c r="DA122" s="152">
        <f>SUMIF(TRANSHARI6_ACCPAGI[PRODUK],CP122,TRANSHARI6_ACCPAGI[QUANTITY])+SUMIF(TRANSHARI6_ACCMALAM[PRODUK],CP122,TRANSHARI6_ACCMALAM[QUANTITY])</f>
        <v>0</v>
      </c>
      <c r="DB122" s="152">
        <f>SUMIF(TRANSHARI7_ACCPAGI[PRODUK],CP122,TRANSHARI7_ACCPAGI[QUANTITY])+SUMIF(TRANSHARI7_ACCMALAM[PRODUK],CP122,TRANSHARI7_ACCMALAM[QUANTITY])</f>
        <v>0</v>
      </c>
      <c r="DC122" s="152">
        <f>SUMIF(TRANSHARI8_ACCPAGI[PRODUK],CP122,TRANSHARI8_ACCPAGI[QUANTITY])+SUMIF(TRANSHARI8_ACCMALAM[PRODUK],CP122,TRANSHARI8_ACCMALAM[QUANTITY])</f>
        <v>0</v>
      </c>
      <c r="DD122" s="152">
        <f>SUMIF(TRANSHARI9_ACCPAGI[PRODUK],CP122,TRANSHARI9_ACCPAGI[QUANTITY])+SUMIF(TRANSHARI9_ACCMALAM[PRODUK],CP122,TRANSHARI9_ACCMALAM[QUANTITY])</f>
        <v>0</v>
      </c>
      <c r="DE122" s="152">
        <f>SUMIF(TRANSHARI10_ACCPAGI[PRODUK],CP122,TRANSHARI10_ACCPAGI[QUANTITY])+SUMIF(TRANSHARI10_ACCMALAM[PRODUK],CP122,TRANSHARI10_ACCMALAM[QUANTITY])</f>
        <v>0</v>
      </c>
      <c r="DF122" s="152">
        <f>SUMIF(TRANSHARI11_ACCPAGI[PRODUK],CP122,TRANSHARI11_ACCPAGI[QUANTITY])+SUMIF(TRANSHARI11_ACCMALAM[PRODUK],CP122,TRANSHARI11_ACCMALAM[QUANTITY])</f>
        <v>0</v>
      </c>
      <c r="DG122" s="152">
        <f t="shared" si="41"/>
        <v>0</v>
      </c>
      <c r="DH122" s="152">
        <f t="shared" si="42"/>
        <v>0</v>
      </c>
      <c r="DI122" s="176">
        <f t="shared" si="43"/>
        <v>0</v>
      </c>
    </row>
    <row r="123" ht="18" spans="94:113">
      <c r="CP123" s="177" t="str">
        <f>'DATA PRODUK'!BH120</f>
        <v>(OTG)(USB A - Type C) Robot RT-OTG04</v>
      </c>
      <c r="CQ123" s="175">
        <f>'DATA PRODUK'!BI120</f>
        <v>50000</v>
      </c>
      <c r="CR123" s="12"/>
      <c r="CS123" s="12"/>
      <c r="CT123" s="12"/>
      <c r="CU123" s="12"/>
      <c r="CV123" s="12">
        <f>SUMIF(TRANSHARI1_ACCPAGI[PRODUK],CP123,TRANSHARI1_ACCPAGI[QUANTITY])+SUMIF(TRANSHARI1_ACCMALAM[PRODUK],CP123,TRANSHARI1_ACCMALAM[QUANTITY])</f>
        <v>0</v>
      </c>
      <c r="CW123" s="12">
        <f>SUMIF(TRANSHARI2_ACCPAGI[PRODUK],CP123,TRANSHARI2_ACCPAGI[QUANTITY])+SUMIF(TRANSHARI2_ACCMALAM[PRODUK],CP123,TRANSHARI2_ACCMALAM[QUANTITY])</f>
        <v>0</v>
      </c>
      <c r="CX123" s="12">
        <f>SUMIF(TRANSHARI3_ACCPAGI[PRODUK],CP123,TRANSHARI3_ACCPAGI[QUANTITY])+SUMIF(TRANSHARI3_ACCMALAM[PRODUK],CP123,TRANSHARI3_ACCMALAM[QUANTITY])</f>
        <v>0</v>
      </c>
      <c r="CY123" s="12">
        <f>SUMIF(TRANSHARI4_ACCPAGI[PRODUK],CP123,TRANSHARI4_ACCPAGI[QUANTITY])+SUMIF(TRANSHARI4_ACCMALAM[PRODUK],CP123,TRANSHARI4_ACCMALAM[QUANTITY])</f>
        <v>0</v>
      </c>
      <c r="CZ123" s="12">
        <f>SUMIF(TRANSHARI5_ACCPAGI[PRODUK],CP123,TRANSHARI5_ACCPAGI[QUANTITY])+SUMIF(TRANSHARI5_ACCMALAM[PRODUK],CP123,TRANSHARI5_ACCMALAM[QUANTITY])</f>
        <v>0</v>
      </c>
      <c r="DA123" s="12">
        <f>SUMIF(TRANSHARI6_ACCPAGI[PRODUK],CP123,TRANSHARI6_ACCPAGI[QUANTITY])+SUMIF(TRANSHARI6_ACCMALAM[PRODUK],CP123,TRANSHARI6_ACCMALAM[QUANTITY])</f>
        <v>0</v>
      </c>
      <c r="DB123" s="12">
        <f>SUMIF(TRANSHARI7_ACCPAGI[PRODUK],CP123,TRANSHARI7_ACCPAGI[QUANTITY])+SUMIF(TRANSHARI7_ACCMALAM[PRODUK],CP123,TRANSHARI7_ACCMALAM[QUANTITY])</f>
        <v>0</v>
      </c>
      <c r="DC123" s="12">
        <f>SUMIF(TRANSHARI8_ACCPAGI[PRODUK],CP123,TRANSHARI8_ACCPAGI[QUANTITY])+SUMIF(TRANSHARI8_ACCMALAM[PRODUK],CP123,TRANSHARI8_ACCMALAM[QUANTITY])</f>
        <v>0</v>
      </c>
      <c r="DD123" s="12">
        <f>SUMIF(TRANSHARI9_ACCPAGI[PRODUK],CP123,TRANSHARI9_ACCPAGI[QUANTITY])+SUMIF(TRANSHARI9_ACCMALAM[PRODUK],CP123,TRANSHARI9_ACCMALAM[QUANTITY])</f>
        <v>0</v>
      </c>
      <c r="DE123" s="12">
        <f>SUMIF(TRANSHARI10_ACCPAGI[PRODUK],CP123,TRANSHARI10_ACCPAGI[QUANTITY])+SUMIF(TRANSHARI10_ACCMALAM[PRODUK],CP123,TRANSHARI10_ACCMALAM[QUANTITY])</f>
        <v>0</v>
      </c>
      <c r="DF123" s="12">
        <f>SUMIF(TRANSHARI11_ACCPAGI[PRODUK],CP123,TRANSHARI11_ACCPAGI[QUANTITY])+SUMIF(TRANSHARI11_ACCMALAM[PRODUK],CP123,TRANSHARI11_ACCMALAM[QUANTITY])</f>
        <v>0</v>
      </c>
      <c r="DG123" s="12">
        <f t="shared" si="41"/>
        <v>0</v>
      </c>
      <c r="DH123" s="12">
        <f t="shared" si="42"/>
        <v>0</v>
      </c>
      <c r="DI123" s="173">
        <f t="shared" si="43"/>
        <v>0</v>
      </c>
    </row>
    <row r="124" ht="18" spans="94:113">
      <c r="CP124" s="174" t="str">
        <f>'DATA PRODUK'!BH121</f>
        <v>(HOLDER)(Desk) Olike HC2</v>
      </c>
      <c r="CQ124" s="178">
        <f>'DATA PRODUK'!BI121</f>
        <v>70000</v>
      </c>
      <c r="CR124" s="152"/>
      <c r="CS124" s="152"/>
      <c r="CT124" s="152"/>
      <c r="CU124" s="152"/>
      <c r="CV124" s="152">
        <f>SUMIF(TRANSHARI1_ACCPAGI[PRODUK],CP124,TRANSHARI1_ACCPAGI[QUANTITY])+SUMIF(TRANSHARI1_ACCMALAM[PRODUK],CP124,TRANSHARI1_ACCMALAM[QUANTITY])</f>
        <v>0</v>
      </c>
      <c r="CW124" s="152">
        <f>SUMIF(TRANSHARI2_ACCPAGI[PRODUK],CP124,TRANSHARI2_ACCPAGI[QUANTITY])+SUMIF(TRANSHARI2_ACCMALAM[PRODUK],CP124,TRANSHARI2_ACCMALAM[QUANTITY])</f>
        <v>0</v>
      </c>
      <c r="CX124" s="152">
        <f>SUMIF(TRANSHARI3_ACCPAGI[PRODUK],CP124,TRANSHARI3_ACCPAGI[QUANTITY])+SUMIF(TRANSHARI3_ACCMALAM[PRODUK],CP124,TRANSHARI3_ACCMALAM[QUANTITY])</f>
        <v>0</v>
      </c>
      <c r="CY124" s="152">
        <f>SUMIF(TRANSHARI4_ACCPAGI[PRODUK],CP124,TRANSHARI4_ACCPAGI[QUANTITY])+SUMIF(TRANSHARI4_ACCMALAM[PRODUK],CP124,TRANSHARI4_ACCMALAM[QUANTITY])</f>
        <v>0</v>
      </c>
      <c r="CZ124" s="152">
        <f>SUMIF(TRANSHARI5_ACCPAGI[PRODUK],CP124,TRANSHARI5_ACCPAGI[QUANTITY])+SUMIF(TRANSHARI5_ACCMALAM[PRODUK],CP124,TRANSHARI5_ACCMALAM[QUANTITY])</f>
        <v>0</v>
      </c>
      <c r="DA124" s="152">
        <f>SUMIF(TRANSHARI6_ACCPAGI[PRODUK],CP124,TRANSHARI6_ACCPAGI[QUANTITY])+SUMIF(TRANSHARI6_ACCMALAM[PRODUK],CP124,TRANSHARI6_ACCMALAM[QUANTITY])</f>
        <v>0</v>
      </c>
      <c r="DB124" s="152">
        <f>SUMIF(TRANSHARI7_ACCPAGI[PRODUK],CP124,TRANSHARI7_ACCPAGI[QUANTITY])+SUMIF(TRANSHARI7_ACCMALAM[PRODUK],CP124,TRANSHARI7_ACCMALAM[QUANTITY])</f>
        <v>0</v>
      </c>
      <c r="DC124" s="152">
        <f>SUMIF(TRANSHARI8_ACCPAGI[PRODUK],CP124,TRANSHARI8_ACCPAGI[QUANTITY])+SUMIF(TRANSHARI8_ACCMALAM[PRODUK],CP124,TRANSHARI8_ACCMALAM[QUANTITY])</f>
        <v>0</v>
      </c>
      <c r="DD124" s="152">
        <f>SUMIF(TRANSHARI9_ACCPAGI[PRODUK],CP124,TRANSHARI9_ACCPAGI[QUANTITY])+SUMIF(TRANSHARI9_ACCMALAM[PRODUK],CP124,TRANSHARI9_ACCMALAM[QUANTITY])</f>
        <v>0</v>
      </c>
      <c r="DE124" s="152">
        <f>SUMIF(TRANSHARI10_ACCPAGI[PRODUK],CP124,TRANSHARI10_ACCPAGI[QUANTITY])+SUMIF(TRANSHARI10_ACCMALAM[PRODUK],CP124,TRANSHARI10_ACCMALAM[QUANTITY])</f>
        <v>0</v>
      </c>
      <c r="DF124" s="152">
        <f>SUMIF(TRANSHARI11_ACCPAGI[PRODUK],CP124,TRANSHARI11_ACCPAGI[QUANTITY])+SUMIF(TRANSHARI11_ACCMALAM[PRODUK],CP124,TRANSHARI11_ACCMALAM[QUANTITY])</f>
        <v>0</v>
      </c>
      <c r="DG124" s="152">
        <f t="shared" si="41"/>
        <v>0</v>
      </c>
      <c r="DH124" s="152">
        <f t="shared" si="42"/>
        <v>0</v>
      </c>
      <c r="DI124" s="176">
        <f t="shared" si="43"/>
        <v>0</v>
      </c>
    </row>
    <row r="125" ht="18" spans="94:113">
      <c r="CP125" s="177" t="str">
        <f>'DATA PRODUK'!BH122</f>
        <v>(HOLDER)(Motorcycle) Olike HC10</v>
      </c>
      <c r="CQ125" s="175">
        <f>'DATA PRODUK'!BI122</f>
        <v>85000</v>
      </c>
      <c r="CR125" s="12"/>
      <c r="CS125" s="12"/>
      <c r="CT125" s="12"/>
      <c r="CU125" s="12"/>
      <c r="CV125" s="12">
        <f>SUMIF(TRANSHARI1_ACCPAGI[PRODUK],CP125,TRANSHARI1_ACCPAGI[QUANTITY])+SUMIF(TRANSHARI1_ACCMALAM[PRODUK],CP125,TRANSHARI1_ACCMALAM[QUANTITY])</f>
        <v>0</v>
      </c>
      <c r="CW125" s="12">
        <f>SUMIF(TRANSHARI2_ACCPAGI[PRODUK],CP125,TRANSHARI2_ACCPAGI[QUANTITY])+SUMIF(TRANSHARI2_ACCMALAM[PRODUK],CP125,TRANSHARI2_ACCMALAM[QUANTITY])</f>
        <v>0</v>
      </c>
      <c r="CX125" s="12">
        <f>SUMIF(TRANSHARI3_ACCPAGI[PRODUK],CP125,TRANSHARI3_ACCPAGI[QUANTITY])+SUMIF(TRANSHARI3_ACCMALAM[PRODUK],CP125,TRANSHARI3_ACCMALAM[QUANTITY])</f>
        <v>0</v>
      </c>
      <c r="CY125" s="12">
        <f>SUMIF(TRANSHARI4_ACCPAGI[PRODUK],CP125,TRANSHARI4_ACCPAGI[QUANTITY])+SUMIF(TRANSHARI4_ACCMALAM[PRODUK],CP125,TRANSHARI4_ACCMALAM[QUANTITY])</f>
        <v>0</v>
      </c>
      <c r="CZ125" s="12">
        <f>SUMIF(TRANSHARI5_ACCPAGI[PRODUK],CP125,TRANSHARI5_ACCPAGI[QUANTITY])+SUMIF(TRANSHARI5_ACCMALAM[PRODUK],CP125,TRANSHARI5_ACCMALAM[QUANTITY])</f>
        <v>0</v>
      </c>
      <c r="DA125" s="12">
        <f>SUMIF(TRANSHARI6_ACCPAGI[PRODUK],CP125,TRANSHARI6_ACCPAGI[QUANTITY])+SUMIF(TRANSHARI6_ACCMALAM[PRODUK],CP125,TRANSHARI6_ACCMALAM[QUANTITY])</f>
        <v>0</v>
      </c>
      <c r="DB125" s="12">
        <f>SUMIF(TRANSHARI7_ACCPAGI[PRODUK],CP125,TRANSHARI7_ACCPAGI[QUANTITY])+SUMIF(TRANSHARI7_ACCMALAM[PRODUK],CP125,TRANSHARI7_ACCMALAM[QUANTITY])</f>
        <v>0</v>
      </c>
      <c r="DC125" s="12">
        <f>SUMIF(TRANSHARI8_ACCPAGI[PRODUK],CP125,TRANSHARI8_ACCPAGI[QUANTITY])+SUMIF(TRANSHARI8_ACCMALAM[PRODUK],CP125,TRANSHARI8_ACCMALAM[QUANTITY])</f>
        <v>0</v>
      </c>
      <c r="DD125" s="12">
        <f>SUMIF(TRANSHARI9_ACCPAGI[PRODUK],CP125,TRANSHARI9_ACCPAGI[QUANTITY])+SUMIF(TRANSHARI9_ACCMALAM[PRODUK],CP125,TRANSHARI9_ACCMALAM[QUANTITY])</f>
        <v>0</v>
      </c>
      <c r="DE125" s="12">
        <f>SUMIF(TRANSHARI10_ACCPAGI[PRODUK],CP125,TRANSHARI10_ACCPAGI[QUANTITY])+SUMIF(TRANSHARI10_ACCMALAM[PRODUK],CP125,TRANSHARI10_ACCMALAM[QUANTITY])</f>
        <v>0</v>
      </c>
      <c r="DF125" s="12">
        <f>SUMIF(TRANSHARI11_ACCPAGI[PRODUK],CP125,TRANSHARI11_ACCPAGI[QUANTITY])+SUMIF(TRANSHARI11_ACCMALAM[PRODUK],CP125,TRANSHARI11_ACCMALAM[QUANTITY])</f>
        <v>0</v>
      </c>
      <c r="DG125" s="12">
        <f t="shared" si="41"/>
        <v>0</v>
      </c>
      <c r="DH125" s="12">
        <f t="shared" si="42"/>
        <v>0</v>
      </c>
      <c r="DI125" s="173">
        <f t="shared" si="43"/>
        <v>0</v>
      </c>
    </row>
    <row r="126" ht="18" spans="94:113">
      <c r="CP126" s="174" t="str">
        <f>'DATA PRODUK'!BH123</f>
        <v>(HOLDER)(Car) Oase HZ08C</v>
      </c>
      <c r="CQ126" s="178">
        <f>'DATA PRODUK'!BI123</f>
        <v>65000</v>
      </c>
      <c r="CR126" s="152"/>
      <c r="CS126" s="152"/>
      <c r="CT126" s="152"/>
      <c r="CU126" s="152"/>
      <c r="CV126" s="152">
        <f>SUMIF(TRANSHARI1_ACCPAGI[PRODUK],CP126,TRANSHARI1_ACCPAGI[QUANTITY])+SUMIF(TRANSHARI1_ACCMALAM[PRODUK],CP126,TRANSHARI1_ACCMALAM[QUANTITY])</f>
        <v>0</v>
      </c>
      <c r="CW126" s="152">
        <f>SUMIF(TRANSHARI2_ACCPAGI[PRODUK],CP126,TRANSHARI2_ACCPAGI[QUANTITY])+SUMIF(TRANSHARI2_ACCMALAM[PRODUK],CP126,TRANSHARI2_ACCMALAM[QUANTITY])</f>
        <v>0</v>
      </c>
      <c r="CX126" s="152">
        <f>SUMIF(TRANSHARI3_ACCPAGI[PRODUK],CP126,TRANSHARI3_ACCPAGI[QUANTITY])+SUMIF(TRANSHARI3_ACCMALAM[PRODUK],CP126,TRANSHARI3_ACCMALAM[QUANTITY])</f>
        <v>0</v>
      </c>
      <c r="CY126" s="152">
        <f>SUMIF(TRANSHARI4_ACCPAGI[PRODUK],CP126,TRANSHARI4_ACCPAGI[QUANTITY])+SUMIF(TRANSHARI4_ACCMALAM[PRODUK],CP126,TRANSHARI4_ACCMALAM[QUANTITY])</f>
        <v>0</v>
      </c>
      <c r="CZ126" s="152">
        <f>SUMIF(TRANSHARI5_ACCPAGI[PRODUK],CP126,TRANSHARI5_ACCPAGI[QUANTITY])+SUMIF(TRANSHARI5_ACCMALAM[PRODUK],CP126,TRANSHARI5_ACCMALAM[QUANTITY])</f>
        <v>0</v>
      </c>
      <c r="DA126" s="152">
        <f>SUMIF(TRANSHARI6_ACCPAGI[PRODUK],CP126,TRANSHARI6_ACCPAGI[QUANTITY])+SUMIF(TRANSHARI6_ACCMALAM[PRODUK],CP126,TRANSHARI6_ACCMALAM[QUANTITY])</f>
        <v>0</v>
      </c>
      <c r="DB126" s="152">
        <f>SUMIF(TRANSHARI7_ACCPAGI[PRODUK],CP126,TRANSHARI7_ACCPAGI[QUANTITY])+SUMIF(TRANSHARI7_ACCMALAM[PRODUK],CP126,TRANSHARI7_ACCMALAM[QUANTITY])</f>
        <v>0</v>
      </c>
      <c r="DC126" s="152">
        <f>SUMIF(TRANSHARI8_ACCPAGI[PRODUK],CP126,TRANSHARI8_ACCPAGI[QUANTITY])+SUMIF(TRANSHARI8_ACCMALAM[PRODUK],CP126,TRANSHARI8_ACCMALAM[QUANTITY])</f>
        <v>0</v>
      </c>
      <c r="DD126" s="152">
        <f>SUMIF(TRANSHARI9_ACCPAGI[PRODUK],CP126,TRANSHARI9_ACCPAGI[QUANTITY])+SUMIF(TRANSHARI9_ACCMALAM[PRODUK],CP126,TRANSHARI9_ACCMALAM[QUANTITY])</f>
        <v>0</v>
      </c>
      <c r="DE126" s="152">
        <f>SUMIF(TRANSHARI10_ACCPAGI[PRODUK],CP126,TRANSHARI10_ACCPAGI[QUANTITY])+SUMIF(TRANSHARI10_ACCMALAM[PRODUK],CP126,TRANSHARI10_ACCMALAM[QUANTITY])</f>
        <v>0</v>
      </c>
      <c r="DF126" s="152">
        <f>SUMIF(TRANSHARI11_ACCPAGI[PRODUK],CP126,TRANSHARI11_ACCPAGI[QUANTITY])+SUMIF(TRANSHARI11_ACCMALAM[PRODUK],CP126,TRANSHARI11_ACCMALAM[QUANTITY])</f>
        <v>0</v>
      </c>
      <c r="DG126" s="152">
        <f t="shared" si="41"/>
        <v>0</v>
      </c>
      <c r="DH126" s="152">
        <f t="shared" si="42"/>
        <v>0</v>
      </c>
      <c r="DI126" s="176">
        <f t="shared" si="43"/>
        <v>0</v>
      </c>
    </row>
    <row r="127" ht="18" spans="94:113">
      <c r="CP127" s="177" t="str">
        <f>'DATA PRODUK'!BH124</f>
        <v>(HOLDER)(Car) Olike HC1</v>
      </c>
      <c r="CQ127" s="175">
        <f>'DATA PRODUK'!BI124</f>
        <v>75000</v>
      </c>
      <c r="CR127" s="12"/>
      <c r="CS127" s="12"/>
      <c r="CT127" s="12"/>
      <c r="CU127" s="12"/>
      <c r="CV127" s="12">
        <f>SUMIF(TRANSHARI1_ACCPAGI[PRODUK],CP127,TRANSHARI1_ACCPAGI[QUANTITY])+SUMIF(TRANSHARI1_ACCMALAM[PRODUK],CP127,TRANSHARI1_ACCMALAM[QUANTITY])</f>
        <v>0</v>
      </c>
      <c r="CW127" s="12">
        <f>SUMIF(TRANSHARI2_ACCPAGI[PRODUK],CP127,TRANSHARI2_ACCPAGI[QUANTITY])+SUMIF(TRANSHARI2_ACCMALAM[PRODUK],CP127,TRANSHARI2_ACCMALAM[QUANTITY])</f>
        <v>0</v>
      </c>
      <c r="CX127" s="12">
        <f>SUMIF(TRANSHARI3_ACCPAGI[PRODUK],CP127,TRANSHARI3_ACCPAGI[QUANTITY])+SUMIF(TRANSHARI3_ACCMALAM[PRODUK],CP127,TRANSHARI3_ACCMALAM[QUANTITY])</f>
        <v>0</v>
      </c>
      <c r="CY127" s="12">
        <f>SUMIF(TRANSHARI4_ACCPAGI[PRODUK],CP127,TRANSHARI4_ACCPAGI[QUANTITY])+SUMIF(TRANSHARI4_ACCMALAM[PRODUK],CP127,TRANSHARI4_ACCMALAM[QUANTITY])</f>
        <v>0</v>
      </c>
      <c r="CZ127" s="12">
        <f>SUMIF(TRANSHARI5_ACCPAGI[PRODUK],CP127,TRANSHARI5_ACCPAGI[QUANTITY])+SUMIF(TRANSHARI5_ACCMALAM[PRODUK],CP127,TRANSHARI5_ACCMALAM[QUANTITY])</f>
        <v>0</v>
      </c>
      <c r="DA127" s="12">
        <f>SUMIF(TRANSHARI6_ACCPAGI[PRODUK],CP127,TRANSHARI6_ACCPAGI[QUANTITY])+SUMIF(TRANSHARI6_ACCMALAM[PRODUK],CP127,TRANSHARI6_ACCMALAM[QUANTITY])</f>
        <v>0</v>
      </c>
      <c r="DB127" s="12">
        <f>SUMIF(TRANSHARI7_ACCPAGI[PRODUK],CP127,TRANSHARI7_ACCPAGI[QUANTITY])+SUMIF(TRANSHARI7_ACCMALAM[PRODUK],CP127,TRANSHARI7_ACCMALAM[QUANTITY])</f>
        <v>0</v>
      </c>
      <c r="DC127" s="12">
        <f>SUMIF(TRANSHARI8_ACCPAGI[PRODUK],CP127,TRANSHARI8_ACCPAGI[QUANTITY])+SUMIF(TRANSHARI8_ACCMALAM[PRODUK],CP127,TRANSHARI8_ACCMALAM[QUANTITY])</f>
        <v>0</v>
      </c>
      <c r="DD127" s="12">
        <f>SUMIF(TRANSHARI9_ACCPAGI[PRODUK],CP127,TRANSHARI9_ACCPAGI[QUANTITY])+SUMIF(TRANSHARI9_ACCMALAM[PRODUK],CP127,TRANSHARI9_ACCMALAM[QUANTITY])</f>
        <v>0</v>
      </c>
      <c r="DE127" s="12">
        <f>SUMIF(TRANSHARI10_ACCPAGI[PRODUK],CP127,TRANSHARI10_ACCPAGI[QUANTITY])+SUMIF(TRANSHARI10_ACCMALAM[PRODUK],CP127,TRANSHARI10_ACCMALAM[QUANTITY])</f>
        <v>0</v>
      </c>
      <c r="DF127" s="12">
        <f>SUMIF(TRANSHARI11_ACCPAGI[PRODUK],CP127,TRANSHARI11_ACCPAGI[QUANTITY])+SUMIF(TRANSHARI11_ACCMALAM[PRODUK],CP127,TRANSHARI11_ACCMALAM[QUANTITY])</f>
        <v>0</v>
      </c>
      <c r="DG127" s="12">
        <f t="shared" si="41"/>
        <v>0</v>
      </c>
      <c r="DH127" s="12">
        <f t="shared" si="42"/>
        <v>0</v>
      </c>
      <c r="DI127" s="173">
        <f t="shared" si="43"/>
        <v>0</v>
      </c>
    </row>
    <row r="128" ht="18" spans="94:113">
      <c r="CP128" s="174" t="str">
        <f>'DATA PRODUK'!BH125</f>
        <v>(HOLDER)(Car) Olike HC3</v>
      </c>
      <c r="CQ128" s="178">
        <f>'DATA PRODUK'!BI125</f>
        <v>85000</v>
      </c>
      <c r="CR128" s="152"/>
      <c r="CS128" s="152"/>
      <c r="CT128" s="152"/>
      <c r="CU128" s="152"/>
      <c r="CV128" s="152">
        <f>SUMIF(TRANSHARI1_ACCPAGI[PRODUK],CP128,TRANSHARI1_ACCPAGI[QUANTITY])+SUMIF(TRANSHARI1_ACCMALAM[PRODUK],CP128,TRANSHARI1_ACCMALAM[QUANTITY])</f>
        <v>0</v>
      </c>
      <c r="CW128" s="152">
        <f>SUMIF(TRANSHARI2_ACCPAGI[PRODUK],CP128,TRANSHARI2_ACCPAGI[QUANTITY])+SUMIF(TRANSHARI2_ACCMALAM[PRODUK],CP128,TRANSHARI2_ACCMALAM[QUANTITY])</f>
        <v>0</v>
      </c>
      <c r="CX128" s="152">
        <f>SUMIF(TRANSHARI3_ACCPAGI[PRODUK],CP128,TRANSHARI3_ACCPAGI[QUANTITY])+SUMIF(TRANSHARI3_ACCMALAM[PRODUK],CP128,TRANSHARI3_ACCMALAM[QUANTITY])</f>
        <v>0</v>
      </c>
      <c r="CY128" s="152">
        <f>SUMIF(TRANSHARI4_ACCPAGI[PRODUK],CP128,TRANSHARI4_ACCPAGI[QUANTITY])+SUMIF(TRANSHARI4_ACCMALAM[PRODUK],CP128,TRANSHARI4_ACCMALAM[QUANTITY])</f>
        <v>0</v>
      </c>
      <c r="CZ128" s="152">
        <f>SUMIF(TRANSHARI5_ACCPAGI[PRODUK],CP128,TRANSHARI5_ACCPAGI[QUANTITY])+SUMIF(TRANSHARI5_ACCMALAM[PRODUK],CP128,TRANSHARI5_ACCMALAM[QUANTITY])</f>
        <v>0</v>
      </c>
      <c r="DA128" s="152">
        <f>SUMIF(TRANSHARI6_ACCPAGI[PRODUK],CP128,TRANSHARI6_ACCPAGI[QUANTITY])+SUMIF(TRANSHARI6_ACCMALAM[PRODUK],CP128,TRANSHARI6_ACCMALAM[QUANTITY])</f>
        <v>0</v>
      </c>
      <c r="DB128" s="152">
        <f>SUMIF(TRANSHARI7_ACCPAGI[PRODUK],CP128,TRANSHARI7_ACCPAGI[QUANTITY])+SUMIF(TRANSHARI7_ACCMALAM[PRODUK],CP128,TRANSHARI7_ACCMALAM[QUANTITY])</f>
        <v>0</v>
      </c>
      <c r="DC128" s="152">
        <f>SUMIF(TRANSHARI8_ACCPAGI[PRODUK],CP128,TRANSHARI8_ACCPAGI[QUANTITY])+SUMIF(TRANSHARI8_ACCMALAM[PRODUK],CP128,TRANSHARI8_ACCMALAM[QUANTITY])</f>
        <v>0</v>
      </c>
      <c r="DD128" s="152">
        <f>SUMIF(TRANSHARI9_ACCPAGI[PRODUK],CP128,TRANSHARI9_ACCPAGI[QUANTITY])+SUMIF(TRANSHARI9_ACCMALAM[PRODUK],CP128,TRANSHARI9_ACCMALAM[QUANTITY])</f>
        <v>0</v>
      </c>
      <c r="DE128" s="152">
        <f>SUMIF(TRANSHARI10_ACCPAGI[PRODUK],CP128,TRANSHARI10_ACCPAGI[QUANTITY])+SUMIF(TRANSHARI10_ACCMALAM[PRODUK],CP128,TRANSHARI10_ACCMALAM[QUANTITY])</f>
        <v>0</v>
      </c>
      <c r="DF128" s="152">
        <f>SUMIF(TRANSHARI11_ACCPAGI[PRODUK],CP128,TRANSHARI11_ACCPAGI[QUANTITY])+SUMIF(TRANSHARI11_ACCMALAM[PRODUK],CP128,TRANSHARI11_ACCMALAM[QUANTITY])</f>
        <v>0</v>
      </c>
      <c r="DG128" s="152">
        <f t="shared" si="41"/>
        <v>0</v>
      </c>
      <c r="DH128" s="152">
        <f t="shared" si="42"/>
        <v>0</v>
      </c>
      <c r="DI128" s="176">
        <f t="shared" si="43"/>
        <v>0</v>
      </c>
    </row>
    <row r="129" ht="18" spans="94:113">
      <c r="CP129" s="177" t="str">
        <f>'DATA PRODUK'!BH126</f>
        <v>(HOLDER)(Car) Robot RT-CH19</v>
      </c>
      <c r="CQ129" s="175">
        <f>'DATA PRODUK'!BI126</f>
        <v>110000</v>
      </c>
      <c r="CR129" s="12"/>
      <c r="CS129" s="12"/>
      <c r="CT129" s="12"/>
      <c r="CU129" s="12"/>
      <c r="CV129" s="12">
        <f>SUMIF(TRANSHARI1_ACCPAGI[PRODUK],CP129,TRANSHARI1_ACCPAGI[QUANTITY])+SUMIF(TRANSHARI1_ACCMALAM[PRODUK],CP129,TRANSHARI1_ACCMALAM[QUANTITY])</f>
        <v>0</v>
      </c>
      <c r="CW129" s="12">
        <f>SUMIF(TRANSHARI2_ACCPAGI[PRODUK],CP129,TRANSHARI2_ACCPAGI[QUANTITY])+SUMIF(TRANSHARI2_ACCMALAM[PRODUK],CP129,TRANSHARI2_ACCMALAM[QUANTITY])</f>
        <v>0</v>
      </c>
      <c r="CX129" s="12">
        <f>SUMIF(TRANSHARI3_ACCPAGI[PRODUK],CP129,TRANSHARI3_ACCPAGI[QUANTITY])+SUMIF(TRANSHARI3_ACCMALAM[PRODUK],CP129,TRANSHARI3_ACCMALAM[QUANTITY])</f>
        <v>0</v>
      </c>
      <c r="CY129" s="12">
        <f>SUMIF(TRANSHARI4_ACCPAGI[PRODUK],CP129,TRANSHARI4_ACCPAGI[QUANTITY])+SUMIF(TRANSHARI4_ACCMALAM[PRODUK],CP129,TRANSHARI4_ACCMALAM[QUANTITY])</f>
        <v>0</v>
      </c>
      <c r="CZ129" s="12">
        <f>SUMIF(TRANSHARI5_ACCPAGI[PRODUK],CP129,TRANSHARI5_ACCPAGI[QUANTITY])+SUMIF(TRANSHARI5_ACCMALAM[PRODUK],CP129,TRANSHARI5_ACCMALAM[QUANTITY])</f>
        <v>0</v>
      </c>
      <c r="DA129" s="12">
        <f>SUMIF(TRANSHARI6_ACCPAGI[PRODUK],CP129,TRANSHARI6_ACCPAGI[QUANTITY])+SUMIF(TRANSHARI6_ACCMALAM[PRODUK],CP129,TRANSHARI6_ACCMALAM[QUANTITY])</f>
        <v>0</v>
      </c>
      <c r="DB129" s="12">
        <f>SUMIF(TRANSHARI7_ACCPAGI[PRODUK],CP129,TRANSHARI7_ACCPAGI[QUANTITY])+SUMIF(TRANSHARI7_ACCMALAM[PRODUK],CP129,TRANSHARI7_ACCMALAM[QUANTITY])</f>
        <v>0</v>
      </c>
      <c r="DC129" s="12">
        <f>SUMIF(TRANSHARI8_ACCPAGI[PRODUK],CP129,TRANSHARI8_ACCPAGI[QUANTITY])+SUMIF(TRANSHARI8_ACCMALAM[PRODUK],CP129,TRANSHARI8_ACCMALAM[QUANTITY])</f>
        <v>0</v>
      </c>
      <c r="DD129" s="12">
        <f>SUMIF(TRANSHARI9_ACCPAGI[PRODUK],CP129,TRANSHARI9_ACCPAGI[QUANTITY])+SUMIF(TRANSHARI9_ACCMALAM[PRODUK],CP129,TRANSHARI9_ACCMALAM[QUANTITY])</f>
        <v>0</v>
      </c>
      <c r="DE129" s="12">
        <f>SUMIF(TRANSHARI10_ACCPAGI[PRODUK],CP129,TRANSHARI10_ACCPAGI[QUANTITY])+SUMIF(TRANSHARI10_ACCMALAM[PRODUK],CP129,TRANSHARI10_ACCMALAM[QUANTITY])</f>
        <v>0</v>
      </c>
      <c r="DF129" s="12">
        <f>SUMIF(TRANSHARI11_ACCPAGI[PRODUK],CP129,TRANSHARI11_ACCPAGI[QUANTITY])+SUMIF(TRANSHARI11_ACCMALAM[PRODUK],CP129,TRANSHARI11_ACCMALAM[QUANTITY])</f>
        <v>0</v>
      </c>
      <c r="DG129" s="12">
        <f t="shared" si="41"/>
        <v>0</v>
      </c>
      <c r="DH129" s="12">
        <f t="shared" si="42"/>
        <v>0</v>
      </c>
      <c r="DI129" s="173">
        <f t="shared" si="43"/>
        <v>0</v>
      </c>
    </row>
    <row r="130" ht="18" spans="94:113">
      <c r="CP130" s="174" t="str">
        <f>'DATA PRODUK'!BH127</f>
        <v>(PHONE COOLER) Gamen GMR02</v>
      </c>
      <c r="CQ130" s="178">
        <f>'DATA PRODUK'!BI127</f>
        <v>75000</v>
      </c>
      <c r="CR130" s="152"/>
      <c r="CS130" s="152"/>
      <c r="CT130" s="152"/>
      <c r="CU130" s="152"/>
      <c r="CV130" s="152">
        <f>SUMIF(TRANSHARI1_ACCPAGI[PRODUK],CP130,TRANSHARI1_ACCPAGI[QUANTITY])+SUMIF(TRANSHARI1_ACCMALAM[PRODUK],CP130,TRANSHARI1_ACCMALAM[QUANTITY])</f>
        <v>0</v>
      </c>
      <c r="CW130" s="152">
        <f>SUMIF(TRANSHARI2_ACCPAGI[PRODUK],CP130,TRANSHARI2_ACCPAGI[QUANTITY])+SUMIF(TRANSHARI2_ACCMALAM[PRODUK],CP130,TRANSHARI2_ACCMALAM[QUANTITY])</f>
        <v>0</v>
      </c>
      <c r="CX130" s="152">
        <f>SUMIF(TRANSHARI3_ACCPAGI[PRODUK],CP130,TRANSHARI3_ACCPAGI[QUANTITY])+SUMIF(TRANSHARI3_ACCMALAM[PRODUK],CP130,TRANSHARI3_ACCMALAM[QUANTITY])</f>
        <v>0</v>
      </c>
      <c r="CY130" s="152">
        <f>SUMIF(TRANSHARI4_ACCPAGI[PRODUK],CP130,TRANSHARI4_ACCPAGI[QUANTITY])+SUMIF(TRANSHARI4_ACCMALAM[PRODUK],CP130,TRANSHARI4_ACCMALAM[QUANTITY])</f>
        <v>0</v>
      </c>
      <c r="CZ130" s="152">
        <f>SUMIF(TRANSHARI5_ACCPAGI[PRODUK],CP130,TRANSHARI5_ACCPAGI[QUANTITY])+SUMIF(TRANSHARI5_ACCMALAM[PRODUK],CP130,TRANSHARI5_ACCMALAM[QUANTITY])</f>
        <v>0</v>
      </c>
      <c r="DA130" s="152">
        <f>SUMIF(TRANSHARI6_ACCPAGI[PRODUK],CP130,TRANSHARI6_ACCPAGI[QUANTITY])+SUMIF(TRANSHARI6_ACCMALAM[PRODUK],CP130,TRANSHARI6_ACCMALAM[QUANTITY])</f>
        <v>0</v>
      </c>
      <c r="DB130" s="152">
        <f>SUMIF(TRANSHARI7_ACCPAGI[PRODUK],CP130,TRANSHARI7_ACCPAGI[QUANTITY])+SUMIF(TRANSHARI7_ACCMALAM[PRODUK],CP130,TRANSHARI7_ACCMALAM[QUANTITY])</f>
        <v>0</v>
      </c>
      <c r="DC130" s="152">
        <f>SUMIF(TRANSHARI8_ACCPAGI[PRODUK],CP130,TRANSHARI8_ACCPAGI[QUANTITY])+SUMIF(TRANSHARI8_ACCMALAM[PRODUK],CP130,TRANSHARI8_ACCMALAM[QUANTITY])</f>
        <v>0</v>
      </c>
      <c r="DD130" s="152">
        <f>SUMIF(TRANSHARI9_ACCPAGI[PRODUK],CP130,TRANSHARI9_ACCPAGI[QUANTITY])+SUMIF(TRANSHARI9_ACCMALAM[PRODUK],CP130,TRANSHARI9_ACCMALAM[QUANTITY])</f>
        <v>0</v>
      </c>
      <c r="DE130" s="152">
        <f>SUMIF(TRANSHARI10_ACCPAGI[PRODUK],CP130,TRANSHARI10_ACCPAGI[QUANTITY])+SUMIF(TRANSHARI10_ACCMALAM[PRODUK],CP130,TRANSHARI10_ACCMALAM[QUANTITY])</f>
        <v>0</v>
      </c>
      <c r="DF130" s="152">
        <f>SUMIF(TRANSHARI11_ACCPAGI[PRODUK],CP130,TRANSHARI11_ACCPAGI[QUANTITY])+SUMIF(TRANSHARI11_ACCMALAM[PRODUK],CP130,TRANSHARI11_ACCMALAM[QUANTITY])</f>
        <v>0</v>
      </c>
      <c r="DG130" s="152">
        <f t="shared" si="41"/>
        <v>0</v>
      </c>
      <c r="DH130" s="152">
        <f t="shared" si="42"/>
        <v>0</v>
      </c>
      <c r="DI130" s="176">
        <f t="shared" si="43"/>
        <v>0</v>
      </c>
    </row>
    <row r="131" ht="18" spans="94:113">
      <c r="CP131" s="177" t="str">
        <f>'DATA PRODUK'!BH128</f>
        <v>(PHONE COOLER) Gamen GMR05</v>
      </c>
      <c r="CQ131" s="175">
        <f>'DATA PRODUK'!BI128</f>
        <v>175000</v>
      </c>
      <c r="CR131" s="12"/>
      <c r="CS131" s="12"/>
      <c r="CT131" s="12"/>
      <c r="CU131" s="12"/>
      <c r="CV131" s="12">
        <f>SUMIF(TRANSHARI1_ACCPAGI[PRODUK],CP131,TRANSHARI1_ACCPAGI[QUANTITY])+SUMIF(TRANSHARI1_ACCMALAM[PRODUK],CP131,TRANSHARI1_ACCMALAM[QUANTITY])</f>
        <v>0</v>
      </c>
      <c r="CW131" s="12">
        <f>SUMIF(TRANSHARI2_ACCPAGI[PRODUK],CP131,TRANSHARI2_ACCPAGI[QUANTITY])+SUMIF(TRANSHARI2_ACCMALAM[PRODUK],CP131,TRANSHARI2_ACCMALAM[QUANTITY])</f>
        <v>0</v>
      </c>
      <c r="CX131" s="12">
        <f>SUMIF(TRANSHARI3_ACCPAGI[PRODUK],CP131,TRANSHARI3_ACCPAGI[QUANTITY])+SUMIF(TRANSHARI3_ACCMALAM[PRODUK],CP131,TRANSHARI3_ACCMALAM[QUANTITY])</f>
        <v>0</v>
      </c>
      <c r="CY131" s="12">
        <f>SUMIF(TRANSHARI4_ACCPAGI[PRODUK],CP131,TRANSHARI4_ACCPAGI[QUANTITY])+SUMIF(TRANSHARI4_ACCMALAM[PRODUK],CP131,TRANSHARI4_ACCMALAM[QUANTITY])</f>
        <v>0</v>
      </c>
      <c r="CZ131" s="12">
        <f>SUMIF(TRANSHARI5_ACCPAGI[PRODUK],CP131,TRANSHARI5_ACCPAGI[QUANTITY])+SUMIF(TRANSHARI5_ACCMALAM[PRODUK],CP131,TRANSHARI5_ACCMALAM[QUANTITY])</f>
        <v>0</v>
      </c>
      <c r="DA131" s="12">
        <f>SUMIF(TRANSHARI6_ACCPAGI[PRODUK],CP131,TRANSHARI6_ACCPAGI[QUANTITY])+SUMIF(TRANSHARI6_ACCMALAM[PRODUK],CP131,TRANSHARI6_ACCMALAM[QUANTITY])</f>
        <v>0</v>
      </c>
      <c r="DB131" s="12">
        <f>SUMIF(TRANSHARI7_ACCPAGI[PRODUK],CP131,TRANSHARI7_ACCPAGI[QUANTITY])+SUMIF(TRANSHARI7_ACCMALAM[PRODUK],CP131,TRANSHARI7_ACCMALAM[QUANTITY])</f>
        <v>0</v>
      </c>
      <c r="DC131" s="12">
        <f>SUMIF(TRANSHARI8_ACCPAGI[PRODUK],CP131,TRANSHARI8_ACCPAGI[QUANTITY])+SUMIF(TRANSHARI8_ACCMALAM[PRODUK],CP131,TRANSHARI8_ACCMALAM[QUANTITY])</f>
        <v>0</v>
      </c>
      <c r="DD131" s="12">
        <f>SUMIF(TRANSHARI9_ACCPAGI[PRODUK],CP131,TRANSHARI9_ACCPAGI[QUANTITY])+SUMIF(TRANSHARI9_ACCMALAM[PRODUK],CP131,TRANSHARI9_ACCMALAM[QUANTITY])</f>
        <v>0</v>
      </c>
      <c r="DE131" s="12">
        <f>SUMIF(TRANSHARI10_ACCPAGI[PRODUK],CP131,TRANSHARI10_ACCPAGI[QUANTITY])+SUMIF(TRANSHARI10_ACCMALAM[PRODUK],CP131,TRANSHARI10_ACCMALAM[QUANTITY])</f>
        <v>0</v>
      </c>
      <c r="DF131" s="12">
        <f>SUMIF(TRANSHARI11_ACCPAGI[PRODUK],CP131,TRANSHARI11_ACCPAGI[QUANTITY])+SUMIF(TRANSHARI11_ACCMALAM[PRODUK],CP131,TRANSHARI11_ACCMALAM[QUANTITY])</f>
        <v>0</v>
      </c>
      <c r="DG131" s="12">
        <f t="shared" si="41"/>
        <v>0</v>
      </c>
      <c r="DH131" s="12">
        <f t="shared" si="42"/>
        <v>0</v>
      </c>
      <c r="DI131" s="173">
        <f t="shared" si="43"/>
        <v>0</v>
      </c>
    </row>
    <row r="132" ht="18" spans="94:113">
      <c r="CP132" s="174" t="str">
        <f>'DATA PRODUK'!BH129</f>
        <v>(MEMORY CARD) Robot 4GB</v>
      </c>
      <c r="CQ132" s="178">
        <f>'DATA PRODUK'!BI129</f>
        <v>50000</v>
      </c>
      <c r="CR132" s="152"/>
      <c r="CS132" s="152"/>
      <c r="CT132" s="152"/>
      <c r="CU132" s="152"/>
      <c r="CV132" s="152">
        <f>SUMIF(TRANSHARI1_ACCPAGI[PRODUK],CP132,TRANSHARI1_ACCPAGI[QUANTITY])+SUMIF(TRANSHARI1_ACCMALAM[PRODUK],CP132,TRANSHARI1_ACCMALAM[QUANTITY])</f>
        <v>0</v>
      </c>
      <c r="CW132" s="152">
        <f>SUMIF(TRANSHARI2_ACCPAGI[PRODUK],CP132,TRANSHARI2_ACCPAGI[QUANTITY])+SUMIF(TRANSHARI2_ACCMALAM[PRODUK],CP132,TRANSHARI2_ACCMALAM[QUANTITY])</f>
        <v>0</v>
      </c>
      <c r="CX132" s="152">
        <f>SUMIF(TRANSHARI3_ACCPAGI[PRODUK],CP132,TRANSHARI3_ACCPAGI[QUANTITY])+SUMIF(TRANSHARI3_ACCMALAM[PRODUK],CP132,TRANSHARI3_ACCMALAM[QUANTITY])</f>
        <v>0</v>
      </c>
      <c r="CY132" s="152">
        <f>SUMIF(TRANSHARI4_ACCPAGI[PRODUK],CP132,TRANSHARI4_ACCPAGI[QUANTITY])+SUMIF(TRANSHARI4_ACCMALAM[PRODUK],CP132,TRANSHARI4_ACCMALAM[QUANTITY])</f>
        <v>0</v>
      </c>
      <c r="CZ132" s="152">
        <f>SUMIF(TRANSHARI5_ACCPAGI[PRODUK],CP132,TRANSHARI5_ACCPAGI[QUANTITY])+SUMIF(TRANSHARI5_ACCMALAM[PRODUK],CP132,TRANSHARI5_ACCMALAM[QUANTITY])</f>
        <v>0</v>
      </c>
      <c r="DA132" s="152">
        <f>SUMIF(TRANSHARI6_ACCPAGI[PRODUK],CP132,TRANSHARI6_ACCPAGI[QUANTITY])+SUMIF(TRANSHARI6_ACCMALAM[PRODUK],CP132,TRANSHARI6_ACCMALAM[QUANTITY])</f>
        <v>0</v>
      </c>
      <c r="DB132" s="152">
        <f>SUMIF(TRANSHARI7_ACCPAGI[PRODUK],CP132,TRANSHARI7_ACCPAGI[QUANTITY])+SUMIF(TRANSHARI7_ACCMALAM[PRODUK],CP132,TRANSHARI7_ACCMALAM[QUANTITY])</f>
        <v>0</v>
      </c>
      <c r="DC132" s="152">
        <f>SUMIF(TRANSHARI8_ACCPAGI[PRODUK],CP132,TRANSHARI8_ACCPAGI[QUANTITY])+SUMIF(TRANSHARI8_ACCMALAM[PRODUK],CP132,TRANSHARI8_ACCMALAM[QUANTITY])</f>
        <v>0</v>
      </c>
      <c r="DD132" s="152">
        <f>SUMIF(TRANSHARI9_ACCPAGI[PRODUK],CP132,TRANSHARI9_ACCPAGI[QUANTITY])+SUMIF(TRANSHARI9_ACCMALAM[PRODUK],CP132,TRANSHARI9_ACCMALAM[QUANTITY])</f>
        <v>0</v>
      </c>
      <c r="DE132" s="152">
        <f>SUMIF(TRANSHARI10_ACCPAGI[PRODUK],CP132,TRANSHARI10_ACCPAGI[QUANTITY])+SUMIF(TRANSHARI10_ACCMALAM[PRODUK],CP132,TRANSHARI10_ACCMALAM[QUANTITY])</f>
        <v>0</v>
      </c>
      <c r="DF132" s="152">
        <f>SUMIF(TRANSHARI11_ACCPAGI[PRODUK],CP132,TRANSHARI11_ACCPAGI[QUANTITY])+SUMIF(TRANSHARI11_ACCMALAM[PRODUK],CP132,TRANSHARI11_ACCMALAM[QUANTITY])</f>
        <v>0</v>
      </c>
      <c r="DG132" s="152">
        <f t="shared" si="41"/>
        <v>0</v>
      </c>
      <c r="DH132" s="152">
        <f t="shared" si="42"/>
        <v>0</v>
      </c>
      <c r="DI132" s="176">
        <f t="shared" si="43"/>
        <v>0</v>
      </c>
    </row>
    <row r="133" ht="18" spans="94:113">
      <c r="CP133" s="177" t="str">
        <f>'DATA PRODUK'!BH130</f>
        <v>(MEMORY CARD) Robot 8GB</v>
      </c>
      <c r="CQ133" s="175">
        <f>'DATA PRODUK'!BI130</f>
        <v>60000</v>
      </c>
      <c r="CR133" s="12"/>
      <c r="CS133" s="12"/>
      <c r="CT133" s="12"/>
      <c r="CU133" s="12"/>
      <c r="CV133" s="12">
        <f>SUMIF(TRANSHARI1_ACCPAGI[PRODUK],CP133,TRANSHARI1_ACCPAGI[QUANTITY])+SUMIF(TRANSHARI1_ACCMALAM[PRODUK],CP133,TRANSHARI1_ACCMALAM[QUANTITY])</f>
        <v>0</v>
      </c>
      <c r="CW133" s="12">
        <f>SUMIF(TRANSHARI2_ACCPAGI[PRODUK],CP133,TRANSHARI2_ACCPAGI[QUANTITY])+SUMIF(TRANSHARI2_ACCMALAM[PRODUK],CP133,TRANSHARI2_ACCMALAM[QUANTITY])</f>
        <v>0</v>
      </c>
      <c r="CX133" s="12">
        <f>SUMIF(TRANSHARI3_ACCPAGI[PRODUK],CP133,TRANSHARI3_ACCPAGI[QUANTITY])+SUMIF(TRANSHARI3_ACCMALAM[PRODUK],CP133,TRANSHARI3_ACCMALAM[QUANTITY])</f>
        <v>0</v>
      </c>
      <c r="CY133" s="12">
        <f>SUMIF(TRANSHARI4_ACCPAGI[PRODUK],CP133,TRANSHARI4_ACCPAGI[QUANTITY])+SUMIF(TRANSHARI4_ACCMALAM[PRODUK],CP133,TRANSHARI4_ACCMALAM[QUANTITY])</f>
        <v>0</v>
      </c>
      <c r="CZ133" s="12">
        <f>SUMIF(TRANSHARI5_ACCPAGI[PRODUK],CP133,TRANSHARI5_ACCPAGI[QUANTITY])+SUMIF(TRANSHARI5_ACCMALAM[PRODUK],CP133,TRANSHARI5_ACCMALAM[QUANTITY])</f>
        <v>0</v>
      </c>
      <c r="DA133" s="12">
        <f>SUMIF(TRANSHARI6_ACCPAGI[PRODUK],CP133,TRANSHARI6_ACCPAGI[QUANTITY])+SUMIF(TRANSHARI6_ACCMALAM[PRODUK],CP133,TRANSHARI6_ACCMALAM[QUANTITY])</f>
        <v>0</v>
      </c>
      <c r="DB133" s="12">
        <f>SUMIF(TRANSHARI7_ACCPAGI[PRODUK],CP133,TRANSHARI7_ACCPAGI[QUANTITY])+SUMIF(TRANSHARI7_ACCMALAM[PRODUK],CP133,TRANSHARI7_ACCMALAM[QUANTITY])</f>
        <v>0</v>
      </c>
      <c r="DC133" s="12">
        <f>SUMIF(TRANSHARI8_ACCPAGI[PRODUK],CP133,TRANSHARI8_ACCPAGI[QUANTITY])+SUMIF(TRANSHARI8_ACCMALAM[PRODUK],CP133,TRANSHARI8_ACCMALAM[QUANTITY])</f>
        <v>0</v>
      </c>
      <c r="DD133" s="12">
        <f>SUMIF(TRANSHARI9_ACCPAGI[PRODUK],CP133,TRANSHARI9_ACCPAGI[QUANTITY])+SUMIF(TRANSHARI9_ACCMALAM[PRODUK],CP133,TRANSHARI9_ACCMALAM[QUANTITY])</f>
        <v>0</v>
      </c>
      <c r="DE133" s="12">
        <f>SUMIF(TRANSHARI10_ACCPAGI[PRODUK],CP133,TRANSHARI10_ACCPAGI[QUANTITY])+SUMIF(TRANSHARI10_ACCMALAM[PRODUK],CP133,TRANSHARI10_ACCMALAM[QUANTITY])</f>
        <v>0</v>
      </c>
      <c r="DF133" s="12">
        <f>SUMIF(TRANSHARI11_ACCPAGI[PRODUK],CP133,TRANSHARI11_ACCPAGI[QUANTITY])+SUMIF(TRANSHARI11_ACCMALAM[PRODUK],CP133,TRANSHARI11_ACCMALAM[QUANTITY])</f>
        <v>0</v>
      </c>
      <c r="DG133" s="12">
        <f t="shared" si="41"/>
        <v>0</v>
      </c>
      <c r="DH133" s="12">
        <f t="shared" si="42"/>
        <v>0</v>
      </c>
      <c r="DI133" s="173">
        <f t="shared" si="43"/>
        <v>0</v>
      </c>
    </row>
    <row r="134" ht="18" spans="94:113">
      <c r="CP134" s="218" t="str">
        <f>'DATA PRODUK'!BH131</f>
        <v>(MEMORY CARD) Robot 16GB</v>
      </c>
      <c r="CQ134" s="219">
        <f>'DATA PRODUK'!BI131</f>
        <v>70000</v>
      </c>
      <c r="CR134" s="154"/>
      <c r="CS134" s="154"/>
      <c r="CT134" s="154"/>
      <c r="CU134" s="154"/>
      <c r="CV134" s="154">
        <f>SUMIF(TRANSHARI1_ACCPAGI[PRODUK],CP134,TRANSHARI1_ACCPAGI[QUANTITY])+SUMIF(TRANSHARI1_ACCMALAM[PRODUK],CP134,TRANSHARI1_ACCMALAM[QUANTITY])</f>
        <v>0</v>
      </c>
      <c r="CW134" s="154">
        <f>SUMIF(TRANSHARI2_ACCPAGI[PRODUK],CP134,TRANSHARI2_ACCPAGI[QUANTITY])+SUMIF(TRANSHARI2_ACCMALAM[PRODUK],CP134,TRANSHARI2_ACCMALAM[QUANTITY])</f>
        <v>0</v>
      </c>
      <c r="CX134" s="154">
        <f>SUMIF(TRANSHARI3_ACCPAGI[PRODUK],CP134,TRANSHARI3_ACCPAGI[QUANTITY])+SUMIF(TRANSHARI3_ACCMALAM[PRODUK],CP134,TRANSHARI3_ACCMALAM[QUANTITY])</f>
        <v>0</v>
      </c>
      <c r="CY134" s="154">
        <f>SUMIF(TRANSHARI4_ACCPAGI[PRODUK],CP134,TRANSHARI4_ACCPAGI[QUANTITY])+SUMIF(TRANSHARI4_ACCMALAM[PRODUK],CP134,TRANSHARI4_ACCMALAM[QUANTITY])</f>
        <v>0</v>
      </c>
      <c r="CZ134" s="154">
        <f>SUMIF(TRANSHARI5_ACCPAGI[PRODUK],CP134,TRANSHARI5_ACCPAGI[QUANTITY])+SUMIF(TRANSHARI5_ACCMALAM[PRODUK],CP134,TRANSHARI5_ACCMALAM[QUANTITY])</f>
        <v>0</v>
      </c>
      <c r="DA134" s="154">
        <f>SUMIF(TRANSHARI6_ACCPAGI[PRODUK],CP134,TRANSHARI6_ACCPAGI[QUANTITY])+SUMIF(TRANSHARI6_ACCMALAM[PRODUK],CP134,TRANSHARI6_ACCMALAM[QUANTITY])</f>
        <v>0</v>
      </c>
      <c r="DB134" s="154">
        <f>SUMIF(TRANSHARI7_ACCPAGI[PRODUK],CP134,TRANSHARI7_ACCPAGI[QUANTITY])+SUMIF(TRANSHARI7_ACCMALAM[PRODUK],CP134,TRANSHARI7_ACCMALAM[QUANTITY])</f>
        <v>0</v>
      </c>
      <c r="DC134" s="154">
        <f>SUMIF(TRANSHARI8_ACCPAGI[PRODUK],CP134,TRANSHARI8_ACCPAGI[QUANTITY])+SUMIF(TRANSHARI8_ACCMALAM[PRODUK],CP134,TRANSHARI8_ACCMALAM[QUANTITY])</f>
        <v>0</v>
      </c>
      <c r="DD134" s="154">
        <f>SUMIF(TRANSHARI9_ACCPAGI[PRODUK],CP134,TRANSHARI9_ACCPAGI[QUANTITY])+SUMIF(TRANSHARI9_ACCMALAM[PRODUK],CP134,TRANSHARI9_ACCMALAM[QUANTITY])</f>
        <v>0</v>
      </c>
      <c r="DE134" s="154">
        <f>SUMIF(TRANSHARI10_ACCPAGI[PRODUK],CP134,TRANSHARI10_ACCPAGI[QUANTITY])+SUMIF(TRANSHARI10_ACCMALAM[PRODUK],CP134,TRANSHARI10_ACCMALAM[QUANTITY])</f>
        <v>0</v>
      </c>
      <c r="DF134" s="154">
        <f>SUMIF(TRANSHARI11_ACCPAGI[PRODUK],CP134,TRANSHARI11_ACCPAGI[QUANTITY])+SUMIF(TRANSHARI11_ACCMALAM[PRODUK],CP134,TRANSHARI11_ACCMALAM[QUANTITY])</f>
        <v>0</v>
      </c>
      <c r="DG134" s="154">
        <f t="shared" ref="DG134:DG171" si="44">SUM(CV134:DF134)</f>
        <v>0</v>
      </c>
      <c r="DH134" s="154">
        <f t="shared" ref="DH134:DH171" si="45">CR134+CS134+CT134-CU134-DG134</f>
        <v>0</v>
      </c>
      <c r="DI134" s="179">
        <f t="shared" ref="DI134:DI171" si="46">DG134*CQ134</f>
        <v>0</v>
      </c>
    </row>
    <row r="135" ht="18" spans="94:113">
      <c r="CP135" s="177" t="str">
        <f>'DATA PRODUK'!BH132</f>
        <v>(MEMORY CARD) Vivan 16GB</v>
      </c>
      <c r="CQ135" s="175">
        <f>'DATA PRODUK'!BI132</f>
        <v>80000</v>
      </c>
      <c r="CR135" s="12"/>
      <c r="CS135" s="12"/>
      <c r="CT135" s="12"/>
      <c r="CU135" s="12"/>
      <c r="CV135" s="12">
        <f>SUMIF(TRANSHARI1_ACCPAGI[PRODUK],CP135,TRANSHARI1_ACCPAGI[QUANTITY])+SUMIF(TRANSHARI1_ACCMALAM[PRODUK],CP135,TRANSHARI1_ACCMALAM[QUANTITY])</f>
        <v>0</v>
      </c>
      <c r="CW135" s="12">
        <f>SUMIF(TRANSHARI2_ACCPAGI[PRODUK],CP135,TRANSHARI2_ACCPAGI[QUANTITY])+SUMIF(TRANSHARI2_ACCMALAM[PRODUK],CP135,TRANSHARI2_ACCMALAM[QUANTITY])</f>
        <v>0</v>
      </c>
      <c r="CX135" s="12">
        <f>SUMIF(TRANSHARI3_ACCPAGI[PRODUK],CP135,TRANSHARI3_ACCPAGI[QUANTITY])+SUMIF(TRANSHARI3_ACCMALAM[PRODUK],CP135,TRANSHARI3_ACCMALAM[QUANTITY])</f>
        <v>0</v>
      </c>
      <c r="CY135" s="12">
        <f>SUMIF(TRANSHARI4_ACCPAGI[PRODUK],CP135,TRANSHARI4_ACCPAGI[QUANTITY])+SUMIF(TRANSHARI4_ACCMALAM[PRODUK],CP135,TRANSHARI4_ACCMALAM[QUANTITY])</f>
        <v>0</v>
      </c>
      <c r="CZ135" s="12">
        <f>SUMIF(TRANSHARI5_ACCPAGI[PRODUK],CP135,TRANSHARI5_ACCPAGI[QUANTITY])+SUMIF(TRANSHARI5_ACCMALAM[PRODUK],CP135,TRANSHARI5_ACCMALAM[QUANTITY])</f>
        <v>0</v>
      </c>
      <c r="DA135" s="12">
        <f>SUMIF(TRANSHARI6_ACCPAGI[PRODUK],CP135,TRANSHARI6_ACCPAGI[QUANTITY])+SUMIF(TRANSHARI6_ACCMALAM[PRODUK],CP135,TRANSHARI6_ACCMALAM[QUANTITY])</f>
        <v>0</v>
      </c>
      <c r="DB135" s="12">
        <f>SUMIF(TRANSHARI7_ACCPAGI[PRODUK],CP135,TRANSHARI7_ACCPAGI[QUANTITY])+SUMIF(TRANSHARI7_ACCMALAM[PRODUK],CP135,TRANSHARI7_ACCMALAM[QUANTITY])</f>
        <v>0</v>
      </c>
      <c r="DC135" s="12">
        <f>SUMIF(TRANSHARI8_ACCPAGI[PRODUK],CP135,TRANSHARI8_ACCPAGI[QUANTITY])+SUMIF(TRANSHARI8_ACCMALAM[PRODUK],CP135,TRANSHARI8_ACCMALAM[QUANTITY])</f>
        <v>0</v>
      </c>
      <c r="DD135" s="12">
        <f>SUMIF(TRANSHARI9_ACCPAGI[PRODUK],CP135,TRANSHARI9_ACCPAGI[QUANTITY])+SUMIF(TRANSHARI9_ACCMALAM[PRODUK],CP135,TRANSHARI9_ACCMALAM[QUANTITY])</f>
        <v>0</v>
      </c>
      <c r="DE135" s="12">
        <f>SUMIF(TRANSHARI10_ACCPAGI[PRODUK],CP135,TRANSHARI10_ACCPAGI[QUANTITY])+SUMIF(TRANSHARI10_ACCMALAM[PRODUK],CP135,TRANSHARI10_ACCMALAM[QUANTITY])</f>
        <v>0</v>
      </c>
      <c r="DF135" s="12">
        <f>SUMIF(TRANSHARI11_ACCPAGI[PRODUK],CP135,TRANSHARI11_ACCPAGI[QUANTITY])+SUMIF(TRANSHARI11_ACCMALAM[PRODUK],CP135,TRANSHARI11_ACCMALAM[QUANTITY])</f>
        <v>0</v>
      </c>
      <c r="DG135" s="12">
        <f t="shared" si="44"/>
        <v>0</v>
      </c>
      <c r="DH135" s="12">
        <f t="shared" si="45"/>
        <v>0</v>
      </c>
      <c r="DI135" s="173">
        <f t="shared" si="46"/>
        <v>0</v>
      </c>
    </row>
    <row r="136" ht="18" spans="94:113">
      <c r="CP136" s="218" t="str">
        <f>'DATA PRODUK'!BH133</f>
        <v>(MEMORY CARD) Robot 32GB</v>
      </c>
      <c r="CQ136" s="219">
        <f>'DATA PRODUK'!BI133</f>
        <v>85000</v>
      </c>
      <c r="CR136" s="154"/>
      <c r="CS136" s="154"/>
      <c r="CT136" s="154"/>
      <c r="CU136" s="154"/>
      <c r="CV136" s="154">
        <f>SUMIF(TRANSHARI1_ACCPAGI[PRODUK],CP136,TRANSHARI1_ACCPAGI[QUANTITY])+SUMIF(TRANSHARI1_ACCMALAM[PRODUK],CP136,TRANSHARI1_ACCMALAM[QUANTITY])</f>
        <v>0</v>
      </c>
      <c r="CW136" s="154">
        <f>SUMIF(TRANSHARI2_ACCPAGI[PRODUK],CP136,TRANSHARI2_ACCPAGI[QUANTITY])+SUMIF(TRANSHARI2_ACCMALAM[PRODUK],CP136,TRANSHARI2_ACCMALAM[QUANTITY])</f>
        <v>0</v>
      </c>
      <c r="CX136" s="154">
        <f>SUMIF(TRANSHARI3_ACCPAGI[PRODUK],CP136,TRANSHARI3_ACCPAGI[QUANTITY])+SUMIF(TRANSHARI3_ACCMALAM[PRODUK],CP136,TRANSHARI3_ACCMALAM[QUANTITY])</f>
        <v>0</v>
      </c>
      <c r="CY136" s="154">
        <f>SUMIF(TRANSHARI4_ACCPAGI[PRODUK],CP136,TRANSHARI4_ACCPAGI[QUANTITY])+SUMIF(TRANSHARI4_ACCMALAM[PRODUK],CP136,TRANSHARI4_ACCMALAM[QUANTITY])</f>
        <v>0</v>
      </c>
      <c r="CZ136" s="154">
        <f>SUMIF(TRANSHARI5_ACCPAGI[PRODUK],CP136,TRANSHARI5_ACCPAGI[QUANTITY])+SUMIF(TRANSHARI5_ACCMALAM[PRODUK],CP136,TRANSHARI5_ACCMALAM[QUANTITY])</f>
        <v>0</v>
      </c>
      <c r="DA136" s="154">
        <f>SUMIF(TRANSHARI6_ACCPAGI[PRODUK],CP136,TRANSHARI6_ACCPAGI[QUANTITY])+SUMIF(TRANSHARI6_ACCMALAM[PRODUK],CP136,TRANSHARI6_ACCMALAM[QUANTITY])</f>
        <v>0</v>
      </c>
      <c r="DB136" s="154">
        <f>SUMIF(TRANSHARI7_ACCPAGI[PRODUK],CP136,TRANSHARI7_ACCPAGI[QUANTITY])+SUMIF(TRANSHARI7_ACCMALAM[PRODUK],CP136,TRANSHARI7_ACCMALAM[QUANTITY])</f>
        <v>0</v>
      </c>
      <c r="DC136" s="154">
        <f>SUMIF(TRANSHARI8_ACCPAGI[PRODUK],CP136,TRANSHARI8_ACCPAGI[QUANTITY])+SUMIF(TRANSHARI8_ACCMALAM[PRODUK],CP136,TRANSHARI8_ACCMALAM[QUANTITY])</f>
        <v>0</v>
      </c>
      <c r="DD136" s="154">
        <f>SUMIF(TRANSHARI9_ACCPAGI[PRODUK],CP136,TRANSHARI9_ACCPAGI[QUANTITY])+SUMIF(TRANSHARI9_ACCMALAM[PRODUK],CP136,TRANSHARI9_ACCMALAM[QUANTITY])</f>
        <v>0</v>
      </c>
      <c r="DE136" s="154">
        <f>SUMIF(TRANSHARI10_ACCPAGI[PRODUK],CP136,TRANSHARI10_ACCPAGI[QUANTITY])+SUMIF(TRANSHARI10_ACCMALAM[PRODUK],CP136,TRANSHARI10_ACCMALAM[QUANTITY])</f>
        <v>0</v>
      </c>
      <c r="DF136" s="154">
        <f>SUMIF(TRANSHARI11_ACCPAGI[PRODUK],CP136,TRANSHARI11_ACCPAGI[QUANTITY])+SUMIF(TRANSHARI11_ACCMALAM[PRODUK],CP136,TRANSHARI11_ACCMALAM[QUANTITY])</f>
        <v>0</v>
      </c>
      <c r="DG136" s="154">
        <f t="shared" si="44"/>
        <v>0</v>
      </c>
      <c r="DH136" s="154">
        <f t="shared" si="45"/>
        <v>0</v>
      </c>
      <c r="DI136" s="179">
        <f t="shared" si="46"/>
        <v>0</v>
      </c>
    </row>
    <row r="137" ht="18" spans="94:113">
      <c r="CP137" s="177" t="str">
        <f>'DATA PRODUK'!BH134</f>
        <v>(MEMORY CARD) Vivan 32GB</v>
      </c>
      <c r="CQ137" s="175">
        <f>'DATA PRODUK'!BI134</f>
        <v>100000</v>
      </c>
      <c r="CR137" s="12"/>
      <c r="CS137" s="12"/>
      <c r="CT137" s="12"/>
      <c r="CU137" s="12"/>
      <c r="CV137" s="12">
        <f>SUMIF(TRANSHARI1_ACCPAGI[PRODUK],CP137,TRANSHARI1_ACCPAGI[QUANTITY])+SUMIF(TRANSHARI1_ACCMALAM[PRODUK],CP137,TRANSHARI1_ACCMALAM[QUANTITY])</f>
        <v>0</v>
      </c>
      <c r="CW137" s="12">
        <f>SUMIF(TRANSHARI2_ACCPAGI[PRODUK],CP137,TRANSHARI2_ACCPAGI[QUANTITY])+SUMIF(TRANSHARI2_ACCMALAM[PRODUK],CP137,TRANSHARI2_ACCMALAM[QUANTITY])</f>
        <v>0</v>
      </c>
      <c r="CX137" s="12">
        <f>SUMIF(TRANSHARI3_ACCPAGI[PRODUK],CP137,TRANSHARI3_ACCPAGI[QUANTITY])+SUMIF(TRANSHARI3_ACCMALAM[PRODUK],CP137,TRANSHARI3_ACCMALAM[QUANTITY])</f>
        <v>0</v>
      </c>
      <c r="CY137" s="12">
        <f>SUMIF(TRANSHARI4_ACCPAGI[PRODUK],CP137,TRANSHARI4_ACCPAGI[QUANTITY])+SUMIF(TRANSHARI4_ACCMALAM[PRODUK],CP137,TRANSHARI4_ACCMALAM[QUANTITY])</f>
        <v>0</v>
      </c>
      <c r="CZ137" s="12">
        <f>SUMIF(TRANSHARI5_ACCPAGI[PRODUK],CP137,TRANSHARI5_ACCPAGI[QUANTITY])+SUMIF(TRANSHARI5_ACCMALAM[PRODUK],CP137,TRANSHARI5_ACCMALAM[QUANTITY])</f>
        <v>0</v>
      </c>
      <c r="DA137" s="12">
        <f>SUMIF(TRANSHARI6_ACCPAGI[PRODUK],CP137,TRANSHARI6_ACCPAGI[QUANTITY])+SUMIF(TRANSHARI6_ACCMALAM[PRODUK],CP137,TRANSHARI6_ACCMALAM[QUANTITY])</f>
        <v>0</v>
      </c>
      <c r="DB137" s="12">
        <f>SUMIF(TRANSHARI7_ACCPAGI[PRODUK],CP137,TRANSHARI7_ACCPAGI[QUANTITY])+SUMIF(TRANSHARI7_ACCMALAM[PRODUK],CP137,TRANSHARI7_ACCMALAM[QUANTITY])</f>
        <v>0</v>
      </c>
      <c r="DC137" s="12">
        <f>SUMIF(TRANSHARI8_ACCPAGI[PRODUK],CP137,TRANSHARI8_ACCPAGI[QUANTITY])+SUMIF(TRANSHARI8_ACCMALAM[PRODUK],CP137,TRANSHARI8_ACCMALAM[QUANTITY])</f>
        <v>0</v>
      </c>
      <c r="DD137" s="12">
        <f>SUMIF(TRANSHARI9_ACCPAGI[PRODUK],CP137,TRANSHARI9_ACCPAGI[QUANTITY])+SUMIF(TRANSHARI9_ACCMALAM[PRODUK],CP137,TRANSHARI9_ACCMALAM[QUANTITY])</f>
        <v>0</v>
      </c>
      <c r="DE137" s="12">
        <f>SUMIF(TRANSHARI10_ACCPAGI[PRODUK],CP137,TRANSHARI10_ACCPAGI[QUANTITY])+SUMIF(TRANSHARI10_ACCMALAM[PRODUK],CP137,TRANSHARI10_ACCMALAM[QUANTITY])</f>
        <v>0</v>
      </c>
      <c r="DF137" s="12">
        <f>SUMIF(TRANSHARI11_ACCPAGI[PRODUK],CP137,TRANSHARI11_ACCPAGI[QUANTITY])+SUMIF(TRANSHARI11_ACCMALAM[PRODUK],CP137,TRANSHARI11_ACCMALAM[QUANTITY])</f>
        <v>0</v>
      </c>
      <c r="DG137" s="12">
        <f t="shared" si="44"/>
        <v>0</v>
      </c>
      <c r="DH137" s="12">
        <f t="shared" si="45"/>
        <v>0</v>
      </c>
      <c r="DI137" s="173">
        <f t="shared" si="46"/>
        <v>0</v>
      </c>
    </row>
    <row r="138" ht="18" spans="94:113">
      <c r="CP138" s="218" t="str">
        <f>'DATA PRODUK'!BH135</f>
        <v>(MEMORY CARD) Vivan 64GB</v>
      </c>
      <c r="CQ138" s="219">
        <f>'DATA PRODUK'!BI135</f>
        <v>150000</v>
      </c>
      <c r="CR138" s="154"/>
      <c r="CS138" s="154"/>
      <c r="CT138" s="154"/>
      <c r="CU138" s="154"/>
      <c r="CV138" s="154">
        <f>SUMIF(TRANSHARI1_ACCPAGI[PRODUK],CP138,TRANSHARI1_ACCPAGI[QUANTITY])+SUMIF(TRANSHARI1_ACCMALAM[PRODUK],CP138,TRANSHARI1_ACCMALAM[QUANTITY])</f>
        <v>0</v>
      </c>
      <c r="CW138" s="154">
        <f>SUMIF(TRANSHARI2_ACCPAGI[PRODUK],CP138,TRANSHARI2_ACCPAGI[QUANTITY])+SUMIF(TRANSHARI2_ACCMALAM[PRODUK],CP138,TRANSHARI2_ACCMALAM[QUANTITY])</f>
        <v>0</v>
      </c>
      <c r="CX138" s="154">
        <f>SUMIF(TRANSHARI3_ACCPAGI[PRODUK],CP138,TRANSHARI3_ACCPAGI[QUANTITY])+SUMIF(TRANSHARI3_ACCMALAM[PRODUK],CP138,TRANSHARI3_ACCMALAM[QUANTITY])</f>
        <v>0</v>
      </c>
      <c r="CY138" s="154">
        <f>SUMIF(TRANSHARI4_ACCPAGI[PRODUK],CP138,TRANSHARI4_ACCPAGI[QUANTITY])+SUMIF(TRANSHARI4_ACCMALAM[PRODUK],CP138,TRANSHARI4_ACCMALAM[QUANTITY])</f>
        <v>0</v>
      </c>
      <c r="CZ138" s="154">
        <f>SUMIF(TRANSHARI5_ACCPAGI[PRODUK],CP138,TRANSHARI5_ACCPAGI[QUANTITY])+SUMIF(TRANSHARI5_ACCMALAM[PRODUK],CP138,TRANSHARI5_ACCMALAM[QUANTITY])</f>
        <v>0</v>
      </c>
      <c r="DA138" s="154">
        <f>SUMIF(TRANSHARI6_ACCPAGI[PRODUK],CP138,TRANSHARI6_ACCPAGI[QUANTITY])+SUMIF(TRANSHARI6_ACCMALAM[PRODUK],CP138,TRANSHARI6_ACCMALAM[QUANTITY])</f>
        <v>0</v>
      </c>
      <c r="DB138" s="154">
        <f>SUMIF(TRANSHARI7_ACCPAGI[PRODUK],CP138,TRANSHARI7_ACCPAGI[QUANTITY])+SUMIF(TRANSHARI7_ACCMALAM[PRODUK],CP138,TRANSHARI7_ACCMALAM[QUANTITY])</f>
        <v>0</v>
      </c>
      <c r="DC138" s="154">
        <f>SUMIF(TRANSHARI8_ACCPAGI[PRODUK],CP138,TRANSHARI8_ACCPAGI[QUANTITY])+SUMIF(TRANSHARI8_ACCMALAM[PRODUK],CP138,TRANSHARI8_ACCMALAM[QUANTITY])</f>
        <v>0</v>
      </c>
      <c r="DD138" s="154">
        <f>SUMIF(TRANSHARI9_ACCPAGI[PRODUK],CP138,TRANSHARI9_ACCPAGI[QUANTITY])+SUMIF(TRANSHARI9_ACCMALAM[PRODUK],CP138,TRANSHARI9_ACCMALAM[QUANTITY])</f>
        <v>0</v>
      </c>
      <c r="DE138" s="154">
        <f>SUMIF(TRANSHARI10_ACCPAGI[PRODUK],CP138,TRANSHARI10_ACCPAGI[QUANTITY])+SUMIF(TRANSHARI10_ACCMALAM[PRODUK],CP138,TRANSHARI10_ACCMALAM[QUANTITY])</f>
        <v>0</v>
      </c>
      <c r="DF138" s="154">
        <f>SUMIF(TRANSHARI11_ACCPAGI[PRODUK],CP138,TRANSHARI11_ACCPAGI[QUANTITY])+SUMIF(TRANSHARI11_ACCMALAM[PRODUK],CP138,TRANSHARI11_ACCMALAM[QUANTITY])</f>
        <v>0</v>
      </c>
      <c r="DG138" s="154">
        <f t="shared" si="44"/>
        <v>0</v>
      </c>
      <c r="DH138" s="154">
        <f t="shared" si="45"/>
        <v>0</v>
      </c>
      <c r="DI138" s="179">
        <f t="shared" si="46"/>
        <v>0</v>
      </c>
    </row>
    <row r="139" ht="18" spans="94:113">
      <c r="CP139" s="177" t="str">
        <f>'DATA PRODUK'!BH136</f>
        <v>(FLASHDISK) Robot RF-104 4GB</v>
      </c>
      <c r="CQ139" s="175">
        <f>'DATA PRODUK'!BI136</f>
        <v>60000</v>
      </c>
      <c r="CR139" s="12"/>
      <c r="CS139" s="12"/>
      <c r="CT139" s="12"/>
      <c r="CU139" s="12"/>
      <c r="CV139" s="12">
        <f>SUMIF(TRANSHARI1_ACCPAGI[PRODUK],CP139,TRANSHARI1_ACCPAGI[QUANTITY])+SUMIF(TRANSHARI1_ACCMALAM[PRODUK],CP139,TRANSHARI1_ACCMALAM[QUANTITY])</f>
        <v>0</v>
      </c>
      <c r="CW139" s="12">
        <f>SUMIF(TRANSHARI2_ACCPAGI[PRODUK],CP139,TRANSHARI2_ACCPAGI[QUANTITY])+SUMIF(TRANSHARI2_ACCMALAM[PRODUK],CP139,TRANSHARI2_ACCMALAM[QUANTITY])</f>
        <v>0</v>
      </c>
      <c r="CX139" s="12">
        <f>SUMIF(TRANSHARI3_ACCPAGI[PRODUK],CP139,TRANSHARI3_ACCPAGI[QUANTITY])+SUMIF(TRANSHARI3_ACCMALAM[PRODUK],CP139,TRANSHARI3_ACCMALAM[QUANTITY])</f>
        <v>0</v>
      </c>
      <c r="CY139" s="12">
        <f>SUMIF(TRANSHARI4_ACCPAGI[PRODUK],CP139,TRANSHARI4_ACCPAGI[QUANTITY])+SUMIF(TRANSHARI4_ACCMALAM[PRODUK],CP139,TRANSHARI4_ACCMALAM[QUANTITY])</f>
        <v>0</v>
      </c>
      <c r="CZ139" s="12">
        <f>SUMIF(TRANSHARI5_ACCPAGI[PRODUK],CP139,TRANSHARI5_ACCPAGI[QUANTITY])+SUMIF(TRANSHARI5_ACCMALAM[PRODUK],CP139,TRANSHARI5_ACCMALAM[QUANTITY])</f>
        <v>0</v>
      </c>
      <c r="DA139" s="12">
        <f>SUMIF(TRANSHARI6_ACCPAGI[PRODUK],CP139,TRANSHARI6_ACCPAGI[QUANTITY])+SUMIF(TRANSHARI6_ACCMALAM[PRODUK],CP139,TRANSHARI6_ACCMALAM[QUANTITY])</f>
        <v>0</v>
      </c>
      <c r="DB139" s="12">
        <f>SUMIF(TRANSHARI7_ACCPAGI[PRODUK],CP139,TRANSHARI7_ACCPAGI[QUANTITY])+SUMIF(TRANSHARI7_ACCMALAM[PRODUK],CP139,TRANSHARI7_ACCMALAM[QUANTITY])</f>
        <v>0</v>
      </c>
      <c r="DC139" s="12">
        <f>SUMIF(TRANSHARI8_ACCPAGI[PRODUK],CP139,TRANSHARI8_ACCPAGI[QUANTITY])+SUMIF(TRANSHARI8_ACCMALAM[PRODUK],CP139,TRANSHARI8_ACCMALAM[QUANTITY])</f>
        <v>0</v>
      </c>
      <c r="DD139" s="12">
        <f>SUMIF(TRANSHARI9_ACCPAGI[PRODUK],CP139,TRANSHARI9_ACCPAGI[QUANTITY])+SUMIF(TRANSHARI9_ACCMALAM[PRODUK],CP139,TRANSHARI9_ACCMALAM[QUANTITY])</f>
        <v>0</v>
      </c>
      <c r="DE139" s="12">
        <f>SUMIF(TRANSHARI10_ACCPAGI[PRODUK],CP139,TRANSHARI10_ACCPAGI[QUANTITY])+SUMIF(TRANSHARI10_ACCMALAM[PRODUK],CP139,TRANSHARI10_ACCMALAM[QUANTITY])</f>
        <v>0</v>
      </c>
      <c r="DF139" s="12">
        <f>SUMIF(TRANSHARI11_ACCPAGI[PRODUK],CP139,TRANSHARI11_ACCPAGI[QUANTITY])+SUMIF(TRANSHARI11_ACCMALAM[PRODUK],CP139,TRANSHARI11_ACCMALAM[QUANTITY])</f>
        <v>0</v>
      </c>
      <c r="DG139" s="12">
        <f t="shared" si="44"/>
        <v>0</v>
      </c>
      <c r="DH139" s="12">
        <f t="shared" si="45"/>
        <v>0</v>
      </c>
      <c r="DI139" s="173">
        <f t="shared" si="46"/>
        <v>0</v>
      </c>
    </row>
    <row r="140" ht="18" spans="94:113">
      <c r="CP140" s="218" t="str">
        <f>'DATA PRODUK'!BH137</f>
        <v>(FLASHDISK) Robot RF-108 8GB</v>
      </c>
      <c r="CQ140" s="219">
        <f>'DATA PRODUK'!BI137</f>
        <v>70000</v>
      </c>
      <c r="CR140" s="154"/>
      <c r="CS140" s="154"/>
      <c r="CT140" s="154"/>
      <c r="CU140" s="154"/>
      <c r="CV140" s="154">
        <f>SUMIF(TRANSHARI1_ACCPAGI[PRODUK],CP140,TRANSHARI1_ACCPAGI[QUANTITY])+SUMIF(TRANSHARI1_ACCMALAM[PRODUK],CP140,TRANSHARI1_ACCMALAM[QUANTITY])</f>
        <v>0</v>
      </c>
      <c r="CW140" s="154">
        <f>SUMIF(TRANSHARI2_ACCPAGI[PRODUK],CP140,TRANSHARI2_ACCPAGI[QUANTITY])+SUMIF(TRANSHARI2_ACCMALAM[PRODUK],CP140,TRANSHARI2_ACCMALAM[QUANTITY])</f>
        <v>0</v>
      </c>
      <c r="CX140" s="154">
        <f>SUMIF(TRANSHARI3_ACCPAGI[PRODUK],CP140,TRANSHARI3_ACCPAGI[QUANTITY])+SUMIF(TRANSHARI3_ACCMALAM[PRODUK],CP140,TRANSHARI3_ACCMALAM[QUANTITY])</f>
        <v>0</v>
      </c>
      <c r="CY140" s="154">
        <f>SUMIF(TRANSHARI4_ACCPAGI[PRODUK],CP140,TRANSHARI4_ACCPAGI[QUANTITY])+SUMIF(TRANSHARI4_ACCMALAM[PRODUK],CP140,TRANSHARI4_ACCMALAM[QUANTITY])</f>
        <v>0</v>
      </c>
      <c r="CZ140" s="154">
        <f>SUMIF(TRANSHARI5_ACCPAGI[PRODUK],CP140,TRANSHARI5_ACCPAGI[QUANTITY])+SUMIF(TRANSHARI5_ACCMALAM[PRODUK],CP140,TRANSHARI5_ACCMALAM[QUANTITY])</f>
        <v>0</v>
      </c>
      <c r="DA140" s="154">
        <f>SUMIF(TRANSHARI6_ACCPAGI[PRODUK],CP140,TRANSHARI6_ACCPAGI[QUANTITY])+SUMIF(TRANSHARI6_ACCMALAM[PRODUK],CP140,TRANSHARI6_ACCMALAM[QUANTITY])</f>
        <v>0</v>
      </c>
      <c r="DB140" s="154">
        <f>SUMIF(TRANSHARI7_ACCPAGI[PRODUK],CP140,TRANSHARI7_ACCPAGI[QUANTITY])+SUMIF(TRANSHARI7_ACCMALAM[PRODUK],CP140,TRANSHARI7_ACCMALAM[QUANTITY])</f>
        <v>0</v>
      </c>
      <c r="DC140" s="154">
        <f>SUMIF(TRANSHARI8_ACCPAGI[PRODUK],CP140,TRANSHARI8_ACCPAGI[QUANTITY])+SUMIF(TRANSHARI8_ACCMALAM[PRODUK],CP140,TRANSHARI8_ACCMALAM[QUANTITY])</f>
        <v>0</v>
      </c>
      <c r="DD140" s="154">
        <f>SUMIF(TRANSHARI9_ACCPAGI[PRODUK],CP140,TRANSHARI9_ACCPAGI[QUANTITY])+SUMIF(TRANSHARI9_ACCMALAM[PRODUK],CP140,TRANSHARI9_ACCMALAM[QUANTITY])</f>
        <v>0</v>
      </c>
      <c r="DE140" s="154">
        <f>SUMIF(TRANSHARI10_ACCPAGI[PRODUK],CP140,TRANSHARI10_ACCPAGI[QUANTITY])+SUMIF(TRANSHARI10_ACCMALAM[PRODUK],CP140,TRANSHARI10_ACCMALAM[QUANTITY])</f>
        <v>0</v>
      </c>
      <c r="DF140" s="154">
        <f>SUMIF(TRANSHARI11_ACCPAGI[PRODUK],CP140,TRANSHARI11_ACCPAGI[QUANTITY])+SUMIF(TRANSHARI11_ACCMALAM[PRODUK],CP140,TRANSHARI11_ACCMALAM[QUANTITY])</f>
        <v>0</v>
      </c>
      <c r="DG140" s="154">
        <f t="shared" si="44"/>
        <v>0</v>
      </c>
      <c r="DH140" s="154">
        <f t="shared" si="45"/>
        <v>0</v>
      </c>
      <c r="DI140" s="179">
        <f t="shared" si="46"/>
        <v>0</v>
      </c>
    </row>
    <row r="141" ht="18" spans="94:113">
      <c r="CP141" s="177" t="str">
        <f>'DATA PRODUK'!BH138</f>
        <v>(FLASHDISK) Vivan VF516 16GB</v>
      </c>
      <c r="CQ141" s="175">
        <f>'DATA PRODUK'!BI138</f>
        <v>95000</v>
      </c>
      <c r="CR141" s="12"/>
      <c r="CS141" s="12"/>
      <c r="CT141" s="12"/>
      <c r="CU141" s="12"/>
      <c r="CV141" s="12">
        <f>SUMIF(TRANSHARI1_ACCPAGI[PRODUK],CP141,TRANSHARI1_ACCPAGI[QUANTITY])+SUMIF(TRANSHARI1_ACCMALAM[PRODUK],CP141,TRANSHARI1_ACCMALAM[QUANTITY])</f>
        <v>0</v>
      </c>
      <c r="CW141" s="12">
        <f>SUMIF(TRANSHARI2_ACCPAGI[PRODUK],CP141,TRANSHARI2_ACCPAGI[QUANTITY])+SUMIF(TRANSHARI2_ACCMALAM[PRODUK],CP141,TRANSHARI2_ACCMALAM[QUANTITY])</f>
        <v>0</v>
      </c>
      <c r="CX141" s="12">
        <f>SUMIF(TRANSHARI3_ACCPAGI[PRODUK],CP141,TRANSHARI3_ACCPAGI[QUANTITY])+SUMIF(TRANSHARI3_ACCMALAM[PRODUK],CP141,TRANSHARI3_ACCMALAM[QUANTITY])</f>
        <v>0</v>
      </c>
      <c r="CY141" s="12">
        <f>SUMIF(TRANSHARI4_ACCPAGI[PRODUK],CP141,TRANSHARI4_ACCPAGI[QUANTITY])+SUMIF(TRANSHARI4_ACCMALAM[PRODUK],CP141,TRANSHARI4_ACCMALAM[QUANTITY])</f>
        <v>0</v>
      </c>
      <c r="CZ141" s="12">
        <f>SUMIF(TRANSHARI5_ACCPAGI[PRODUK],CP141,TRANSHARI5_ACCPAGI[QUANTITY])+SUMIF(TRANSHARI5_ACCMALAM[PRODUK],CP141,TRANSHARI5_ACCMALAM[QUANTITY])</f>
        <v>0</v>
      </c>
      <c r="DA141" s="12">
        <f>SUMIF(TRANSHARI6_ACCPAGI[PRODUK],CP141,TRANSHARI6_ACCPAGI[QUANTITY])+SUMIF(TRANSHARI6_ACCMALAM[PRODUK],CP141,TRANSHARI6_ACCMALAM[QUANTITY])</f>
        <v>0</v>
      </c>
      <c r="DB141" s="12">
        <f>SUMIF(TRANSHARI7_ACCPAGI[PRODUK],CP141,TRANSHARI7_ACCPAGI[QUANTITY])+SUMIF(TRANSHARI7_ACCMALAM[PRODUK],CP141,TRANSHARI7_ACCMALAM[QUANTITY])</f>
        <v>0</v>
      </c>
      <c r="DC141" s="12">
        <f>SUMIF(TRANSHARI8_ACCPAGI[PRODUK],CP141,TRANSHARI8_ACCPAGI[QUANTITY])+SUMIF(TRANSHARI8_ACCMALAM[PRODUK],CP141,TRANSHARI8_ACCMALAM[QUANTITY])</f>
        <v>0</v>
      </c>
      <c r="DD141" s="12">
        <f>SUMIF(TRANSHARI9_ACCPAGI[PRODUK],CP141,TRANSHARI9_ACCPAGI[QUANTITY])+SUMIF(TRANSHARI9_ACCMALAM[PRODUK],CP141,TRANSHARI9_ACCMALAM[QUANTITY])</f>
        <v>0</v>
      </c>
      <c r="DE141" s="12">
        <f>SUMIF(TRANSHARI10_ACCPAGI[PRODUK],CP141,TRANSHARI10_ACCPAGI[QUANTITY])+SUMIF(TRANSHARI10_ACCMALAM[PRODUK],CP141,TRANSHARI10_ACCMALAM[QUANTITY])</f>
        <v>0</v>
      </c>
      <c r="DF141" s="12">
        <f>SUMIF(TRANSHARI11_ACCPAGI[PRODUK],CP141,TRANSHARI11_ACCPAGI[QUANTITY])+SUMIF(TRANSHARI11_ACCMALAM[PRODUK],CP141,TRANSHARI11_ACCMALAM[QUANTITY])</f>
        <v>0</v>
      </c>
      <c r="DG141" s="12">
        <f t="shared" si="44"/>
        <v>0</v>
      </c>
      <c r="DH141" s="12">
        <f t="shared" si="45"/>
        <v>0</v>
      </c>
      <c r="DI141" s="173">
        <f t="shared" si="46"/>
        <v>0</v>
      </c>
    </row>
    <row r="142" ht="18" spans="94:113">
      <c r="CP142" s="218" t="str">
        <f>'DATA PRODUK'!BH139</f>
        <v>(FLASHDISK) Vivan VF532 32GB</v>
      </c>
      <c r="CQ142" s="219">
        <f>'DATA PRODUK'!BI139</f>
        <v>115000</v>
      </c>
      <c r="CR142" s="154"/>
      <c r="CS142" s="154"/>
      <c r="CT142" s="154"/>
      <c r="CU142" s="154"/>
      <c r="CV142" s="154">
        <f>SUMIF(TRANSHARI1_ACCPAGI[PRODUK],CP142,TRANSHARI1_ACCPAGI[QUANTITY])+SUMIF(TRANSHARI1_ACCMALAM[PRODUK],CP142,TRANSHARI1_ACCMALAM[QUANTITY])</f>
        <v>0</v>
      </c>
      <c r="CW142" s="154">
        <f>SUMIF(TRANSHARI2_ACCPAGI[PRODUK],CP142,TRANSHARI2_ACCPAGI[QUANTITY])+SUMIF(TRANSHARI2_ACCMALAM[PRODUK],CP142,TRANSHARI2_ACCMALAM[QUANTITY])</f>
        <v>0</v>
      </c>
      <c r="CX142" s="154">
        <f>SUMIF(TRANSHARI3_ACCPAGI[PRODUK],CP142,TRANSHARI3_ACCPAGI[QUANTITY])+SUMIF(TRANSHARI3_ACCMALAM[PRODUK],CP142,TRANSHARI3_ACCMALAM[QUANTITY])</f>
        <v>0</v>
      </c>
      <c r="CY142" s="154">
        <f>SUMIF(TRANSHARI4_ACCPAGI[PRODUK],CP142,TRANSHARI4_ACCPAGI[QUANTITY])+SUMIF(TRANSHARI4_ACCMALAM[PRODUK],CP142,TRANSHARI4_ACCMALAM[QUANTITY])</f>
        <v>0</v>
      </c>
      <c r="CZ142" s="154">
        <f>SUMIF(TRANSHARI5_ACCPAGI[PRODUK],CP142,TRANSHARI5_ACCPAGI[QUANTITY])+SUMIF(TRANSHARI5_ACCMALAM[PRODUK],CP142,TRANSHARI5_ACCMALAM[QUANTITY])</f>
        <v>0</v>
      </c>
      <c r="DA142" s="154">
        <f>SUMIF(TRANSHARI6_ACCPAGI[PRODUK],CP142,TRANSHARI6_ACCPAGI[QUANTITY])+SUMIF(TRANSHARI6_ACCMALAM[PRODUK],CP142,TRANSHARI6_ACCMALAM[QUANTITY])</f>
        <v>0</v>
      </c>
      <c r="DB142" s="154">
        <f>SUMIF(TRANSHARI7_ACCPAGI[PRODUK],CP142,TRANSHARI7_ACCPAGI[QUANTITY])+SUMIF(TRANSHARI7_ACCMALAM[PRODUK],CP142,TRANSHARI7_ACCMALAM[QUANTITY])</f>
        <v>0</v>
      </c>
      <c r="DC142" s="154">
        <f>SUMIF(TRANSHARI8_ACCPAGI[PRODUK],CP142,TRANSHARI8_ACCPAGI[QUANTITY])+SUMIF(TRANSHARI8_ACCMALAM[PRODUK],CP142,TRANSHARI8_ACCMALAM[QUANTITY])</f>
        <v>0</v>
      </c>
      <c r="DD142" s="154">
        <f>SUMIF(TRANSHARI9_ACCPAGI[PRODUK],CP142,TRANSHARI9_ACCPAGI[QUANTITY])+SUMIF(TRANSHARI9_ACCMALAM[PRODUK],CP142,TRANSHARI9_ACCMALAM[QUANTITY])</f>
        <v>0</v>
      </c>
      <c r="DE142" s="154">
        <f>SUMIF(TRANSHARI10_ACCPAGI[PRODUK],CP142,TRANSHARI10_ACCPAGI[QUANTITY])+SUMIF(TRANSHARI10_ACCMALAM[PRODUK],CP142,TRANSHARI10_ACCMALAM[QUANTITY])</f>
        <v>0</v>
      </c>
      <c r="DF142" s="154">
        <f>SUMIF(TRANSHARI11_ACCPAGI[PRODUK],CP142,TRANSHARI11_ACCPAGI[QUANTITY])+SUMIF(TRANSHARI11_ACCMALAM[PRODUK],CP142,TRANSHARI11_ACCMALAM[QUANTITY])</f>
        <v>0</v>
      </c>
      <c r="DG142" s="154">
        <f t="shared" si="44"/>
        <v>0</v>
      </c>
      <c r="DH142" s="154">
        <f t="shared" si="45"/>
        <v>0</v>
      </c>
      <c r="DI142" s="179">
        <f t="shared" si="46"/>
        <v>0</v>
      </c>
    </row>
    <row r="143" ht="18" spans="94:113">
      <c r="CP143" s="177" t="str">
        <f>'DATA PRODUK'!BH140</f>
        <v>(FLASHDISK) Vivan VF564 64GB</v>
      </c>
      <c r="CQ143" s="175">
        <f>'DATA PRODUK'!BI140</f>
        <v>150000</v>
      </c>
      <c r="CR143" s="12"/>
      <c r="CS143" s="12"/>
      <c r="CT143" s="12"/>
      <c r="CU143" s="12"/>
      <c r="CV143" s="12">
        <f>SUMIF(TRANSHARI1_ACCPAGI[PRODUK],CP143,TRANSHARI1_ACCPAGI[QUANTITY])+SUMIF(TRANSHARI1_ACCMALAM[PRODUK],CP143,TRANSHARI1_ACCMALAM[QUANTITY])</f>
        <v>0</v>
      </c>
      <c r="CW143" s="12">
        <f>SUMIF(TRANSHARI2_ACCPAGI[PRODUK],CP143,TRANSHARI2_ACCPAGI[QUANTITY])+SUMIF(TRANSHARI2_ACCMALAM[PRODUK],CP143,TRANSHARI2_ACCMALAM[QUANTITY])</f>
        <v>0</v>
      </c>
      <c r="CX143" s="12">
        <f>SUMIF(TRANSHARI3_ACCPAGI[PRODUK],CP143,TRANSHARI3_ACCPAGI[QUANTITY])+SUMIF(TRANSHARI3_ACCMALAM[PRODUK],CP143,TRANSHARI3_ACCMALAM[QUANTITY])</f>
        <v>0</v>
      </c>
      <c r="CY143" s="12">
        <f>SUMIF(TRANSHARI4_ACCPAGI[PRODUK],CP143,TRANSHARI4_ACCPAGI[QUANTITY])+SUMIF(TRANSHARI4_ACCMALAM[PRODUK],CP143,TRANSHARI4_ACCMALAM[QUANTITY])</f>
        <v>0</v>
      </c>
      <c r="CZ143" s="12">
        <f>SUMIF(TRANSHARI5_ACCPAGI[PRODUK],CP143,TRANSHARI5_ACCPAGI[QUANTITY])+SUMIF(TRANSHARI5_ACCMALAM[PRODUK],CP143,TRANSHARI5_ACCMALAM[QUANTITY])</f>
        <v>0</v>
      </c>
      <c r="DA143" s="12">
        <f>SUMIF(TRANSHARI6_ACCPAGI[PRODUK],CP143,TRANSHARI6_ACCPAGI[QUANTITY])+SUMIF(TRANSHARI6_ACCMALAM[PRODUK],CP143,TRANSHARI6_ACCMALAM[QUANTITY])</f>
        <v>0</v>
      </c>
      <c r="DB143" s="12">
        <f>SUMIF(TRANSHARI7_ACCPAGI[PRODUK],CP143,TRANSHARI7_ACCPAGI[QUANTITY])+SUMIF(TRANSHARI7_ACCMALAM[PRODUK],CP143,TRANSHARI7_ACCMALAM[QUANTITY])</f>
        <v>0</v>
      </c>
      <c r="DC143" s="12">
        <f>SUMIF(TRANSHARI8_ACCPAGI[PRODUK],CP143,TRANSHARI8_ACCPAGI[QUANTITY])+SUMIF(TRANSHARI8_ACCMALAM[PRODUK],CP143,TRANSHARI8_ACCMALAM[QUANTITY])</f>
        <v>0</v>
      </c>
      <c r="DD143" s="12">
        <f>SUMIF(TRANSHARI9_ACCPAGI[PRODUK],CP143,TRANSHARI9_ACCPAGI[QUANTITY])+SUMIF(TRANSHARI9_ACCMALAM[PRODUK],CP143,TRANSHARI9_ACCMALAM[QUANTITY])</f>
        <v>0</v>
      </c>
      <c r="DE143" s="12">
        <f>SUMIF(TRANSHARI10_ACCPAGI[PRODUK],CP143,TRANSHARI10_ACCPAGI[QUANTITY])+SUMIF(TRANSHARI10_ACCMALAM[PRODUK],CP143,TRANSHARI10_ACCMALAM[QUANTITY])</f>
        <v>0</v>
      </c>
      <c r="DF143" s="12">
        <f>SUMIF(TRANSHARI11_ACCPAGI[PRODUK],CP143,TRANSHARI11_ACCPAGI[QUANTITY])+SUMIF(TRANSHARI11_ACCMALAM[PRODUK],CP143,TRANSHARI11_ACCMALAM[QUANTITY])</f>
        <v>0</v>
      </c>
      <c r="DG143" s="12">
        <f t="shared" si="44"/>
        <v>0</v>
      </c>
      <c r="DH143" s="12">
        <f t="shared" si="45"/>
        <v>0</v>
      </c>
      <c r="DI143" s="173">
        <f t="shared" si="46"/>
        <v>0</v>
      </c>
    </row>
    <row r="144" ht="18" spans="94:113">
      <c r="CP144" s="218" t="str">
        <f>'DATA PRODUK'!BH141</f>
        <v>(HDMI)(1M) Robot 4K RFH01</v>
      </c>
      <c r="CQ144" s="219">
        <f>'DATA PRODUK'!BI141</f>
        <v>45000</v>
      </c>
      <c r="CR144" s="154"/>
      <c r="CS144" s="154"/>
      <c r="CT144" s="154"/>
      <c r="CU144" s="154"/>
      <c r="CV144" s="154">
        <f>SUMIF(TRANSHARI1_ACCPAGI[PRODUK],CP144,TRANSHARI1_ACCPAGI[QUANTITY])+SUMIF(TRANSHARI1_ACCMALAM[PRODUK],CP144,TRANSHARI1_ACCMALAM[QUANTITY])</f>
        <v>0</v>
      </c>
      <c r="CW144" s="154">
        <f>SUMIF(TRANSHARI2_ACCPAGI[PRODUK],CP144,TRANSHARI2_ACCPAGI[QUANTITY])+SUMIF(TRANSHARI2_ACCMALAM[PRODUK],CP144,TRANSHARI2_ACCMALAM[QUANTITY])</f>
        <v>0</v>
      </c>
      <c r="CX144" s="154">
        <f>SUMIF(TRANSHARI3_ACCPAGI[PRODUK],CP144,TRANSHARI3_ACCPAGI[QUANTITY])+SUMIF(TRANSHARI3_ACCMALAM[PRODUK],CP144,TRANSHARI3_ACCMALAM[QUANTITY])</f>
        <v>0</v>
      </c>
      <c r="CY144" s="154">
        <f>SUMIF(TRANSHARI4_ACCPAGI[PRODUK],CP144,TRANSHARI4_ACCPAGI[QUANTITY])+SUMIF(TRANSHARI4_ACCMALAM[PRODUK],CP144,TRANSHARI4_ACCMALAM[QUANTITY])</f>
        <v>0</v>
      </c>
      <c r="CZ144" s="154">
        <f>SUMIF(TRANSHARI5_ACCPAGI[PRODUK],CP144,TRANSHARI5_ACCPAGI[QUANTITY])+SUMIF(TRANSHARI5_ACCMALAM[PRODUK],CP144,TRANSHARI5_ACCMALAM[QUANTITY])</f>
        <v>0</v>
      </c>
      <c r="DA144" s="154">
        <f>SUMIF(TRANSHARI6_ACCPAGI[PRODUK],CP144,TRANSHARI6_ACCPAGI[QUANTITY])+SUMIF(TRANSHARI6_ACCMALAM[PRODUK],CP144,TRANSHARI6_ACCMALAM[QUANTITY])</f>
        <v>0</v>
      </c>
      <c r="DB144" s="154">
        <f>SUMIF(TRANSHARI7_ACCPAGI[PRODUK],CP144,TRANSHARI7_ACCPAGI[QUANTITY])+SUMIF(TRANSHARI7_ACCMALAM[PRODUK],CP144,TRANSHARI7_ACCMALAM[QUANTITY])</f>
        <v>0</v>
      </c>
      <c r="DC144" s="154">
        <f>SUMIF(TRANSHARI8_ACCPAGI[PRODUK],CP144,TRANSHARI8_ACCPAGI[QUANTITY])+SUMIF(TRANSHARI8_ACCMALAM[PRODUK],CP144,TRANSHARI8_ACCMALAM[QUANTITY])</f>
        <v>0</v>
      </c>
      <c r="DD144" s="154">
        <f>SUMIF(TRANSHARI9_ACCPAGI[PRODUK],CP144,TRANSHARI9_ACCPAGI[QUANTITY])+SUMIF(TRANSHARI9_ACCMALAM[PRODUK],CP144,TRANSHARI9_ACCMALAM[QUANTITY])</f>
        <v>0</v>
      </c>
      <c r="DE144" s="154">
        <f>SUMIF(TRANSHARI10_ACCPAGI[PRODUK],CP144,TRANSHARI10_ACCPAGI[QUANTITY])+SUMIF(TRANSHARI10_ACCMALAM[PRODUK],CP144,TRANSHARI10_ACCMALAM[QUANTITY])</f>
        <v>0</v>
      </c>
      <c r="DF144" s="154">
        <f>SUMIF(TRANSHARI11_ACCPAGI[PRODUK],CP144,TRANSHARI11_ACCPAGI[QUANTITY])+SUMIF(TRANSHARI11_ACCMALAM[PRODUK],CP144,TRANSHARI11_ACCMALAM[QUANTITY])</f>
        <v>0</v>
      </c>
      <c r="DG144" s="154">
        <f t="shared" si="44"/>
        <v>0</v>
      </c>
      <c r="DH144" s="154">
        <f t="shared" si="45"/>
        <v>0</v>
      </c>
      <c r="DI144" s="179">
        <f t="shared" si="46"/>
        <v>0</v>
      </c>
    </row>
    <row r="145" ht="18" spans="94:113">
      <c r="CP145" s="177" t="str">
        <f>'DATA PRODUK'!BH142</f>
        <v>(HDMI)(1.5M) Robot 4K RFH015</v>
      </c>
      <c r="CQ145" s="175">
        <f>'DATA PRODUK'!BI142</f>
        <v>55000</v>
      </c>
      <c r="CR145" s="12"/>
      <c r="CS145" s="12"/>
      <c r="CT145" s="12"/>
      <c r="CU145" s="12"/>
      <c r="CV145" s="12">
        <f>SUMIF(TRANSHARI1_ACCPAGI[PRODUK],CP145,TRANSHARI1_ACCPAGI[QUANTITY])+SUMIF(TRANSHARI1_ACCMALAM[PRODUK],CP145,TRANSHARI1_ACCMALAM[QUANTITY])</f>
        <v>0</v>
      </c>
      <c r="CW145" s="12">
        <f>SUMIF(TRANSHARI2_ACCPAGI[PRODUK],CP145,TRANSHARI2_ACCPAGI[QUANTITY])+SUMIF(TRANSHARI2_ACCMALAM[PRODUK],CP145,TRANSHARI2_ACCMALAM[QUANTITY])</f>
        <v>0</v>
      </c>
      <c r="CX145" s="12">
        <f>SUMIF(TRANSHARI3_ACCPAGI[PRODUK],CP145,TRANSHARI3_ACCPAGI[QUANTITY])+SUMIF(TRANSHARI3_ACCMALAM[PRODUK],CP145,TRANSHARI3_ACCMALAM[QUANTITY])</f>
        <v>0</v>
      </c>
      <c r="CY145" s="12">
        <f>SUMIF(TRANSHARI4_ACCPAGI[PRODUK],CP145,TRANSHARI4_ACCPAGI[QUANTITY])+SUMIF(TRANSHARI4_ACCMALAM[PRODUK],CP145,TRANSHARI4_ACCMALAM[QUANTITY])</f>
        <v>0</v>
      </c>
      <c r="CZ145" s="12">
        <f>SUMIF(TRANSHARI5_ACCPAGI[PRODUK],CP145,TRANSHARI5_ACCPAGI[QUANTITY])+SUMIF(TRANSHARI5_ACCMALAM[PRODUK],CP145,TRANSHARI5_ACCMALAM[QUANTITY])</f>
        <v>0</v>
      </c>
      <c r="DA145" s="12">
        <f>SUMIF(TRANSHARI6_ACCPAGI[PRODUK],CP145,TRANSHARI6_ACCPAGI[QUANTITY])+SUMIF(TRANSHARI6_ACCMALAM[PRODUK],CP145,TRANSHARI6_ACCMALAM[QUANTITY])</f>
        <v>0</v>
      </c>
      <c r="DB145" s="12">
        <f>SUMIF(TRANSHARI7_ACCPAGI[PRODUK],CP145,TRANSHARI7_ACCPAGI[QUANTITY])+SUMIF(TRANSHARI7_ACCMALAM[PRODUK],CP145,TRANSHARI7_ACCMALAM[QUANTITY])</f>
        <v>0</v>
      </c>
      <c r="DC145" s="12">
        <f>SUMIF(TRANSHARI8_ACCPAGI[PRODUK],CP145,TRANSHARI8_ACCPAGI[QUANTITY])+SUMIF(TRANSHARI8_ACCMALAM[PRODUK],CP145,TRANSHARI8_ACCMALAM[QUANTITY])</f>
        <v>0</v>
      </c>
      <c r="DD145" s="12">
        <f>SUMIF(TRANSHARI9_ACCPAGI[PRODUK],CP145,TRANSHARI9_ACCPAGI[QUANTITY])+SUMIF(TRANSHARI9_ACCMALAM[PRODUK],CP145,TRANSHARI9_ACCMALAM[QUANTITY])</f>
        <v>0</v>
      </c>
      <c r="DE145" s="12">
        <f>SUMIF(TRANSHARI10_ACCPAGI[PRODUK],CP145,TRANSHARI10_ACCPAGI[QUANTITY])+SUMIF(TRANSHARI10_ACCMALAM[PRODUK],CP145,TRANSHARI10_ACCMALAM[QUANTITY])</f>
        <v>0</v>
      </c>
      <c r="DF145" s="12">
        <f>SUMIF(TRANSHARI11_ACCPAGI[PRODUK],CP145,TRANSHARI11_ACCPAGI[QUANTITY])+SUMIF(TRANSHARI11_ACCMALAM[PRODUK],CP145,TRANSHARI11_ACCMALAM[QUANTITY])</f>
        <v>0</v>
      </c>
      <c r="DG145" s="12">
        <f t="shared" si="44"/>
        <v>0</v>
      </c>
      <c r="DH145" s="12">
        <f t="shared" si="45"/>
        <v>0</v>
      </c>
      <c r="DI145" s="173">
        <f t="shared" si="46"/>
        <v>0</v>
      </c>
    </row>
    <row r="146" ht="18" spans="94:113">
      <c r="CP146" s="218" t="str">
        <f>'DATA PRODUK'!BH143</f>
        <v>(HDMI)(2M) Olike 4K AH02</v>
      </c>
      <c r="CQ146" s="219">
        <f>'DATA PRODUK'!BI143</f>
        <v>60000</v>
      </c>
      <c r="CR146" s="154"/>
      <c r="CS146" s="154"/>
      <c r="CT146" s="154"/>
      <c r="CU146" s="154"/>
      <c r="CV146" s="154">
        <f>SUMIF(TRANSHARI1_ACCPAGI[PRODUK],CP146,TRANSHARI1_ACCPAGI[QUANTITY])+SUMIF(TRANSHARI1_ACCMALAM[PRODUK],CP146,TRANSHARI1_ACCMALAM[QUANTITY])</f>
        <v>0</v>
      </c>
      <c r="CW146" s="154">
        <f>SUMIF(TRANSHARI2_ACCPAGI[PRODUK],CP146,TRANSHARI2_ACCPAGI[QUANTITY])+SUMIF(TRANSHARI2_ACCMALAM[PRODUK],CP146,TRANSHARI2_ACCMALAM[QUANTITY])</f>
        <v>0</v>
      </c>
      <c r="CX146" s="154">
        <f>SUMIF(TRANSHARI3_ACCPAGI[PRODUK],CP146,TRANSHARI3_ACCPAGI[QUANTITY])+SUMIF(TRANSHARI3_ACCMALAM[PRODUK],CP146,TRANSHARI3_ACCMALAM[QUANTITY])</f>
        <v>0</v>
      </c>
      <c r="CY146" s="154">
        <f>SUMIF(TRANSHARI4_ACCPAGI[PRODUK],CP146,TRANSHARI4_ACCPAGI[QUANTITY])+SUMIF(TRANSHARI4_ACCMALAM[PRODUK],CP146,TRANSHARI4_ACCMALAM[QUANTITY])</f>
        <v>0</v>
      </c>
      <c r="CZ146" s="154">
        <f>SUMIF(TRANSHARI5_ACCPAGI[PRODUK],CP146,TRANSHARI5_ACCPAGI[QUANTITY])+SUMIF(TRANSHARI5_ACCMALAM[PRODUK],CP146,TRANSHARI5_ACCMALAM[QUANTITY])</f>
        <v>0</v>
      </c>
      <c r="DA146" s="154">
        <f>SUMIF(TRANSHARI6_ACCPAGI[PRODUK],CP146,TRANSHARI6_ACCPAGI[QUANTITY])+SUMIF(TRANSHARI6_ACCMALAM[PRODUK],CP146,TRANSHARI6_ACCMALAM[QUANTITY])</f>
        <v>0</v>
      </c>
      <c r="DB146" s="154">
        <f>SUMIF(TRANSHARI7_ACCPAGI[PRODUK],CP146,TRANSHARI7_ACCPAGI[QUANTITY])+SUMIF(TRANSHARI7_ACCMALAM[PRODUK],CP146,TRANSHARI7_ACCMALAM[QUANTITY])</f>
        <v>0</v>
      </c>
      <c r="DC146" s="154">
        <f>SUMIF(TRANSHARI8_ACCPAGI[PRODUK],CP146,TRANSHARI8_ACCPAGI[QUANTITY])+SUMIF(TRANSHARI8_ACCMALAM[PRODUK],CP146,TRANSHARI8_ACCMALAM[QUANTITY])</f>
        <v>0</v>
      </c>
      <c r="DD146" s="154">
        <f>SUMIF(TRANSHARI9_ACCPAGI[PRODUK],CP146,TRANSHARI9_ACCPAGI[QUANTITY])+SUMIF(TRANSHARI9_ACCMALAM[PRODUK],CP146,TRANSHARI9_ACCMALAM[QUANTITY])</f>
        <v>0</v>
      </c>
      <c r="DE146" s="154">
        <f>SUMIF(TRANSHARI10_ACCPAGI[PRODUK],CP146,TRANSHARI10_ACCPAGI[QUANTITY])+SUMIF(TRANSHARI10_ACCMALAM[PRODUK],CP146,TRANSHARI10_ACCMALAM[QUANTITY])</f>
        <v>0</v>
      </c>
      <c r="DF146" s="154">
        <f>SUMIF(TRANSHARI11_ACCPAGI[PRODUK],CP146,TRANSHARI11_ACCPAGI[QUANTITY])+SUMIF(TRANSHARI11_ACCMALAM[PRODUK],CP146,TRANSHARI11_ACCMALAM[QUANTITY])</f>
        <v>0</v>
      </c>
      <c r="DG146" s="154">
        <f t="shared" si="44"/>
        <v>0</v>
      </c>
      <c r="DH146" s="154">
        <f t="shared" si="45"/>
        <v>0</v>
      </c>
      <c r="DI146" s="179">
        <f t="shared" si="46"/>
        <v>0</v>
      </c>
    </row>
    <row r="147" ht="18" spans="94:113">
      <c r="CP147" s="177" t="str">
        <f>'DATA PRODUK'!BH144</f>
        <v>(HDMI)(2M) Robot 4K RFH02</v>
      </c>
      <c r="CQ147" s="175">
        <f>'DATA PRODUK'!BI144</f>
        <v>65000</v>
      </c>
      <c r="CR147" s="12"/>
      <c r="CS147" s="12"/>
      <c r="CT147" s="12"/>
      <c r="CU147" s="12"/>
      <c r="CV147" s="12">
        <f>SUMIF(TRANSHARI1_ACCPAGI[PRODUK],CP147,TRANSHARI1_ACCPAGI[QUANTITY])+SUMIF(TRANSHARI1_ACCMALAM[PRODUK],CP147,TRANSHARI1_ACCMALAM[QUANTITY])</f>
        <v>0</v>
      </c>
      <c r="CW147" s="12">
        <f>SUMIF(TRANSHARI2_ACCPAGI[PRODUK],CP147,TRANSHARI2_ACCPAGI[QUANTITY])+SUMIF(TRANSHARI2_ACCMALAM[PRODUK],CP147,TRANSHARI2_ACCMALAM[QUANTITY])</f>
        <v>0</v>
      </c>
      <c r="CX147" s="12">
        <f>SUMIF(TRANSHARI3_ACCPAGI[PRODUK],CP147,TRANSHARI3_ACCPAGI[QUANTITY])+SUMIF(TRANSHARI3_ACCMALAM[PRODUK],CP147,TRANSHARI3_ACCMALAM[QUANTITY])</f>
        <v>0</v>
      </c>
      <c r="CY147" s="12">
        <f>SUMIF(TRANSHARI4_ACCPAGI[PRODUK],CP147,TRANSHARI4_ACCPAGI[QUANTITY])+SUMIF(TRANSHARI4_ACCMALAM[PRODUK],CP147,TRANSHARI4_ACCMALAM[QUANTITY])</f>
        <v>0</v>
      </c>
      <c r="CZ147" s="12">
        <f>SUMIF(TRANSHARI5_ACCPAGI[PRODUK],CP147,TRANSHARI5_ACCPAGI[QUANTITY])+SUMIF(TRANSHARI5_ACCMALAM[PRODUK],CP147,TRANSHARI5_ACCMALAM[QUANTITY])</f>
        <v>0</v>
      </c>
      <c r="DA147" s="12">
        <f>SUMIF(TRANSHARI6_ACCPAGI[PRODUK],CP147,TRANSHARI6_ACCPAGI[QUANTITY])+SUMIF(TRANSHARI6_ACCMALAM[PRODUK],CP147,TRANSHARI6_ACCMALAM[QUANTITY])</f>
        <v>0</v>
      </c>
      <c r="DB147" s="12">
        <f>SUMIF(TRANSHARI7_ACCPAGI[PRODUK],CP147,TRANSHARI7_ACCPAGI[QUANTITY])+SUMIF(TRANSHARI7_ACCMALAM[PRODUK],CP147,TRANSHARI7_ACCMALAM[QUANTITY])</f>
        <v>0</v>
      </c>
      <c r="DC147" s="12">
        <f>SUMIF(TRANSHARI8_ACCPAGI[PRODUK],CP147,TRANSHARI8_ACCPAGI[QUANTITY])+SUMIF(TRANSHARI8_ACCMALAM[PRODUK],CP147,TRANSHARI8_ACCMALAM[QUANTITY])</f>
        <v>0</v>
      </c>
      <c r="DD147" s="12">
        <f>SUMIF(TRANSHARI9_ACCPAGI[PRODUK],CP147,TRANSHARI9_ACCPAGI[QUANTITY])+SUMIF(TRANSHARI9_ACCMALAM[PRODUK],CP147,TRANSHARI9_ACCMALAM[QUANTITY])</f>
        <v>0</v>
      </c>
      <c r="DE147" s="12">
        <f>SUMIF(TRANSHARI10_ACCPAGI[PRODUK],CP147,TRANSHARI10_ACCPAGI[QUANTITY])+SUMIF(TRANSHARI10_ACCMALAM[PRODUK],CP147,TRANSHARI10_ACCMALAM[QUANTITY])</f>
        <v>0</v>
      </c>
      <c r="DF147" s="12">
        <f>SUMIF(TRANSHARI11_ACCPAGI[PRODUK],CP147,TRANSHARI11_ACCPAGI[QUANTITY])+SUMIF(TRANSHARI11_ACCMALAM[PRODUK],CP147,TRANSHARI11_ACCMALAM[QUANTITY])</f>
        <v>0</v>
      </c>
      <c r="DG147" s="12">
        <f t="shared" si="44"/>
        <v>0</v>
      </c>
      <c r="DH147" s="12">
        <f t="shared" si="45"/>
        <v>0</v>
      </c>
      <c r="DI147" s="173">
        <f t="shared" si="46"/>
        <v>0</v>
      </c>
    </row>
    <row r="148" ht="18" spans="94:113">
      <c r="CP148" s="218" t="str">
        <f>'DATA PRODUK'!BH145</f>
        <v>(HDMI)(3M) Olike 4K AH03</v>
      </c>
      <c r="CQ148" s="219">
        <f>'DATA PRODUK'!BI145</f>
        <v>75000</v>
      </c>
      <c r="CR148" s="154"/>
      <c r="CS148" s="154"/>
      <c r="CT148" s="154"/>
      <c r="CU148" s="154"/>
      <c r="CV148" s="154">
        <f>SUMIF(TRANSHARI1_ACCPAGI[PRODUK],CP148,TRANSHARI1_ACCPAGI[QUANTITY])+SUMIF(TRANSHARI1_ACCMALAM[PRODUK],CP148,TRANSHARI1_ACCMALAM[QUANTITY])</f>
        <v>0</v>
      </c>
      <c r="CW148" s="154">
        <f>SUMIF(TRANSHARI2_ACCPAGI[PRODUK],CP148,TRANSHARI2_ACCPAGI[QUANTITY])+SUMIF(TRANSHARI2_ACCMALAM[PRODUK],CP148,TRANSHARI2_ACCMALAM[QUANTITY])</f>
        <v>0</v>
      </c>
      <c r="CX148" s="154">
        <f>SUMIF(TRANSHARI3_ACCPAGI[PRODUK],CP148,TRANSHARI3_ACCPAGI[QUANTITY])+SUMIF(TRANSHARI3_ACCMALAM[PRODUK],CP148,TRANSHARI3_ACCMALAM[QUANTITY])</f>
        <v>0</v>
      </c>
      <c r="CY148" s="154">
        <f>SUMIF(TRANSHARI4_ACCPAGI[PRODUK],CP148,TRANSHARI4_ACCPAGI[QUANTITY])+SUMIF(TRANSHARI4_ACCMALAM[PRODUK],CP148,TRANSHARI4_ACCMALAM[QUANTITY])</f>
        <v>0</v>
      </c>
      <c r="CZ148" s="154">
        <f>SUMIF(TRANSHARI5_ACCPAGI[PRODUK],CP148,TRANSHARI5_ACCPAGI[QUANTITY])+SUMIF(TRANSHARI5_ACCMALAM[PRODUK],CP148,TRANSHARI5_ACCMALAM[QUANTITY])</f>
        <v>0</v>
      </c>
      <c r="DA148" s="154">
        <f>SUMIF(TRANSHARI6_ACCPAGI[PRODUK],CP148,TRANSHARI6_ACCPAGI[QUANTITY])+SUMIF(TRANSHARI6_ACCMALAM[PRODUK],CP148,TRANSHARI6_ACCMALAM[QUANTITY])</f>
        <v>0</v>
      </c>
      <c r="DB148" s="154">
        <f>SUMIF(TRANSHARI7_ACCPAGI[PRODUK],CP148,TRANSHARI7_ACCPAGI[QUANTITY])+SUMIF(TRANSHARI7_ACCMALAM[PRODUK],CP148,TRANSHARI7_ACCMALAM[QUANTITY])</f>
        <v>0</v>
      </c>
      <c r="DC148" s="154">
        <f>SUMIF(TRANSHARI8_ACCPAGI[PRODUK],CP148,TRANSHARI8_ACCPAGI[QUANTITY])+SUMIF(TRANSHARI8_ACCMALAM[PRODUK],CP148,TRANSHARI8_ACCMALAM[QUANTITY])</f>
        <v>0</v>
      </c>
      <c r="DD148" s="154">
        <f>SUMIF(TRANSHARI9_ACCPAGI[PRODUK],CP148,TRANSHARI9_ACCPAGI[QUANTITY])+SUMIF(TRANSHARI9_ACCMALAM[PRODUK],CP148,TRANSHARI9_ACCMALAM[QUANTITY])</f>
        <v>0</v>
      </c>
      <c r="DE148" s="154">
        <f>SUMIF(TRANSHARI10_ACCPAGI[PRODUK],CP148,TRANSHARI10_ACCPAGI[QUANTITY])+SUMIF(TRANSHARI10_ACCMALAM[PRODUK],CP148,TRANSHARI10_ACCMALAM[QUANTITY])</f>
        <v>0</v>
      </c>
      <c r="DF148" s="154">
        <f>SUMIF(TRANSHARI11_ACCPAGI[PRODUK],CP148,TRANSHARI11_ACCPAGI[QUANTITY])+SUMIF(TRANSHARI11_ACCMALAM[PRODUK],CP148,TRANSHARI11_ACCMALAM[QUANTITY])</f>
        <v>0</v>
      </c>
      <c r="DG148" s="154">
        <f t="shared" si="44"/>
        <v>0</v>
      </c>
      <c r="DH148" s="154">
        <f t="shared" si="45"/>
        <v>0</v>
      </c>
      <c r="DI148" s="179">
        <f t="shared" si="46"/>
        <v>0</v>
      </c>
    </row>
    <row r="149" ht="18" spans="94:113">
      <c r="CP149" s="177" t="str">
        <f>'DATA PRODUK'!BH146</f>
        <v>(HDMI)(3M) Robot 4K RFH03</v>
      </c>
      <c r="CQ149" s="175">
        <f>'DATA PRODUK'!BI146</f>
        <v>80000</v>
      </c>
      <c r="CR149" s="12"/>
      <c r="CS149" s="12"/>
      <c r="CT149" s="12"/>
      <c r="CU149" s="12"/>
      <c r="CV149" s="12">
        <f>SUMIF(TRANSHARI1_ACCPAGI[PRODUK],CP149,TRANSHARI1_ACCPAGI[QUANTITY])+SUMIF(TRANSHARI1_ACCMALAM[PRODUK],CP149,TRANSHARI1_ACCMALAM[QUANTITY])</f>
        <v>0</v>
      </c>
      <c r="CW149" s="12">
        <f>SUMIF(TRANSHARI2_ACCPAGI[PRODUK],CP149,TRANSHARI2_ACCPAGI[QUANTITY])+SUMIF(TRANSHARI2_ACCMALAM[PRODUK],CP149,TRANSHARI2_ACCMALAM[QUANTITY])</f>
        <v>0</v>
      </c>
      <c r="CX149" s="12">
        <f>SUMIF(TRANSHARI3_ACCPAGI[PRODUK],CP149,TRANSHARI3_ACCPAGI[QUANTITY])+SUMIF(TRANSHARI3_ACCMALAM[PRODUK],CP149,TRANSHARI3_ACCMALAM[QUANTITY])</f>
        <v>0</v>
      </c>
      <c r="CY149" s="12">
        <f>SUMIF(TRANSHARI4_ACCPAGI[PRODUK],CP149,TRANSHARI4_ACCPAGI[QUANTITY])+SUMIF(TRANSHARI4_ACCMALAM[PRODUK],CP149,TRANSHARI4_ACCMALAM[QUANTITY])</f>
        <v>0</v>
      </c>
      <c r="CZ149" s="12">
        <f>SUMIF(TRANSHARI5_ACCPAGI[PRODUK],CP149,TRANSHARI5_ACCPAGI[QUANTITY])+SUMIF(TRANSHARI5_ACCMALAM[PRODUK],CP149,TRANSHARI5_ACCMALAM[QUANTITY])</f>
        <v>0</v>
      </c>
      <c r="DA149" s="12">
        <f>SUMIF(TRANSHARI6_ACCPAGI[PRODUK],CP149,TRANSHARI6_ACCPAGI[QUANTITY])+SUMIF(TRANSHARI6_ACCMALAM[PRODUK],CP149,TRANSHARI6_ACCMALAM[QUANTITY])</f>
        <v>0</v>
      </c>
      <c r="DB149" s="12">
        <f>SUMIF(TRANSHARI7_ACCPAGI[PRODUK],CP149,TRANSHARI7_ACCPAGI[QUANTITY])+SUMIF(TRANSHARI7_ACCMALAM[PRODUK],CP149,TRANSHARI7_ACCMALAM[QUANTITY])</f>
        <v>0</v>
      </c>
      <c r="DC149" s="12">
        <f>SUMIF(TRANSHARI8_ACCPAGI[PRODUK],CP149,TRANSHARI8_ACCPAGI[QUANTITY])+SUMIF(TRANSHARI8_ACCMALAM[PRODUK],CP149,TRANSHARI8_ACCMALAM[QUANTITY])</f>
        <v>0</v>
      </c>
      <c r="DD149" s="12">
        <f>SUMIF(TRANSHARI9_ACCPAGI[PRODUK],CP149,TRANSHARI9_ACCPAGI[QUANTITY])+SUMIF(TRANSHARI9_ACCMALAM[PRODUK],CP149,TRANSHARI9_ACCMALAM[QUANTITY])</f>
        <v>0</v>
      </c>
      <c r="DE149" s="12">
        <f>SUMIF(TRANSHARI10_ACCPAGI[PRODUK],CP149,TRANSHARI10_ACCPAGI[QUANTITY])+SUMIF(TRANSHARI10_ACCMALAM[PRODUK],CP149,TRANSHARI10_ACCMALAM[QUANTITY])</f>
        <v>0</v>
      </c>
      <c r="DF149" s="12">
        <f>SUMIF(TRANSHARI11_ACCPAGI[PRODUK],CP149,TRANSHARI11_ACCPAGI[QUANTITY])+SUMIF(TRANSHARI11_ACCMALAM[PRODUK],CP149,TRANSHARI11_ACCMALAM[QUANTITY])</f>
        <v>0</v>
      </c>
      <c r="DG149" s="12">
        <f t="shared" si="44"/>
        <v>0</v>
      </c>
      <c r="DH149" s="12">
        <f t="shared" si="45"/>
        <v>0</v>
      </c>
      <c r="DI149" s="173">
        <f t="shared" si="46"/>
        <v>0</v>
      </c>
    </row>
    <row r="150" ht="18" spans="94:113">
      <c r="CP150" s="218" t="str">
        <f>'DATA PRODUK'!BH147</f>
        <v>(HDMI)(5M) Olike 4K AH05</v>
      </c>
      <c r="CQ150" s="219">
        <f>'DATA PRODUK'!BI147</f>
        <v>95000</v>
      </c>
      <c r="CR150" s="154"/>
      <c r="CS150" s="154"/>
      <c r="CT150" s="154"/>
      <c r="CU150" s="154"/>
      <c r="CV150" s="154">
        <f>SUMIF(TRANSHARI1_ACCPAGI[PRODUK],CP150,TRANSHARI1_ACCPAGI[QUANTITY])+SUMIF(TRANSHARI1_ACCMALAM[PRODUK],CP150,TRANSHARI1_ACCMALAM[QUANTITY])</f>
        <v>0</v>
      </c>
      <c r="CW150" s="154">
        <f>SUMIF(TRANSHARI2_ACCPAGI[PRODUK],CP150,TRANSHARI2_ACCPAGI[QUANTITY])+SUMIF(TRANSHARI2_ACCMALAM[PRODUK],CP150,TRANSHARI2_ACCMALAM[QUANTITY])</f>
        <v>0</v>
      </c>
      <c r="CX150" s="154">
        <f>SUMIF(TRANSHARI3_ACCPAGI[PRODUK],CP150,TRANSHARI3_ACCPAGI[QUANTITY])+SUMIF(TRANSHARI3_ACCMALAM[PRODUK],CP150,TRANSHARI3_ACCMALAM[QUANTITY])</f>
        <v>0</v>
      </c>
      <c r="CY150" s="154">
        <f>SUMIF(TRANSHARI4_ACCPAGI[PRODUK],CP150,TRANSHARI4_ACCPAGI[QUANTITY])+SUMIF(TRANSHARI4_ACCMALAM[PRODUK],CP150,TRANSHARI4_ACCMALAM[QUANTITY])</f>
        <v>0</v>
      </c>
      <c r="CZ150" s="154">
        <f>SUMIF(TRANSHARI5_ACCPAGI[PRODUK],CP150,TRANSHARI5_ACCPAGI[QUANTITY])+SUMIF(TRANSHARI5_ACCMALAM[PRODUK],CP150,TRANSHARI5_ACCMALAM[QUANTITY])</f>
        <v>0</v>
      </c>
      <c r="DA150" s="154">
        <f>SUMIF(TRANSHARI6_ACCPAGI[PRODUK],CP150,TRANSHARI6_ACCPAGI[QUANTITY])+SUMIF(TRANSHARI6_ACCMALAM[PRODUK],CP150,TRANSHARI6_ACCMALAM[QUANTITY])</f>
        <v>0</v>
      </c>
      <c r="DB150" s="154">
        <f>SUMIF(TRANSHARI7_ACCPAGI[PRODUK],CP150,TRANSHARI7_ACCPAGI[QUANTITY])+SUMIF(TRANSHARI7_ACCMALAM[PRODUK],CP150,TRANSHARI7_ACCMALAM[QUANTITY])</f>
        <v>0</v>
      </c>
      <c r="DC150" s="154">
        <f>SUMIF(TRANSHARI8_ACCPAGI[PRODUK],CP150,TRANSHARI8_ACCPAGI[QUANTITY])+SUMIF(TRANSHARI8_ACCMALAM[PRODUK],CP150,TRANSHARI8_ACCMALAM[QUANTITY])</f>
        <v>0</v>
      </c>
      <c r="DD150" s="154">
        <f>SUMIF(TRANSHARI9_ACCPAGI[PRODUK],CP150,TRANSHARI9_ACCPAGI[QUANTITY])+SUMIF(TRANSHARI9_ACCMALAM[PRODUK],CP150,TRANSHARI9_ACCMALAM[QUANTITY])</f>
        <v>0</v>
      </c>
      <c r="DE150" s="154">
        <f>SUMIF(TRANSHARI10_ACCPAGI[PRODUK],CP150,TRANSHARI10_ACCPAGI[QUANTITY])+SUMIF(TRANSHARI10_ACCMALAM[PRODUK],CP150,TRANSHARI10_ACCMALAM[QUANTITY])</f>
        <v>0</v>
      </c>
      <c r="DF150" s="154">
        <f>SUMIF(TRANSHARI11_ACCPAGI[PRODUK],CP150,TRANSHARI11_ACCPAGI[QUANTITY])+SUMIF(TRANSHARI11_ACCMALAM[PRODUK],CP150,TRANSHARI11_ACCMALAM[QUANTITY])</f>
        <v>0</v>
      </c>
      <c r="DG150" s="154">
        <f t="shared" si="44"/>
        <v>0</v>
      </c>
      <c r="DH150" s="154">
        <f t="shared" si="45"/>
        <v>0</v>
      </c>
      <c r="DI150" s="179">
        <f t="shared" si="46"/>
        <v>0</v>
      </c>
    </row>
    <row r="151" ht="18" spans="94:113">
      <c r="CP151" s="177" t="str">
        <f>'DATA PRODUK'!BH148</f>
        <v>(HDMI)(5M) Robot 4K RFH05</v>
      </c>
      <c r="CQ151" s="175">
        <f>'DATA PRODUK'!BI148</f>
        <v>100000</v>
      </c>
      <c r="CR151" s="12"/>
      <c r="CS151" s="12"/>
      <c r="CT151" s="12"/>
      <c r="CU151" s="12"/>
      <c r="CV151" s="12">
        <f>SUMIF(TRANSHARI1_ACCPAGI[PRODUK],CP151,TRANSHARI1_ACCPAGI[QUANTITY])+SUMIF(TRANSHARI1_ACCMALAM[PRODUK],CP151,TRANSHARI1_ACCMALAM[QUANTITY])</f>
        <v>0</v>
      </c>
      <c r="CW151" s="12">
        <f>SUMIF(TRANSHARI2_ACCPAGI[PRODUK],CP151,TRANSHARI2_ACCPAGI[QUANTITY])+SUMIF(TRANSHARI2_ACCMALAM[PRODUK],CP151,TRANSHARI2_ACCMALAM[QUANTITY])</f>
        <v>0</v>
      </c>
      <c r="CX151" s="12">
        <f>SUMIF(TRANSHARI3_ACCPAGI[PRODUK],CP151,TRANSHARI3_ACCPAGI[QUANTITY])+SUMIF(TRANSHARI3_ACCMALAM[PRODUK],CP151,TRANSHARI3_ACCMALAM[QUANTITY])</f>
        <v>0</v>
      </c>
      <c r="CY151" s="12">
        <f>SUMIF(TRANSHARI4_ACCPAGI[PRODUK],CP151,TRANSHARI4_ACCPAGI[QUANTITY])+SUMIF(TRANSHARI4_ACCMALAM[PRODUK],CP151,TRANSHARI4_ACCMALAM[QUANTITY])</f>
        <v>0</v>
      </c>
      <c r="CZ151" s="12">
        <f>SUMIF(TRANSHARI5_ACCPAGI[PRODUK],CP151,TRANSHARI5_ACCPAGI[QUANTITY])+SUMIF(TRANSHARI5_ACCMALAM[PRODUK],CP151,TRANSHARI5_ACCMALAM[QUANTITY])</f>
        <v>0</v>
      </c>
      <c r="DA151" s="12">
        <f>SUMIF(TRANSHARI6_ACCPAGI[PRODUK],CP151,TRANSHARI6_ACCPAGI[QUANTITY])+SUMIF(TRANSHARI6_ACCMALAM[PRODUK],CP151,TRANSHARI6_ACCMALAM[QUANTITY])</f>
        <v>0</v>
      </c>
      <c r="DB151" s="12">
        <f>SUMIF(TRANSHARI7_ACCPAGI[PRODUK],CP151,TRANSHARI7_ACCPAGI[QUANTITY])+SUMIF(TRANSHARI7_ACCMALAM[PRODUK],CP151,TRANSHARI7_ACCMALAM[QUANTITY])</f>
        <v>0</v>
      </c>
      <c r="DC151" s="12">
        <f>SUMIF(TRANSHARI8_ACCPAGI[PRODUK],CP151,TRANSHARI8_ACCPAGI[QUANTITY])+SUMIF(TRANSHARI8_ACCMALAM[PRODUK],CP151,TRANSHARI8_ACCMALAM[QUANTITY])</f>
        <v>0</v>
      </c>
      <c r="DD151" s="12">
        <f>SUMIF(TRANSHARI9_ACCPAGI[PRODUK],CP151,TRANSHARI9_ACCPAGI[QUANTITY])+SUMIF(TRANSHARI9_ACCMALAM[PRODUK],CP151,TRANSHARI9_ACCMALAM[QUANTITY])</f>
        <v>0</v>
      </c>
      <c r="DE151" s="12">
        <f>SUMIF(TRANSHARI10_ACCPAGI[PRODUK],CP151,TRANSHARI10_ACCPAGI[QUANTITY])+SUMIF(TRANSHARI10_ACCMALAM[PRODUK],CP151,TRANSHARI10_ACCMALAM[QUANTITY])</f>
        <v>0</v>
      </c>
      <c r="DF151" s="12">
        <f>SUMIF(TRANSHARI11_ACCPAGI[PRODUK],CP151,TRANSHARI11_ACCPAGI[QUANTITY])+SUMIF(TRANSHARI11_ACCMALAM[PRODUK],CP151,TRANSHARI11_ACCMALAM[QUANTITY])</f>
        <v>0</v>
      </c>
      <c r="DG151" s="12">
        <f t="shared" si="44"/>
        <v>0</v>
      </c>
      <c r="DH151" s="12">
        <f t="shared" si="45"/>
        <v>0</v>
      </c>
      <c r="DI151" s="173">
        <f t="shared" si="46"/>
        <v>0</v>
      </c>
    </row>
    <row r="152" ht="18" spans="94:113">
      <c r="CP152" s="218" t="str">
        <f>'DATA PRODUK'!BH149</f>
        <v>(HDMI)(8M) Robot 4K RFH08</v>
      </c>
      <c r="CQ152" s="219">
        <f>'DATA PRODUK'!BI149</f>
        <v>150000</v>
      </c>
      <c r="CR152" s="154"/>
      <c r="CS152" s="154"/>
      <c r="CT152" s="154"/>
      <c r="CU152" s="154"/>
      <c r="CV152" s="154">
        <f>SUMIF(TRANSHARI1_ACCPAGI[PRODUK],CP152,TRANSHARI1_ACCPAGI[QUANTITY])+SUMIF(TRANSHARI1_ACCMALAM[PRODUK],CP152,TRANSHARI1_ACCMALAM[QUANTITY])</f>
        <v>0</v>
      </c>
      <c r="CW152" s="154">
        <f>SUMIF(TRANSHARI2_ACCPAGI[PRODUK],CP152,TRANSHARI2_ACCPAGI[QUANTITY])+SUMIF(TRANSHARI2_ACCMALAM[PRODUK],CP152,TRANSHARI2_ACCMALAM[QUANTITY])</f>
        <v>0</v>
      </c>
      <c r="CX152" s="154">
        <f>SUMIF(TRANSHARI3_ACCPAGI[PRODUK],CP152,TRANSHARI3_ACCPAGI[QUANTITY])+SUMIF(TRANSHARI3_ACCMALAM[PRODUK],CP152,TRANSHARI3_ACCMALAM[QUANTITY])</f>
        <v>0</v>
      </c>
      <c r="CY152" s="154">
        <f>SUMIF(TRANSHARI4_ACCPAGI[PRODUK],CP152,TRANSHARI4_ACCPAGI[QUANTITY])+SUMIF(TRANSHARI4_ACCMALAM[PRODUK],CP152,TRANSHARI4_ACCMALAM[QUANTITY])</f>
        <v>0</v>
      </c>
      <c r="CZ152" s="154">
        <f>SUMIF(TRANSHARI5_ACCPAGI[PRODUK],CP152,TRANSHARI5_ACCPAGI[QUANTITY])+SUMIF(TRANSHARI5_ACCMALAM[PRODUK],CP152,TRANSHARI5_ACCMALAM[QUANTITY])</f>
        <v>0</v>
      </c>
      <c r="DA152" s="154">
        <f>SUMIF(TRANSHARI6_ACCPAGI[PRODUK],CP152,TRANSHARI6_ACCPAGI[QUANTITY])+SUMIF(TRANSHARI6_ACCMALAM[PRODUK],CP152,TRANSHARI6_ACCMALAM[QUANTITY])</f>
        <v>0</v>
      </c>
      <c r="DB152" s="154">
        <f>SUMIF(TRANSHARI7_ACCPAGI[PRODUK],CP152,TRANSHARI7_ACCPAGI[QUANTITY])+SUMIF(TRANSHARI7_ACCMALAM[PRODUK],CP152,TRANSHARI7_ACCMALAM[QUANTITY])</f>
        <v>0</v>
      </c>
      <c r="DC152" s="154">
        <f>SUMIF(TRANSHARI8_ACCPAGI[PRODUK],CP152,TRANSHARI8_ACCPAGI[QUANTITY])+SUMIF(TRANSHARI8_ACCMALAM[PRODUK],CP152,TRANSHARI8_ACCMALAM[QUANTITY])</f>
        <v>0</v>
      </c>
      <c r="DD152" s="154">
        <f>SUMIF(TRANSHARI9_ACCPAGI[PRODUK],CP152,TRANSHARI9_ACCPAGI[QUANTITY])+SUMIF(TRANSHARI9_ACCMALAM[PRODUK],CP152,TRANSHARI9_ACCMALAM[QUANTITY])</f>
        <v>0</v>
      </c>
      <c r="DE152" s="154">
        <f>SUMIF(TRANSHARI10_ACCPAGI[PRODUK],CP152,TRANSHARI10_ACCPAGI[QUANTITY])+SUMIF(TRANSHARI10_ACCMALAM[PRODUK],CP152,TRANSHARI10_ACCMALAM[QUANTITY])</f>
        <v>0</v>
      </c>
      <c r="DF152" s="154">
        <f>SUMIF(TRANSHARI11_ACCPAGI[PRODUK],CP152,TRANSHARI11_ACCPAGI[QUANTITY])+SUMIF(TRANSHARI11_ACCMALAM[PRODUK],CP152,TRANSHARI11_ACCMALAM[QUANTITY])</f>
        <v>0</v>
      </c>
      <c r="DG152" s="154">
        <f t="shared" si="44"/>
        <v>0</v>
      </c>
      <c r="DH152" s="154">
        <f t="shared" si="45"/>
        <v>0</v>
      </c>
      <c r="DI152" s="179">
        <f t="shared" si="46"/>
        <v>0</v>
      </c>
    </row>
    <row r="153" ht="18" spans="94:113">
      <c r="CP153" s="177" t="str">
        <f>'DATA PRODUK'!BH150</f>
        <v>(HDMI)(10M) Robot 4K RFH10</v>
      </c>
      <c r="CQ153" s="175">
        <f>'DATA PRODUK'!BI150</f>
        <v>175000</v>
      </c>
      <c r="CR153" s="12"/>
      <c r="CS153" s="12"/>
      <c r="CT153" s="12"/>
      <c r="CU153" s="12"/>
      <c r="CV153" s="12">
        <f>SUMIF(TRANSHARI1_ACCPAGI[PRODUK],CP153,TRANSHARI1_ACCPAGI[QUANTITY])+SUMIF(TRANSHARI1_ACCMALAM[PRODUK],CP153,TRANSHARI1_ACCMALAM[QUANTITY])</f>
        <v>0</v>
      </c>
      <c r="CW153" s="12">
        <f>SUMIF(TRANSHARI2_ACCPAGI[PRODUK],CP153,TRANSHARI2_ACCPAGI[QUANTITY])+SUMIF(TRANSHARI2_ACCMALAM[PRODUK],CP153,TRANSHARI2_ACCMALAM[QUANTITY])</f>
        <v>0</v>
      </c>
      <c r="CX153" s="12">
        <f>SUMIF(TRANSHARI3_ACCPAGI[PRODUK],CP153,TRANSHARI3_ACCPAGI[QUANTITY])+SUMIF(TRANSHARI3_ACCMALAM[PRODUK],CP153,TRANSHARI3_ACCMALAM[QUANTITY])</f>
        <v>0</v>
      </c>
      <c r="CY153" s="12">
        <f>SUMIF(TRANSHARI4_ACCPAGI[PRODUK],CP153,TRANSHARI4_ACCPAGI[QUANTITY])+SUMIF(TRANSHARI4_ACCMALAM[PRODUK],CP153,TRANSHARI4_ACCMALAM[QUANTITY])</f>
        <v>0</v>
      </c>
      <c r="CZ153" s="12">
        <f>SUMIF(TRANSHARI5_ACCPAGI[PRODUK],CP153,TRANSHARI5_ACCPAGI[QUANTITY])+SUMIF(TRANSHARI5_ACCMALAM[PRODUK],CP153,TRANSHARI5_ACCMALAM[QUANTITY])</f>
        <v>0</v>
      </c>
      <c r="DA153" s="12">
        <f>SUMIF(TRANSHARI6_ACCPAGI[PRODUK],CP153,TRANSHARI6_ACCPAGI[QUANTITY])+SUMIF(TRANSHARI6_ACCMALAM[PRODUK],CP153,TRANSHARI6_ACCMALAM[QUANTITY])</f>
        <v>0</v>
      </c>
      <c r="DB153" s="12">
        <f>SUMIF(TRANSHARI7_ACCPAGI[PRODUK],CP153,TRANSHARI7_ACCPAGI[QUANTITY])+SUMIF(TRANSHARI7_ACCMALAM[PRODUK],CP153,TRANSHARI7_ACCMALAM[QUANTITY])</f>
        <v>0</v>
      </c>
      <c r="DC153" s="12">
        <f>SUMIF(TRANSHARI8_ACCPAGI[PRODUK],CP153,TRANSHARI8_ACCPAGI[QUANTITY])+SUMIF(TRANSHARI8_ACCMALAM[PRODUK],CP153,TRANSHARI8_ACCMALAM[QUANTITY])</f>
        <v>0</v>
      </c>
      <c r="DD153" s="12">
        <f>SUMIF(TRANSHARI9_ACCPAGI[PRODUK],CP153,TRANSHARI9_ACCPAGI[QUANTITY])+SUMIF(TRANSHARI9_ACCMALAM[PRODUK],CP153,TRANSHARI9_ACCMALAM[QUANTITY])</f>
        <v>0</v>
      </c>
      <c r="DE153" s="12">
        <f>SUMIF(TRANSHARI10_ACCPAGI[PRODUK],CP153,TRANSHARI10_ACCPAGI[QUANTITY])+SUMIF(TRANSHARI10_ACCMALAM[PRODUK],CP153,TRANSHARI10_ACCMALAM[QUANTITY])</f>
        <v>0</v>
      </c>
      <c r="DF153" s="12">
        <f>SUMIF(TRANSHARI11_ACCPAGI[PRODUK],CP153,TRANSHARI11_ACCPAGI[QUANTITY])+SUMIF(TRANSHARI11_ACCMALAM[PRODUK],CP153,TRANSHARI11_ACCMALAM[QUANTITY])</f>
        <v>0</v>
      </c>
      <c r="DG153" s="12">
        <f t="shared" si="44"/>
        <v>0</v>
      </c>
      <c r="DH153" s="12">
        <f t="shared" si="45"/>
        <v>0</v>
      </c>
      <c r="DI153" s="173">
        <f t="shared" si="46"/>
        <v>0</v>
      </c>
    </row>
    <row r="154" ht="18" spans="94:113">
      <c r="CP154" s="218" t="str">
        <f>'DATA PRODUK'!BH151</f>
        <v>(KEYBOARD)(Wired) Robot RK10</v>
      </c>
      <c r="CQ154" s="219">
        <f>'DATA PRODUK'!BI151</f>
        <v>85000</v>
      </c>
      <c r="CR154" s="154"/>
      <c r="CS154" s="154"/>
      <c r="CT154" s="154"/>
      <c r="CU154" s="154"/>
      <c r="CV154" s="154">
        <f>SUMIF(TRANSHARI1_ACCPAGI[PRODUK],CP154,TRANSHARI1_ACCPAGI[QUANTITY])+SUMIF(TRANSHARI1_ACCMALAM[PRODUK],CP154,TRANSHARI1_ACCMALAM[QUANTITY])</f>
        <v>0</v>
      </c>
      <c r="CW154" s="154">
        <f>SUMIF(TRANSHARI2_ACCPAGI[PRODUK],CP154,TRANSHARI2_ACCPAGI[QUANTITY])+SUMIF(TRANSHARI2_ACCMALAM[PRODUK],CP154,TRANSHARI2_ACCMALAM[QUANTITY])</f>
        <v>0</v>
      </c>
      <c r="CX154" s="154">
        <f>SUMIF(TRANSHARI3_ACCPAGI[PRODUK],CP154,TRANSHARI3_ACCPAGI[QUANTITY])+SUMIF(TRANSHARI3_ACCMALAM[PRODUK],CP154,TRANSHARI3_ACCMALAM[QUANTITY])</f>
        <v>0</v>
      </c>
      <c r="CY154" s="154">
        <f>SUMIF(TRANSHARI4_ACCPAGI[PRODUK],CP154,TRANSHARI4_ACCPAGI[QUANTITY])+SUMIF(TRANSHARI4_ACCMALAM[PRODUK],CP154,TRANSHARI4_ACCMALAM[QUANTITY])</f>
        <v>0</v>
      </c>
      <c r="CZ154" s="154">
        <f>SUMIF(TRANSHARI5_ACCPAGI[PRODUK],CP154,TRANSHARI5_ACCPAGI[QUANTITY])+SUMIF(TRANSHARI5_ACCMALAM[PRODUK],CP154,TRANSHARI5_ACCMALAM[QUANTITY])</f>
        <v>0</v>
      </c>
      <c r="DA154" s="154">
        <f>SUMIF(TRANSHARI6_ACCPAGI[PRODUK],CP154,TRANSHARI6_ACCPAGI[QUANTITY])+SUMIF(TRANSHARI6_ACCMALAM[PRODUK],CP154,TRANSHARI6_ACCMALAM[QUANTITY])</f>
        <v>0</v>
      </c>
      <c r="DB154" s="154">
        <f>SUMIF(TRANSHARI7_ACCPAGI[PRODUK],CP154,TRANSHARI7_ACCPAGI[QUANTITY])+SUMIF(TRANSHARI7_ACCMALAM[PRODUK],CP154,TRANSHARI7_ACCMALAM[QUANTITY])</f>
        <v>0</v>
      </c>
      <c r="DC154" s="154">
        <f>SUMIF(TRANSHARI8_ACCPAGI[PRODUK],CP154,TRANSHARI8_ACCPAGI[QUANTITY])+SUMIF(TRANSHARI8_ACCMALAM[PRODUK],CP154,TRANSHARI8_ACCMALAM[QUANTITY])</f>
        <v>0</v>
      </c>
      <c r="DD154" s="154">
        <f>SUMIF(TRANSHARI9_ACCPAGI[PRODUK],CP154,TRANSHARI9_ACCPAGI[QUANTITY])+SUMIF(TRANSHARI9_ACCMALAM[PRODUK],CP154,TRANSHARI9_ACCMALAM[QUANTITY])</f>
        <v>0</v>
      </c>
      <c r="DE154" s="154">
        <f>SUMIF(TRANSHARI10_ACCPAGI[PRODUK],CP154,TRANSHARI10_ACCPAGI[QUANTITY])+SUMIF(TRANSHARI10_ACCMALAM[PRODUK],CP154,TRANSHARI10_ACCMALAM[QUANTITY])</f>
        <v>0</v>
      </c>
      <c r="DF154" s="154">
        <f>SUMIF(TRANSHARI11_ACCPAGI[PRODUK],CP154,TRANSHARI11_ACCPAGI[QUANTITY])+SUMIF(TRANSHARI11_ACCMALAM[PRODUK],CP154,TRANSHARI11_ACCMALAM[QUANTITY])</f>
        <v>0</v>
      </c>
      <c r="DG154" s="154">
        <f t="shared" si="44"/>
        <v>0</v>
      </c>
      <c r="DH154" s="154">
        <f t="shared" si="45"/>
        <v>0</v>
      </c>
      <c r="DI154" s="179">
        <f t="shared" si="46"/>
        <v>0</v>
      </c>
    </row>
    <row r="155" ht="18" spans="94:113">
      <c r="CP155" s="177" t="str">
        <f>'DATA PRODUK'!BH152</f>
        <v>(MOUSE) Robot M210</v>
      </c>
      <c r="CQ155" s="175">
        <f>'DATA PRODUK'!BI152</f>
        <v>80000</v>
      </c>
      <c r="CR155" s="12"/>
      <c r="CS155" s="12"/>
      <c r="CT155" s="12"/>
      <c r="CU155" s="12"/>
      <c r="CV155" s="12">
        <f>SUMIF(TRANSHARI1_ACCPAGI[PRODUK],CP155,TRANSHARI1_ACCPAGI[QUANTITY])+SUMIF(TRANSHARI1_ACCMALAM[PRODUK],CP155,TRANSHARI1_ACCMALAM[QUANTITY])</f>
        <v>0</v>
      </c>
      <c r="CW155" s="12">
        <f>SUMIF(TRANSHARI2_ACCPAGI[PRODUK],CP155,TRANSHARI2_ACCPAGI[QUANTITY])+SUMIF(TRANSHARI2_ACCMALAM[PRODUK],CP155,TRANSHARI2_ACCMALAM[QUANTITY])</f>
        <v>0</v>
      </c>
      <c r="CX155" s="12">
        <f>SUMIF(TRANSHARI3_ACCPAGI[PRODUK],CP155,TRANSHARI3_ACCPAGI[QUANTITY])+SUMIF(TRANSHARI3_ACCMALAM[PRODUK],CP155,TRANSHARI3_ACCMALAM[QUANTITY])</f>
        <v>0</v>
      </c>
      <c r="CY155" s="12">
        <f>SUMIF(TRANSHARI4_ACCPAGI[PRODUK],CP155,TRANSHARI4_ACCPAGI[QUANTITY])+SUMIF(TRANSHARI4_ACCMALAM[PRODUK],CP155,TRANSHARI4_ACCMALAM[QUANTITY])</f>
        <v>0</v>
      </c>
      <c r="CZ155" s="12">
        <f>SUMIF(TRANSHARI5_ACCPAGI[PRODUK],CP155,TRANSHARI5_ACCPAGI[QUANTITY])+SUMIF(TRANSHARI5_ACCMALAM[PRODUK],CP155,TRANSHARI5_ACCMALAM[QUANTITY])</f>
        <v>0</v>
      </c>
      <c r="DA155" s="12">
        <f>SUMIF(TRANSHARI6_ACCPAGI[PRODUK],CP155,TRANSHARI6_ACCPAGI[QUANTITY])+SUMIF(TRANSHARI6_ACCMALAM[PRODUK],CP155,TRANSHARI6_ACCMALAM[QUANTITY])</f>
        <v>0</v>
      </c>
      <c r="DB155" s="12">
        <f>SUMIF(TRANSHARI7_ACCPAGI[PRODUK],CP155,TRANSHARI7_ACCPAGI[QUANTITY])+SUMIF(TRANSHARI7_ACCMALAM[PRODUK],CP155,TRANSHARI7_ACCMALAM[QUANTITY])</f>
        <v>0</v>
      </c>
      <c r="DC155" s="12">
        <f>SUMIF(TRANSHARI8_ACCPAGI[PRODUK],CP155,TRANSHARI8_ACCPAGI[QUANTITY])+SUMIF(TRANSHARI8_ACCMALAM[PRODUK],CP155,TRANSHARI8_ACCMALAM[QUANTITY])</f>
        <v>0</v>
      </c>
      <c r="DD155" s="12">
        <f>SUMIF(TRANSHARI9_ACCPAGI[PRODUK],CP155,TRANSHARI9_ACCPAGI[QUANTITY])+SUMIF(TRANSHARI9_ACCMALAM[PRODUK],CP155,TRANSHARI9_ACCMALAM[QUANTITY])</f>
        <v>0</v>
      </c>
      <c r="DE155" s="12">
        <f>SUMIF(TRANSHARI10_ACCPAGI[PRODUK],CP155,TRANSHARI10_ACCPAGI[QUANTITY])+SUMIF(TRANSHARI10_ACCMALAM[PRODUK],CP155,TRANSHARI10_ACCMALAM[QUANTITY])</f>
        <v>0</v>
      </c>
      <c r="DF155" s="12">
        <f>SUMIF(TRANSHARI11_ACCPAGI[PRODUK],CP155,TRANSHARI11_ACCPAGI[QUANTITY])+SUMIF(TRANSHARI11_ACCMALAM[PRODUK],CP155,TRANSHARI11_ACCMALAM[QUANTITY])</f>
        <v>0</v>
      </c>
      <c r="DG155" s="12">
        <f t="shared" si="44"/>
        <v>0</v>
      </c>
      <c r="DH155" s="12">
        <f t="shared" si="45"/>
        <v>0</v>
      </c>
      <c r="DI155" s="173">
        <f t="shared" si="46"/>
        <v>0</v>
      </c>
    </row>
    <row r="156" ht="18" spans="94:113">
      <c r="CP156" s="218" t="str">
        <f>'DATA PRODUK'!BH153</f>
        <v>(MOUSE PAD) Robot RP01</v>
      </c>
      <c r="CQ156" s="219">
        <f>'DATA PRODUK'!BI153</f>
        <v>15000</v>
      </c>
      <c r="CR156" s="154"/>
      <c r="CS156" s="154"/>
      <c r="CT156" s="154"/>
      <c r="CU156" s="154"/>
      <c r="CV156" s="154">
        <f>SUMIF(TRANSHARI1_ACCPAGI[PRODUK],CP156,TRANSHARI1_ACCPAGI[QUANTITY])+SUMIF(TRANSHARI1_ACCMALAM[PRODUK],CP156,TRANSHARI1_ACCMALAM[QUANTITY])</f>
        <v>0</v>
      </c>
      <c r="CW156" s="154">
        <f>SUMIF(TRANSHARI2_ACCPAGI[PRODUK],CP156,TRANSHARI2_ACCPAGI[QUANTITY])+SUMIF(TRANSHARI2_ACCMALAM[PRODUK],CP156,TRANSHARI2_ACCMALAM[QUANTITY])</f>
        <v>0</v>
      </c>
      <c r="CX156" s="154">
        <f>SUMIF(TRANSHARI3_ACCPAGI[PRODUK],CP156,TRANSHARI3_ACCPAGI[QUANTITY])+SUMIF(TRANSHARI3_ACCMALAM[PRODUK],CP156,TRANSHARI3_ACCMALAM[QUANTITY])</f>
        <v>0</v>
      </c>
      <c r="CY156" s="154">
        <f>SUMIF(TRANSHARI4_ACCPAGI[PRODUK],CP156,TRANSHARI4_ACCPAGI[QUANTITY])+SUMIF(TRANSHARI4_ACCMALAM[PRODUK],CP156,TRANSHARI4_ACCMALAM[QUANTITY])</f>
        <v>0</v>
      </c>
      <c r="CZ156" s="154">
        <f>SUMIF(TRANSHARI5_ACCPAGI[PRODUK],CP156,TRANSHARI5_ACCPAGI[QUANTITY])+SUMIF(TRANSHARI5_ACCMALAM[PRODUK],CP156,TRANSHARI5_ACCMALAM[QUANTITY])</f>
        <v>0</v>
      </c>
      <c r="DA156" s="154">
        <f>SUMIF(TRANSHARI6_ACCPAGI[PRODUK],CP156,TRANSHARI6_ACCPAGI[QUANTITY])+SUMIF(TRANSHARI6_ACCMALAM[PRODUK],CP156,TRANSHARI6_ACCMALAM[QUANTITY])</f>
        <v>0</v>
      </c>
      <c r="DB156" s="154">
        <f>SUMIF(TRANSHARI7_ACCPAGI[PRODUK],CP156,TRANSHARI7_ACCPAGI[QUANTITY])+SUMIF(TRANSHARI7_ACCMALAM[PRODUK],CP156,TRANSHARI7_ACCMALAM[QUANTITY])</f>
        <v>0</v>
      </c>
      <c r="DC156" s="154">
        <f>SUMIF(TRANSHARI8_ACCPAGI[PRODUK],CP156,TRANSHARI8_ACCPAGI[QUANTITY])+SUMIF(TRANSHARI8_ACCMALAM[PRODUK],CP156,TRANSHARI8_ACCMALAM[QUANTITY])</f>
        <v>0</v>
      </c>
      <c r="DD156" s="154">
        <f>SUMIF(TRANSHARI9_ACCPAGI[PRODUK],CP156,TRANSHARI9_ACCPAGI[QUANTITY])+SUMIF(TRANSHARI9_ACCMALAM[PRODUK],CP156,TRANSHARI9_ACCMALAM[QUANTITY])</f>
        <v>0</v>
      </c>
      <c r="DE156" s="154">
        <f>SUMIF(TRANSHARI10_ACCPAGI[PRODUK],CP156,TRANSHARI10_ACCPAGI[QUANTITY])+SUMIF(TRANSHARI10_ACCMALAM[PRODUK],CP156,TRANSHARI10_ACCMALAM[QUANTITY])</f>
        <v>0</v>
      </c>
      <c r="DF156" s="154">
        <f>SUMIF(TRANSHARI11_ACCPAGI[PRODUK],CP156,TRANSHARI11_ACCPAGI[QUANTITY])+SUMIF(TRANSHARI11_ACCMALAM[PRODUK],CP156,TRANSHARI11_ACCMALAM[QUANTITY])</f>
        <v>0</v>
      </c>
      <c r="DG156" s="154">
        <f t="shared" si="44"/>
        <v>0</v>
      </c>
      <c r="DH156" s="154">
        <f t="shared" si="45"/>
        <v>0</v>
      </c>
      <c r="DI156" s="179">
        <f t="shared" si="46"/>
        <v>0</v>
      </c>
    </row>
    <row r="157" ht="18" spans="94:113">
      <c r="CP157" s="177" t="str">
        <f>'DATA PRODUK'!BH154</f>
        <v>GURITA</v>
      </c>
      <c r="CQ157" s="175">
        <f>'DATA PRODUK'!BI154</f>
        <v>5000</v>
      </c>
      <c r="CR157" s="12"/>
      <c r="CS157" s="12"/>
      <c r="CT157" s="12"/>
      <c r="CU157" s="12"/>
      <c r="CV157" s="12">
        <f>SUMIF(TRANSHARI1_ACCPAGI[PRODUK],CP157,TRANSHARI1_ACCPAGI[QUANTITY])+SUMIF(TRANSHARI1_ACCMALAM[PRODUK],CP157,TRANSHARI1_ACCMALAM[QUANTITY])</f>
        <v>0</v>
      </c>
      <c r="CW157" s="12">
        <f>SUMIF(TRANSHARI2_ACCPAGI[PRODUK],CP157,TRANSHARI2_ACCPAGI[QUANTITY])+SUMIF(TRANSHARI2_ACCMALAM[PRODUK],CP157,TRANSHARI2_ACCMALAM[QUANTITY])</f>
        <v>0</v>
      </c>
      <c r="CX157" s="12">
        <f>SUMIF(TRANSHARI3_ACCPAGI[PRODUK],CP157,TRANSHARI3_ACCPAGI[QUANTITY])+SUMIF(TRANSHARI3_ACCMALAM[PRODUK],CP157,TRANSHARI3_ACCMALAM[QUANTITY])</f>
        <v>0</v>
      </c>
      <c r="CY157" s="12">
        <f>SUMIF(TRANSHARI4_ACCPAGI[PRODUK],CP157,TRANSHARI4_ACCPAGI[QUANTITY])+SUMIF(TRANSHARI4_ACCMALAM[PRODUK],CP157,TRANSHARI4_ACCMALAM[QUANTITY])</f>
        <v>0</v>
      </c>
      <c r="CZ157" s="12">
        <f>SUMIF(TRANSHARI5_ACCPAGI[PRODUK],CP157,TRANSHARI5_ACCPAGI[QUANTITY])+SUMIF(TRANSHARI5_ACCMALAM[PRODUK],CP157,TRANSHARI5_ACCMALAM[QUANTITY])</f>
        <v>0</v>
      </c>
      <c r="DA157" s="12">
        <f>SUMIF(TRANSHARI6_ACCPAGI[PRODUK],CP157,TRANSHARI6_ACCPAGI[QUANTITY])+SUMIF(TRANSHARI6_ACCMALAM[PRODUK],CP157,TRANSHARI6_ACCMALAM[QUANTITY])</f>
        <v>0</v>
      </c>
      <c r="DB157" s="12">
        <f>SUMIF(TRANSHARI7_ACCPAGI[PRODUK],CP157,TRANSHARI7_ACCPAGI[QUANTITY])+SUMIF(TRANSHARI7_ACCMALAM[PRODUK],CP157,TRANSHARI7_ACCMALAM[QUANTITY])</f>
        <v>0</v>
      </c>
      <c r="DC157" s="12">
        <f>SUMIF(TRANSHARI8_ACCPAGI[PRODUK],CP157,TRANSHARI8_ACCPAGI[QUANTITY])+SUMIF(TRANSHARI8_ACCMALAM[PRODUK],CP157,TRANSHARI8_ACCMALAM[QUANTITY])</f>
        <v>0</v>
      </c>
      <c r="DD157" s="12">
        <f>SUMIF(TRANSHARI9_ACCPAGI[PRODUK],CP157,TRANSHARI9_ACCPAGI[QUANTITY])+SUMIF(TRANSHARI9_ACCMALAM[PRODUK],CP157,TRANSHARI9_ACCMALAM[QUANTITY])</f>
        <v>0</v>
      </c>
      <c r="DE157" s="12">
        <f>SUMIF(TRANSHARI10_ACCPAGI[PRODUK],CP157,TRANSHARI10_ACCPAGI[QUANTITY])+SUMIF(TRANSHARI10_ACCMALAM[PRODUK],CP157,TRANSHARI10_ACCMALAM[QUANTITY])</f>
        <v>0</v>
      </c>
      <c r="DF157" s="12">
        <f>SUMIF(TRANSHARI11_ACCPAGI[PRODUK],CP157,TRANSHARI11_ACCPAGI[QUANTITY])+SUMIF(TRANSHARI11_ACCMALAM[PRODUK],CP157,TRANSHARI11_ACCMALAM[QUANTITY])</f>
        <v>0</v>
      </c>
      <c r="DG157" s="12">
        <f t="shared" si="44"/>
        <v>0</v>
      </c>
      <c r="DH157" s="12">
        <f t="shared" si="45"/>
        <v>0</v>
      </c>
      <c r="DI157" s="173">
        <f t="shared" si="46"/>
        <v>0</v>
      </c>
    </row>
    <row r="158" ht="18" spans="94:113">
      <c r="CP158" s="218" t="str">
        <f>'DATA PRODUK'!BH155</f>
        <v>DESKTOP FOLDING FAN OASE IL-F1</v>
      </c>
      <c r="CQ158" s="219">
        <f>'DATA PRODUK'!BI155</f>
        <v>185000</v>
      </c>
      <c r="CR158" s="154"/>
      <c r="CS158" s="154"/>
      <c r="CT158" s="154"/>
      <c r="CU158" s="154"/>
      <c r="CV158" s="154">
        <f>SUMIF(TRANSHARI1_ACCPAGI[PRODUK],CP158,TRANSHARI1_ACCPAGI[QUANTITY])+SUMIF(TRANSHARI1_ACCMALAM[PRODUK],CP158,TRANSHARI1_ACCMALAM[QUANTITY])</f>
        <v>0</v>
      </c>
      <c r="CW158" s="154">
        <f>SUMIF(TRANSHARI2_ACCPAGI[PRODUK],CP158,TRANSHARI2_ACCPAGI[QUANTITY])+SUMIF(TRANSHARI2_ACCMALAM[PRODUK],CP158,TRANSHARI2_ACCMALAM[QUANTITY])</f>
        <v>0</v>
      </c>
      <c r="CX158" s="154">
        <f>SUMIF(TRANSHARI3_ACCPAGI[PRODUK],CP158,TRANSHARI3_ACCPAGI[QUANTITY])+SUMIF(TRANSHARI3_ACCMALAM[PRODUK],CP158,TRANSHARI3_ACCMALAM[QUANTITY])</f>
        <v>0</v>
      </c>
      <c r="CY158" s="154">
        <f>SUMIF(TRANSHARI4_ACCPAGI[PRODUK],CP158,TRANSHARI4_ACCPAGI[QUANTITY])+SUMIF(TRANSHARI4_ACCMALAM[PRODUK],CP158,TRANSHARI4_ACCMALAM[QUANTITY])</f>
        <v>0</v>
      </c>
      <c r="CZ158" s="154">
        <f>SUMIF(TRANSHARI5_ACCPAGI[PRODUK],CP158,TRANSHARI5_ACCPAGI[QUANTITY])+SUMIF(TRANSHARI5_ACCMALAM[PRODUK],CP158,TRANSHARI5_ACCMALAM[QUANTITY])</f>
        <v>0</v>
      </c>
      <c r="DA158" s="154">
        <f>SUMIF(TRANSHARI6_ACCPAGI[PRODUK],CP158,TRANSHARI6_ACCPAGI[QUANTITY])+SUMIF(TRANSHARI6_ACCMALAM[PRODUK],CP158,TRANSHARI6_ACCMALAM[QUANTITY])</f>
        <v>0</v>
      </c>
      <c r="DB158" s="154">
        <f>SUMIF(TRANSHARI7_ACCPAGI[PRODUK],CP158,TRANSHARI7_ACCPAGI[QUANTITY])+SUMIF(TRANSHARI7_ACCMALAM[PRODUK],CP158,TRANSHARI7_ACCMALAM[QUANTITY])</f>
        <v>0</v>
      </c>
      <c r="DC158" s="154">
        <f>SUMIF(TRANSHARI8_ACCPAGI[PRODUK],CP158,TRANSHARI8_ACCPAGI[QUANTITY])+SUMIF(TRANSHARI8_ACCMALAM[PRODUK],CP158,TRANSHARI8_ACCMALAM[QUANTITY])</f>
        <v>0</v>
      </c>
      <c r="DD158" s="154">
        <f>SUMIF(TRANSHARI9_ACCPAGI[PRODUK],CP158,TRANSHARI9_ACCPAGI[QUANTITY])+SUMIF(TRANSHARI9_ACCMALAM[PRODUK],CP158,TRANSHARI9_ACCMALAM[QUANTITY])</f>
        <v>0</v>
      </c>
      <c r="DE158" s="154">
        <f>SUMIF(TRANSHARI10_ACCPAGI[PRODUK],CP158,TRANSHARI10_ACCPAGI[QUANTITY])+SUMIF(TRANSHARI10_ACCMALAM[PRODUK],CP158,TRANSHARI10_ACCMALAM[QUANTITY])</f>
        <v>0</v>
      </c>
      <c r="DF158" s="154">
        <f>SUMIF(TRANSHARI11_ACCPAGI[PRODUK],CP158,TRANSHARI11_ACCPAGI[QUANTITY])+SUMIF(TRANSHARI11_ACCMALAM[PRODUK],CP158,TRANSHARI11_ACCMALAM[QUANTITY])</f>
        <v>0</v>
      </c>
      <c r="DG158" s="154">
        <f t="shared" si="44"/>
        <v>0</v>
      </c>
      <c r="DH158" s="154">
        <f t="shared" si="45"/>
        <v>0</v>
      </c>
      <c r="DI158" s="179">
        <f t="shared" si="46"/>
        <v>0</v>
      </c>
    </row>
    <row r="159" ht="18" spans="94:113">
      <c r="CP159" s="177" t="str">
        <f>'DATA PRODUK'!BH156</f>
        <v>SOAP DISPENSER OASE ASD1</v>
      </c>
      <c r="CQ159" s="175">
        <f>'DATA PRODUK'!BI156</f>
        <v>185000</v>
      </c>
      <c r="CR159" s="12"/>
      <c r="CS159" s="12"/>
      <c r="CT159" s="12"/>
      <c r="CU159" s="12"/>
      <c r="CV159" s="12">
        <f>SUMIF(TRANSHARI1_ACCPAGI[PRODUK],CP159,TRANSHARI1_ACCPAGI[QUANTITY])+SUMIF(TRANSHARI1_ACCMALAM[PRODUK],CP159,TRANSHARI1_ACCMALAM[QUANTITY])</f>
        <v>0</v>
      </c>
      <c r="CW159" s="12">
        <f>SUMIF(TRANSHARI2_ACCPAGI[PRODUK],CP159,TRANSHARI2_ACCPAGI[QUANTITY])+SUMIF(TRANSHARI2_ACCMALAM[PRODUK],CP159,TRANSHARI2_ACCMALAM[QUANTITY])</f>
        <v>0</v>
      </c>
      <c r="CX159" s="12">
        <f>SUMIF(TRANSHARI3_ACCPAGI[PRODUK],CP159,TRANSHARI3_ACCPAGI[QUANTITY])+SUMIF(TRANSHARI3_ACCMALAM[PRODUK],CP159,TRANSHARI3_ACCMALAM[QUANTITY])</f>
        <v>0</v>
      </c>
      <c r="CY159" s="12">
        <f>SUMIF(TRANSHARI4_ACCPAGI[PRODUK],CP159,TRANSHARI4_ACCPAGI[QUANTITY])+SUMIF(TRANSHARI4_ACCMALAM[PRODUK],CP159,TRANSHARI4_ACCMALAM[QUANTITY])</f>
        <v>0</v>
      </c>
      <c r="CZ159" s="12">
        <f>SUMIF(TRANSHARI5_ACCPAGI[PRODUK],CP159,TRANSHARI5_ACCPAGI[QUANTITY])+SUMIF(TRANSHARI5_ACCMALAM[PRODUK],CP159,TRANSHARI5_ACCMALAM[QUANTITY])</f>
        <v>0</v>
      </c>
      <c r="DA159" s="12">
        <f>SUMIF(TRANSHARI6_ACCPAGI[PRODUK],CP159,TRANSHARI6_ACCPAGI[QUANTITY])+SUMIF(TRANSHARI6_ACCMALAM[PRODUK],CP159,TRANSHARI6_ACCMALAM[QUANTITY])</f>
        <v>0</v>
      </c>
      <c r="DB159" s="12">
        <f>SUMIF(TRANSHARI7_ACCPAGI[PRODUK],CP159,TRANSHARI7_ACCPAGI[QUANTITY])+SUMIF(TRANSHARI7_ACCMALAM[PRODUK],CP159,TRANSHARI7_ACCMALAM[QUANTITY])</f>
        <v>0</v>
      </c>
      <c r="DC159" s="12">
        <f>SUMIF(TRANSHARI8_ACCPAGI[PRODUK],CP159,TRANSHARI8_ACCPAGI[QUANTITY])+SUMIF(TRANSHARI8_ACCMALAM[PRODUK],CP159,TRANSHARI8_ACCMALAM[QUANTITY])</f>
        <v>0</v>
      </c>
      <c r="DD159" s="12">
        <f>SUMIF(TRANSHARI9_ACCPAGI[PRODUK],CP159,TRANSHARI9_ACCPAGI[QUANTITY])+SUMIF(TRANSHARI9_ACCMALAM[PRODUK],CP159,TRANSHARI9_ACCMALAM[QUANTITY])</f>
        <v>0</v>
      </c>
      <c r="DE159" s="12">
        <f>SUMIF(TRANSHARI10_ACCPAGI[PRODUK],CP159,TRANSHARI10_ACCPAGI[QUANTITY])+SUMIF(TRANSHARI10_ACCMALAM[PRODUK],CP159,TRANSHARI10_ACCMALAM[QUANTITY])</f>
        <v>0</v>
      </c>
      <c r="DF159" s="12">
        <f>SUMIF(TRANSHARI11_ACCPAGI[PRODUK],CP159,TRANSHARI11_ACCPAGI[QUANTITY])+SUMIF(TRANSHARI11_ACCMALAM[PRODUK],CP159,TRANSHARI11_ACCMALAM[QUANTITY])</f>
        <v>0</v>
      </c>
      <c r="DG159" s="12">
        <f t="shared" si="44"/>
        <v>0</v>
      </c>
      <c r="DH159" s="12">
        <f t="shared" si="45"/>
        <v>0</v>
      </c>
      <c r="DI159" s="173">
        <f t="shared" si="46"/>
        <v>0</v>
      </c>
    </row>
    <row r="160" ht="18" spans="94:113">
      <c r="CP160" s="218" t="str">
        <f>'DATA PRODUK'!BH157</f>
        <v>UV STERILIZER OASE LSUV1</v>
      </c>
      <c r="CQ160" s="219">
        <f>'DATA PRODUK'!BI157</f>
        <v>365000</v>
      </c>
      <c r="CR160" s="154"/>
      <c r="CS160" s="154"/>
      <c r="CT160" s="154"/>
      <c r="CU160" s="154"/>
      <c r="CV160" s="154">
        <f>SUMIF(TRANSHARI1_ACCPAGI[PRODUK],CP160,TRANSHARI1_ACCPAGI[QUANTITY])+SUMIF(TRANSHARI1_ACCMALAM[PRODUK],CP160,TRANSHARI1_ACCMALAM[QUANTITY])</f>
        <v>0</v>
      </c>
      <c r="CW160" s="154">
        <f>SUMIF(TRANSHARI2_ACCPAGI[PRODUK],CP160,TRANSHARI2_ACCPAGI[QUANTITY])+SUMIF(TRANSHARI2_ACCMALAM[PRODUK],CP160,TRANSHARI2_ACCMALAM[QUANTITY])</f>
        <v>0</v>
      </c>
      <c r="CX160" s="154">
        <f>SUMIF(TRANSHARI3_ACCPAGI[PRODUK],CP160,TRANSHARI3_ACCPAGI[QUANTITY])+SUMIF(TRANSHARI3_ACCMALAM[PRODUK],CP160,TRANSHARI3_ACCMALAM[QUANTITY])</f>
        <v>0</v>
      </c>
      <c r="CY160" s="154">
        <f>SUMIF(TRANSHARI4_ACCPAGI[PRODUK],CP160,TRANSHARI4_ACCPAGI[QUANTITY])+SUMIF(TRANSHARI4_ACCMALAM[PRODUK],CP160,TRANSHARI4_ACCMALAM[QUANTITY])</f>
        <v>0</v>
      </c>
      <c r="CZ160" s="154">
        <f>SUMIF(TRANSHARI5_ACCPAGI[PRODUK],CP160,TRANSHARI5_ACCPAGI[QUANTITY])+SUMIF(TRANSHARI5_ACCMALAM[PRODUK],CP160,TRANSHARI5_ACCMALAM[QUANTITY])</f>
        <v>0</v>
      </c>
      <c r="DA160" s="154">
        <f>SUMIF(TRANSHARI6_ACCPAGI[PRODUK],CP160,TRANSHARI6_ACCPAGI[QUANTITY])+SUMIF(TRANSHARI6_ACCMALAM[PRODUK],CP160,TRANSHARI6_ACCMALAM[QUANTITY])</f>
        <v>0</v>
      </c>
      <c r="DB160" s="154">
        <f>SUMIF(TRANSHARI7_ACCPAGI[PRODUK],CP160,TRANSHARI7_ACCPAGI[QUANTITY])+SUMIF(TRANSHARI7_ACCMALAM[PRODUK],CP160,TRANSHARI7_ACCMALAM[QUANTITY])</f>
        <v>0</v>
      </c>
      <c r="DC160" s="154">
        <f>SUMIF(TRANSHARI8_ACCPAGI[PRODUK],CP160,TRANSHARI8_ACCPAGI[QUANTITY])+SUMIF(TRANSHARI8_ACCMALAM[PRODUK],CP160,TRANSHARI8_ACCMALAM[QUANTITY])</f>
        <v>0</v>
      </c>
      <c r="DD160" s="154">
        <f>SUMIF(TRANSHARI9_ACCPAGI[PRODUK],CP160,TRANSHARI9_ACCPAGI[QUANTITY])+SUMIF(TRANSHARI9_ACCMALAM[PRODUK],CP160,TRANSHARI9_ACCMALAM[QUANTITY])</f>
        <v>0</v>
      </c>
      <c r="DE160" s="154">
        <f>SUMIF(TRANSHARI10_ACCPAGI[PRODUK],CP160,TRANSHARI10_ACCPAGI[QUANTITY])+SUMIF(TRANSHARI10_ACCMALAM[PRODUK],CP160,TRANSHARI10_ACCMALAM[QUANTITY])</f>
        <v>0</v>
      </c>
      <c r="DF160" s="154">
        <f>SUMIF(TRANSHARI11_ACCPAGI[PRODUK],CP160,TRANSHARI11_ACCPAGI[QUANTITY])+SUMIF(TRANSHARI11_ACCMALAM[PRODUK],CP160,TRANSHARI11_ACCMALAM[QUANTITY])</f>
        <v>0</v>
      </c>
      <c r="DG160" s="154">
        <f t="shared" si="44"/>
        <v>0</v>
      </c>
      <c r="DH160" s="154">
        <f t="shared" si="45"/>
        <v>0</v>
      </c>
      <c r="DI160" s="179">
        <f t="shared" si="46"/>
        <v>0</v>
      </c>
    </row>
    <row r="161" ht="18" spans="94:113">
      <c r="CP161" s="177" t="str">
        <f>'DATA PRODUK'!BH158</f>
        <v>MOSQUITO KILLER OASE IL-M1</v>
      </c>
      <c r="CQ161" s="175">
        <f>'DATA PRODUK'!BI158</f>
        <v>120000</v>
      </c>
      <c r="CR161" s="12"/>
      <c r="CS161" s="12"/>
      <c r="CT161" s="12"/>
      <c r="CU161" s="12"/>
      <c r="CV161" s="12">
        <f>SUMIF(TRANSHARI1_ACCPAGI[PRODUK],CP161,TRANSHARI1_ACCPAGI[QUANTITY])+SUMIF(TRANSHARI1_ACCMALAM[PRODUK],CP161,TRANSHARI1_ACCMALAM[QUANTITY])</f>
        <v>0</v>
      </c>
      <c r="CW161" s="12">
        <f>SUMIF(TRANSHARI2_ACCPAGI[PRODUK],CP161,TRANSHARI2_ACCPAGI[QUANTITY])+SUMIF(TRANSHARI2_ACCMALAM[PRODUK],CP161,TRANSHARI2_ACCMALAM[QUANTITY])</f>
        <v>0</v>
      </c>
      <c r="CX161" s="12">
        <f>SUMIF(TRANSHARI3_ACCPAGI[PRODUK],CP161,TRANSHARI3_ACCPAGI[QUANTITY])+SUMIF(TRANSHARI3_ACCMALAM[PRODUK],CP161,TRANSHARI3_ACCMALAM[QUANTITY])</f>
        <v>0</v>
      </c>
      <c r="CY161" s="12">
        <f>SUMIF(TRANSHARI4_ACCPAGI[PRODUK],CP161,TRANSHARI4_ACCPAGI[QUANTITY])+SUMIF(TRANSHARI4_ACCMALAM[PRODUK],CP161,TRANSHARI4_ACCMALAM[QUANTITY])</f>
        <v>0</v>
      </c>
      <c r="CZ161" s="12">
        <f>SUMIF(TRANSHARI5_ACCPAGI[PRODUK],CP161,TRANSHARI5_ACCPAGI[QUANTITY])+SUMIF(TRANSHARI5_ACCMALAM[PRODUK],CP161,TRANSHARI5_ACCMALAM[QUANTITY])</f>
        <v>0</v>
      </c>
      <c r="DA161" s="12">
        <f>SUMIF(TRANSHARI6_ACCPAGI[PRODUK],CP161,TRANSHARI6_ACCPAGI[QUANTITY])+SUMIF(TRANSHARI6_ACCMALAM[PRODUK],CP161,TRANSHARI6_ACCMALAM[QUANTITY])</f>
        <v>0</v>
      </c>
      <c r="DB161" s="12">
        <f>SUMIF(TRANSHARI7_ACCPAGI[PRODUK],CP161,TRANSHARI7_ACCPAGI[QUANTITY])+SUMIF(TRANSHARI7_ACCMALAM[PRODUK],CP161,TRANSHARI7_ACCMALAM[QUANTITY])</f>
        <v>0</v>
      </c>
      <c r="DC161" s="12">
        <f>SUMIF(TRANSHARI8_ACCPAGI[PRODUK],CP161,TRANSHARI8_ACCPAGI[QUANTITY])+SUMIF(TRANSHARI8_ACCMALAM[PRODUK],CP161,TRANSHARI8_ACCMALAM[QUANTITY])</f>
        <v>0</v>
      </c>
      <c r="DD161" s="12">
        <f>SUMIF(TRANSHARI9_ACCPAGI[PRODUK],CP161,TRANSHARI9_ACCPAGI[QUANTITY])+SUMIF(TRANSHARI9_ACCMALAM[PRODUK],CP161,TRANSHARI9_ACCMALAM[QUANTITY])</f>
        <v>0</v>
      </c>
      <c r="DE161" s="12">
        <f>SUMIF(TRANSHARI10_ACCPAGI[PRODUK],CP161,TRANSHARI10_ACCPAGI[QUANTITY])+SUMIF(TRANSHARI10_ACCMALAM[PRODUK],CP161,TRANSHARI10_ACCMALAM[QUANTITY])</f>
        <v>0</v>
      </c>
      <c r="DF161" s="12">
        <f>SUMIF(TRANSHARI11_ACCPAGI[PRODUK],CP161,TRANSHARI11_ACCPAGI[QUANTITY])+SUMIF(TRANSHARI11_ACCMALAM[PRODUK],CP161,TRANSHARI11_ACCMALAM[QUANTITY])</f>
        <v>0</v>
      </c>
      <c r="DG161" s="12">
        <f t="shared" si="44"/>
        <v>0</v>
      </c>
      <c r="DH161" s="12">
        <f t="shared" si="45"/>
        <v>0</v>
      </c>
      <c r="DI161" s="173">
        <f t="shared" si="46"/>
        <v>0</v>
      </c>
    </row>
    <row r="162" ht="18" spans="94:113">
      <c r="CP162" s="218" t="str">
        <f>'DATA PRODUK'!BH159</f>
        <v>(WallCharger)(20W) Aukey PA-R1S</v>
      </c>
      <c r="CQ162" s="219">
        <f>'DATA PRODUK'!BI159</f>
        <v>125000</v>
      </c>
      <c r="CR162" s="154"/>
      <c r="CS162" s="154"/>
      <c r="CT162" s="154"/>
      <c r="CU162" s="154"/>
      <c r="CV162" s="154">
        <f>SUMIF(TRANSHARI1_ACCPAGI[PRODUK],CP162,TRANSHARI1_ACCPAGI[QUANTITY])+SUMIF(TRANSHARI1_ACCMALAM[PRODUK],CP162,TRANSHARI1_ACCMALAM[QUANTITY])</f>
        <v>0</v>
      </c>
      <c r="CW162" s="154">
        <f>SUMIF(TRANSHARI2_ACCPAGI[PRODUK],CP162,TRANSHARI2_ACCPAGI[QUANTITY])+SUMIF(TRANSHARI2_ACCMALAM[PRODUK],CP162,TRANSHARI2_ACCMALAM[QUANTITY])</f>
        <v>0</v>
      </c>
      <c r="CX162" s="154">
        <f>SUMIF(TRANSHARI3_ACCPAGI[PRODUK],CP162,TRANSHARI3_ACCPAGI[QUANTITY])+SUMIF(TRANSHARI3_ACCMALAM[PRODUK],CP162,TRANSHARI3_ACCMALAM[QUANTITY])</f>
        <v>0</v>
      </c>
      <c r="CY162" s="154">
        <f>SUMIF(TRANSHARI4_ACCPAGI[PRODUK],CP162,TRANSHARI4_ACCPAGI[QUANTITY])+SUMIF(TRANSHARI4_ACCMALAM[PRODUK],CP162,TRANSHARI4_ACCMALAM[QUANTITY])</f>
        <v>0</v>
      </c>
      <c r="CZ162" s="154">
        <f>SUMIF(TRANSHARI5_ACCPAGI[PRODUK],CP162,TRANSHARI5_ACCPAGI[QUANTITY])+SUMIF(TRANSHARI5_ACCMALAM[PRODUK],CP162,TRANSHARI5_ACCMALAM[QUANTITY])</f>
        <v>0</v>
      </c>
      <c r="DA162" s="154">
        <f>SUMIF(TRANSHARI6_ACCPAGI[PRODUK],CP162,TRANSHARI6_ACCPAGI[QUANTITY])+SUMIF(TRANSHARI6_ACCMALAM[PRODUK],CP162,TRANSHARI6_ACCMALAM[QUANTITY])</f>
        <v>0</v>
      </c>
      <c r="DB162" s="154">
        <f>SUMIF(TRANSHARI7_ACCPAGI[PRODUK],CP162,TRANSHARI7_ACCPAGI[QUANTITY])+SUMIF(TRANSHARI7_ACCMALAM[PRODUK],CP162,TRANSHARI7_ACCMALAM[QUANTITY])</f>
        <v>0</v>
      </c>
      <c r="DC162" s="154">
        <f>SUMIF(TRANSHARI8_ACCPAGI[PRODUK],CP162,TRANSHARI8_ACCPAGI[QUANTITY])+SUMIF(TRANSHARI8_ACCMALAM[PRODUK],CP162,TRANSHARI8_ACCMALAM[QUANTITY])</f>
        <v>0</v>
      </c>
      <c r="DD162" s="154">
        <f>SUMIF(TRANSHARI9_ACCPAGI[PRODUK],CP162,TRANSHARI9_ACCPAGI[QUANTITY])+SUMIF(TRANSHARI9_ACCMALAM[PRODUK],CP162,TRANSHARI9_ACCMALAM[QUANTITY])</f>
        <v>0</v>
      </c>
      <c r="DE162" s="154">
        <f>SUMIF(TRANSHARI10_ACCPAGI[PRODUK],CP162,TRANSHARI10_ACCPAGI[QUANTITY])+SUMIF(TRANSHARI10_ACCMALAM[PRODUK],CP162,TRANSHARI10_ACCMALAM[QUANTITY])</f>
        <v>0</v>
      </c>
      <c r="DF162" s="154">
        <f>SUMIF(TRANSHARI11_ACCPAGI[PRODUK],CP162,TRANSHARI11_ACCPAGI[QUANTITY])+SUMIF(TRANSHARI11_ACCMALAM[PRODUK],CP162,TRANSHARI11_ACCMALAM[QUANTITY])</f>
        <v>0</v>
      </c>
      <c r="DG162" s="154">
        <f t="shared" si="44"/>
        <v>0</v>
      </c>
      <c r="DH162" s="154">
        <f t="shared" si="45"/>
        <v>0</v>
      </c>
      <c r="DI162" s="179">
        <f t="shared" si="46"/>
        <v>0</v>
      </c>
    </row>
    <row r="163" ht="18" spans="94:113">
      <c r="CP163" s="177" t="str">
        <f>'DATA PRODUK'!BH160</f>
        <v>(WallCharger)(20W) Aukey PA-F1S</v>
      </c>
      <c r="CQ163" s="175">
        <f>'DATA PRODUK'!BI160</f>
        <v>150000</v>
      </c>
      <c r="CR163" s="12"/>
      <c r="CS163" s="12"/>
      <c r="CT163" s="12"/>
      <c r="CU163" s="12"/>
      <c r="CV163" s="12">
        <f>SUMIF(TRANSHARI1_ACCPAGI[PRODUK],CP163,TRANSHARI1_ACCPAGI[QUANTITY])+SUMIF(TRANSHARI1_ACCMALAM[PRODUK],CP163,TRANSHARI1_ACCMALAM[QUANTITY])</f>
        <v>0</v>
      </c>
      <c r="CW163" s="12">
        <f>SUMIF(TRANSHARI2_ACCPAGI[PRODUK],CP163,TRANSHARI2_ACCPAGI[QUANTITY])+SUMIF(TRANSHARI2_ACCMALAM[PRODUK],CP163,TRANSHARI2_ACCMALAM[QUANTITY])</f>
        <v>0</v>
      </c>
      <c r="CX163" s="12">
        <f>SUMIF(TRANSHARI3_ACCPAGI[PRODUK],CP163,TRANSHARI3_ACCPAGI[QUANTITY])+SUMIF(TRANSHARI3_ACCMALAM[PRODUK],CP163,TRANSHARI3_ACCMALAM[QUANTITY])</f>
        <v>0</v>
      </c>
      <c r="CY163" s="12">
        <f>SUMIF(TRANSHARI4_ACCPAGI[PRODUK],CP163,TRANSHARI4_ACCPAGI[QUANTITY])+SUMIF(TRANSHARI4_ACCMALAM[PRODUK],CP163,TRANSHARI4_ACCMALAM[QUANTITY])</f>
        <v>0</v>
      </c>
      <c r="CZ163" s="12">
        <f>SUMIF(TRANSHARI5_ACCPAGI[PRODUK],CP163,TRANSHARI5_ACCPAGI[QUANTITY])+SUMIF(TRANSHARI5_ACCMALAM[PRODUK],CP163,TRANSHARI5_ACCMALAM[QUANTITY])</f>
        <v>0</v>
      </c>
      <c r="DA163" s="12">
        <f>SUMIF(TRANSHARI6_ACCPAGI[PRODUK],CP163,TRANSHARI6_ACCPAGI[QUANTITY])+SUMIF(TRANSHARI6_ACCMALAM[PRODUK],CP163,TRANSHARI6_ACCMALAM[QUANTITY])</f>
        <v>0</v>
      </c>
      <c r="DB163" s="12">
        <f>SUMIF(TRANSHARI7_ACCPAGI[PRODUK],CP163,TRANSHARI7_ACCPAGI[QUANTITY])+SUMIF(TRANSHARI7_ACCMALAM[PRODUK],CP163,TRANSHARI7_ACCMALAM[QUANTITY])</f>
        <v>0</v>
      </c>
      <c r="DC163" s="12">
        <f>SUMIF(TRANSHARI8_ACCPAGI[PRODUK],CP163,TRANSHARI8_ACCPAGI[QUANTITY])+SUMIF(TRANSHARI8_ACCMALAM[PRODUK],CP163,TRANSHARI8_ACCMALAM[QUANTITY])</f>
        <v>0</v>
      </c>
      <c r="DD163" s="12">
        <f>SUMIF(TRANSHARI9_ACCPAGI[PRODUK],CP163,TRANSHARI9_ACCPAGI[QUANTITY])+SUMIF(TRANSHARI9_ACCMALAM[PRODUK],CP163,TRANSHARI9_ACCMALAM[QUANTITY])</f>
        <v>0</v>
      </c>
      <c r="DE163" s="12">
        <f>SUMIF(TRANSHARI10_ACCPAGI[PRODUK],CP163,TRANSHARI10_ACCPAGI[QUANTITY])+SUMIF(TRANSHARI10_ACCMALAM[PRODUK],CP163,TRANSHARI10_ACCMALAM[QUANTITY])</f>
        <v>0</v>
      </c>
      <c r="DF163" s="12">
        <f>SUMIF(TRANSHARI11_ACCPAGI[PRODUK],CP163,TRANSHARI11_ACCPAGI[QUANTITY])+SUMIF(TRANSHARI11_ACCMALAM[PRODUK],CP163,TRANSHARI11_ACCMALAM[QUANTITY])</f>
        <v>0</v>
      </c>
      <c r="DG163" s="12">
        <f t="shared" si="44"/>
        <v>0</v>
      </c>
      <c r="DH163" s="12">
        <f t="shared" si="45"/>
        <v>0</v>
      </c>
      <c r="DI163" s="173">
        <f t="shared" si="46"/>
        <v>0</v>
      </c>
    </row>
    <row r="164" ht="18" spans="94:113">
      <c r="CP164" s="174" t="str">
        <f>'DATA PRODUK'!BH161</f>
        <v>(WallCharger)(25W) Aukey PA-R1A</v>
      </c>
      <c r="CQ164" s="219">
        <f>'DATA PRODUK'!BI161</f>
        <v>0</v>
      </c>
      <c r="CR164" s="156"/>
      <c r="CS164" s="156"/>
      <c r="CT164" s="156"/>
      <c r="CU164" s="156"/>
      <c r="CV164" s="156">
        <f>SUMIF(TRANSHARI1_ACCPAGI[PRODUK],CP164,TRANSHARI1_ACCPAGI[QUANTITY])+SUMIF(TRANSHARI1_ACCMALAM[PRODUK],CP164,TRANSHARI1_ACCMALAM[QUANTITY])</f>
        <v>0</v>
      </c>
      <c r="CW164" s="156">
        <f>SUMIF(TRANSHARI2_ACCPAGI[PRODUK],CP164,TRANSHARI2_ACCPAGI[QUANTITY])+SUMIF(TRANSHARI2_ACCMALAM[PRODUK],CP164,TRANSHARI2_ACCMALAM[QUANTITY])</f>
        <v>0</v>
      </c>
      <c r="CX164" s="156">
        <f>SUMIF(TRANSHARI3_ACCPAGI[PRODUK],CP164,TRANSHARI3_ACCPAGI[QUANTITY])+SUMIF(TRANSHARI3_ACCMALAM[PRODUK],CP164,TRANSHARI3_ACCMALAM[QUANTITY])</f>
        <v>0</v>
      </c>
      <c r="CY164" s="156">
        <f>SUMIF(TRANSHARI4_ACCPAGI[PRODUK],CP164,TRANSHARI4_ACCPAGI[QUANTITY])+SUMIF(TRANSHARI4_ACCMALAM[PRODUK],CP164,TRANSHARI4_ACCMALAM[QUANTITY])</f>
        <v>0</v>
      </c>
      <c r="CZ164" s="156">
        <f>SUMIF(TRANSHARI5_ACCPAGI[PRODUK],CP164,TRANSHARI5_ACCPAGI[QUANTITY])+SUMIF(TRANSHARI5_ACCMALAM[PRODUK],CP164,TRANSHARI5_ACCMALAM[QUANTITY])</f>
        <v>0</v>
      </c>
      <c r="DA164" s="156">
        <f>SUMIF(TRANSHARI6_ACCPAGI[PRODUK],CP164,TRANSHARI6_ACCPAGI[QUANTITY])+SUMIF(TRANSHARI6_ACCMALAM[PRODUK],CP164,TRANSHARI6_ACCMALAM[QUANTITY])</f>
        <v>0</v>
      </c>
      <c r="DB164" s="156">
        <f>SUMIF(TRANSHARI7_ACCPAGI[PRODUK],CP164,TRANSHARI7_ACCPAGI[QUANTITY])+SUMIF(TRANSHARI7_ACCMALAM[PRODUK],CP164,TRANSHARI7_ACCMALAM[QUANTITY])</f>
        <v>0</v>
      </c>
      <c r="DC164" s="156">
        <f>SUMIF(TRANSHARI8_ACCPAGI[PRODUK],CP164,TRANSHARI8_ACCPAGI[QUANTITY])+SUMIF(TRANSHARI8_ACCMALAM[PRODUK],CP164,TRANSHARI8_ACCMALAM[QUANTITY])</f>
        <v>0</v>
      </c>
      <c r="DD164" s="156">
        <f>SUMIF(TRANSHARI9_ACCPAGI[PRODUK],CP164,TRANSHARI9_ACCPAGI[QUANTITY])+SUMIF(TRANSHARI9_ACCMALAM[PRODUK],CP164,TRANSHARI9_ACCMALAM[QUANTITY])</f>
        <v>0</v>
      </c>
      <c r="DE164" s="156">
        <f>SUMIF(TRANSHARI10_ACCPAGI[PRODUK],CP164,TRANSHARI10_ACCPAGI[QUANTITY])+SUMIF(TRANSHARI10_ACCMALAM[PRODUK],CP164,TRANSHARI10_ACCMALAM[QUANTITY])</f>
        <v>0</v>
      </c>
      <c r="DF164" s="156">
        <f>SUMIF(TRANSHARI11_ACCPAGI[PRODUK],CP164,TRANSHARI11_ACCPAGI[QUANTITY])+SUMIF(TRANSHARI11_ACCMALAM[PRODUK],CP164,TRANSHARI11_ACCMALAM[QUANTITY])</f>
        <v>0</v>
      </c>
      <c r="DG164" s="156">
        <f t="shared" ref="DG164:DG168" si="47">SUM(CV164:DF164)</f>
        <v>0</v>
      </c>
      <c r="DH164" s="156">
        <f t="shared" ref="DH164:DH168" si="48">CR164+CS164+CT164-CU164-DG164</f>
        <v>0</v>
      </c>
      <c r="DI164" s="180">
        <f t="shared" ref="DI164:DI168" si="49">DG164*CQ164</f>
        <v>0</v>
      </c>
    </row>
    <row r="165" ht="18" spans="94:113">
      <c r="CP165" s="177" t="str">
        <f>'DATA PRODUK'!BH162</f>
        <v>(WallCharger)(30W) Aukey PA-R1T</v>
      </c>
      <c r="CQ165" s="175">
        <f>'DATA PRODUK'!BI162</f>
        <v>175000</v>
      </c>
      <c r="CR165" s="12"/>
      <c r="CS165" s="12"/>
      <c r="CT165" s="12"/>
      <c r="CU165" s="12"/>
      <c r="CV165" s="12">
        <f>SUMIF(TRANSHARI1_ACCPAGI[PRODUK],CP165,TRANSHARI1_ACCPAGI[QUANTITY])+SUMIF(TRANSHARI1_ACCMALAM[PRODUK],CP165,TRANSHARI1_ACCMALAM[QUANTITY])</f>
        <v>0</v>
      </c>
      <c r="CW165" s="12">
        <f>SUMIF(TRANSHARI2_ACCPAGI[PRODUK],CP165,TRANSHARI2_ACCPAGI[QUANTITY])+SUMIF(TRANSHARI2_ACCMALAM[PRODUK],CP165,TRANSHARI2_ACCMALAM[QUANTITY])</f>
        <v>0</v>
      </c>
      <c r="CX165" s="12">
        <f>SUMIF(TRANSHARI3_ACCPAGI[PRODUK],CP165,TRANSHARI3_ACCPAGI[QUANTITY])+SUMIF(TRANSHARI3_ACCMALAM[PRODUK],CP165,TRANSHARI3_ACCMALAM[QUANTITY])</f>
        <v>0</v>
      </c>
      <c r="CY165" s="12">
        <f>SUMIF(TRANSHARI4_ACCPAGI[PRODUK],CP165,TRANSHARI4_ACCPAGI[QUANTITY])+SUMIF(TRANSHARI4_ACCMALAM[PRODUK],CP165,TRANSHARI4_ACCMALAM[QUANTITY])</f>
        <v>0</v>
      </c>
      <c r="CZ165" s="12">
        <f>SUMIF(TRANSHARI5_ACCPAGI[PRODUK],CP165,TRANSHARI5_ACCPAGI[QUANTITY])+SUMIF(TRANSHARI5_ACCMALAM[PRODUK],CP165,TRANSHARI5_ACCMALAM[QUANTITY])</f>
        <v>0</v>
      </c>
      <c r="DA165" s="12">
        <f>SUMIF(TRANSHARI6_ACCPAGI[PRODUK],CP165,TRANSHARI6_ACCPAGI[QUANTITY])+SUMIF(TRANSHARI6_ACCMALAM[PRODUK],CP165,TRANSHARI6_ACCMALAM[QUANTITY])</f>
        <v>0</v>
      </c>
      <c r="DB165" s="12">
        <f>SUMIF(TRANSHARI7_ACCPAGI[PRODUK],CP165,TRANSHARI7_ACCPAGI[QUANTITY])+SUMIF(TRANSHARI7_ACCMALAM[PRODUK],CP165,TRANSHARI7_ACCMALAM[QUANTITY])</f>
        <v>0</v>
      </c>
      <c r="DC165" s="12">
        <f>SUMIF(TRANSHARI8_ACCPAGI[PRODUK],CP165,TRANSHARI8_ACCPAGI[QUANTITY])+SUMIF(TRANSHARI8_ACCMALAM[PRODUK],CP165,TRANSHARI8_ACCMALAM[QUANTITY])</f>
        <v>0</v>
      </c>
      <c r="DD165" s="12">
        <f>SUMIF(TRANSHARI9_ACCPAGI[PRODUK],CP165,TRANSHARI9_ACCPAGI[QUANTITY])+SUMIF(TRANSHARI9_ACCMALAM[PRODUK],CP165,TRANSHARI9_ACCMALAM[QUANTITY])</f>
        <v>0</v>
      </c>
      <c r="DE165" s="12">
        <f>SUMIF(TRANSHARI10_ACCPAGI[PRODUK],CP165,TRANSHARI10_ACCPAGI[QUANTITY])+SUMIF(TRANSHARI10_ACCMALAM[PRODUK],CP165,TRANSHARI10_ACCMALAM[QUANTITY])</f>
        <v>0</v>
      </c>
      <c r="DF165" s="12">
        <f>SUMIF(TRANSHARI11_ACCPAGI[PRODUK],CP165,TRANSHARI11_ACCPAGI[QUANTITY])+SUMIF(TRANSHARI11_ACCMALAM[PRODUK],CP165,TRANSHARI11_ACCMALAM[QUANTITY])</f>
        <v>0</v>
      </c>
      <c r="DG165" s="12">
        <f t="shared" si="47"/>
        <v>0</v>
      </c>
      <c r="DH165" s="12">
        <f t="shared" si="48"/>
        <v>0</v>
      </c>
      <c r="DI165" s="173">
        <f t="shared" si="49"/>
        <v>0</v>
      </c>
    </row>
    <row r="166" ht="18" spans="94:113">
      <c r="CP166" s="174" t="str">
        <f>'DATA PRODUK'!BH163</f>
        <v>(WallCharger)(32W) Aukey PA-F3S</v>
      </c>
      <c r="CQ166" s="219">
        <f>'DATA PRODUK'!BI163</f>
        <v>215000</v>
      </c>
      <c r="CR166" s="156"/>
      <c r="CS166" s="156"/>
      <c r="CT166" s="156"/>
      <c r="CU166" s="156"/>
      <c r="CV166" s="156">
        <f>SUMIF(TRANSHARI1_ACCPAGI[PRODUK],CP166,TRANSHARI1_ACCPAGI[QUANTITY])+SUMIF(TRANSHARI1_ACCMALAM[PRODUK],CP166,TRANSHARI1_ACCMALAM[QUANTITY])</f>
        <v>0</v>
      </c>
      <c r="CW166" s="156">
        <f>SUMIF(TRANSHARI2_ACCPAGI[PRODUK],CP166,TRANSHARI2_ACCPAGI[QUANTITY])+SUMIF(TRANSHARI2_ACCMALAM[PRODUK],CP166,TRANSHARI2_ACCMALAM[QUANTITY])</f>
        <v>0</v>
      </c>
      <c r="CX166" s="156">
        <f>SUMIF(TRANSHARI3_ACCPAGI[PRODUK],CP166,TRANSHARI3_ACCPAGI[QUANTITY])+SUMIF(TRANSHARI3_ACCMALAM[PRODUK],CP166,TRANSHARI3_ACCMALAM[QUANTITY])</f>
        <v>0</v>
      </c>
      <c r="CY166" s="156">
        <f>SUMIF(TRANSHARI4_ACCPAGI[PRODUK],CP166,TRANSHARI4_ACCPAGI[QUANTITY])+SUMIF(TRANSHARI4_ACCMALAM[PRODUK],CP166,TRANSHARI4_ACCMALAM[QUANTITY])</f>
        <v>0</v>
      </c>
      <c r="CZ166" s="156">
        <f>SUMIF(TRANSHARI5_ACCPAGI[PRODUK],CP166,TRANSHARI5_ACCPAGI[QUANTITY])+SUMIF(TRANSHARI5_ACCMALAM[PRODUK],CP166,TRANSHARI5_ACCMALAM[QUANTITY])</f>
        <v>0</v>
      </c>
      <c r="DA166" s="156">
        <f>SUMIF(TRANSHARI6_ACCPAGI[PRODUK],CP166,TRANSHARI6_ACCPAGI[QUANTITY])+SUMIF(TRANSHARI6_ACCMALAM[PRODUK],CP166,TRANSHARI6_ACCMALAM[QUANTITY])</f>
        <v>0</v>
      </c>
      <c r="DB166" s="156">
        <f>SUMIF(TRANSHARI7_ACCPAGI[PRODUK],CP166,TRANSHARI7_ACCPAGI[QUANTITY])+SUMIF(TRANSHARI7_ACCMALAM[PRODUK],CP166,TRANSHARI7_ACCMALAM[QUANTITY])</f>
        <v>0</v>
      </c>
      <c r="DC166" s="156">
        <f>SUMIF(TRANSHARI8_ACCPAGI[PRODUK],CP166,TRANSHARI8_ACCPAGI[QUANTITY])+SUMIF(TRANSHARI8_ACCMALAM[PRODUK],CP166,TRANSHARI8_ACCMALAM[QUANTITY])</f>
        <v>0</v>
      </c>
      <c r="DD166" s="156">
        <f>SUMIF(TRANSHARI9_ACCPAGI[PRODUK],CP166,TRANSHARI9_ACCPAGI[QUANTITY])+SUMIF(TRANSHARI9_ACCMALAM[PRODUK],CP166,TRANSHARI9_ACCMALAM[QUANTITY])</f>
        <v>0</v>
      </c>
      <c r="DE166" s="156">
        <f>SUMIF(TRANSHARI10_ACCPAGI[PRODUK],CP166,TRANSHARI10_ACCPAGI[QUANTITY])+SUMIF(TRANSHARI10_ACCMALAM[PRODUK],CP166,TRANSHARI10_ACCMALAM[QUANTITY])</f>
        <v>0</v>
      </c>
      <c r="DF166" s="156">
        <f>SUMIF(TRANSHARI11_ACCPAGI[PRODUK],CP166,TRANSHARI11_ACCPAGI[QUANTITY])+SUMIF(TRANSHARI11_ACCMALAM[PRODUK],CP166,TRANSHARI11_ACCMALAM[QUANTITY])</f>
        <v>0</v>
      </c>
      <c r="DG166" s="156">
        <f t="shared" si="47"/>
        <v>0</v>
      </c>
      <c r="DH166" s="156">
        <f t="shared" si="48"/>
        <v>0</v>
      </c>
      <c r="DI166" s="180">
        <f t="shared" si="49"/>
        <v>0</v>
      </c>
    </row>
    <row r="167" ht="18" spans="94:113">
      <c r="CP167" s="177" t="str">
        <f>'DATA PRODUK'!BH164</f>
        <v>(WallCharger)(40W) Aukey PA-R2S</v>
      </c>
      <c r="CQ167" s="175">
        <f>'DATA PRODUK'!BI164</f>
        <v>245000</v>
      </c>
      <c r="CR167" s="12"/>
      <c r="CS167" s="12"/>
      <c r="CT167" s="12"/>
      <c r="CU167" s="12"/>
      <c r="CV167" s="12">
        <f>SUMIF(TRANSHARI1_ACCPAGI[PRODUK],CP167,TRANSHARI1_ACCPAGI[QUANTITY])+SUMIF(TRANSHARI1_ACCMALAM[PRODUK],CP167,TRANSHARI1_ACCMALAM[QUANTITY])</f>
        <v>0</v>
      </c>
      <c r="CW167" s="12">
        <f>SUMIF(TRANSHARI2_ACCPAGI[PRODUK],CP167,TRANSHARI2_ACCPAGI[QUANTITY])+SUMIF(TRANSHARI2_ACCMALAM[PRODUK],CP167,TRANSHARI2_ACCMALAM[QUANTITY])</f>
        <v>0</v>
      </c>
      <c r="CX167" s="12">
        <f>SUMIF(TRANSHARI3_ACCPAGI[PRODUK],CP167,TRANSHARI3_ACCPAGI[QUANTITY])+SUMIF(TRANSHARI3_ACCMALAM[PRODUK],CP167,TRANSHARI3_ACCMALAM[QUANTITY])</f>
        <v>0</v>
      </c>
      <c r="CY167" s="12">
        <f>SUMIF(TRANSHARI4_ACCPAGI[PRODUK],CP167,TRANSHARI4_ACCPAGI[QUANTITY])+SUMIF(TRANSHARI4_ACCMALAM[PRODUK],CP167,TRANSHARI4_ACCMALAM[QUANTITY])</f>
        <v>0</v>
      </c>
      <c r="CZ167" s="12">
        <f>SUMIF(TRANSHARI5_ACCPAGI[PRODUK],CP167,TRANSHARI5_ACCPAGI[QUANTITY])+SUMIF(TRANSHARI5_ACCMALAM[PRODUK],CP167,TRANSHARI5_ACCMALAM[QUANTITY])</f>
        <v>0</v>
      </c>
      <c r="DA167" s="12">
        <f>SUMIF(TRANSHARI6_ACCPAGI[PRODUK],CP167,TRANSHARI6_ACCPAGI[QUANTITY])+SUMIF(TRANSHARI6_ACCMALAM[PRODUK],CP167,TRANSHARI6_ACCMALAM[QUANTITY])</f>
        <v>0</v>
      </c>
      <c r="DB167" s="12">
        <f>SUMIF(TRANSHARI7_ACCPAGI[PRODUK],CP167,TRANSHARI7_ACCPAGI[QUANTITY])+SUMIF(TRANSHARI7_ACCMALAM[PRODUK],CP167,TRANSHARI7_ACCMALAM[QUANTITY])</f>
        <v>0</v>
      </c>
      <c r="DC167" s="12">
        <f>SUMIF(TRANSHARI8_ACCPAGI[PRODUK],CP167,TRANSHARI8_ACCPAGI[QUANTITY])+SUMIF(TRANSHARI8_ACCMALAM[PRODUK],CP167,TRANSHARI8_ACCMALAM[QUANTITY])</f>
        <v>0</v>
      </c>
      <c r="DD167" s="12">
        <f>SUMIF(TRANSHARI9_ACCPAGI[PRODUK],CP167,TRANSHARI9_ACCPAGI[QUANTITY])+SUMIF(TRANSHARI9_ACCMALAM[PRODUK],CP167,TRANSHARI9_ACCMALAM[QUANTITY])</f>
        <v>0</v>
      </c>
      <c r="DE167" s="12">
        <f>SUMIF(TRANSHARI10_ACCPAGI[PRODUK],CP167,TRANSHARI10_ACCPAGI[QUANTITY])+SUMIF(TRANSHARI10_ACCMALAM[PRODUK],CP167,TRANSHARI10_ACCMALAM[QUANTITY])</f>
        <v>0</v>
      </c>
      <c r="DF167" s="12">
        <f>SUMIF(TRANSHARI11_ACCPAGI[PRODUK],CP167,TRANSHARI11_ACCPAGI[QUANTITY])+SUMIF(TRANSHARI11_ACCMALAM[PRODUK],CP167,TRANSHARI11_ACCMALAM[QUANTITY])</f>
        <v>0</v>
      </c>
      <c r="DG167" s="12">
        <f t="shared" si="47"/>
        <v>0</v>
      </c>
      <c r="DH167" s="12">
        <f t="shared" si="48"/>
        <v>0</v>
      </c>
      <c r="DI167" s="173">
        <f t="shared" si="49"/>
        <v>0</v>
      </c>
    </row>
    <row r="168" ht="18" spans="94:113">
      <c r="CP168" s="174" t="str">
        <f>'DATA PRODUK'!BH165</f>
        <v>(WallCharger)(45W) Aukey PA-B2T</v>
      </c>
      <c r="CQ168" s="219">
        <f>'DATA PRODUK'!BI165</f>
        <v>275000</v>
      </c>
      <c r="CR168" s="156"/>
      <c r="CS168" s="156"/>
      <c r="CT168" s="156"/>
      <c r="CU168" s="156"/>
      <c r="CV168" s="156">
        <f>SUMIF(TRANSHARI1_ACCPAGI[PRODUK],CP168,TRANSHARI1_ACCPAGI[QUANTITY])+SUMIF(TRANSHARI1_ACCMALAM[PRODUK],CP168,TRANSHARI1_ACCMALAM[QUANTITY])</f>
        <v>0</v>
      </c>
      <c r="CW168" s="156">
        <f>SUMIF(TRANSHARI2_ACCPAGI[PRODUK],CP168,TRANSHARI2_ACCPAGI[QUANTITY])+SUMIF(TRANSHARI2_ACCMALAM[PRODUK],CP168,TRANSHARI2_ACCMALAM[QUANTITY])</f>
        <v>0</v>
      </c>
      <c r="CX168" s="156">
        <f>SUMIF(TRANSHARI3_ACCPAGI[PRODUK],CP168,TRANSHARI3_ACCPAGI[QUANTITY])+SUMIF(TRANSHARI3_ACCMALAM[PRODUK],CP168,TRANSHARI3_ACCMALAM[QUANTITY])</f>
        <v>0</v>
      </c>
      <c r="CY168" s="156">
        <f>SUMIF(TRANSHARI4_ACCPAGI[PRODUK],CP168,TRANSHARI4_ACCPAGI[QUANTITY])+SUMIF(TRANSHARI4_ACCMALAM[PRODUK],CP168,TRANSHARI4_ACCMALAM[QUANTITY])</f>
        <v>0</v>
      </c>
      <c r="CZ168" s="156">
        <f>SUMIF(TRANSHARI5_ACCPAGI[PRODUK],CP168,TRANSHARI5_ACCPAGI[QUANTITY])+SUMIF(TRANSHARI5_ACCMALAM[PRODUK],CP168,TRANSHARI5_ACCMALAM[QUANTITY])</f>
        <v>0</v>
      </c>
      <c r="DA168" s="156">
        <f>SUMIF(TRANSHARI6_ACCPAGI[PRODUK],CP168,TRANSHARI6_ACCPAGI[QUANTITY])+SUMIF(TRANSHARI6_ACCMALAM[PRODUK],CP168,TRANSHARI6_ACCMALAM[QUANTITY])</f>
        <v>0</v>
      </c>
      <c r="DB168" s="156">
        <f>SUMIF(TRANSHARI7_ACCPAGI[PRODUK],CP168,TRANSHARI7_ACCPAGI[QUANTITY])+SUMIF(TRANSHARI7_ACCMALAM[PRODUK],CP168,TRANSHARI7_ACCMALAM[QUANTITY])</f>
        <v>0</v>
      </c>
      <c r="DC168" s="156">
        <f>SUMIF(TRANSHARI8_ACCPAGI[PRODUK],CP168,TRANSHARI8_ACCPAGI[QUANTITY])+SUMIF(TRANSHARI8_ACCMALAM[PRODUK],CP168,TRANSHARI8_ACCMALAM[QUANTITY])</f>
        <v>0</v>
      </c>
      <c r="DD168" s="156">
        <f>SUMIF(TRANSHARI9_ACCPAGI[PRODUK],CP168,TRANSHARI9_ACCPAGI[QUANTITY])+SUMIF(TRANSHARI9_ACCMALAM[PRODUK],CP168,TRANSHARI9_ACCMALAM[QUANTITY])</f>
        <v>0</v>
      </c>
      <c r="DE168" s="156">
        <f>SUMIF(TRANSHARI10_ACCPAGI[PRODUK],CP168,TRANSHARI10_ACCPAGI[QUANTITY])+SUMIF(TRANSHARI10_ACCMALAM[PRODUK],CP168,TRANSHARI10_ACCMALAM[QUANTITY])</f>
        <v>0</v>
      </c>
      <c r="DF168" s="156">
        <f>SUMIF(TRANSHARI11_ACCPAGI[PRODUK],CP168,TRANSHARI11_ACCPAGI[QUANTITY])+SUMIF(TRANSHARI11_ACCMALAM[PRODUK],CP168,TRANSHARI11_ACCMALAM[QUANTITY])</f>
        <v>0</v>
      </c>
      <c r="DG168" s="156">
        <f t="shared" si="47"/>
        <v>0</v>
      </c>
      <c r="DH168" s="156">
        <f t="shared" si="48"/>
        <v>0</v>
      </c>
      <c r="DI168" s="180">
        <f t="shared" si="49"/>
        <v>0</v>
      </c>
    </row>
    <row r="169" ht="18" spans="94:113">
      <c r="CP169" s="177" t="str">
        <f>'DATA PRODUK'!BH166</f>
        <v>NEW PRODUCT (1)</v>
      </c>
      <c r="CQ169" s="175">
        <f>'DATA PRODUK'!BI166</f>
        <v>0</v>
      </c>
      <c r="CR169" s="12"/>
      <c r="CS169" s="12"/>
      <c r="CT169" s="12"/>
      <c r="CU169" s="12"/>
      <c r="CV169" s="12">
        <f>SUMIF(TRANSHARI1_ACCPAGI[PRODUK],CP169,TRANSHARI1_ACCPAGI[QUANTITY])+SUMIF(TRANSHARI1_ACCMALAM[PRODUK],CP169,TRANSHARI1_ACCMALAM[QUANTITY])</f>
        <v>0</v>
      </c>
      <c r="CW169" s="12">
        <f>SUMIF(TRANSHARI2_ACCPAGI[PRODUK],CP169,TRANSHARI2_ACCPAGI[QUANTITY])+SUMIF(TRANSHARI2_ACCMALAM[PRODUK],CP169,TRANSHARI2_ACCMALAM[QUANTITY])</f>
        <v>0</v>
      </c>
      <c r="CX169" s="12">
        <f>SUMIF(TRANSHARI3_ACCPAGI[PRODUK],CP169,TRANSHARI3_ACCPAGI[QUANTITY])+SUMIF(TRANSHARI3_ACCMALAM[PRODUK],CP169,TRANSHARI3_ACCMALAM[QUANTITY])</f>
        <v>0</v>
      </c>
      <c r="CY169" s="12">
        <f>SUMIF(TRANSHARI4_ACCPAGI[PRODUK],CP169,TRANSHARI4_ACCPAGI[QUANTITY])+SUMIF(TRANSHARI4_ACCMALAM[PRODUK],CP169,TRANSHARI4_ACCMALAM[QUANTITY])</f>
        <v>0</v>
      </c>
      <c r="CZ169" s="12">
        <f>SUMIF(TRANSHARI5_ACCPAGI[PRODUK],CP169,TRANSHARI5_ACCPAGI[QUANTITY])+SUMIF(TRANSHARI5_ACCMALAM[PRODUK],CP169,TRANSHARI5_ACCMALAM[QUANTITY])</f>
        <v>0</v>
      </c>
      <c r="DA169" s="12">
        <f>SUMIF(TRANSHARI6_ACCPAGI[PRODUK],CP169,TRANSHARI6_ACCPAGI[QUANTITY])+SUMIF(TRANSHARI6_ACCMALAM[PRODUK],CP169,TRANSHARI6_ACCMALAM[QUANTITY])</f>
        <v>0</v>
      </c>
      <c r="DB169" s="12">
        <f>SUMIF(TRANSHARI7_ACCPAGI[PRODUK],CP169,TRANSHARI7_ACCPAGI[QUANTITY])+SUMIF(TRANSHARI7_ACCMALAM[PRODUK],CP169,TRANSHARI7_ACCMALAM[QUANTITY])</f>
        <v>0</v>
      </c>
      <c r="DC169" s="12">
        <f>SUMIF(TRANSHARI8_ACCPAGI[PRODUK],CP169,TRANSHARI8_ACCPAGI[QUANTITY])+SUMIF(TRANSHARI8_ACCMALAM[PRODUK],CP169,TRANSHARI8_ACCMALAM[QUANTITY])</f>
        <v>0</v>
      </c>
      <c r="DD169" s="12">
        <f>SUMIF(TRANSHARI9_ACCPAGI[PRODUK],CP169,TRANSHARI9_ACCPAGI[QUANTITY])+SUMIF(TRANSHARI9_ACCMALAM[PRODUK],CP169,TRANSHARI9_ACCMALAM[QUANTITY])</f>
        <v>0</v>
      </c>
      <c r="DE169" s="12">
        <f>SUMIF(TRANSHARI10_ACCPAGI[PRODUK],CP169,TRANSHARI10_ACCPAGI[QUANTITY])+SUMIF(TRANSHARI10_ACCMALAM[PRODUK],CP169,TRANSHARI10_ACCMALAM[QUANTITY])</f>
        <v>0</v>
      </c>
      <c r="DF169" s="12">
        <f>SUMIF(TRANSHARI11_ACCPAGI[PRODUK],CP169,TRANSHARI11_ACCPAGI[QUANTITY])+SUMIF(TRANSHARI11_ACCMALAM[PRODUK],CP169,TRANSHARI11_ACCMALAM[QUANTITY])</f>
        <v>0</v>
      </c>
      <c r="DG169" s="12">
        <f t="shared" si="44"/>
        <v>0</v>
      </c>
      <c r="DH169" s="12">
        <f t="shared" si="45"/>
        <v>0</v>
      </c>
      <c r="DI169" s="173">
        <f t="shared" si="46"/>
        <v>0</v>
      </c>
    </row>
    <row r="170" ht="18" spans="94:113">
      <c r="CP170" s="174" t="str">
        <f>'DATA PRODUK'!BH167</f>
        <v>NEW PRODUCT (2)</v>
      </c>
      <c r="CQ170" s="219">
        <f>'DATA PRODUK'!BI167</f>
        <v>0</v>
      </c>
      <c r="CR170" s="156"/>
      <c r="CS170" s="156"/>
      <c r="CT170" s="156"/>
      <c r="CU170" s="156"/>
      <c r="CV170" s="156">
        <f>SUMIF(TRANSHARI1_ACCPAGI[PRODUK],CP170,TRANSHARI1_ACCPAGI[QUANTITY])+SUMIF(TRANSHARI1_ACCMALAM[PRODUK],CP170,TRANSHARI1_ACCMALAM[QUANTITY])</f>
        <v>0</v>
      </c>
      <c r="CW170" s="156">
        <f>SUMIF(TRANSHARI2_ACCPAGI[PRODUK],CP170,TRANSHARI2_ACCPAGI[QUANTITY])+SUMIF(TRANSHARI2_ACCMALAM[PRODUK],CP170,TRANSHARI2_ACCMALAM[QUANTITY])</f>
        <v>0</v>
      </c>
      <c r="CX170" s="156">
        <f>SUMIF(TRANSHARI3_ACCPAGI[PRODUK],CP170,TRANSHARI3_ACCPAGI[QUANTITY])+SUMIF(TRANSHARI3_ACCMALAM[PRODUK],CP170,TRANSHARI3_ACCMALAM[QUANTITY])</f>
        <v>0</v>
      </c>
      <c r="CY170" s="156">
        <f>SUMIF(TRANSHARI4_ACCPAGI[PRODUK],CP170,TRANSHARI4_ACCPAGI[QUANTITY])+SUMIF(TRANSHARI4_ACCMALAM[PRODUK],CP170,TRANSHARI4_ACCMALAM[QUANTITY])</f>
        <v>0</v>
      </c>
      <c r="CZ170" s="156">
        <f>SUMIF(TRANSHARI5_ACCPAGI[PRODUK],CP170,TRANSHARI5_ACCPAGI[QUANTITY])+SUMIF(TRANSHARI5_ACCMALAM[PRODUK],CP170,TRANSHARI5_ACCMALAM[QUANTITY])</f>
        <v>0</v>
      </c>
      <c r="DA170" s="156">
        <f>SUMIF(TRANSHARI6_ACCPAGI[PRODUK],CP170,TRANSHARI6_ACCPAGI[QUANTITY])+SUMIF(TRANSHARI6_ACCMALAM[PRODUK],CP170,TRANSHARI6_ACCMALAM[QUANTITY])</f>
        <v>0</v>
      </c>
      <c r="DB170" s="156">
        <f>SUMIF(TRANSHARI7_ACCPAGI[PRODUK],CP170,TRANSHARI7_ACCPAGI[QUANTITY])+SUMIF(TRANSHARI7_ACCMALAM[PRODUK],CP170,TRANSHARI7_ACCMALAM[QUANTITY])</f>
        <v>0</v>
      </c>
      <c r="DC170" s="156">
        <f>SUMIF(TRANSHARI8_ACCPAGI[PRODUK],CP170,TRANSHARI8_ACCPAGI[QUANTITY])+SUMIF(TRANSHARI8_ACCMALAM[PRODUK],CP170,TRANSHARI8_ACCMALAM[QUANTITY])</f>
        <v>0</v>
      </c>
      <c r="DD170" s="156">
        <f>SUMIF(TRANSHARI9_ACCPAGI[PRODUK],CP170,TRANSHARI9_ACCPAGI[QUANTITY])+SUMIF(TRANSHARI9_ACCMALAM[PRODUK],CP170,TRANSHARI9_ACCMALAM[QUANTITY])</f>
        <v>0</v>
      </c>
      <c r="DE170" s="156">
        <f>SUMIF(TRANSHARI10_ACCPAGI[PRODUK],CP170,TRANSHARI10_ACCPAGI[QUANTITY])+SUMIF(TRANSHARI10_ACCMALAM[PRODUK],CP170,TRANSHARI10_ACCMALAM[QUANTITY])</f>
        <v>0</v>
      </c>
      <c r="DF170" s="156">
        <f>SUMIF(TRANSHARI11_ACCPAGI[PRODUK],CP170,TRANSHARI11_ACCPAGI[QUANTITY])+SUMIF(TRANSHARI11_ACCMALAM[PRODUK],CP170,TRANSHARI11_ACCMALAM[QUANTITY])</f>
        <v>0</v>
      </c>
      <c r="DG170" s="156">
        <f t="shared" si="44"/>
        <v>0</v>
      </c>
      <c r="DH170" s="156">
        <f t="shared" si="45"/>
        <v>0</v>
      </c>
      <c r="DI170" s="180">
        <f t="shared" si="46"/>
        <v>0</v>
      </c>
    </row>
    <row r="171" ht="18" spans="94:113">
      <c r="CP171" s="177" t="str">
        <f>'DATA PRODUK'!BH168</f>
        <v>NEW PRODUCT (3)</v>
      </c>
      <c r="CQ171" s="175">
        <f>'DATA PRODUK'!BI168</f>
        <v>0</v>
      </c>
      <c r="CR171" s="12"/>
      <c r="CS171" s="12"/>
      <c r="CT171" s="12"/>
      <c r="CU171" s="12"/>
      <c r="CV171" s="12">
        <f>SUMIF(TRANSHARI1_ACCPAGI[PRODUK],CP171,TRANSHARI1_ACCPAGI[QUANTITY])+SUMIF(TRANSHARI1_ACCMALAM[PRODUK],CP171,TRANSHARI1_ACCMALAM[QUANTITY])</f>
        <v>0</v>
      </c>
      <c r="CW171" s="12">
        <f>SUMIF(TRANSHARI2_ACCPAGI[PRODUK],CP171,TRANSHARI2_ACCPAGI[QUANTITY])+SUMIF(TRANSHARI2_ACCMALAM[PRODUK],CP171,TRANSHARI2_ACCMALAM[QUANTITY])</f>
        <v>0</v>
      </c>
      <c r="CX171" s="12">
        <f>SUMIF(TRANSHARI3_ACCPAGI[PRODUK],CP171,TRANSHARI3_ACCPAGI[QUANTITY])+SUMIF(TRANSHARI3_ACCMALAM[PRODUK],CP171,TRANSHARI3_ACCMALAM[QUANTITY])</f>
        <v>0</v>
      </c>
      <c r="CY171" s="12">
        <f>SUMIF(TRANSHARI4_ACCPAGI[PRODUK],CP171,TRANSHARI4_ACCPAGI[QUANTITY])+SUMIF(TRANSHARI4_ACCMALAM[PRODUK],CP171,TRANSHARI4_ACCMALAM[QUANTITY])</f>
        <v>0</v>
      </c>
      <c r="CZ171" s="12">
        <f>SUMIF(TRANSHARI5_ACCPAGI[PRODUK],CP171,TRANSHARI5_ACCPAGI[QUANTITY])+SUMIF(TRANSHARI5_ACCMALAM[PRODUK],CP171,TRANSHARI5_ACCMALAM[QUANTITY])</f>
        <v>0</v>
      </c>
      <c r="DA171" s="12">
        <f>SUMIF(TRANSHARI6_ACCPAGI[PRODUK],CP171,TRANSHARI6_ACCPAGI[QUANTITY])+SUMIF(TRANSHARI6_ACCMALAM[PRODUK],CP171,TRANSHARI6_ACCMALAM[QUANTITY])</f>
        <v>0</v>
      </c>
      <c r="DB171" s="12">
        <f>SUMIF(TRANSHARI7_ACCPAGI[PRODUK],CP171,TRANSHARI7_ACCPAGI[QUANTITY])+SUMIF(TRANSHARI7_ACCMALAM[PRODUK],CP171,TRANSHARI7_ACCMALAM[QUANTITY])</f>
        <v>0</v>
      </c>
      <c r="DC171" s="12">
        <f>SUMIF(TRANSHARI8_ACCPAGI[PRODUK],CP171,TRANSHARI8_ACCPAGI[QUANTITY])+SUMIF(TRANSHARI8_ACCMALAM[PRODUK],CP171,TRANSHARI8_ACCMALAM[QUANTITY])</f>
        <v>0</v>
      </c>
      <c r="DD171" s="12">
        <f>SUMIF(TRANSHARI9_ACCPAGI[PRODUK],CP171,TRANSHARI9_ACCPAGI[QUANTITY])+SUMIF(TRANSHARI9_ACCMALAM[PRODUK],CP171,TRANSHARI9_ACCMALAM[QUANTITY])</f>
        <v>0</v>
      </c>
      <c r="DE171" s="12">
        <f>SUMIF(TRANSHARI10_ACCPAGI[PRODUK],CP171,TRANSHARI10_ACCPAGI[QUANTITY])+SUMIF(TRANSHARI10_ACCMALAM[PRODUK],CP171,TRANSHARI10_ACCMALAM[QUANTITY])</f>
        <v>0</v>
      </c>
      <c r="DF171" s="12">
        <f>SUMIF(TRANSHARI11_ACCPAGI[PRODUK],CP171,TRANSHARI11_ACCPAGI[QUANTITY])+SUMIF(TRANSHARI11_ACCMALAM[PRODUK],CP171,TRANSHARI11_ACCMALAM[QUANTITY])</f>
        <v>0</v>
      </c>
      <c r="DG171" s="12">
        <f t="shared" si="44"/>
        <v>0</v>
      </c>
      <c r="DH171" s="12">
        <f t="shared" si="45"/>
        <v>0</v>
      </c>
      <c r="DI171" s="173">
        <f t="shared" si="46"/>
        <v>0</v>
      </c>
    </row>
    <row r="172" spans="94:113">
      <c r="CP172" s="157" t="s">
        <v>141</v>
      </c>
      <c r="CQ172" s="157"/>
      <c r="CR172" s="11">
        <f>SUM(CR15:CR128)</f>
        <v>0</v>
      </c>
      <c r="CS172" s="158">
        <f>SUM(CS15:CS128)</f>
        <v>0</v>
      </c>
      <c r="CT172" s="159">
        <f>SUM(CT15:CT128)</f>
        <v>0</v>
      </c>
      <c r="CU172" s="160">
        <f>SUM(CU15:CU128)</f>
        <v>0</v>
      </c>
      <c r="CV172" s="161">
        <f t="shared" ref="CV172:DI172" si="50">SUM(CV15:CV171)</f>
        <v>4</v>
      </c>
      <c r="CW172" s="169">
        <f t="shared" si="50"/>
        <v>1</v>
      </c>
      <c r="CX172" s="161">
        <f t="shared" si="50"/>
        <v>0</v>
      </c>
      <c r="CY172" s="169">
        <f t="shared" si="50"/>
        <v>0</v>
      </c>
      <c r="CZ172" s="161">
        <f t="shared" si="50"/>
        <v>0</v>
      </c>
      <c r="DA172" s="169">
        <f t="shared" si="50"/>
        <v>0</v>
      </c>
      <c r="DB172" s="161">
        <f t="shared" si="50"/>
        <v>0</v>
      </c>
      <c r="DC172" s="169">
        <f t="shared" si="50"/>
        <v>0</v>
      </c>
      <c r="DD172" s="161">
        <f t="shared" si="50"/>
        <v>0</v>
      </c>
      <c r="DE172" s="169">
        <f t="shared" si="50"/>
        <v>0</v>
      </c>
      <c r="DF172" s="161">
        <f t="shared" si="50"/>
        <v>0</v>
      </c>
      <c r="DG172" s="181">
        <f t="shared" si="50"/>
        <v>5</v>
      </c>
      <c r="DH172" s="182">
        <f t="shared" si="50"/>
        <v>-5</v>
      </c>
      <c r="DI172" s="191">
        <f t="shared" si="50"/>
        <v>105000</v>
      </c>
    </row>
    <row r="173" spans="94:113">
      <c r="CP173" s="162"/>
      <c r="CQ173" s="162"/>
      <c r="CR173" s="11"/>
      <c r="CS173" s="163"/>
      <c r="CT173" s="164"/>
      <c r="CU173" s="165"/>
      <c r="CV173" s="166"/>
      <c r="CW173" s="170"/>
      <c r="CX173" s="166"/>
      <c r="CY173" s="170"/>
      <c r="CZ173" s="166"/>
      <c r="DA173" s="170"/>
      <c r="DB173" s="166"/>
      <c r="DC173" s="170"/>
      <c r="DD173" s="166"/>
      <c r="DE173" s="170"/>
      <c r="DF173" s="166"/>
      <c r="DG173" s="184"/>
      <c r="DH173" s="185"/>
      <c r="DI173" s="192"/>
    </row>
    <row r="174" spans="96:113">
      <c r="CR174" s="167"/>
      <c r="CS174" s="167"/>
      <c r="CT174" s="167"/>
      <c r="CU174" s="167"/>
      <c r="CV174" s="12" t="s">
        <v>246</v>
      </c>
      <c r="CW174" s="12" t="s">
        <v>247</v>
      </c>
      <c r="CX174" s="12" t="s">
        <v>248</v>
      </c>
      <c r="CY174" s="12" t="s">
        <v>249</v>
      </c>
      <c r="CZ174" s="12" t="s">
        <v>250</v>
      </c>
      <c r="DA174" s="12" t="s">
        <v>251</v>
      </c>
      <c r="DB174" s="12" t="s">
        <v>252</v>
      </c>
      <c r="DC174" s="12" t="s">
        <v>253</v>
      </c>
      <c r="DD174" s="12" t="s">
        <v>254</v>
      </c>
      <c r="DE174" s="12" t="s">
        <v>255</v>
      </c>
      <c r="DF174" s="12" t="s">
        <v>256</v>
      </c>
      <c r="DG174" s="167"/>
      <c r="DH174" s="167"/>
      <c r="DI174" s="167"/>
    </row>
    <row r="175" spans="94:95">
      <c r="CP175" s="167">
        <f>COUNTA(CP15:CP171)</f>
        <v>157</v>
      </c>
      <c r="CQ175" s="189">
        <f>SUM(CQ15:CQ171)</f>
        <v>12843000</v>
      </c>
    </row>
    <row r="177" spans="94:95">
      <c r="CP177" s="167" t="str">
        <f>IF(CP175='DATA PRODUK'!BH170,"MATCHED","NOT MATCHED")</f>
        <v>MATCHED</v>
      </c>
      <c r="CQ177" s="167" t="str">
        <f>IF(CQ175='DATA PRODUK'!BI170,"MATCHED","NOT MATCHED")</f>
        <v>MATCHED</v>
      </c>
    </row>
  </sheetData>
  <sheetProtection algorithmName="SHA-512" hashValue="mDktJyUkJiXDd7tjjSPQtJ/RLvtnBb0G/tn/nsT5yNsdPbXEGSUn8ckze0VaTsuKZoulPsHSCciBmii2Qk1ezg==" saltValue="FLR+JKy8mfN2oIxOqWfP5g==" spinCount="100000" sheet="1" objects="1" scenarios="1"/>
  <mergeCells count="175">
    <mergeCell ref="J12:AC12"/>
    <mergeCell ref="AE12:AX12"/>
    <mergeCell ref="AZ12:BS12"/>
    <mergeCell ref="BU12:CN12"/>
    <mergeCell ref="CP12:DI12"/>
    <mergeCell ref="DK12:ED12"/>
    <mergeCell ref="N13:O13"/>
    <mergeCell ref="P13:Z13"/>
    <mergeCell ref="AI13:AJ13"/>
    <mergeCell ref="AK13:AU13"/>
    <mergeCell ref="BD13:BE13"/>
    <mergeCell ref="BF13:BP13"/>
    <mergeCell ref="BY13:BZ13"/>
    <mergeCell ref="CA13:CK13"/>
    <mergeCell ref="CT13:CU13"/>
    <mergeCell ref="CV13:DF13"/>
    <mergeCell ref="DO13:DP13"/>
    <mergeCell ref="DQ13:EA13"/>
    <mergeCell ref="J13:J14"/>
    <mergeCell ref="K13:K14"/>
    <mergeCell ref="L13:L14"/>
    <mergeCell ref="L49:L50"/>
    <mergeCell ref="M13:M14"/>
    <mergeCell ref="M49:M50"/>
    <mergeCell ref="N49:N50"/>
    <mergeCell ref="O49:O50"/>
    <mergeCell ref="P49:P50"/>
    <mergeCell ref="Q49:Q50"/>
    <mergeCell ref="R49:R50"/>
    <mergeCell ref="S49:S50"/>
    <mergeCell ref="T49:T50"/>
    <mergeCell ref="U49:U50"/>
    <mergeCell ref="V49:V50"/>
    <mergeCell ref="W49:W50"/>
    <mergeCell ref="X49:X50"/>
    <mergeCell ref="Y49:Y50"/>
    <mergeCell ref="Z49:Z50"/>
    <mergeCell ref="AA13:AA14"/>
    <mergeCell ref="AA49:AA50"/>
    <mergeCell ref="AB13:AB14"/>
    <mergeCell ref="AB49:AB50"/>
    <mergeCell ref="AC13:AC14"/>
    <mergeCell ref="AC49:AC50"/>
    <mergeCell ref="AE13:AE14"/>
    <mergeCell ref="AF13:AF14"/>
    <mergeCell ref="AG13:AG14"/>
    <mergeCell ref="AG84:AG85"/>
    <mergeCell ref="AH13:AH14"/>
    <mergeCell ref="AH84:AH85"/>
    <mergeCell ref="AI84:AI85"/>
    <mergeCell ref="AJ84:AJ85"/>
    <mergeCell ref="AK84:AK85"/>
    <mergeCell ref="AL84:AL85"/>
    <mergeCell ref="AM84:AM85"/>
    <mergeCell ref="AN84:AN85"/>
    <mergeCell ref="AO84:AO85"/>
    <mergeCell ref="AP84:AP85"/>
    <mergeCell ref="AQ84:AQ85"/>
    <mergeCell ref="AR84:AR85"/>
    <mergeCell ref="AS84:AS85"/>
    <mergeCell ref="AT84:AT85"/>
    <mergeCell ref="AU84:AU85"/>
    <mergeCell ref="AV13:AV14"/>
    <mergeCell ref="AV84:AV85"/>
    <mergeCell ref="AW13:AW14"/>
    <mergeCell ref="AW84:AW85"/>
    <mergeCell ref="AX13:AX14"/>
    <mergeCell ref="AX84:AX85"/>
    <mergeCell ref="AZ13:AZ14"/>
    <mergeCell ref="BA13:BA14"/>
    <mergeCell ref="BB13:BB14"/>
    <mergeCell ref="BB33:BB34"/>
    <mergeCell ref="BC13:BC14"/>
    <mergeCell ref="BC33:BC34"/>
    <mergeCell ref="BD33:BD34"/>
    <mergeCell ref="BE33:BE34"/>
    <mergeCell ref="BF33:BF34"/>
    <mergeCell ref="BG33:BG34"/>
    <mergeCell ref="BH33:BH34"/>
    <mergeCell ref="BI33:BI34"/>
    <mergeCell ref="BJ33:BJ34"/>
    <mergeCell ref="BK33:BK34"/>
    <mergeCell ref="BL33:BL34"/>
    <mergeCell ref="BM33:BM34"/>
    <mergeCell ref="BN33:BN34"/>
    <mergeCell ref="BO33:BO34"/>
    <mergeCell ref="BP33:BP34"/>
    <mergeCell ref="BQ13:BQ14"/>
    <mergeCell ref="BQ33:BQ34"/>
    <mergeCell ref="BR13:BR14"/>
    <mergeCell ref="BR33:BR34"/>
    <mergeCell ref="BS13:BS14"/>
    <mergeCell ref="BS33:BS34"/>
    <mergeCell ref="BU13:BU14"/>
    <mergeCell ref="BV13:BV14"/>
    <mergeCell ref="BW13:BW14"/>
    <mergeCell ref="BW50:BW51"/>
    <mergeCell ref="BX13:BX14"/>
    <mergeCell ref="BX50:BX51"/>
    <mergeCell ref="BY50:BY51"/>
    <mergeCell ref="BZ50:BZ51"/>
    <mergeCell ref="CA50:CA51"/>
    <mergeCell ref="CB50:CB51"/>
    <mergeCell ref="CC50:CC51"/>
    <mergeCell ref="CD50:CD51"/>
    <mergeCell ref="CE50:CE51"/>
    <mergeCell ref="CF50:CF51"/>
    <mergeCell ref="CG50:CG51"/>
    <mergeCell ref="CH50:CH51"/>
    <mergeCell ref="CI50:CI51"/>
    <mergeCell ref="CJ50:CJ51"/>
    <mergeCell ref="CK50:CK51"/>
    <mergeCell ref="CL13:CL14"/>
    <mergeCell ref="CL50:CL51"/>
    <mergeCell ref="CM13:CM14"/>
    <mergeCell ref="CM50:CM51"/>
    <mergeCell ref="CN13:CN14"/>
    <mergeCell ref="CN50:CN51"/>
    <mergeCell ref="CP13:CP14"/>
    <mergeCell ref="CQ13:CQ14"/>
    <mergeCell ref="CR13:CR14"/>
    <mergeCell ref="CR172:CR173"/>
    <mergeCell ref="CS13:CS14"/>
    <mergeCell ref="CS172:CS173"/>
    <mergeCell ref="CT172:CT173"/>
    <mergeCell ref="CU172:CU173"/>
    <mergeCell ref="CV172:CV173"/>
    <mergeCell ref="CW172:CW173"/>
    <mergeCell ref="CX172:CX173"/>
    <mergeCell ref="CY172:CY173"/>
    <mergeCell ref="CZ172:CZ173"/>
    <mergeCell ref="DA172:DA173"/>
    <mergeCell ref="DB172:DB173"/>
    <mergeCell ref="DC172:DC173"/>
    <mergeCell ref="DD172:DD173"/>
    <mergeCell ref="DE172:DE173"/>
    <mergeCell ref="DF172:DF173"/>
    <mergeCell ref="DG13:DG14"/>
    <mergeCell ref="DG172:DG173"/>
    <mergeCell ref="DH13:DH14"/>
    <mergeCell ref="DH172:DH173"/>
    <mergeCell ref="DI13:DI14"/>
    <mergeCell ref="DI172:DI173"/>
    <mergeCell ref="DK13:DK14"/>
    <mergeCell ref="DL13:DL14"/>
    <mergeCell ref="DM13:DM14"/>
    <mergeCell ref="DM36:DM37"/>
    <mergeCell ref="DN13:DN14"/>
    <mergeCell ref="DN36:DN37"/>
    <mergeCell ref="DO36:DO37"/>
    <mergeCell ref="DP36:DP37"/>
    <mergeCell ref="DQ36:DQ37"/>
    <mergeCell ref="DR36:DR37"/>
    <mergeCell ref="DS36:DS37"/>
    <mergeCell ref="DT36:DT37"/>
    <mergeCell ref="DU36:DU37"/>
    <mergeCell ref="DV36:DV37"/>
    <mergeCell ref="DW36:DW37"/>
    <mergeCell ref="DX36:DX37"/>
    <mergeCell ref="DY36:DY37"/>
    <mergeCell ref="DZ36:DZ37"/>
    <mergeCell ref="EA36:EA37"/>
    <mergeCell ref="EB13:EB14"/>
    <mergeCell ref="EB36:EB37"/>
    <mergeCell ref="EC13:EC14"/>
    <mergeCell ref="EC36:EC37"/>
    <mergeCell ref="ED13:ED14"/>
    <mergeCell ref="ED36:ED37"/>
    <mergeCell ref="CP172:CQ173"/>
    <mergeCell ref="DK36:DL37"/>
    <mergeCell ref="BU50:BV51"/>
    <mergeCell ref="AE84:AF85"/>
    <mergeCell ref="AZ33:BA34"/>
    <mergeCell ref="A89:C101"/>
    <mergeCell ref="J49:K50"/>
  </mergeCells>
  <pageMargins left="0.7" right="0.7" top="0.75" bottom="0.75" header="0.3" footer="0.3"/>
  <pageSetup paperSize="9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8:CH170"/>
  <sheetViews>
    <sheetView showGridLines="0" zoomScale="125" zoomScaleNormal="125" topLeftCell="A13" workbookViewId="0">
      <selection activeCell="R384" sqref="R384:R385"/>
    </sheetView>
  </sheetViews>
  <sheetFormatPr defaultColWidth="8.45" defaultRowHeight="16.5"/>
  <cols>
    <col min="1" max="1" width="8.45" style="53"/>
    <col min="2" max="2" width="21.0583333333333" style="53" customWidth="1"/>
    <col min="3" max="3" width="8.45" style="53"/>
    <col min="4" max="4" width="35.4916666666667" style="53" customWidth="1"/>
    <col min="5" max="16" width="20.5416666666667" style="53" customWidth="1"/>
    <col min="17" max="17" width="8.45" style="53"/>
    <col min="18" max="18" width="35.4916666666667" style="53" customWidth="1"/>
    <col min="19" max="30" width="20.5416666666667" style="53" customWidth="1"/>
    <col min="31" max="31" width="8.45" style="53"/>
    <col min="32" max="32" width="35.4916666666667" style="53" customWidth="1"/>
    <col min="33" max="44" width="20.5416666666667" style="53" customWidth="1"/>
    <col min="45" max="45" width="8.45" style="53"/>
    <col min="46" max="46" width="35.4916666666667" style="53" customWidth="1"/>
    <col min="47" max="58" width="20.5416666666667" style="53" customWidth="1"/>
    <col min="59" max="59" width="8.45" style="53"/>
    <col min="60" max="60" width="39" style="53" customWidth="1"/>
    <col min="61" max="72" width="20.5416666666667" style="53" customWidth="1"/>
    <col min="73" max="73" width="8.45" style="53"/>
    <col min="74" max="74" width="34.975" style="53" customWidth="1"/>
    <col min="75" max="86" width="20.5416666666667" style="53" customWidth="1"/>
    <col min="87" max="16384" width="8.45" style="53"/>
  </cols>
  <sheetData>
    <row r="8" ht="17.25"/>
    <row r="9" spans="2:86">
      <c r="B9" s="54" t="s">
        <v>279</v>
      </c>
      <c r="D9" s="55" t="s">
        <v>280</v>
      </c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78"/>
      <c r="R9" s="2" t="s">
        <v>281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F9" s="2" t="s">
        <v>282</v>
      </c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T9" s="2" t="s">
        <v>283</v>
      </c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H9" s="2" t="s">
        <v>284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V9" s="2" t="s">
        <v>285</v>
      </c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ht="17.25" spans="2:86">
      <c r="B10" s="57"/>
      <c r="D10" s="58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79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 ht="15" customHeight="1" spans="2:86">
      <c r="B11" s="60" t="s">
        <v>24</v>
      </c>
      <c r="D11" s="61" t="s">
        <v>66</v>
      </c>
      <c r="E11" s="62" t="s">
        <v>286</v>
      </c>
      <c r="F11" s="63" t="s">
        <v>246</v>
      </c>
      <c r="G11" s="63" t="s">
        <v>247</v>
      </c>
      <c r="H11" s="63" t="s">
        <v>248</v>
      </c>
      <c r="I11" s="63" t="s">
        <v>249</v>
      </c>
      <c r="J11" s="63" t="s">
        <v>250</v>
      </c>
      <c r="K11" s="63" t="s">
        <v>251</v>
      </c>
      <c r="L11" s="63" t="s">
        <v>252</v>
      </c>
      <c r="M11" s="63" t="s">
        <v>253</v>
      </c>
      <c r="N11" s="63" t="s">
        <v>254</v>
      </c>
      <c r="O11" s="63" t="s">
        <v>255</v>
      </c>
      <c r="P11" s="80" t="s">
        <v>256</v>
      </c>
      <c r="R11" s="61" t="s">
        <v>66</v>
      </c>
      <c r="S11" s="62" t="s">
        <v>286</v>
      </c>
      <c r="T11" s="85" t="s">
        <v>246</v>
      </c>
      <c r="U11" s="85" t="s">
        <v>247</v>
      </c>
      <c r="V11" s="85" t="s">
        <v>248</v>
      </c>
      <c r="W11" s="85" t="s">
        <v>249</v>
      </c>
      <c r="X11" s="85" t="s">
        <v>250</v>
      </c>
      <c r="Y11" s="85" t="s">
        <v>251</v>
      </c>
      <c r="Z11" s="85" t="s">
        <v>252</v>
      </c>
      <c r="AA11" s="85" t="s">
        <v>253</v>
      </c>
      <c r="AB11" s="85" t="s">
        <v>254</v>
      </c>
      <c r="AC11" s="85" t="s">
        <v>255</v>
      </c>
      <c r="AD11" s="90" t="s">
        <v>256</v>
      </c>
      <c r="AF11" s="61" t="s">
        <v>66</v>
      </c>
      <c r="AG11" s="92" t="s">
        <v>286</v>
      </c>
      <c r="AH11" s="85" t="s">
        <v>246</v>
      </c>
      <c r="AI11" s="85" t="s">
        <v>247</v>
      </c>
      <c r="AJ11" s="85" t="s">
        <v>248</v>
      </c>
      <c r="AK11" s="85" t="s">
        <v>249</v>
      </c>
      <c r="AL11" s="85" t="s">
        <v>250</v>
      </c>
      <c r="AM11" s="85" t="s">
        <v>251</v>
      </c>
      <c r="AN11" s="85" t="s">
        <v>252</v>
      </c>
      <c r="AO11" s="85" t="s">
        <v>253</v>
      </c>
      <c r="AP11" s="85" t="s">
        <v>254</v>
      </c>
      <c r="AQ11" s="85" t="s">
        <v>255</v>
      </c>
      <c r="AR11" s="90" t="s">
        <v>256</v>
      </c>
      <c r="AT11" s="61" t="s">
        <v>66</v>
      </c>
      <c r="AU11" s="92" t="s">
        <v>286</v>
      </c>
      <c r="AV11" s="85" t="s">
        <v>246</v>
      </c>
      <c r="AW11" s="85" t="s">
        <v>247</v>
      </c>
      <c r="AX11" s="85" t="s">
        <v>248</v>
      </c>
      <c r="AY11" s="85" t="s">
        <v>249</v>
      </c>
      <c r="AZ11" s="85" t="s">
        <v>250</v>
      </c>
      <c r="BA11" s="85" t="s">
        <v>251</v>
      </c>
      <c r="BB11" s="85" t="s">
        <v>252</v>
      </c>
      <c r="BC11" s="85" t="s">
        <v>253</v>
      </c>
      <c r="BD11" s="85" t="s">
        <v>254</v>
      </c>
      <c r="BE11" s="85" t="s">
        <v>255</v>
      </c>
      <c r="BF11" s="90" t="s">
        <v>256</v>
      </c>
      <c r="BH11" s="61" t="s">
        <v>66</v>
      </c>
      <c r="BI11" s="92" t="s">
        <v>286</v>
      </c>
      <c r="BJ11" s="85" t="s">
        <v>246</v>
      </c>
      <c r="BK11" s="85" t="s">
        <v>247</v>
      </c>
      <c r="BL11" s="85" t="s">
        <v>248</v>
      </c>
      <c r="BM11" s="85" t="s">
        <v>249</v>
      </c>
      <c r="BN11" s="85" t="s">
        <v>250</v>
      </c>
      <c r="BO11" s="85" t="s">
        <v>251</v>
      </c>
      <c r="BP11" s="85" t="s">
        <v>252</v>
      </c>
      <c r="BQ11" s="85" t="s">
        <v>253</v>
      </c>
      <c r="BR11" s="85" t="s">
        <v>254</v>
      </c>
      <c r="BS11" s="85" t="s">
        <v>255</v>
      </c>
      <c r="BT11" s="90" t="s">
        <v>256</v>
      </c>
      <c r="BV11" s="61" t="s">
        <v>66</v>
      </c>
      <c r="BW11" s="92" t="s">
        <v>286</v>
      </c>
      <c r="BX11" s="85" t="s">
        <v>246</v>
      </c>
      <c r="BY11" s="85" t="s">
        <v>247</v>
      </c>
      <c r="BZ11" s="85" t="s">
        <v>248</v>
      </c>
      <c r="CA11" s="85" t="s">
        <v>249</v>
      </c>
      <c r="CB11" s="85" t="s">
        <v>250</v>
      </c>
      <c r="CC11" s="85" t="s">
        <v>251</v>
      </c>
      <c r="CD11" s="85" t="s">
        <v>252</v>
      </c>
      <c r="CE11" s="85" t="s">
        <v>253</v>
      </c>
      <c r="CF11" s="85" t="s">
        <v>254</v>
      </c>
      <c r="CG11" s="85" t="s">
        <v>255</v>
      </c>
      <c r="CH11" s="90" t="s">
        <v>256</v>
      </c>
    </row>
    <row r="12" ht="18" spans="2:86">
      <c r="B12" s="64" t="s">
        <v>35</v>
      </c>
      <c r="D12" s="65" t="s">
        <v>287</v>
      </c>
      <c r="E12" s="66">
        <v>50000</v>
      </c>
      <c r="F12" s="13">
        <f>DATA_ROKOK[[#This Row],[HARGA AWAL]]</f>
        <v>50000</v>
      </c>
      <c r="G12" s="13">
        <f>DATA_ROKOK[[#This Row],[HARI 1]]</f>
        <v>50000</v>
      </c>
      <c r="H12" s="13">
        <f>DATA_ROKOK[[#This Row],[HARI 2]]</f>
        <v>50000</v>
      </c>
      <c r="I12" s="13">
        <f>DATA_ROKOK[[#This Row],[HARI 3]]</f>
        <v>50000</v>
      </c>
      <c r="J12" s="13">
        <f>DATA_ROKOK[[#This Row],[HARI 4]]</f>
        <v>50000</v>
      </c>
      <c r="K12" s="13">
        <f>DATA_ROKOK[[#This Row],[HARI 5]]</f>
        <v>50000</v>
      </c>
      <c r="L12" s="13">
        <f>DATA_ROKOK[[#This Row],[HARI 6]]</f>
        <v>50000</v>
      </c>
      <c r="M12" s="13">
        <f>DATA_ROKOK[[#This Row],[HARI 7]]</f>
        <v>50000</v>
      </c>
      <c r="N12" s="13">
        <f>DATA_ROKOK[[#This Row],[HARI 8]]</f>
        <v>50000</v>
      </c>
      <c r="O12" s="13">
        <f>DATA_ROKOK[[#This Row],[HARI 9]]</f>
        <v>50000</v>
      </c>
      <c r="P12" s="81">
        <f>DATA_ROKOK[[#This Row],[HARI 10]]</f>
        <v>50000</v>
      </c>
      <c r="R12" s="86" t="s">
        <v>193</v>
      </c>
      <c r="S12" s="87">
        <v>18000</v>
      </c>
      <c r="T12" s="13">
        <f>DATA_SPVOU[[#This Row],[HARGA AWAL]]</f>
        <v>18000</v>
      </c>
      <c r="U12" s="13">
        <f>DATA_SPVOU[[#This Row],[HARI 1]]</f>
        <v>18000</v>
      </c>
      <c r="V12" s="13">
        <f>DATA_SPVOU[[#This Row],[HARI 2]]</f>
        <v>18000</v>
      </c>
      <c r="W12" s="13">
        <f>DATA_SPVOU[[#This Row],[HARI 3]]</f>
        <v>18000</v>
      </c>
      <c r="X12" s="13">
        <f>DATA_SPVOU[[#This Row],[HARI 4]]</f>
        <v>18000</v>
      </c>
      <c r="Y12" s="13">
        <f>DATA_SPVOU[[#This Row],[HARI 5]]</f>
        <v>18000</v>
      </c>
      <c r="Z12" s="13">
        <f>DATA_SPVOU[[#This Row],[HARI 6]]</f>
        <v>18000</v>
      </c>
      <c r="AA12" s="13">
        <f>DATA_SPVOU[[#This Row],[HARI 7]]</f>
        <v>18000</v>
      </c>
      <c r="AB12" s="13">
        <f>DATA_SPVOU[[#This Row],[HARI 8]]</f>
        <v>18000</v>
      </c>
      <c r="AC12" s="13">
        <f>DATA_SPVOU[[#This Row],[HARI 9]]</f>
        <v>18000</v>
      </c>
      <c r="AD12" s="81">
        <f>DATA_SPVOU[[#This Row],[HARI 10]]</f>
        <v>18000</v>
      </c>
      <c r="AF12" s="88" t="s">
        <v>288</v>
      </c>
      <c r="AG12" s="87">
        <v>7000</v>
      </c>
      <c r="AH12" s="13">
        <f>DATA_SOFTDRINK[[#This Row],[HARGA AWAL]]</f>
        <v>7000</v>
      </c>
      <c r="AI12" s="13">
        <f>DATA_SOFTDRINK[[#This Row],[HARI 1]]</f>
        <v>7000</v>
      </c>
      <c r="AJ12" s="13">
        <f>DATA_SOFTDRINK[[#This Row],[HARI 2]]</f>
        <v>7000</v>
      </c>
      <c r="AK12" s="13">
        <f>DATA_SOFTDRINK[[#This Row],[HARI 3]]</f>
        <v>7000</v>
      </c>
      <c r="AL12" s="13">
        <f>DATA_SOFTDRINK[[#This Row],[HARI 4]]</f>
        <v>7000</v>
      </c>
      <c r="AM12" s="13">
        <f>DATA_SOFTDRINK[[#This Row],[HARI 5]]</f>
        <v>7000</v>
      </c>
      <c r="AN12" s="13">
        <f>DATA_SOFTDRINK[[#This Row],[HARI 6]]</f>
        <v>7000</v>
      </c>
      <c r="AO12" s="13">
        <f>DATA_SOFTDRINK[[#This Row],[HARI 7]]</f>
        <v>7000</v>
      </c>
      <c r="AP12" s="13">
        <f>DATA_SOFTDRINK[[#This Row],[HARI 8]]</f>
        <v>7000</v>
      </c>
      <c r="AQ12" s="13">
        <f>DATA_SOFTDRINK[[#This Row],[HARI 9]]</f>
        <v>7000</v>
      </c>
      <c r="AR12" s="81">
        <f>DATA_SOFTDRINK[[#This Row],[HARI 10]]</f>
        <v>7000</v>
      </c>
      <c r="AT12" s="88" t="s">
        <v>102</v>
      </c>
      <c r="AU12" s="87">
        <v>2000</v>
      </c>
      <c r="AV12" s="13">
        <f>DATA_ICECREAM[[#This Row],[HARGA AWAL]]</f>
        <v>2000</v>
      </c>
      <c r="AW12" s="13">
        <f>DATA_ICECREAM[[#This Row],[HARI 1]]</f>
        <v>2000</v>
      </c>
      <c r="AX12" s="13">
        <f>DATA_ICECREAM[[#This Row],[HARI 2]]</f>
        <v>2000</v>
      </c>
      <c r="AY12" s="13">
        <f>DATA_ICECREAM[[#This Row],[HARI 3]]</f>
        <v>2000</v>
      </c>
      <c r="AZ12" s="13">
        <f>DATA_ICECREAM[[#This Row],[HARI 4]]</f>
        <v>2000</v>
      </c>
      <c r="BA12" s="13">
        <f>DATA_ICECREAM[[#This Row],[HARI 5]]</f>
        <v>2000</v>
      </c>
      <c r="BB12" s="13">
        <f>DATA_ICECREAM[[#This Row],[HARI 6]]</f>
        <v>2000</v>
      </c>
      <c r="BC12" s="13">
        <f>DATA_ICECREAM[[#This Row],[HARI 7]]</f>
        <v>2000</v>
      </c>
      <c r="BD12" s="13">
        <f>DATA_ICECREAM[[#This Row],[HARI 8]]</f>
        <v>2000</v>
      </c>
      <c r="BE12" s="13">
        <f>DATA_ICECREAM[[#This Row],[HARI 9]]</f>
        <v>2000</v>
      </c>
      <c r="BF12" s="81">
        <f>DATA_ICECREAM[[#This Row],[HARI 10]]</f>
        <v>2000</v>
      </c>
      <c r="BH12" s="88" t="s">
        <v>289</v>
      </c>
      <c r="BI12" s="87">
        <v>15000</v>
      </c>
      <c r="BJ12" s="13">
        <f>DATA_ACC[[#This Row],[HARGA AWAL]]</f>
        <v>15000</v>
      </c>
      <c r="BK12" s="13">
        <f>DATA_ACC[[#This Row],[HARI 1]]</f>
        <v>15000</v>
      </c>
      <c r="BL12" s="13">
        <f>DATA_ACC[[#This Row],[HARI 2]]</f>
        <v>15000</v>
      </c>
      <c r="BM12" s="13">
        <f>DATA_ACC[[#This Row],[HARI 3]]</f>
        <v>15000</v>
      </c>
      <c r="BN12" s="13">
        <f>DATA_ACC[[#This Row],[HARI 4]]</f>
        <v>15000</v>
      </c>
      <c r="BO12" s="13">
        <f>DATA_ACC[[#This Row],[HARI 5]]</f>
        <v>15000</v>
      </c>
      <c r="BP12" s="13">
        <f>DATA_ACC[[#This Row],[HARI 6]]</f>
        <v>15000</v>
      </c>
      <c r="BQ12" s="13">
        <f>DATA_ACC[[#This Row],[HARI 7]]</f>
        <v>15000</v>
      </c>
      <c r="BR12" s="13">
        <f>DATA_ACC[[#This Row],[HARI 8]]</f>
        <v>15000</v>
      </c>
      <c r="BS12" s="13">
        <f>DATA_ACC[[#This Row],[HARI 9]]</f>
        <v>15000</v>
      </c>
      <c r="BT12" s="81">
        <f>DATA_ACC[[#This Row],[HARI 10]]</f>
        <v>15000</v>
      </c>
      <c r="BV12" s="88" t="s">
        <v>290</v>
      </c>
      <c r="BW12" s="87">
        <v>45000</v>
      </c>
      <c r="BX12" s="13">
        <f>DATA_HYDRO[[#This Row],[HARGA AWAL]]</f>
        <v>45000</v>
      </c>
      <c r="BY12" s="13">
        <f>DATA_HYDRO[[#This Row],[HARI 1]]</f>
        <v>45000</v>
      </c>
      <c r="BZ12" s="13">
        <f>DATA_HYDRO[[#This Row],[HARI 2]]</f>
        <v>45000</v>
      </c>
      <c r="CA12" s="13">
        <f>DATA_HYDRO[[#This Row],[HARI 3]]</f>
        <v>45000</v>
      </c>
      <c r="CB12" s="13">
        <f>DATA_HYDRO[[#This Row],[HARI 4]]</f>
        <v>45000</v>
      </c>
      <c r="CC12" s="13">
        <f>DATA_HYDRO[[#This Row],[HARI 5]]</f>
        <v>45000</v>
      </c>
      <c r="CD12" s="13">
        <f>DATA_HYDRO[[#This Row],[HARI 6]]</f>
        <v>45000</v>
      </c>
      <c r="CE12" s="13">
        <f>DATA_HYDRO[[#This Row],[HARI 7]]</f>
        <v>45000</v>
      </c>
      <c r="CF12" s="13">
        <f>DATA_HYDRO[[#This Row],[HARI 8]]</f>
        <v>45000</v>
      </c>
      <c r="CG12" s="13">
        <f>DATA_HYDRO[[#This Row],[HARI 9]]</f>
        <v>45000</v>
      </c>
      <c r="CH12" s="81">
        <f>DATA_HYDRO[[#This Row],[HARI 10]]</f>
        <v>45000</v>
      </c>
    </row>
    <row r="13" ht="18" spans="2:86">
      <c r="B13" s="64" t="s">
        <v>55</v>
      </c>
      <c r="D13" s="67" t="s">
        <v>291</v>
      </c>
      <c r="E13" s="68">
        <v>25000</v>
      </c>
      <c r="F13" s="69">
        <f>DATA_ROKOK[[#This Row],[HARGA AWAL]]</f>
        <v>25000</v>
      </c>
      <c r="G13" s="69">
        <f>DATA_ROKOK[[#This Row],[HARI 1]]</f>
        <v>25000</v>
      </c>
      <c r="H13" s="69">
        <f>DATA_ROKOK[[#This Row],[HARI 2]]</f>
        <v>25000</v>
      </c>
      <c r="I13" s="69">
        <f>DATA_ROKOK[[#This Row],[HARI 3]]</f>
        <v>25000</v>
      </c>
      <c r="J13" s="69">
        <f>DATA_ROKOK[[#This Row],[HARI 4]]</f>
        <v>25000</v>
      </c>
      <c r="K13" s="69">
        <f>DATA_ROKOK[[#This Row],[HARI 5]]</f>
        <v>25000</v>
      </c>
      <c r="L13" s="69">
        <f>DATA_ROKOK[[#This Row],[HARI 6]]</f>
        <v>25000</v>
      </c>
      <c r="M13" s="69">
        <f>DATA_ROKOK[[#This Row],[HARI 7]]</f>
        <v>25000</v>
      </c>
      <c r="N13" s="69">
        <f>DATA_ROKOK[[#This Row],[HARI 8]]</f>
        <v>25000</v>
      </c>
      <c r="O13" s="69">
        <f>DATA_ROKOK[[#This Row],[HARI 9]]</f>
        <v>25000</v>
      </c>
      <c r="P13" s="82">
        <f>DATA_ROKOK[[#This Row],[HARI 10]]</f>
        <v>25000</v>
      </c>
      <c r="R13" s="88" t="s">
        <v>90</v>
      </c>
      <c r="S13" s="89">
        <v>25000</v>
      </c>
      <c r="T13" s="69">
        <f>DATA_SPVOU[[#This Row],[HARGA AWAL]]</f>
        <v>25000</v>
      </c>
      <c r="U13" s="69">
        <f>DATA_SPVOU[[#This Row],[HARI 1]]</f>
        <v>25000</v>
      </c>
      <c r="V13" s="69">
        <f>DATA_SPVOU[[#This Row],[HARI 2]]</f>
        <v>25000</v>
      </c>
      <c r="W13" s="69">
        <f>DATA_SPVOU[[#This Row],[HARI 3]]</f>
        <v>25000</v>
      </c>
      <c r="X13" s="69">
        <f>DATA_SPVOU[[#This Row],[HARI 4]]</f>
        <v>25000</v>
      </c>
      <c r="Y13" s="69">
        <f>DATA_SPVOU[[#This Row],[HARI 5]]</f>
        <v>25000</v>
      </c>
      <c r="Z13" s="69">
        <f>DATA_SPVOU[[#This Row],[HARI 6]]</f>
        <v>25000</v>
      </c>
      <c r="AA13" s="69">
        <f>DATA_SPVOU[[#This Row],[HARI 7]]</f>
        <v>25000</v>
      </c>
      <c r="AB13" s="69">
        <f>DATA_SPVOU[[#This Row],[HARI 8]]</f>
        <v>25000</v>
      </c>
      <c r="AC13" s="69">
        <f>DATA_SPVOU[[#This Row],[HARI 9]]</f>
        <v>25000</v>
      </c>
      <c r="AD13" s="82">
        <f>DATA_SPVOU[[#This Row],[HARI 10]]</f>
        <v>25000</v>
      </c>
      <c r="AF13" s="86" t="s">
        <v>292</v>
      </c>
      <c r="AG13" s="89">
        <v>5000</v>
      </c>
      <c r="AH13" s="69">
        <f>DATA_SOFTDRINK[[#This Row],[HARGA AWAL]]</f>
        <v>5000</v>
      </c>
      <c r="AI13" s="69">
        <f>DATA_SOFTDRINK[[#This Row],[HARI 1]]</f>
        <v>5000</v>
      </c>
      <c r="AJ13" s="69">
        <f>DATA_SOFTDRINK[[#This Row],[HARI 2]]</f>
        <v>5000</v>
      </c>
      <c r="AK13" s="69">
        <f>DATA_SOFTDRINK[[#This Row],[HARI 3]]</f>
        <v>5000</v>
      </c>
      <c r="AL13" s="69">
        <f>DATA_SOFTDRINK[[#This Row],[HARI 4]]</f>
        <v>5000</v>
      </c>
      <c r="AM13" s="69">
        <f>DATA_SOFTDRINK[[#This Row],[HARI 5]]</f>
        <v>5000</v>
      </c>
      <c r="AN13" s="69">
        <f>DATA_SOFTDRINK[[#This Row],[HARI 6]]</f>
        <v>5000</v>
      </c>
      <c r="AO13" s="69">
        <f>DATA_SOFTDRINK[[#This Row],[HARI 7]]</f>
        <v>5000</v>
      </c>
      <c r="AP13" s="69">
        <f>DATA_SOFTDRINK[[#This Row],[HARI 8]]</f>
        <v>5000</v>
      </c>
      <c r="AQ13" s="69">
        <f>DATA_SOFTDRINK[[#This Row],[HARI 9]]</f>
        <v>5000</v>
      </c>
      <c r="AR13" s="82">
        <f>DATA_SOFTDRINK[[#This Row],[HARI 10]]</f>
        <v>5000</v>
      </c>
      <c r="AT13" s="86" t="s">
        <v>104</v>
      </c>
      <c r="AU13" s="89">
        <v>2000</v>
      </c>
      <c r="AV13" s="69">
        <f>DATA_ICECREAM[[#This Row],[HARGA AWAL]]</f>
        <v>2000</v>
      </c>
      <c r="AW13" s="69">
        <f>DATA_ICECREAM[[#This Row],[HARI 1]]</f>
        <v>2000</v>
      </c>
      <c r="AX13" s="69">
        <f>DATA_ICECREAM[[#This Row],[HARI 2]]</f>
        <v>2000</v>
      </c>
      <c r="AY13" s="69">
        <f>DATA_ICECREAM[[#This Row],[HARI 3]]</f>
        <v>2000</v>
      </c>
      <c r="AZ13" s="69">
        <f>DATA_ICECREAM[[#This Row],[HARI 4]]</f>
        <v>2000</v>
      </c>
      <c r="BA13" s="69">
        <f>DATA_ICECREAM[[#This Row],[HARI 5]]</f>
        <v>2000</v>
      </c>
      <c r="BB13" s="69">
        <f>DATA_ICECREAM[[#This Row],[HARI 6]]</f>
        <v>2000</v>
      </c>
      <c r="BC13" s="69">
        <f>DATA_ICECREAM[[#This Row],[HARI 7]]</f>
        <v>2000</v>
      </c>
      <c r="BD13" s="69">
        <f>DATA_ICECREAM[[#This Row],[HARI 8]]</f>
        <v>2000</v>
      </c>
      <c r="BE13" s="69">
        <f>DATA_ICECREAM[[#This Row],[HARI 9]]</f>
        <v>2000</v>
      </c>
      <c r="BF13" s="82">
        <f>DATA_ICECREAM[[#This Row],[HARI 10]]</f>
        <v>2000</v>
      </c>
      <c r="BH13" s="86" t="s">
        <v>293</v>
      </c>
      <c r="BI13" s="89">
        <v>20000</v>
      </c>
      <c r="BJ13" s="69">
        <f>DATA_ACC[[#This Row],[HARGA AWAL]]</f>
        <v>20000</v>
      </c>
      <c r="BK13" s="69">
        <f>DATA_ACC[[#This Row],[HARI 1]]</f>
        <v>20000</v>
      </c>
      <c r="BL13" s="69">
        <f>DATA_ACC[[#This Row],[HARI 2]]</f>
        <v>20000</v>
      </c>
      <c r="BM13" s="69">
        <f>DATA_ACC[[#This Row],[HARI 3]]</f>
        <v>20000</v>
      </c>
      <c r="BN13" s="69">
        <f>DATA_ACC[[#This Row],[HARI 4]]</f>
        <v>20000</v>
      </c>
      <c r="BO13" s="69">
        <f>DATA_ACC[[#This Row],[HARI 5]]</f>
        <v>20000</v>
      </c>
      <c r="BP13" s="69">
        <f>DATA_ACC[[#This Row],[HARI 6]]</f>
        <v>20000</v>
      </c>
      <c r="BQ13" s="69">
        <f>DATA_ACC[[#This Row],[HARI 7]]</f>
        <v>20000</v>
      </c>
      <c r="BR13" s="69">
        <f>DATA_ACC[[#This Row],[HARI 8]]</f>
        <v>20000</v>
      </c>
      <c r="BS13" s="69">
        <f>DATA_ACC[[#This Row],[HARI 9]]</f>
        <v>20000</v>
      </c>
      <c r="BT13" s="82">
        <f>DATA_ACC[[#This Row],[HARI 10]]</f>
        <v>20000</v>
      </c>
      <c r="BV13" s="86" t="s">
        <v>294</v>
      </c>
      <c r="BW13" s="89">
        <v>55000</v>
      </c>
      <c r="BX13" s="69">
        <f>DATA_HYDRO[[#This Row],[HARGA AWAL]]</f>
        <v>55000</v>
      </c>
      <c r="BY13" s="69">
        <f>DATA_HYDRO[[#This Row],[HARI 1]]</f>
        <v>55000</v>
      </c>
      <c r="BZ13" s="69">
        <f>DATA_HYDRO[[#This Row],[HARI 2]]</f>
        <v>55000</v>
      </c>
      <c r="CA13" s="69">
        <f>DATA_HYDRO[[#This Row],[HARI 3]]</f>
        <v>55000</v>
      </c>
      <c r="CB13" s="69">
        <f>DATA_HYDRO[[#This Row],[HARI 4]]</f>
        <v>55000</v>
      </c>
      <c r="CC13" s="69">
        <f>DATA_HYDRO[[#This Row],[HARI 5]]</f>
        <v>55000</v>
      </c>
      <c r="CD13" s="69">
        <f>DATA_HYDRO[[#This Row],[HARI 6]]</f>
        <v>55000</v>
      </c>
      <c r="CE13" s="69">
        <f>DATA_HYDRO[[#This Row],[HARI 7]]</f>
        <v>55000</v>
      </c>
      <c r="CF13" s="69">
        <f>DATA_HYDRO[[#This Row],[HARI 8]]</f>
        <v>55000</v>
      </c>
      <c r="CG13" s="69">
        <f>DATA_HYDRO[[#This Row],[HARI 9]]</f>
        <v>55000</v>
      </c>
      <c r="CH13" s="82">
        <f>DATA_HYDRO[[#This Row],[HARI 10]]</f>
        <v>55000</v>
      </c>
    </row>
    <row r="14" ht="18" spans="2:86">
      <c r="B14" s="64" t="s">
        <v>48</v>
      </c>
      <c r="D14" s="65" t="s">
        <v>295</v>
      </c>
      <c r="E14" s="66">
        <v>13000</v>
      </c>
      <c r="F14" s="13">
        <f>DATA_ROKOK[[#This Row],[HARGA AWAL]]</f>
        <v>13000</v>
      </c>
      <c r="G14" s="13">
        <f>DATA_ROKOK[[#This Row],[HARI 1]]</f>
        <v>13000</v>
      </c>
      <c r="H14" s="13">
        <f>DATA_ROKOK[[#This Row],[HARI 2]]</f>
        <v>13000</v>
      </c>
      <c r="I14" s="13">
        <f>DATA_ROKOK[[#This Row],[HARI 3]]</f>
        <v>13000</v>
      </c>
      <c r="J14" s="13">
        <f>DATA_ROKOK[[#This Row],[HARI 4]]</f>
        <v>13000</v>
      </c>
      <c r="K14" s="13">
        <f>DATA_ROKOK[[#This Row],[HARI 5]]</f>
        <v>13000</v>
      </c>
      <c r="L14" s="13">
        <f>DATA_ROKOK[[#This Row],[HARI 6]]</f>
        <v>13000</v>
      </c>
      <c r="M14" s="13">
        <f>DATA_ROKOK[[#This Row],[HARI 7]]</f>
        <v>13000</v>
      </c>
      <c r="N14" s="13">
        <f>DATA_ROKOK[[#This Row],[HARI 8]]</f>
        <v>13000</v>
      </c>
      <c r="O14" s="13">
        <f>DATA_ROKOK[[#This Row],[HARI 9]]</f>
        <v>13000</v>
      </c>
      <c r="P14" s="81">
        <f>DATA_ROKOK[[#This Row],[HARI 10]]</f>
        <v>13000</v>
      </c>
      <c r="R14" s="86" t="s">
        <v>296</v>
      </c>
      <c r="S14" s="87">
        <v>40000</v>
      </c>
      <c r="T14" s="13">
        <f>DATA_SPVOU[[#This Row],[HARGA AWAL]]</f>
        <v>40000</v>
      </c>
      <c r="U14" s="13">
        <f>DATA_SPVOU[[#This Row],[HARI 1]]</f>
        <v>40000</v>
      </c>
      <c r="V14" s="13">
        <f>DATA_SPVOU[[#This Row],[HARI 2]]</f>
        <v>40000</v>
      </c>
      <c r="W14" s="13">
        <f>DATA_SPVOU[[#This Row],[HARI 3]]</f>
        <v>40000</v>
      </c>
      <c r="X14" s="13">
        <f>DATA_SPVOU[[#This Row],[HARI 4]]</f>
        <v>40000</v>
      </c>
      <c r="Y14" s="13">
        <f>DATA_SPVOU[[#This Row],[HARI 5]]</f>
        <v>40000</v>
      </c>
      <c r="Z14" s="13">
        <f>DATA_SPVOU[[#This Row],[HARI 6]]</f>
        <v>40000</v>
      </c>
      <c r="AA14" s="13">
        <f>DATA_SPVOU[[#This Row],[HARI 7]]</f>
        <v>40000</v>
      </c>
      <c r="AB14" s="13">
        <f>DATA_SPVOU[[#This Row],[HARI 8]]</f>
        <v>40000</v>
      </c>
      <c r="AC14" s="13">
        <f>DATA_SPVOU[[#This Row],[HARI 9]]</f>
        <v>40000</v>
      </c>
      <c r="AD14" s="81">
        <f>DATA_SPVOU[[#This Row],[HARI 10]]</f>
        <v>40000</v>
      </c>
      <c r="AF14" s="88" t="s">
        <v>297</v>
      </c>
      <c r="AG14" s="87">
        <v>5000</v>
      </c>
      <c r="AH14" s="13">
        <f>DATA_SOFTDRINK[[#This Row],[HARGA AWAL]]</f>
        <v>5000</v>
      </c>
      <c r="AI14" s="13">
        <f>DATA_SOFTDRINK[[#This Row],[HARI 1]]</f>
        <v>5000</v>
      </c>
      <c r="AJ14" s="13">
        <f>DATA_SOFTDRINK[[#This Row],[HARI 2]]</f>
        <v>5000</v>
      </c>
      <c r="AK14" s="13">
        <f>DATA_SOFTDRINK[[#This Row],[HARI 3]]</f>
        <v>5000</v>
      </c>
      <c r="AL14" s="13">
        <f>DATA_SOFTDRINK[[#This Row],[HARI 4]]</f>
        <v>5000</v>
      </c>
      <c r="AM14" s="13">
        <f>DATA_SOFTDRINK[[#This Row],[HARI 5]]</f>
        <v>5000</v>
      </c>
      <c r="AN14" s="13">
        <f>DATA_SOFTDRINK[[#This Row],[HARI 6]]</f>
        <v>5000</v>
      </c>
      <c r="AO14" s="13">
        <f>DATA_SOFTDRINK[[#This Row],[HARI 7]]</f>
        <v>5000</v>
      </c>
      <c r="AP14" s="13">
        <f>DATA_SOFTDRINK[[#This Row],[HARI 8]]</f>
        <v>5000</v>
      </c>
      <c r="AQ14" s="13">
        <f>DATA_SOFTDRINK[[#This Row],[HARI 9]]</f>
        <v>5000</v>
      </c>
      <c r="AR14" s="81">
        <f>DATA_SOFTDRINK[[#This Row],[HARI 10]]</f>
        <v>5000</v>
      </c>
      <c r="AT14" s="88" t="s">
        <v>298</v>
      </c>
      <c r="AU14" s="87">
        <v>2000</v>
      </c>
      <c r="AV14" s="13">
        <f>DATA_ICECREAM[[#This Row],[HARGA AWAL]]</f>
        <v>2000</v>
      </c>
      <c r="AW14" s="13">
        <f>DATA_ICECREAM[[#This Row],[HARI 1]]</f>
        <v>2000</v>
      </c>
      <c r="AX14" s="13">
        <f>DATA_ICECREAM[[#This Row],[HARI 2]]</f>
        <v>2000</v>
      </c>
      <c r="AY14" s="13">
        <f>DATA_ICECREAM[[#This Row],[HARI 3]]</f>
        <v>2000</v>
      </c>
      <c r="AZ14" s="13">
        <f>DATA_ICECREAM[[#This Row],[HARI 4]]</f>
        <v>2000</v>
      </c>
      <c r="BA14" s="13">
        <f>DATA_ICECREAM[[#This Row],[HARI 5]]</f>
        <v>2000</v>
      </c>
      <c r="BB14" s="13">
        <f>DATA_ICECREAM[[#This Row],[HARI 6]]</f>
        <v>2000</v>
      </c>
      <c r="BC14" s="13">
        <f>DATA_ICECREAM[[#This Row],[HARI 7]]</f>
        <v>2000</v>
      </c>
      <c r="BD14" s="13">
        <f>DATA_ICECREAM[[#This Row],[HARI 8]]</f>
        <v>2000</v>
      </c>
      <c r="BE14" s="13">
        <f>DATA_ICECREAM[[#This Row],[HARI 9]]</f>
        <v>2000</v>
      </c>
      <c r="BF14" s="81">
        <f>DATA_ICECREAM[[#This Row],[HARI 10]]</f>
        <v>2000</v>
      </c>
      <c r="BH14" s="88" t="s">
        <v>111</v>
      </c>
      <c r="BI14" s="87">
        <v>25000</v>
      </c>
      <c r="BJ14" s="13">
        <f>DATA_ACC[[#This Row],[HARGA AWAL]]</f>
        <v>25000</v>
      </c>
      <c r="BK14" s="13">
        <f>DATA_ACC[[#This Row],[HARI 1]]</f>
        <v>25000</v>
      </c>
      <c r="BL14" s="13">
        <f>DATA_ACC[[#This Row],[HARI 2]]</f>
        <v>25000</v>
      </c>
      <c r="BM14" s="13">
        <f>DATA_ACC[[#This Row],[HARI 3]]</f>
        <v>25000</v>
      </c>
      <c r="BN14" s="13">
        <f>DATA_ACC[[#This Row],[HARI 4]]</f>
        <v>25000</v>
      </c>
      <c r="BO14" s="13">
        <f>DATA_ACC[[#This Row],[HARI 5]]</f>
        <v>25000</v>
      </c>
      <c r="BP14" s="13">
        <f>DATA_ACC[[#This Row],[HARI 6]]</f>
        <v>25000</v>
      </c>
      <c r="BQ14" s="13">
        <f>DATA_ACC[[#This Row],[HARI 7]]</f>
        <v>25000</v>
      </c>
      <c r="BR14" s="13">
        <f>DATA_ACC[[#This Row],[HARI 8]]</f>
        <v>25000</v>
      </c>
      <c r="BS14" s="13">
        <f>DATA_ACC[[#This Row],[HARI 9]]</f>
        <v>25000</v>
      </c>
      <c r="BT14" s="81">
        <f>DATA_ACC[[#This Row],[HARI 10]]</f>
        <v>25000</v>
      </c>
      <c r="BV14" s="88" t="s">
        <v>299</v>
      </c>
      <c r="BW14" s="87">
        <v>65000</v>
      </c>
      <c r="BX14" s="13">
        <f>DATA_HYDRO[[#This Row],[HARGA AWAL]]</f>
        <v>65000</v>
      </c>
      <c r="BY14" s="13">
        <f>DATA_HYDRO[[#This Row],[HARI 1]]</f>
        <v>65000</v>
      </c>
      <c r="BZ14" s="13">
        <f>DATA_HYDRO[[#This Row],[HARI 2]]</f>
        <v>65000</v>
      </c>
      <c r="CA14" s="13">
        <f>DATA_HYDRO[[#This Row],[HARI 3]]</f>
        <v>65000</v>
      </c>
      <c r="CB14" s="13">
        <f>DATA_HYDRO[[#This Row],[HARI 4]]</f>
        <v>65000</v>
      </c>
      <c r="CC14" s="13">
        <f>DATA_HYDRO[[#This Row],[HARI 5]]</f>
        <v>65000</v>
      </c>
      <c r="CD14" s="13">
        <f>DATA_HYDRO[[#This Row],[HARI 6]]</f>
        <v>65000</v>
      </c>
      <c r="CE14" s="13">
        <f>DATA_HYDRO[[#This Row],[HARI 7]]</f>
        <v>65000</v>
      </c>
      <c r="CF14" s="13">
        <f>DATA_HYDRO[[#This Row],[HARI 8]]</f>
        <v>65000</v>
      </c>
      <c r="CG14" s="13">
        <f>DATA_HYDRO[[#This Row],[HARI 9]]</f>
        <v>65000</v>
      </c>
      <c r="CH14" s="81">
        <f>DATA_HYDRO[[#This Row],[HARI 10]]</f>
        <v>65000</v>
      </c>
    </row>
    <row r="15" ht="18.75" spans="2:86">
      <c r="B15" s="70" t="s">
        <v>62</v>
      </c>
      <c r="D15" s="67" t="s">
        <v>300</v>
      </c>
      <c r="E15" s="68">
        <v>35000</v>
      </c>
      <c r="F15" s="69">
        <f>DATA_ROKOK[[#This Row],[HARGA AWAL]]</f>
        <v>35000</v>
      </c>
      <c r="G15" s="69">
        <f>DATA_ROKOK[[#This Row],[HARI 1]]</f>
        <v>35000</v>
      </c>
      <c r="H15" s="69">
        <f>DATA_ROKOK[[#This Row],[HARI 2]]</f>
        <v>35000</v>
      </c>
      <c r="I15" s="69">
        <f>DATA_ROKOK[[#This Row],[HARI 3]]</f>
        <v>35000</v>
      </c>
      <c r="J15" s="69">
        <f>DATA_ROKOK[[#This Row],[HARI 4]]</f>
        <v>35000</v>
      </c>
      <c r="K15" s="69">
        <f>DATA_ROKOK[[#This Row],[HARI 5]]</f>
        <v>35000</v>
      </c>
      <c r="L15" s="69">
        <f>DATA_ROKOK[[#This Row],[HARI 6]]</f>
        <v>35000</v>
      </c>
      <c r="M15" s="69">
        <f>DATA_ROKOK[[#This Row],[HARI 7]]</f>
        <v>35000</v>
      </c>
      <c r="N15" s="69">
        <f>DATA_ROKOK[[#This Row],[HARI 8]]</f>
        <v>35000</v>
      </c>
      <c r="O15" s="69">
        <f>DATA_ROKOK[[#This Row],[HARI 9]]</f>
        <v>35000</v>
      </c>
      <c r="P15" s="82">
        <f>DATA_ROKOK[[#This Row],[HARI 10]]</f>
        <v>35000</v>
      </c>
      <c r="R15" s="88" t="s">
        <v>301</v>
      </c>
      <c r="S15" s="89">
        <v>35000</v>
      </c>
      <c r="T15" s="69">
        <f>DATA_SPVOU[[#This Row],[HARGA AWAL]]</f>
        <v>35000</v>
      </c>
      <c r="U15" s="69">
        <f>DATA_SPVOU[[#This Row],[HARI 1]]</f>
        <v>35000</v>
      </c>
      <c r="V15" s="69">
        <f>DATA_SPVOU[[#This Row],[HARI 2]]</f>
        <v>35000</v>
      </c>
      <c r="W15" s="69">
        <f>DATA_SPVOU[[#This Row],[HARI 3]]</f>
        <v>35000</v>
      </c>
      <c r="X15" s="69">
        <f>DATA_SPVOU[[#This Row],[HARI 4]]</f>
        <v>35000</v>
      </c>
      <c r="Y15" s="69">
        <f>DATA_SPVOU[[#This Row],[HARI 5]]</f>
        <v>35000</v>
      </c>
      <c r="Z15" s="69">
        <f>DATA_SPVOU[[#This Row],[HARI 6]]</f>
        <v>35000</v>
      </c>
      <c r="AA15" s="69">
        <f>DATA_SPVOU[[#This Row],[HARI 7]]</f>
        <v>35000</v>
      </c>
      <c r="AB15" s="69">
        <f>DATA_SPVOU[[#This Row],[HARI 8]]</f>
        <v>35000</v>
      </c>
      <c r="AC15" s="69">
        <f>DATA_SPVOU[[#This Row],[HARI 9]]</f>
        <v>35000</v>
      </c>
      <c r="AD15" s="82">
        <f>DATA_SPVOU[[#This Row],[HARI 10]]</f>
        <v>35000</v>
      </c>
      <c r="AF15" s="86" t="s">
        <v>302</v>
      </c>
      <c r="AG15" s="89">
        <v>5000</v>
      </c>
      <c r="AH15" s="69">
        <f>DATA_SOFTDRINK[[#This Row],[HARGA AWAL]]</f>
        <v>5000</v>
      </c>
      <c r="AI15" s="69">
        <f>DATA_SOFTDRINK[[#This Row],[HARI 1]]</f>
        <v>5000</v>
      </c>
      <c r="AJ15" s="69">
        <f>DATA_SOFTDRINK[[#This Row],[HARI 2]]</f>
        <v>5000</v>
      </c>
      <c r="AK15" s="69">
        <f>DATA_SOFTDRINK[[#This Row],[HARI 3]]</f>
        <v>5000</v>
      </c>
      <c r="AL15" s="69">
        <f>DATA_SOFTDRINK[[#This Row],[HARI 4]]</f>
        <v>5000</v>
      </c>
      <c r="AM15" s="69">
        <f>DATA_SOFTDRINK[[#This Row],[HARI 5]]</f>
        <v>5000</v>
      </c>
      <c r="AN15" s="69">
        <f>DATA_SOFTDRINK[[#This Row],[HARI 6]]</f>
        <v>5000</v>
      </c>
      <c r="AO15" s="69">
        <f>DATA_SOFTDRINK[[#This Row],[HARI 7]]</f>
        <v>5000</v>
      </c>
      <c r="AP15" s="69">
        <f>DATA_SOFTDRINK[[#This Row],[HARI 8]]</f>
        <v>5000</v>
      </c>
      <c r="AQ15" s="69">
        <f>DATA_SOFTDRINK[[#This Row],[HARI 9]]</f>
        <v>5000</v>
      </c>
      <c r="AR15" s="82">
        <f>DATA_SOFTDRINK[[#This Row],[HARI 10]]</f>
        <v>5000</v>
      </c>
      <c r="AT15" s="86" t="s">
        <v>303</v>
      </c>
      <c r="AU15" s="89">
        <v>2000</v>
      </c>
      <c r="AV15" s="69">
        <f>DATA_ICECREAM[[#This Row],[HARGA AWAL]]</f>
        <v>2000</v>
      </c>
      <c r="AW15" s="69">
        <f>DATA_ICECREAM[[#This Row],[HARI 1]]</f>
        <v>2000</v>
      </c>
      <c r="AX15" s="69">
        <f>DATA_ICECREAM[[#This Row],[HARI 2]]</f>
        <v>2000</v>
      </c>
      <c r="AY15" s="69">
        <f>DATA_ICECREAM[[#This Row],[HARI 3]]</f>
        <v>2000</v>
      </c>
      <c r="AZ15" s="69">
        <f>DATA_ICECREAM[[#This Row],[HARI 4]]</f>
        <v>2000</v>
      </c>
      <c r="BA15" s="69">
        <f>DATA_ICECREAM[[#This Row],[HARI 5]]</f>
        <v>2000</v>
      </c>
      <c r="BB15" s="69">
        <f>DATA_ICECREAM[[#This Row],[HARI 6]]</f>
        <v>2000</v>
      </c>
      <c r="BC15" s="69">
        <f>DATA_ICECREAM[[#This Row],[HARI 7]]</f>
        <v>2000</v>
      </c>
      <c r="BD15" s="69">
        <f>DATA_ICECREAM[[#This Row],[HARI 8]]</f>
        <v>2000</v>
      </c>
      <c r="BE15" s="69">
        <f>DATA_ICECREAM[[#This Row],[HARI 9]]</f>
        <v>2000</v>
      </c>
      <c r="BF15" s="82">
        <f>DATA_ICECREAM[[#This Row],[HARI 10]]</f>
        <v>2000</v>
      </c>
      <c r="BH15" s="86" t="s">
        <v>304</v>
      </c>
      <c r="BI15" s="89">
        <v>30000</v>
      </c>
      <c r="BJ15" s="69">
        <f>DATA_ACC[[#This Row],[HARGA AWAL]]</f>
        <v>30000</v>
      </c>
      <c r="BK15" s="69">
        <f>DATA_ACC[[#This Row],[HARI 1]]</f>
        <v>30000</v>
      </c>
      <c r="BL15" s="69">
        <f>DATA_ACC[[#This Row],[HARI 2]]</f>
        <v>30000</v>
      </c>
      <c r="BM15" s="69">
        <f>DATA_ACC[[#This Row],[HARI 3]]</f>
        <v>30000</v>
      </c>
      <c r="BN15" s="69">
        <f>DATA_ACC[[#This Row],[HARI 4]]</f>
        <v>30000</v>
      </c>
      <c r="BO15" s="69">
        <f>DATA_ACC[[#This Row],[HARI 5]]</f>
        <v>30000</v>
      </c>
      <c r="BP15" s="69">
        <f>DATA_ACC[[#This Row],[HARI 6]]</f>
        <v>30000</v>
      </c>
      <c r="BQ15" s="69">
        <f>DATA_ACC[[#This Row],[HARI 7]]</f>
        <v>30000</v>
      </c>
      <c r="BR15" s="69">
        <f>DATA_ACC[[#This Row],[HARI 8]]</f>
        <v>30000</v>
      </c>
      <c r="BS15" s="69">
        <f>DATA_ACC[[#This Row],[HARI 9]]</f>
        <v>30000</v>
      </c>
      <c r="BT15" s="82">
        <f>DATA_ACC[[#This Row],[HARI 10]]</f>
        <v>30000</v>
      </c>
      <c r="BV15" s="86" t="s">
        <v>305</v>
      </c>
      <c r="BW15" s="89">
        <v>95000</v>
      </c>
      <c r="BX15" s="69">
        <f>DATA_HYDRO[[#This Row],[HARGA AWAL]]</f>
        <v>95000</v>
      </c>
      <c r="BY15" s="69">
        <f>DATA_HYDRO[[#This Row],[HARI 1]]</f>
        <v>95000</v>
      </c>
      <c r="BZ15" s="69">
        <f>DATA_HYDRO[[#This Row],[HARI 2]]</f>
        <v>95000</v>
      </c>
      <c r="CA15" s="69">
        <f>DATA_HYDRO[[#This Row],[HARI 3]]</f>
        <v>95000</v>
      </c>
      <c r="CB15" s="69">
        <f>DATA_HYDRO[[#This Row],[HARI 4]]</f>
        <v>95000</v>
      </c>
      <c r="CC15" s="69">
        <f>DATA_HYDRO[[#This Row],[HARI 5]]</f>
        <v>95000</v>
      </c>
      <c r="CD15" s="69">
        <f>DATA_HYDRO[[#This Row],[HARI 6]]</f>
        <v>95000</v>
      </c>
      <c r="CE15" s="69">
        <f>DATA_HYDRO[[#This Row],[HARI 7]]</f>
        <v>95000</v>
      </c>
      <c r="CF15" s="69">
        <f>DATA_HYDRO[[#This Row],[HARI 8]]</f>
        <v>95000</v>
      </c>
      <c r="CG15" s="69">
        <f>DATA_HYDRO[[#This Row],[HARI 9]]</f>
        <v>95000</v>
      </c>
      <c r="CH15" s="82">
        <f>DATA_HYDRO[[#This Row],[HARI 10]]</f>
        <v>95000</v>
      </c>
    </row>
    <row r="16" ht="18.75" spans="4:86">
      <c r="D16" s="65" t="s">
        <v>306</v>
      </c>
      <c r="E16" s="66">
        <v>35000</v>
      </c>
      <c r="F16" s="13">
        <f>DATA_ROKOK[[#This Row],[HARGA AWAL]]</f>
        <v>35000</v>
      </c>
      <c r="G16" s="13">
        <f>DATA_ROKOK[[#This Row],[HARI 1]]</f>
        <v>35000</v>
      </c>
      <c r="H16" s="13">
        <f>DATA_ROKOK[[#This Row],[HARI 2]]</f>
        <v>35000</v>
      </c>
      <c r="I16" s="13">
        <f>DATA_ROKOK[[#This Row],[HARI 3]]</f>
        <v>35000</v>
      </c>
      <c r="J16" s="13">
        <f>DATA_ROKOK[[#This Row],[HARI 4]]</f>
        <v>35000</v>
      </c>
      <c r="K16" s="13">
        <f>DATA_ROKOK[[#This Row],[HARI 5]]</f>
        <v>35000</v>
      </c>
      <c r="L16" s="13">
        <f>DATA_ROKOK[[#This Row],[HARI 6]]</f>
        <v>35000</v>
      </c>
      <c r="M16" s="13">
        <f>DATA_ROKOK[[#This Row],[HARI 7]]</f>
        <v>35000</v>
      </c>
      <c r="N16" s="13">
        <f>DATA_ROKOK[[#This Row],[HARI 8]]</f>
        <v>35000</v>
      </c>
      <c r="O16" s="13">
        <f>DATA_ROKOK[[#This Row],[HARI 9]]</f>
        <v>35000</v>
      </c>
      <c r="P16" s="81">
        <f>DATA_ROKOK[[#This Row],[HARI 10]]</f>
        <v>35000</v>
      </c>
      <c r="R16" s="86" t="s">
        <v>307</v>
      </c>
      <c r="S16" s="87">
        <v>18000</v>
      </c>
      <c r="T16" s="13">
        <f>DATA_SPVOU[[#This Row],[HARGA AWAL]]</f>
        <v>18000</v>
      </c>
      <c r="U16" s="13">
        <f>DATA_SPVOU[[#This Row],[HARI 1]]</f>
        <v>18000</v>
      </c>
      <c r="V16" s="13">
        <f>DATA_SPVOU[[#This Row],[HARI 2]]</f>
        <v>18000</v>
      </c>
      <c r="W16" s="13">
        <f>DATA_SPVOU[[#This Row],[HARI 3]]</f>
        <v>18000</v>
      </c>
      <c r="X16" s="13">
        <f>DATA_SPVOU[[#This Row],[HARI 4]]</f>
        <v>18000</v>
      </c>
      <c r="Y16" s="13">
        <f>DATA_SPVOU[[#This Row],[HARI 5]]</f>
        <v>18000</v>
      </c>
      <c r="Z16" s="13">
        <f>DATA_SPVOU[[#This Row],[HARI 6]]</f>
        <v>18000</v>
      </c>
      <c r="AA16" s="13">
        <f>DATA_SPVOU[[#This Row],[HARI 7]]</f>
        <v>18000</v>
      </c>
      <c r="AB16" s="13">
        <f>DATA_SPVOU[[#This Row],[HARI 8]]</f>
        <v>18000</v>
      </c>
      <c r="AC16" s="13">
        <f>DATA_SPVOU[[#This Row],[HARI 9]]</f>
        <v>18000</v>
      </c>
      <c r="AD16" s="81">
        <f>DATA_SPVOU[[#This Row],[HARI 10]]</f>
        <v>18000</v>
      </c>
      <c r="AF16" s="88" t="s">
        <v>308</v>
      </c>
      <c r="AG16" s="87">
        <v>5000</v>
      </c>
      <c r="AH16" s="13">
        <f>DATA_SOFTDRINK[[#This Row],[HARGA AWAL]]</f>
        <v>5000</v>
      </c>
      <c r="AI16" s="13">
        <f>DATA_SOFTDRINK[[#This Row],[HARI 1]]</f>
        <v>5000</v>
      </c>
      <c r="AJ16" s="13">
        <f>DATA_SOFTDRINK[[#This Row],[HARI 2]]</f>
        <v>5000</v>
      </c>
      <c r="AK16" s="13">
        <f>DATA_SOFTDRINK[[#This Row],[HARI 3]]</f>
        <v>5000</v>
      </c>
      <c r="AL16" s="13">
        <f>DATA_SOFTDRINK[[#This Row],[HARI 4]]</f>
        <v>5000</v>
      </c>
      <c r="AM16" s="13">
        <f>DATA_SOFTDRINK[[#This Row],[HARI 5]]</f>
        <v>5000</v>
      </c>
      <c r="AN16" s="13">
        <f>DATA_SOFTDRINK[[#This Row],[HARI 6]]</f>
        <v>5000</v>
      </c>
      <c r="AO16" s="13">
        <f>DATA_SOFTDRINK[[#This Row],[HARI 7]]</f>
        <v>5000</v>
      </c>
      <c r="AP16" s="13">
        <f>DATA_SOFTDRINK[[#This Row],[HARI 8]]</f>
        <v>5000</v>
      </c>
      <c r="AQ16" s="13">
        <f>DATA_SOFTDRINK[[#This Row],[HARI 9]]</f>
        <v>5000</v>
      </c>
      <c r="AR16" s="81">
        <f>DATA_SOFTDRINK[[#This Row],[HARI 10]]</f>
        <v>5000</v>
      </c>
      <c r="AT16" s="88" t="s">
        <v>309</v>
      </c>
      <c r="AU16" s="87">
        <v>2000</v>
      </c>
      <c r="AV16" s="13">
        <f>DATA_ICECREAM[[#This Row],[HARGA AWAL]]</f>
        <v>2000</v>
      </c>
      <c r="AW16" s="13">
        <f>DATA_ICECREAM[[#This Row],[HARI 1]]</f>
        <v>2000</v>
      </c>
      <c r="AX16" s="13">
        <f>DATA_ICECREAM[[#This Row],[HARI 2]]</f>
        <v>2000</v>
      </c>
      <c r="AY16" s="13">
        <f>DATA_ICECREAM[[#This Row],[HARI 3]]</f>
        <v>2000</v>
      </c>
      <c r="AZ16" s="13">
        <f>DATA_ICECREAM[[#This Row],[HARI 4]]</f>
        <v>2000</v>
      </c>
      <c r="BA16" s="13">
        <f>DATA_ICECREAM[[#This Row],[HARI 5]]</f>
        <v>2000</v>
      </c>
      <c r="BB16" s="13">
        <f>DATA_ICECREAM[[#This Row],[HARI 6]]</f>
        <v>2000</v>
      </c>
      <c r="BC16" s="13">
        <f>DATA_ICECREAM[[#This Row],[HARI 7]]</f>
        <v>2000</v>
      </c>
      <c r="BD16" s="13">
        <f>DATA_ICECREAM[[#This Row],[HARI 8]]</f>
        <v>2000</v>
      </c>
      <c r="BE16" s="13">
        <f>DATA_ICECREAM[[#This Row],[HARI 9]]</f>
        <v>2000</v>
      </c>
      <c r="BF16" s="81">
        <f>DATA_ICECREAM[[#This Row],[HARI 10]]</f>
        <v>2000</v>
      </c>
      <c r="BH16" s="88" t="s">
        <v>310</v>
      </c>
      <c r="BI16" s="87">
        <v>35000</v>
      </c>
      <c r="BJ16" s="13">
        <f>DATA_ACC[[#This Row],[HARGA AWAL]]</f>
        <v>35000</v>
      </c>
      <c r="BK16" s="13">
        <f>DATA_ACC[[#This Row],[HARI 1]]</f>
        <v>35000</v>
      </c>
      <c r="BL16" s="13">
        <f>DATA_ACC[[#This Row],[HARI 2]]</f>
        <v>35000</v>
      </c>
      <c r="BM16" s="13">
        <f>DATA_ACC[[#This Row],[HARI 3]]</f>
        <v>35000</v>
      </c>
      <c r="BN16" s="13">
        <f>DATA_ACC[[#This Row],[HARI 4]]</f>
        <v>35000</v>
      </c>
      <c r="BO16" s="13">
        <f>DATA_ACC[[#This Row],[HARI 5]]</f>
        <v>35000</v>
      </c>
      <c r="BP16" s="13">
        <f>DATA_ACC[[#This Row],[HARI 6]]</f>
        <v>35000</v>
      </c>
      <c r="BQ16" s="13">
        <f>DATA_ACC[[#This Row],[HARI 7]]</f>
        <v>35000</v>
      </c>
      <c r="BR16" s="13">
        <f>DATA_ACC[[#This Row],[HARI 8]]</f>
        <v>35000</v>
      </c>
      <c r="BS16" s="13">
        <f>DATA_ACC[[#This Row],[HARI 9]]</f>
        <v>35000</v>
      </c>
      <c r="BT16" s="81">
        <f>DATA_ACC[[#This Row],[HARI 10]]</f>
        <v>35000</v>
      </c>
      <c r="BV16" s="88" t="s">
        <v>311</v>
      </c>
      <c r="BW16" s="87">
        <v>0</v>
      </c>
      <c r="BX16" s="13">
        <f>DATA_HYDRO[[#This Row],[HARGA AWAL]]</f>
        <v>0</v>
      </c>
      <c r="BY16" s="13">
        <f>DATA_HYDRO[[#This Row],[HARI 1]]</f>
        <v>0</v>
      </c>
      <c r="BZ16" s="13">
        <f>DATA_HYDRO[[#This Row],[HARI 2]]</f>
        <v>0</v>
      </c>
      <c r="CA16" s="13">
        <f>DATA_HYDRO[[#This Row],[HARI 3]]</f>
        <v>0</v>
      </c>
      <c r="CB16" s="13">
        <f>DATA_HYDRO[[#This Row],[HARI 4]]</f>
        <v>0</v>
      </c>
      <c r="CC16" s="13">
        <f>DATA_HYDRO[[#This Row],[HARI 5]]</f>
        <v>0</v>
      </c>
      <c r="CD16" s="13">
        <f>DATA_HYDRO[[#This Row],[HARI 6]]</f>
        <v>0</v>
      </c>
      <c r="CE16" s="13">
        <f>DATA_HYDRO[[#This Row],[HARI 7]]</f>
        <v>0</v>
      </c>
      <c r="CF16" s="13">
        <f>DATA_HYDRO[[#This Row],[HARI 8]]</f>
        <v>0</v>
      </c>
      <c r="CG16" s="13">
        <f>DATA_HYDRO[[#This Row],[HARI 9]]</f>
        <v>0</v>
      </c>
      <c r="CH16" s="81">
        <f>DATA_HYDRO[[#This Row],[HARI 10]]</f>
        <v>0</v>
      </c>
    </row>
    <row r="17" ht="18" spans="2:86">
      <c r="B17" s="54" t="s">
        <v>312</v>
      </c>
      <c r="D17" s="67" t="s">
        <v>313</v>
      </c>
      <c r="E17" s="68">
        <v>25000</v>
      </c>
      <c r="F17" s="69">
        <f>DATA_ROKOK[[#This Row],[HARGA AWAL]]</f>
        <v>25000</v>
      </c>
      <c r="G17" s="69">
        <f>DATA_ROKOK[[#This Row],[HARI 1]]</f>
        <v>25000</v>
      </c>
      <c r="H17" s="69">
        <f>DATA_ROKOK[[#This Row],[HARI 2]]</f>
        <v>25000</v>
      </c>
      <c r="I17" s="69">
        <f>DATA_ROKOK[[#This Row],[HARI 3]]</f>
        <v>25000</v>
      </c>
      <c r="J17" s="69">
        <f>DATA_ROKOK[[#This Row],[HARI 4]]</f>
        <v>25000</v>
      </c>
      <c r="K17" s="69">
        <f>DATA_ROKOK[[#This Row],[HARI 5]]</f>
        <v>25000</v>
      </c>
      <c r="L17" s="69">
        <f>DATA_ROKOK[[#This Row],[HARI 6]]</f>
        <v>25000</v>
      </c>
      <c r="M17" s="69">
        <f>DATA_ROKOK[[#This Row],[HARI 7]]</f>
        <v>25000</v>
      </c>
      <c r="N17" s="69">
        <f>DATA_ROKOK[[#This Row],[HARI 8]]</f>
        <v>25000</v>
      </c>
      <c r="O17" s="69">
        <f>DATA_ROKOK[[#This Row],[HARI 9]]</f>
        <v>25000</v>
      </c>
      <c r="P17" s="82">
        <f>DATA_ROKOK[[#This Row],[HARI 10]]</f>
        <v>25000</v>
      </c>
      <c r="R17" s="88" t="s">
        <v>314</v>
      </c>
      <c r="S17" s="89">
        <v>35000</v>
      </c>
      <c r="T17" s="69">
        <f>DATA_SPVOU[[#This Row],[HARGA AWAL]]</f>
        <v>35000</v>
      </c>
      <c r="U17" s="69">
        <f>DATA_SPVOU[[#This Row],[HARI 1]]</f>
        <v>35000</v>
      </c>
      <c r="V17" s="69">
        <f>DATA_SPVOU[[#This Row],[HARI 2]]</f>
        <v>35000</v>
      </c>
      <c r="W17" s="69">
        <f>DATA_SPVOU[[#This Row],[HARI 3]]</f>
        <v>35000</v>
      </c>
      <c r="X17" s="69">
        <f>DATA_SPVOU[[#This Row],[HARI 4]]</f>
        <v>35000</v>
      </c>
      <c r="Y17" s="69">
        <f>DATA_SPVOU[[#This Row],[HARI 5]]</f>
        <v>35000</v>
      </c>
      <c r="Z17" s="69">
        <f>DATA_SPVOU[[#This Row],[HARI 6]]</f>
        <v>35000</v>
      </c>
      <c r="AA17" s="69">
        <f>DATA_SPVOU[[#This Row],[HARI 7]]</f>
        <v>35000</v>
      </c>
      <c r="AB17" s="69">
        <f>DATA_SPVOU[[#This Row],[HARI 8]]</f>
        <v>35000</v>
      </c>
      <c r="AC17" s="69">
        <f>DATA_SPVOU[[#This Row],[HARI 9]]</f>
        <v>35000</v>
      </c>
      <c r="AD17" s="82">
        <f>DATA_SPVOU[[#This Row],[HARI 10]]</f>
        <v>35000</v>
      </c>
      <c r="AF17" s="86" t="s">
        <v>194</v>
      </c>
      <c r="AG17" s="89">
        <v>5000</v>
      </c>
      <c r="AH17" s="69">
        <f>DATA_SOFTDRINK[[#This Row],[HARGA AWAL]]</f>
        <v>5000</v>
      </c>
      <c r="AI17" s="69">
        <f>DATA_SOFTDRINK[[#This Row],[HARI 1]]</f>
        <v>5000</v>
      </c>
      <c r="AJ17" s="69">
        <f>DATA_SOFTDRINK[[#This Row],[HARI 2]]</f>
        <v>5000</v>
      </c>
      <c r="AK17" s="69">
        <f>DATA_SOFTDRINK[[#This Row],[HARI 3]]</f>
        <v>5000</v>
      </c>
      <c r="AL17" s="69">
        <f>DATA_SOFTDRINK[[#This Row],[HARI 4]]</f>
        <v>5000</v>
      </c>
      <c r="AM17" s="69">
        <f>DATA_SOFTDRINK[[#This Row],[HARI 5]]</f>
        <v>5000</v>
      </c>
      <c r="AN17" s="69">
        <f>DATA_SOFTDRINK[[#This Row],[HARI 6]]</f>
        <v>5000</v>
      </c>
      <c r="AO17" s="69">
        <f>DATA_SOFTDRINK[[#This Row],[HARI 7]]</f>
        <v>5000</v>
      </c>
      <c r="AP17" s="69">
        <f>DATA_SOFTDRINK[[#This Row],[HARI 8]]</f>
        <v>5000</v>
      </c>
      <c r="AQ17" s="69">
        <f>DATA_SOFTDRINK[[#This Row],[HARI 9]]</f>
        <v>5000</v>
      </c>
      <c r="AR17" s="82">
        <f>DATA_SOFTDRINK[[#This Row],[HARI 10]]</f>
        <v>5000</v>
      </c>
      <c r="AT17" s="86" t="s">
        <v>315</v>
      </c>
      <c r="AU17" s="89">
        <v>2000</v>
      </c>
      <c r="AV17" s="69">
        <f>DATA_ICECREAM[[#This Row],[HARGA AWAL]]</f>
        <v>2000</v>
      </c>
      <c r="AW17" s="69">
        <f>DATA_ICECREAM[[#This Row],[HARI 1]]</f>
        <v>2000</v>
      </c>
      <c r="AX17" s="69">
        <f>DATA_ICECREAM[[#This Row],[HARI 2]]</f>
        <v>2000</v>
      </c>
      <c r="AY17" s="69">
        <f>DATA_ICECREAM[[#This Row],[HARI 3]]</f>
        <v>2000</v>
      </c>
      <c r="AZ17" s="69">
        <f>DATA_ICECREAM[[#This Row],[HARI 4]]</f>
        <v>2000</v>
      </c>
      <c r="BA17" s="69">
        <f>DATA_ICECREAM[[#This Row],[HARI 5]]</f>
        <v>2000</v>
      </c>
      <c r="BB17" s="69">
        <f>DATA_ICECREAM[[#This Row],[HARI 6]]</f>
        <v>2000</v>
      </c>
      <c r="BC17" s="69">
        <f>DATA_ICECREAM[[#This Row],[HARI 7]]</f>
        <v>2000</v>
      </c>
      <c r="BD17" s="69">
        <f>DATA_ICECREAM[[#This Row],[HARI 8]]</f>
        <v>2000</v>
      </c>
      <c r="BE17" s="69">
        <f>DATA_ICECREAM[[#This Row],[HARI 9]]</f>
        <v>2000</v>
      </c>
      <c r="BF17" s="82">
        <f>DATA_ICECREAM[[#This Row],[HARI 10]]</f>
        <v>2000</v>
      </c>
      <c r="BH17" s="86" t="s">
        <v>316</v>
      </c>
      <c r="BI17" s="89">
        <v>40000</v>
      </c>
      <c r="BJ17" s="69">
        <f>DATA_ACC[[#This Row],[HARGA AWAL]]</f>
        <v>40000</v>
      </c>
      <c r="BK17" s="69">
        <f>DATA_ACC[[#This Row],[HARI 1]]</f>
        <v>40000</v>
      </c>
      <c r="BL17" s="69">
        <f>DATA_ACC[[#This Row],[HARI 2]]</f>
        <v>40000</v>
      </c>
      <c r="BM17" s="69">
        <f>DATA_ACC[[#This Row],[HARI 3]]</f>
        <v>40000</v>
      </c>
      <c r="BN17" s="69">
        <f>DATA_ACC[[#This Row],[HARI 4]]</f>
        <v>40000</v>
      </c>
      <c r="BO17" s="69">
        <f>DATA_ACC[[#This Row],[HARI 5]]</f>
        <v>40000</v>
      </c>
      <c r="BP17" s="69">
        <f>DATA_ACC[[#This Row],[HARI 6]]</f>
        <v>40000</v>
      </c>
      <c r="BQ17" s="69">
        <f>DATA_ACC[[#This Row],[HARI 7]]</f>
        <v>40000</v>
      </c>
      <c r="BR17" s="69">
        <f>DATA_ACC[[#This Row],[HARI 8]]</f>
        <v>40000</v>
      </c>
      <c r="BS17" s="69">
        <f>DATA_ACC[[#This Row],[HARI 9]]</f>
        <v>40000</v>
      </c>
      <c r="BT17" s="82">
        <f>DATA_ACC[[#This Row],[HARI 10]]</f>
        <v>40000</v>
      </c>
      <c r="BV17" s="86" t="s">
        <v>317</v>
      </c>
      <c r="BW17" s="89">
        <v>0</v>
      </c>
      <c r="BX17" s="69">
        <f>DATA_HYDRO[[#This Row],[HARGA AWAL]]</f>
        <v>0</v>
      </c>
      <c r="BY17" s="69">
        <f>DATA_HYDRO[[#This Row],[HARI 1]]</f>
        <v>0</v>
      </c>
      <c r="BZ17" s="69">
        <f>DATA_HYDRO[[#This Row],[HARI 2]]</f>
        <v>0</v>
      </c>
      <c r="CA17" s="69">
        <f>DATA_HYDRO[[#This Row],[HARI 3]]</f>
        <v>0</v>
      </c>
      <c r="CB17" s="69">
        <f>DATA_HYDRO[[#This Row],[HARI 4]]</f>
        <v>0</v>
      </c>
      <c r="CC17" s="69">
        <f>DATA_HYDRO[[#This Row],[HARI 5]]</f>
        <v>0</v>
      </c>
      <c r="CD17" s="69">
        <f>DATA_HYDRO[[#This Row],[HARI 6]]</f>
        <v>0</v>
      </c>
      <c r="CE17" s="69">
        <f>DATA_HYDRO[[#This Row],[HARI 7]]</f>
        <v>0</v>
      </c>
      <c r="CF17" s="69">
        <f>DATA_HYDRO[[#This Row],[HARI 8]]</f>
        <v>0</v>
      </c>
      <c r="CG17" s="69">
        <f>DATA_HYDRO[[#This Row],[HARI 9]]</f>
        <v>0</v>
      </c>
      <c r="CH17" s="82">
        <f>DATA_HYDRO[[#This Row],[HARI 10]]</f>
        <v>0</v>
      </c>
    </row>
    <row r="18" ht="18.75" spans="2:86">
      <c r="B18" s="57"/>
      <c r="D18" s="65" t="s">
        <v>318</v>
      </c>
      <c r="E18" s="66">
        <v>16000</v>
      </c>
      <c r="F18" s="13">
        <f>DATA_ROKOK[[#This Row],[HARGA AWAL]]</f>
        <v>16000</v>
      </c>
      <c r="G18" s="13">
        <f>DATA_ROKOK[[#This Row],[HARI 1]]</f>
        <v>16000</v>
      </c>
      <c r="H18" s="13">
        <f>DATA_ROKOK[[#This Row],[HARI 2]]</f>
        <v>16000</v>
      </c>
      <c r="I18" s="13">
        <f>DATA_ROKOK[[#This Row],[HARI 3]]</f>
        <v>16000</v>
      </c>
      <c r="J18" s="13">
        <f>DATA_ROKOK[[#This Row],[HARI 4]]</f>
        <v>16000</v>
      </c>
      <c r="K18" s="13">
        <f>DATA_ROKOK[[#This Row],[HARI 5]]</f>
        <v>16000</v>
      </c>
      <c r="L18" s="13">
        <f>DATA_ROKOK[[#This Row],[HARI 6]]</f>
        <v>16000</v>
      </c>
      <c r="M18" s="13">
        <f>DATA_ROKOK[[#This Row],[HARI 7]]</f>
        <v>16000</v>
      </c>
      <c r="N18" s="13">
        <f>DATA_ROKOK[[#This Row],[HARI 8]]</f>
        <v>16000</v>
      </c>
      <c r="O18" s="13">
        <f>DATA_ROKOK[[#This Row],[HARI 9]]</f>
        <v>16000</v>
      </c>
      <c r="P18" s="81">
        <f>DATA_ROKOK[[#This Row],[HARI 10]]</f>
        <v>16000</v>
      </c>
      <c r="R18" s="86" t="s">
        <v>319</v>
      </c>
      <c r="S18" s="87">
        <v>45000</v>
      </c>
      <c r="T18" s="13">
        <f>DATA_SPVOU[[#This Row],[HARGA AWAL]]</f>
        <v>45000</v>
      </c>
      <c r="U18" s="13">
        <f>DATA_SPVOU[[#This Row],[HARI 1]]</f>
        <v>45000</v>
      </c>
      <c r="V18" s="13">
        <f>DATA_SPVOU[[#This Row],[HARI 2]]</f>
        <v>45000</v>
      </c>
      <c r="W18" s="13">
        <f>DATA_SPVOU[[#This Row],[HARI 3]]</f>
        <v>45000</v>
      </c>
      <c r="X18" s="13">
        <f>DATA_SPVOU[[#This Row],[HARI 4]]</f>
        <v>45000</v>
      </c>
      <c r="Y18" s="13">
        <f>DATA_SPVOU[[#This Row],[HARI 5]]</f>
        <v>45000</v>
      </c>
      <c r="Z18" s="13">
        <f>DATA_SPVOU[[#This Row],[HARI 6]]</f>
        <v>45000</v>
      </c>
      <c r="AA18" s="13">
        <f>DATA_SPVOU[[#This Row],[HARI 7]]</f>
        <v>45000</v>
      </c>
      <c r="AB18" s="13">
        <f>DATA_SPVOU[[#This Row],[HARI 8]]</f>
        <v>45000</v>
      </c>
      <c r="AC18" s="13">
        <f>DATA_SPVOU[[#This Row],[HARI 9]]</f>
        <v>45000</v>
      </c>
      <c r="AD18" s="81">
        <f>DATA_SPVOU[[#This Row],[HARI 10]]</f>
        <v>45000</v>
      </c>
      <c r="AF18" s="88" t="s">
        <v>97</v>
      </c>
      <c r="AG18" s="87">
        <v>7000</v>
      </c>
      <c r="AH18" s="13">
        <f>DATA_SOFTDRINK[[#This Row],[HARGA AWAL]]</f>
        <v>7000</v>
      </c>
      <c r="AI18" s="13">
        <f>DATA_SOFTDRINK[[#This Row],[HARI 1]]</f>
        <v>7000</v>
      </c>
      <c r="AJ18" s="13">
        <f>DATA_SOFTDRINK[[#This Row],[HARI 2]]</f>
        <v>7000</v>
      </c>
      <c r="AK18" s="13">
        <f>DATA_SOFTDRINK[[#This Row],[HARI 3]]</f>
        <v>7000</v>
      </c>
      <c r="AL18" s="13">
        <f>DATA_SOFTDRINK[[#This Row],[HARI 4]]</f>
        <v>7000</v>
      </c>
      <c r="AM18" s="13">
        <f>DATA_SOFTDRINK[[#This Row],[HARI 5]]</f>
        <v>7000</v>
      </c>
      <c r="AN18" s="13">
        <f>DATA_SOFTDRINK[[#This Row],[HARI 6]]</f>
        <v>7000</v>
      </c>
      <c r="AO18" s="13">
        <f>DATA_SOFTDRINK[[#This Row],[HARI 7]]</f>
        <v>7000</v>
      </c>
      <c r="AP18" s="13">
        <f>DATA_SOFTDRINK[[#This Row],[HARI 8]]</f>
        <v>7000</v>
      </c>
      <c r="AQ18" s="13">
        <f>DATA_SOFTDRINK[[#This Row],[HARI 9]]</f>
        <v>7000</v>
      </c>
      <c r="AR18" s="81">
        <f>DATA_SOFTDRINK[[#This Row],[HARI 10]]</f>
        <v>7000</v>
      </c>
      <c r="AT18" s="88" t="s">
        <v>320</v>
      </c>
      <c r="AU18" s="87">
        <v>2000</v>
      </c>
      <c r="AV18" s="13">
        <f>DATA_ICECREAM[[#This Row],[HARGA AWAL]]</f>
        <v>2000</v>
      </c>
      <c r="AW18" s="13">
        <f>DATA_ICECREAM[[#This Row],[HARI 1]]</f>
        <v>2000</v>
      </c>
      <c r="AX18" s="13">
        <f>DATA_ICECREAM[[#This Row],[HARI 2]]</f>
        <v>2000</v>
      </c>
      <c r="AY18" s="13">
        <f>DATA_ICECREAM[[#This Row],[HARI 3]]</f>
        <v>2000</v>
      </c>
      <c r="AZ18" s="13">
        <f>DATA_ICECREAM[[#This Row],[HARI 4]]</f>
        <v>2000</v>
      </c>
      <c r="BA18" s="13">
        <f>DATA_ICECREAM[[#This Row],[HARI 5]]</f>
        <v>2000</v>
      </c>
      <c r="BB18" s="13">
        <f>DATA_ICECREAM[[#This Row],[HARI 6]]</f>
        <v>2000</v>
      </c>
      <c r="BC18" s="13">
        <f>DATA_ICECREAM[[#This Row],[HARI 7]]</f>
        <v>2000</v>
      </c>
      <c r="BD18" s="13">
        <f>DATA_ICECREAM[[#This Row],[HARI 8]]</f>
        <v>2000</v>
      </c>
      <c r="BE18" s="13">
        <f>DATA_ICECREAM[[#This Row],[HARI 9]]</f>
        <v>2000</v>
      </c>
      <c r="BF18" s="81">
        <f>DATA_ICECREAM[[#This Row],[HARI 10]]</f>
        <v>2000</v>
      </c>
      <c r="BH18" s="88" t="s">
        <v>321</v>
      </c>
      <c r="BI18" s="87">
        <v>45000</v>
      </c>
      <c r="BJ18" s="13">
        <f>DATA_ACC[[#This Row],[HARGA AWAL]]</f>
        <v>45000</v>
      </c>
      <c r="BK18" s="13">
        <f>DATA_ACC[[#This Row],[HARI 1]]</f>
        <v>45000</v>
      </c>
      <c r="BL18" s="13">
        <f>DATA_ACC[[#This Row],[HARI 2]]</f>
        <v>45000</v>
      </c>
      <c r="BM18" s="13">
        <f>DATA_ACC[[#This Row],[HARI 3]]</f>
        <v>45000</v>
      </c>
      <c r="BN18" s="13">
        <f>DATA_ACC[[#This Row],[HARI 4]]</f>
        <v>45000</v>
      </c>
      <c r="BO18" s="13">
        <f>DATA_ACC[[#This Row],[HARI 5]]</f>
        <v>45000</v>
      </c>
      <c r="BP18" s="13">
        <f>DATA_ACC[[#This Row],[HARI 6]]</f>
        <v>45000</v>
      </c>
      <c r="BQ18" s="13">
        <f>DATA_ACC[[#This Row],[HARI 7]]</f>
        <v>45000</v>
      </c>
      <c r="BR18" s="13">
        <f>DATA_ACC[[#This Row],[HARI 8]]</f>
        <v>45000</v>
      </c>
      <c r="BS18" s="13">
        <f>DATA_ACC[[#This Row],[HARI 9]]</f>
        <v>45000</v>
      </c>
      <c r="BT18" s="81">
        <f>DATA_ACC[[#This Row],[HARI 10]]</f>
        <v>45000</v>
      </c>
      <c r="BV18" s="88" t="s">
        <v>322</v>
      </c>
      <c r="BW18" s="87">
        <v>0</v>
      </c>
      <c r="BX18" s="13">
        <f>DATA_HYDRO[[#This Row],[HARGA AWAL]]</f>
        <v>0</v>
      </c>
      <c r="BY18" s="13">
        <f>DATA_HYDRO[[#This Row],[HARI 1]]</f>
        <v>0</v>
      </c>
      <c r="BZ18" s="13">
        <f>DATA_HYDRO[[#This Row],[HARI 2]]</f>
        <v>0</v>
      </c>
      <c r="CA18" s="13">
        <f>DATA_HYDRO[[#This Row],[HARI 3]]</f>
        <v>0</v>
      </c>
      <c r="CB18" s="13">
        <f>DATA_HYDRO[[#This Row],[HARI 4]]</f>
        <v>0</v>
      </c>
      <c r="CC18" s="13">
        <f>DATA_HYDRO[[#This Row],[HARI 5]]</f>
        <v>0</v>
      </c>
      <c r="CD18" s="13">
        <f>DATA_HYDRO[[#This Row],[HARI 6]]</f>
        <v>0</v>
      </c>
      <c r="CE18" s="13">
        <f>DATA_HYDRO[[#This Row],[HARI 7]]</f>
        <v>0</v>
      </c>
      <c r="CF18" s="13">
        <f>DATA_HYDRO[[#This Row],[HARI 8]]</f>
        <v>0</v>
      </c>
      <c r="CG18" s="13">
        <f>DATA_HYDRO[[#This Row],[HARI 9]]</f>
        <v>0</v>
      </c>
      <c r="CH18" s="81">
        <f>DATA_HYDRO[[#This Row],[HARI 10]]</f>
        <v>0</v>
      </c>
    </row>
    <row r="19" ht="18" spans="2:86">
      <c r="B19" s="60" t="s">
        <v>323</v>
      </c>
      <c r="D19" s="67" t="s">
        <v>324</v>
      </c>
      <c r="E19" s="68">
        <v>26000</v>
      </c>
      <c r="F19" s="69">
        <f>DATA_ROKOK[[#This Row],[HARGA AWAL]]</f>
        <v>26000</v>
      </c>
      <c r="G19" s="69">
        <f>DATA_ROKOK[[#This Row],[HARI 1]]</f>
        <v>26000</v>
      </c>
      <c r="H19" s="69">
        <f>DATA_ROKOK[[#This Row],[HARI 2]]</f>
        <v>26000</v>
      </c>
      <c r="I19" s="69">
        <f>DATA_ROKOK[[#This Row],[HARI 3]]</f>
        <v>26000</v>
      </c>
      <c r="J19" s="69">
        <f>DATA_ROKOK[[#This Row],[HARI 4]]</f>
        <v>26000</v>
      </c>
      <c r="K19" s="69">
        <f>DATA_ROKOK[[#This Row],[HARI 5]]</f>
        <v>26000</v>
      </c>
      <c r="L19" s="69">
        <f>DATA_ROKOK[[#This Row],[HARI 6]]</f>
        <v>26000</v>
      </c>
      <c r="M19" s="69">
        <f>DATA_ROKOK[[#This Row],[HARI 7]]</f>
        <v>26000</v>
      </c>
      <c r="N19" s="69">
        <f>DATA_ROKOK[[#This Row],[HARI 8]]</f>
        <v>26000</v>
      </c>
      <c r="O19" s="69">
        <f>DATA_ROKOK[[#This Row],[HARI 9]]</f>
        <v>26000</v>
      </c>
      <c r="P19" s="82">
        <f>DATA_ROKOK[[#This Row],[HARI 10]]</f>
        <v>26000</v>
      </c>
      <c r="R19" s="88" t="s">
        <v>325</v>
      </c>
      <c r="S19" s="89">
        <v>15000</v>
      </c>
      <c r="T19" s="69">
        <f>DATA_SPVOU[[#This Row],[HARGA AWAL]]</f>
        <v>15000</v>
      </c>
      <c r="U19" s="69">
        <f>DATA_SPVOU[[#This Row],[HARI 1]]</f>
        <v>15000</v>
      </c>
      <c r="V19" s="69">
        <f>DATA_SPVOU[[#This Row],[HARI 2]]</f>
        <v>15000</v>
      </c>
      <c r="W19" s="69">
        <f>DATA_SPVOU[[#This Row],[HARI 3]]</f>
        <v>15000</v>
      </c>
      <c r="X19" s="69">
        <f>DATA_SPVOU[[#This Row],[HARI 4]]</f>
        <v>15000</v>
      </c>
      <c r="Y19" s="69">
        <f>DATA_SPVOU[[#This Row],[HARI 5]]</f>
        <v>15000</v>
      </c>
      <c r="Z19" s="69">
        <f>DATA_SPVOU[[#This Row],[HARI 6]]</f>
        <v>15000</v>
      </c>
      <c r="AA19" s="69">
        <f>DATA_SPVOU[[#This Row],[HARI 7]]</f>
        <v>15000</v>
      </c>
      <c r="AB19" s="69">
        <f>DATA_SPVOU[[#This Row],[HARI 8]]</f>
        <v>15000</v>
      </c>
      <c r="AC19" s="69">
        <f>DATA_SPVOU[[#This Row],[HARI 9]]</f>
        <v>15000</v>
      </c>
      <c r="AD19" s="82">
        <f>DATA_SPVOU[[#This Row],[HARI 10]]</f>
        <v>15000</v>
      </c>
      <c r="AF19" s="86" t="s">
        <v>326</v>
      </c>
      <c r="AG19" s="89">
        <v>7000</v>
      </c>
      <c r="AH19" s="69">
        <f>DATA_SOFTDRINK[[#This Row],[HARGA AWAL]]</f>
        <v>7000</v>
      </c>
      <c r="AI19" s="69">
        <f>DATA_SOFTDRINK[[#This Row],[HARI 1]]</f>
        <v>7000</v>
      </c>
      <c r="AJ19" s="69">
        <f>DATA_SOFTDRINK[[#This Row],[HARI 2]]</f>
        <v>7000</v>
      </c>
      <c r="AK19" s="69">
        <f>DATA_SOFTDRINK[[#This Row],[HARI 3]]</f>
        <v>7000</v>
      </c>
      <c r="AL19" s="69">
        <f>DATA_SOFTDRINK[[#This Row],[HARI 4]]</f>
        <v>7000</v>
      </c>
      <c r="AM19" s="69">
        <f>DATA_SOFTDRINK[[#This Row],[HARI 5]]</f>
        <v>7000</v>
      </c>
      <c r="AN19" s="69">
        <f>DATA_SOFTDRINK[[#This Row],[HARI 6]]</f>
        <v>7000</v>
      </c>
      <c r="AO19" s="69">
        <f>DATA_SOFTDRINK[[#This Row],[HARI 7]]</f>
        <v>7000</v>
      </c>
      <c r="AP19" s="69">
        <f>DATA_SOFTDRINK[[#This Row],[HARI 8]]</f>
        <v>7000</v>
      </c>
      <c r="AQ19" s="69">
        <f>DATA_SOFTDRINK[[#This Row],[HARI 9]]</f>
        <v>7000</v>
      </c>
      <c r="AR19" s="82">
        <f>DATA_SOFTDRINK[[#This Row],[HARI 10]]</f>
        <v>7000</v>
      </c>
      <c r="AT19" s="86" t="s">
        <v>327</v>
      </c>
      <c r="AU19" s="89">
        <v>2000</v>
      </c>
      <c r="AV19" s="69">
        <f>DATA_ICECREAM[[#This Row],[HARGA AWAL]]</f>
        <v>2000</v>
      </c>
      <c r="AW19" s="69">
        <f>DATA_ICECREAM[[#This Row],[HARI 1]]</f>
        <v>2000</v>
      </c>
      <c r="AX19" s="69">
        <f>DATA_ICECREAM[[#This Row],[HARI 2]]</f>
        <v>2000</v>
      </c>
      <c r="AY19" s="69">
        <f>DATA_ICECREAM[[#This Row],[HARI 3]]</f>
        <v>2000</v>
      </c>
      <c r="AZ19" s="69">
        <f>DATA_ICECREAM[[#This Row],[HARI 4]]</f>
        <v>2000</v>
      </c>
      <c r="BA19" s="69">
        <f>DATA_ICECREAM[[#This Row],[HARI 5]]</f>
        <v>2000</v>
      </c>
      <c r="BB19" s="69">
        <f>DATA_ICECREAM[[#This Row],[HARI 6]]</f>
        <v>2000</v>
      </c>
      <c r="BC19" s="69">
        <f>DATA_ICECREAM[[#This Row],[HARI 7]]</f>
        <v>2000</v>
      </c>
      <c r="BD19" s="69">
        <f>DATA_ICECREAM[[#This Row],[HARI 8]]</f>
        <v>2000</v>
      </c>
      <c r="BE19" s="69">
        <f>DATA_ICECREAM[[#This Row],[HARI 9]]</f>
        <v>2000</v>
      </c>
      <c r="BF19" s="82">
        <f>DATA_ICECREAM[[#This Row],[HARI 10]]</f>
        <v>2000</v>
      </c>
      <c r="BH19" s="86" t="s">
        <v>328</v>
      </c>
      <c r="BI19" s="89">
        <v>50000</v>
      </c>
      <c r="BJ19" s="69">
        <f>DATA_ACC[[#This Row],[HARGA AWAL]]</f>
        <v>50000</v>
      </c>
      <c r="BK19" s="69">
        <f>DATA_ACC[[#This Row],[HARI 1]]</f>
        <v>50000</v>
      </c>
      <c r="BL19" s="69">
        <f>DATA_ACC[[#This Row],[HARI 2]]</f>
        <v>50000</v>
      </c>
      <c r="BM19" s="69">
        <f>DATA_ACC[[#This Row],[HARI 3]]</f>
        <v>50000</v>
      </c>
      <c r="BN19" s="69">
        <f>DATA_ACC[[#This Row],[HARI 4]]</f>
        <v>50000</v>
      </c>
      <c r="BO19" s="69">
        <f>DATA_ACC[[#This Row],[HARI 5]]</f>
        <v>50000</v>
      </c>
      <c r="BP19" s="69">
        <f>DATA_ACC[[#This Row],[HARI 6]]</f>
        <v>50000</v>
      </c>
      <c r="BQ19" s="69">
        <f>DATA_ACC[[#This Row],[HARI 7]]</f>
        <v>50000</v>
      </c>
      <c r="BR19" s="69">
        <f>DATA_ACC[[#This Row],[HARI 8]]</f>
        <v>50000</v>
      </c>
      <c r="BS19" s="69">
        <f>DATA_ACC[[#This Row],[HARI 9]]</f>
        <v>50000</v>
      </c>
      <c r="BT19" s="82">
        <f>DATA_ACC[[#This Row],[HARI 10]]</f>
        <v>50000</v>
      </c>
      <c r="BV19" s="86" t="s">
        <v>329</v>
      </c>
      <c r="BW19" s="89">
        <v>50000</v>
      </c>
      <c r="BX19" s="69">
        <f>DATA_HYDRO[[#This Row],[HARGA AWAL]]</f>
        <v>50000</v>
      </c>
      <c r="BY19" s="69">
        <f>DATA_HYDRO[[#This Row],[HARI 1]]</f>
        <v>50000</v>
      </c>
      <c r="BZ19" s="69">
        <f>DATA_HYDRO[[#This Row],[HARI 2]]</f>
        <v>50000</v>
      </c>
      <c r="CA19" s="69">
        <f>DATA_HYDRO[[#This Row],[HARI 3]]</f>
        <v>50000</v>
      </c>
      <c r="CB19" s="69">
        <f>DATA_HYDRO[[#This Row],[HARI 4]]</f>
        <v>50000</v>
      </c>
      <c r="CC19" s="69">
        <f>DATA_HYDRO[[#This Row],[HARI 5]]</f>
        <v>50000</v>
      </c>
      <c r="CD19" s="69">
        <f>DATA_HYDRO[[#This Row],[HARI 6]]</f>
        <v>50000</v>
      </c>
      <c r="CE19" s="69">
        <f>DATA_HYDRO[[#This Row],[HARI 7]]</f>
        <v>50000</v>
      </c>
      <c r="CF19" s="69">
        <f>DATA_HYDRO[[#This Row],[HARI 8]]</f>
        <v>50000</v>
      </c>
      <c r="CG19" s="69">
        <f>DATA_HYDRO[[#This Row],[HARI 9]]</f>
        <v>50000</v>
      </c>
      <c r="CH19" s="82">
        <f>DATA_HYDRO[[#This Row],[HARI 10]]</f>
        <v>50000</v>
      </c>
    </row>
    <row r="20" ht="18" spans="2:86">
      <c r="B20" s="64" t="s">
        <v>330</v>
      </c>
      <c r="D20" s="65" t="s">
        <v>331</v>
      </c>
      <c r="E20" s="66">
        <v>26000</v>
      </c>
      <c r="F20" s="13">
        <f>DATA_ROKOK[[#This Row],[HARGA AWAL]]</f>
        <v>26000</v>
      </c>
      <c r="G20" s="13">
        <f>DATA_ROKOK[[#This Row],[HARI 1]]</f>
        <v>26000</v>
      </c>
      <c r="H20" s="13">
        <f>DATA_ROKOK[[#This Row],[HARI 2]]</f>
        <v>26000</v>
      </c>
      <c r="I20" s="13">
        <f>DATA_ROKOK[[#This Row],[HARI 3]]</f>
        <v>26000</v>
      </c>
      <c r="J20" s="13">
        <f>DATA_ROKOK[[#This Row],[HARI 4]]</f>
        <v>26000</v>
      </c>
      <c r="K20" s="13">
        <f>DATA_ROKOK[[#This Row],[HARI 5]]</f>
        <v>26000</v>
      </c>
      <c r="L20" s="13">
        <f>DATA_ROKOK[[#This Row],[HARI 6]]</f>
        <v>26000</v>
      </c>
      <c r="M20" s="13">
        <f>DATA_ROKOK[[#This Row],[HARI 7]]</f>
        <v>26000</v>
      </c>
      <c r="N20" s="13">
        <f>DATA_ROKOK[[#This Row],[HARI 8]]</f>
        <v>26000</v>
      </c>
      <c r="O20" s="13">
        <f>DATA_ROKOK[[#This Row],[HARI 9]]</f>
        <v>26000</v>
      </c>
      <c r="P20" s="81">
        <f>DATA_ROKOK[[#This Row],[HARI 10]]</f>
        <v>26000</v>
      </c>
      <c r="R20" s="86" t="s">
        <v>332</v>
      </c>
      <c r="S20" s="87">
        <v>20000</v>
      </c>
      <c r="T20" s="13">
        <f>DATA_SPVOU[[#This Row],[HARGA AWAL]]</f>
        <v>20000</v>
      </c>
      <c r="U20" s="13">
        <f>DATA_SPVOU[[#This Row],[HARI 1]]</f>
        <v>20000</v>
      </c>
      <c r="V20" s="13">
        <f>DATA_SPVOU[[#This Row],[HARI 2]]</f>
        <v>20000</v>
      </c>
      <c r="W20" s="13">
        <f>DATA_SPVOU[[#This Row],[HARI 3]]</f>
        <v>20000</v>
      </c>
      <c r="X20" s="13">
        <f>DATA_SPVOU[[#This Row],[HARI 4]]</f>
        <v>20000</v>
      </c>
      <c r="Y20" s="13">
        <f>DATA_SPVOU[[#This Row],[HARI 5]]</f>
        <v>20000</v>
      </c>
      <c r="Z20" s="13">
        <f>DATA_SPVOU[[#This Row],[HARI 6]]</f>
        <v>20000</v>
      </c>
      <c r="AA20" s="13">
        <f>DATA_SPVOU[[#This Row],[HARI 7]]</f>
        <v>20000</v>
      </c>
      <c r="AB20" s="13">
        <f>DATA_SPVOU[[#This Row],[HARI 8]]</f>
        <v>20000</v>
      </c>
      <c r="AC20" s="13">
        <f>DATA_SPVOU[[#This Row],[HARI 9]]</f>
        <v>20000</v>
      </c>
      <c r="AD20" s="81">
        <f>DATA_SPVOU[[#This Row],[HARI 10]]</f>
        <v>20000</v>
      </c>
      <c r="AF20" s="88" t="s">
        <v>333</v>
      </c>
      <c r="AG20" s="87">
        <v>4000</v>
      </c>
      <c r="AH20" s="13">
        <f>DATA_SOFTDRINK[[#This Row],[HARGA AWAL]]</f>
        <v>4000</v>
      </c>
      <c r="AI20" s="13">
        <f>DATA_SOFTDRINK[[#This Row],[HARI 1]]</f>
        <v>4000</v>
      </c>
      <c r="AJ20" s="13">
        <f>DATA_SOFTDRINK[[#This Row],[HARI 2]]</f>
        <v>4000</v>
      </c>
      <c r="AK20" s="13">
        <f>DATA_SOFTDRINK[[#This Row],[HARI 3]]</f>
        <v>4000</v>
      </c>
      <c r="AL20" s="13">
        <f>DATA_SOFTDRINK[[#This Row],[HARI 4]]</f>
        <v>4000</v>
      </c>
      <c r="AM20" s="13">
        <f>DATA_SOFTDRINK[[#This Row],[HARI 5]]</f>
        <v>4000</v>
      </c>
      <c r="AN20" s="13">
        <f>DATA_SOFTDRINK[[#This Row],[HARI 6]]</f>
        <v>4000</v>
      </c>
      <c r="AO20" s="13">
        <f>DATA_SOFTDRINK[[#This Row],[HARI 7]]</f>
        <v>4000</v>
      </c>
      <c r="AP20" s="13">
        <f>DATA_SOFTDRINK[[#This Row],[HARI 8]]</f>
        <v>4000</v>
      </c>
      <c r="AQ20" s="13">
        <f>DATA_SOFTDRINK[[#This Row],[HARI 9]]</f>
        <v>4000</v>
      </c>
      <c r="AR20" s="81">
        <f>DATA_SOFTDRINK[[#This Row],[HARI 10]]</f>
        <v>4000</v>
      </c>
      <c r="AT20" s="88" t="s">
        <v>334</v>
      </c>
      <c r="AU20" s="87">
        <v>3000</v>
      </c>
      <c r="AV20" s="13">
        <f>DATA_ICECREAM[[#This Row],[HARGA AWAL]]</f>
        <v>3000</v>
      </c>
      <c r="AW20" s="13">
        <f>DATA_ICECREAM[[#This Row],[HARI 1]]</f>
        <v>3000</v>
      </c>
      <c r="AX20" s="13">
        <f>DATA_ICECREAM[[#This Row],[HARI 2]]</f>
        <v>3000</v>
      </c>
      <c r="AY20" s="13">
        <f>DATA_ICECREAM[[#This Row],[HARI 3]]</f>
        <v>3000</v>
      </c>
      <c r="AZ20" s="13">
        <f>DATA_ICECREAM[[#This Row],[HARI 4]]</f>
        <v>3000</v>
      </c>
      <c r="BA20" s="13">
        <f>DATA_ICECREAM[[#This Row],[HARI 5]]</f>
        <v>3000</v>
      </c>
      <c r="BB20" s="13">
        <f>DATA_ICECREAM[[#This Row],[HARI 6]]</f>
        <v>3000</v>
      </c>
      <c r="BC20" s="13">
        <f>DATA_ICECREAM[[#This Row],[HARI 7]]</f>
        <v>3000</v>
      </c>
      <c r="BD20" s="13">
        <f>DATA_ICECREAM[[#This Row],[HARI 8]]</f>
        <v>3000</v>
      </c>
      <c r="BE20" s="13">
        <f>DATA_ICECREAM[[#This Row],[HARI 9]]</f>
        <v>3000</v>
      </c>
      <c r="BF20" s="81">
        <f>DATA_ICECREAM[[#This Row],[HARI 10]]</f>
        <v>3000</v>
      </c>
      <c r="BH20" s="88" t="s">
        <v>112</v>
      </c>
      <c r="BI20" s="87">
        <v>15000</v>
      </c>
      <c r="BJ20" s="13">
        <f>DATA_ACC[[#This Row],[HARGA AWAL]]</f>
        <v>15000</v>
      </c>
      <c r="BK20" s="13">
        <f>DATA_ACC[[#This Row],[HARI 1]]</f>
        <v>15000</v>
      </c>
      <c r="BL20" s="13">
        <f>DATA_ACC[[#This Row],[HARI 2]]</f>
        <v>15000</v>
      </c>
      <c r="BM20" s="13">
        <f>DATA_ACC[[#This Row],[HARI 3]]</f>
        <v>15000</v>
      </c>
      <c r="BN20" s="13">
        <f>DATA_ACC[[#This Row],[HARI 4]]</f>
        <v>15000</v>
      </c>
      <c r="BO20" s="13">
        <f>DATA_ACC[[#This Row],[HARI 5]]</f>
        <v>15000</v>
      </c>
      <c r="BP20" s="13">
        <f>DATA_ACC[[#This Row],[HARI 6]]</f>
        <v>15000</v>
      </c>
      <c r="BQ20" s="13">
        <f>DATA_ACC[[#This Row],[HARI 7]]</f>
        <v>15000</v>
      </c>
      <c r="BR20" s="13">
        <f>DATA_ACC[[#This Row],[HARI 8]]</f>
        <v>15000</v>
      </c>
      <c r="BS20" s="13">
        <f>DATA_ACC[[#This Row],[HARI 9]]</f>
        <v>15000</v>
      </c>
      <c r="BT20" s="81">
        <f>DATA_ACC[[#This Row],[HARI 10]]</f>
        <v>15000</v>
      </c>
      <c r="BV20" s="88" t="s">
        <v>335</v>
      </c>
      <c r="BW20" s="87">
        <v>50000</v>
      </c>
      <c r="BX20" s="13">
        <f>DATA_HYDRO[[#This Row],[HARGA AWAL]]</f>
        <v>50000</v>
      </c>
      <c r="BY20" s="13">
        <f>DATA_HYDRO[[#This Row],[HARI 1]]</f>
        <v>50000</v>
      </c>
      <c r="BZ20" s="13">
        <f>DATA_HYDRO[[#This Row],[HARI 2]]</f>
        <v>50000</v>
      </c>
      <c r="CA20" s="13">
        <f>DATA_HYDRO[[#This Row],[HARI 3]]</f>
        <v>50000</v>
      </c>
      <c r="CB20" s="13">
        <f>DATA_HYDRO[[#This Row],[HARI 4]]</f>
        <v>50000</v>
      </c>
      <c r="CC20" s="13">
        <f>DATA_HYDRO[[#This Row],[HARI 5]]</f>
        <v>50000</v>
      </c>
      <c r="CD20" s="13">
        <f>DATA_HYDRO[[#This Row],[HARI 6]]</f>
        <v>50000</v>
      </c>
      <c r="CE20" s="13">
        <f>DATA_HYDRO[[#This Row],[HARI 7]]</f>
        <v>50000</v>
      </c>
      <c r="CF20" s="13">
        <f>DATA_HYDRO[[#This Row],[HARI 8]]</f>
        <v>50000</v>
      </c>
      <c r="CG20" s="13">
        <f>DATA_HYDRO[[#This Row],[HARI 9]]</f>
        <v>50000</v>
      </c>
      <c r="CH20" s="81">
        <f>DATA_HYDRO[[#This Row],[HARI 10]]</f>
        <v>50000</v>
      </c>
    </row>
    <row r="21" ht="18" spans="2:86">
      <c r="B21" s="64" t="s">
        <v>336</v>
      </c>
      <c r="D21" s="67" t="s">
        <v>337</v>
      </c>
      <c r="E21" s="68">
        <v>30000</v>
      </c>
      <c r="F21" s="69">
        <f>DATA_ROKOK[[#This Row],[HARGA AWAL]]</f>
        <v>30000</v>
      </c>
      <c r="G21" s="69">
        <f>DATA_ROKOK[[#This Row],[HARI 1]]</f>
        <v>30000</v>
      </c>
      <c r="H21" s="69">
        <f>DATA_ROKOK[[#This Row],[HARI 2]]</f>
        <v>30000</v>
      </c>
      <c r="I21" s="69">
        <f>DATA_ROKOK[[#This Row],[HARI 3]]</f>
        <v>30000</v>
      </c>
      <c r="J21" s="69">
        <f>DATA_ROKOK[[#This Row],[HARI 4]]</f>
        <v>30000</v>
      </c>
      <c r="K21" s="69">
        <f>DATA_ROKOK[[#This Row],[HARI 5]]</f>
        <v>30000</v>
      </c>
      <c r="L21" s="69">
        <f>DATA_ROKOK[[#This Row],[HARI 6]]</f>
        <v>30000</v>
      </c>
      <c r="M21" s="69">
        <f>DATA_ROKOK[[#This Row],[HARI 7]]</f>
        <v>30000</v>
      </c>
      <c r="N21" s="69">
        <f>DATA_ROKOK[[#This Row],[HARI 8]]</f>
        <v>30000</v>
      </c>
      <c r="O21" s="69">
        <f>DATA_ROKOK[[#This Row],[HARI 9]]</f>
        <v>30000</v>
      </c>
      <c r="P21" s="82">
        <f>DATA_ROKOK[[#This Row],[HARI 10]]</f>
        <v>30000</v>
      </c>
      <c r="R21" s="88" t="s">
        <v>338</v>
      </c>
      <c r="S21" s="89">
        <v>30000</v>
      </c>
      <c r="T21" s="69">
        <f>DATA_SPVOU[[#This Row],[HARGA AWAL]]</f>
        <v>30000</v>
      </c>
      <c r="U21" s="69">
        <f>DATA_SPVOU[[#This Row],[HARI 1]]</f>
        <v>30000</v>
      </c>
      <c r="V21" s="69">
        <f>DATA_SPVOU[[#This Row],[HARI 2]]</f>
        <v>30000</v>
      </c>
      <c r="W21" s="69">
        <f>DATA_SPVOU[[#This Row],[HARI 3]]</f>
        <v>30000</v>
      </c>
      <c r="X21" s="69">
        <f>DATA_SPVOU[[#This Row],[HARI 4]]</f>
        <v>30000</v>
      </c>
      <c r="Y21" s="69">
        <f>DATA_SPVOU[[#This Row],[HARI 5]]</f>
        <v>30000</v>
      </c>
      <c r="Z21" s="69">
        <f>DATA_SPVOU[[#This Row],[HARI 6]]</f>
        <v>30000</v>
      </c>
      <c r="AA21" s="69">
        <f>DATA_SPVOU[[#This Row],[HARI 7]]</f>
        <v>30000</v>
      </c>
      <c r="AB21" s="69">
        <f>DATA_SPVOU[[#This Row],[HARI 8]]</f>
        <v>30000</v>
      </c>
      <c r="AC21" s="69">
        <f>DATA_SPVOU[[#This Row],[HARI 9]]</f>
        <v>30000</v>
      </c>
      <c r="AD21" s="82">
        <f>DATA_SPVOU[[#This Row],[HARI 10]]</f>
        <v>30000</v>
      </c>
      <c r="AF21" s="86" t="s">
        <v>95</v>
      </c>
      <c r="AG21" s="89">
        <v>1000</v>
      </c>
      <c r="AH21" s="69">
        <f>DATA_SOFTDRINK[[#This Row],[HARGA AWAL]]</f>
        <v>1000</v>
      </c>
      <c r="AI21" s="69">
        <f>DATA_SOFTDRINK[[#This Row],[HARI 1]]</f>
        <v>1000</v>
      </c>
      <c r="AJ21" s="69">
        <f>DATA_SOFTDRINK[[#This Row],[HARI 2]]</f>
        <v>1000</v>
      </c>
      <c r="AK21" s="69">
        <f>DATA_SOFTDRINK[[#This Row],[HARI 3]]</f>
        <v>1000</v>
      </c>
      <c r="AL21" s="69">
        <f>DATA_SOFTDRINK[[#This Row],[HARI 4]]</f>
        <v>1000</v>
      </c>
      <c r="AM21" s="69">
        <f>DATA_SOFTDRINK[[#This Row],[HARI 5]]</f>
        <v>1000</v>
      </c>
      <c r="AN21" s="69">
        <f>DATA_SOFTDRINK[[#This Row],[HARI 6]]</f>
        <v>1000</v>
      </c>
      <c r="AO21" s="69">
        <f>DATA_SOFTDRINK[[#This Row],[HARI 7]]</f>
        <v>1000</v>
      </c>
      <c r="AP21" s="69">
        <f>DATA_SOFTDRINK[[#This Row],[HARI 8]]</f>
        <v>1000</v>
      </c>
      <c r="AQ21" s="69">
        <f>DATA_SOFTDRINK[[#This Row],[HARI 9]]</f>
        <v>1000</v>
      </c>
      <c r="AR21" s="82">
        <f>DATA_SOFTDRINK[[#This Row],[HARI 10]]</f>
        <v>1000</v>
      </c>
      <c r="AT21" s="86" t="s">
        <v>339</v>
      </c>
      <c r="AU21" s="89">
        <v>3000</v>
      </c>
      <c r="AV21" s="69">
        <f>DATA_ICECREAM[[#This Row],[HARGA AWAL]]</f>
        <v>3000</v>
      </c>
      <c r="AW21" s="69">
        <f>DATA_ICECREAM[[#This Row],[HARI 1]]</f>
        <v>3000</v>
      </c>
      <c r="AX21" s="69">
        <f>DATA_ICECREAM[[#This Row],[HARI 2]]</f>
        <v>3000</v>
      </c>
      <c r="AY21" s="69">
        <f>DATA_ICECREAM[[#This Row],[HARI 3]]</f>
        <v>3000</v>
      </c>
      <c r="AZ21" s="69">
        <f>DATA_ICECREAM[[#This Row],[HARI 4]]</f>
        <v>3000</v>
      </c>
      <c r="BA21" s="69">
        <f>DATA_ICECREAM[[#This Row],[HARI 5]]</f>
        <v>3000</v>
      </c>
      <c r="BB21" s="69">
        <f>DATA_ICECREAM[[#This Row],[HARI 6]]</f>
        <v>3000</v>
      </c>
      <c r="BC21" s="69">
        <f>DATA_ICECREAM[[#This Row],[HARI 7]]</f>
        <v>3000</v>
      </c>
      <c r="BD21" s="69">
        <f>DATA_ICECREAM[[#This Row],[HARI 8]]</f>
        <v>3000</v>
      </c>
      <c r="BE21" s="69">
        <f>DATA_ICECREAM[[#This Row],[HARI 9]]</f>
        <v>3000</v>
      </c>
      <c r="BF21" s="82">
        <f>DATA_ICECREAM[[#This Row],[HARI 10]]</f>
        <v>3000</v>
      </c>
      <c r="BH21" s="86" t="s">
        <v>340</v>
      </c>
      <c r="BI21" s="89">
        <v>20000</v>
      </c>
      <c r="BJ21" s="69">
        <f>DATA_ACC[[#This Row],[HARGA AWAL]]</f>
        <v>20000</v>
      </c>
      <c r="BK21" s="69">
        <f>DATA_ACC[[#This Row],[HARI 1]]</f>
        <v>20000</v>
      </c>
      <c r="BL21" s="69">
        <f>DATA_ACC[[#This Row],[HARI 2]]</f>
        <v>20000</v>
      </c>
      <c r="BM21" s="69">
        <f>DATA_ACC[[#This Row],[HARI 3]]</f>
        <v>20000</v>
      </c>
      <c r="BN21" s="69">
        <f>DATA_ACC[[#This Row],[HARI 4]]</f>
        <v>20000</v>
      </c>
      <c r="BO21" s="69">
        <f>DATA_ACC[[#This Row],[HARI 5]]</f>
        <v>20000</v>
      </c>
      <c r="BP21" s="69">
        <f>DATA_ACC[[#This Row],[HARI 6]]</f>
        <v>20000</v>
      </c>
      <c r="BQ21" s="69">
        <f>DATA_ACC[[#This Row],[HARI 7]]</f>
        <v>20000</v>
      </c>
      <c r="BR21" s="69">
        <f>DATA_ACC[[#This Row],[HARI 8]]</f>
        <v>20000</v>
      </c>
      <c r="BS21" s="69">
        <f>DATA_ACC[[#This Row],[HARI 9]]</f>
        <v>20000</v>
      </c>
      <c r="BT21" s="82">
        <f>DATA_ACC[[#This Row],[HARI 10]]</f>
        <v>20000</v>
      </c>
      <c r="BV21" s="86" t="s">
        <v>341</v>
      </c>
      <c r="BW21" s="89">
        <v>50000</v>
      </c>
      <c r="BX21" s="69">
        <f>DATA_HYDRO[[#This Row],[HARGA AWAL]]</f>
        <v>50000</v>
      </c>
      <c r="BY21" s="69">
        <f>DATA_HYDRO[[#This Row],[HARI 1]]</f>
        <v>50000</v>
      </c>
      <c r="BZ21" s="69">
        <f>DATA_HYDRO[[#This Row],[HARI 2]]</f>
        <v>50000</v>
      </c>
      <c r="CA21" s="69">
        <f>DATA_HYDRO[[#This Row],[HARI 3]]</f>
        <v>50000</v>
      </c>
      <c r="CB21" s="69">
        <f>DATA_HYDRO[[#This Row],[HARI 4]]</f>
        <v>50000</v>
      </c>
      <c r="CC21" s="69">
        <f>DATA_HYDRO[[#This Row],[HARI 5]]</f>
        <v>50000</v>
      </c>
      <c r="CD21" s="69">
        <f>DATA_HYDRO[[#This Row],[HARI 6]]</f>
        <v>50000</v>
      </c>
      <c r="CE21" s="69">
        <f>DATA_HYDRO[[#This Row],[HARI 7]]</f>
        <v>50000</v>
      </c>
      <c r="CF21" s="69">
        <f>DATA_HYDRO[[#This Row],[HARI 8]]</f>
        <v>50000</v>
      </c>
      <c r="CG21" s="69">
        <f>DATA_HYDRO[[#This Row],[HARI 9]]</f>
        <v>50000</v>
      </c>
      <c r="CH21" s="82">
        <f>DATA_HYDRO[[#This Row],[HARI 10]]</f>
        <v>50000</v>
      </c>
    </row>
    <row r="22" ht="18" spans="2:86">
      <c r="B22" s="64" t="s">
        <v>342</v>
      </c>
      <c r="D22" s="65" t="s">
        <v>343</v>
      </c>
      <c r="E22" s="66">
        <v>30000</v>
      </c>
      <c r="F22" s="13">
        <f>DATA_ROKOK[[#This Row],[HARGA AWAL]]</f>
        <v>30000</v>
      </c>
      <c r="G22" s="13">
        <f>DATA_ROKOK[[#This Row],[HARI 1]]</f>
        <v>30000</v>
      </c>
      <c r="H22" s="13">
        <f>DATA_ROKOK[[#This Row],[HARI 2]]</f>
        <v>30000</v>
      </c>
      <c r="I22" s="13">
        <f>DATA_ROKOK[[#This Row],[HARI 3]]</f>
        <v>30000</v>
      </c>
      <c r="J22" s="13">
        <f>DATA_ROKOK[[#This Row],[HARI 4]]</f>
        <v>30000</v>
      </c>
      <c r="K22" s="13">
        <f>DATA_ROKOK[[#This Row],[HARI 5]]</f>
        <v>30000</v>
      </c>
      <c r="L22" s="13">
        <f>DATA_ROKOK[[#This Row],[HARI 6]]</f>
        <v>30000</v>
      </c>
      <c r="M22" s="13">
        <f>DATA_ROKOK[[#This Row],[HARI 7]]</f>
        <v>30000</v>
      </c>
      <c r="N22" s="13">
        <f>DATA_ROKOK[[#This Row],[HARI 8]]</f>
        <v>30000</v>
      </c>
      <c r="O22" s="13">
        <f>DATA_ROKOK[[#This Row],[HARI 9]]</f>
        <v>30000</v>
      </c>
      <c r="P22" s="81">
        <f>DATA_ROKOK[[#This Row],[HARI 10]]</f>
        <v>30000</v>
      </c>
      <c r="R22" s="86" t="s">
        <v>344</v>
      </c>
      <c r="S22" s="87">
        <v>50000</v>
      </c>
      <c r="T22" s="13">
        <f>DATA_SPVOU[[#This Row],[HARGA AWAL]]</f>
        <v>50000</v>
      </c>
      <c r="U22" s="13">
        <f>DATA_SPVOU[[#This Row],[HARI 1]]</f>
        <v>50000</v>
      </c>
      <c r="V22" s="13">
        <f>DATA_SPVOU[[#This Row],[HARI 2]]</f>
        <v>50000</v>
      </c>
      <c r="W22" s="13">
        <f>DATA_SPVOU[[#This Row],[HARI 3]]</f>
        <v>50000</v>
      </c>
      <c r="X22" s="13">
        <f>DATA_SPVOU[[#This Row],[HARI 4]]</f>
        <v>50000</v>
      </c>
      <c r="Y22" s="13">
        <f>DATA_SPVOU[[#This Row],[HARI 5]]</f>
        <v>50000</v>
      </c>
      <c r="Z22" s="13">
        <f>DATA_SPVOU[[#This Row],[HARI 6]]</f>
        <v>50000</v>
      </c>
      <c r="AA22" s="13">
        <f>DATA_SPVOU[[#This Row],[HARI 7]]</f>
        <v>50000</v>
      </c>
      <c r="AB22" s="13">
        <f>DATA_SPVOU[[#This Row],[HARI 8]]</f>
        <v>50000</v>
      </c>
      <c r="AC22" s="13">
        <f>DATA_SPVOU[[#This Row],[HARI 9]]</f>
        <v>50000</v>
      </c>
      <c r="AD22" s="81">
        <f>DATA_SPVOU[[#This Row],[HARI 10]]</f>
        <v>50000</v>
      </c>
      <c r="AF22" s="88" t="s">
        <v>94</v>
      </c>
      <c r="AG22" s="87">
        <v>3000</v>
      </c>
      <c r="AH22" s="13">
        <f>DATA_SOFTDRINK[[#This Row],[HARGA AWAL]]</f>
        <v>3000</v>
      </c>
      <c r="AI22" s="13">
        <f>DATA_SOFTDRINK[[#This Row],[HARI 1]]</f>
        <v>3000</v>
      </c>
      <c r="AJ22" s="13">
        <f>DATA_SOFTDRINK[[#This Row],[HARI 2]]</f>
        <v>3000</v>
      </c>
      <c r="AK22" s="13">
        <f>DATA_SOFTDRINK[[#This Row],[HARI 3]]</f>
        <v>3000</v>
      </c>
      <c r="AL22" s="13">
        <f>DATA_SOFTDRINK[[#This Row],[HARI 4]]</f>
        <v>3000</v>
      </c>
      <c r="AM22" s="13">
        <f>DATA_SOFTDRINK[[#This Row],[HARI 5]]</f>
        <v>3000</v>
      </c>
      <c r="AN22" s="13">
        <f>DATA_SOFTDRINK[[#This Row],[HARI 6]]</f>
        <v>3000</v>
      </c>
      <c r="AO22" s="13">
        <f>DATA_SOFTDRINK[[#This Row],[HARI 7]]</f>
        <v>3000</v>
      </c>
      <c r="AP22" s="13">
        <f>DATA_SOFTDRINK[[#This Row],[HARI 8]]</f>
        <v>3000</v>
      </c>
      <c r="AQ22" s="13">
        <f>DATA_SOFTDRINK[[#This Row],[HARI 9]]</f>
        <v>3000</v>
      </c>
      <c r="AR22" s="81">
        <f>DATA_SOFTDRINK[[#This Row],[HARI 10]]</f>
        <v>3000</v>
      </c>
      <c r="AT22" s="88" t="s">
        <v>345</v>
      </c>
      <c r="AU22" s="87">
        <v>3000</v>
      </c>
      <c r="AV22" s="13">
        <f>DATA_ICECREAM[[#This Row],[HARGA AWAL]]</f>
        <v>3000</v>
      </c>
      <c r="AW22" s="13">
        <f>DATA_ICECREAM[[#This Row],[HARI 1]]</f>
        <v>3000</v>
      </c>
      <c r="AX22" s="13">
        <f>DATA_ICECREAM[[#This Row],[HARI 2]]</f>
        <v>3000</v>
      </c>
      <c r="AY22" s="13">
        <f>DATA_ICECREAM[[#This Row],[HARI 3]]</f>
        <v>3000</v>
      </c>
      <c r="AZ22" s="13">
        <f>DATA_ICECREAM[[#This Row],[HARI 4]]</f>
        <v>3000</v>
      </c>
      <c r="BA22" s="13">
        <f>DATA_ICECREAM[[#This Row],[HARI 5]]</f>
        <v>3000</v>
      </c>
      <c r="BB22" s="13">
        <f>DATA_ICECREAM[[#This Row],[HARI 6]]</f>
        <v>3000</v>
      </c>
      <c r="BC22" s="13">
        <f>DATA_ICECREAM[[#This Row],[HARI 7]]</f>
        <v>3000</v>
      </c>
      <c r="BD22" s="13">
        <f>DATA_ICECREAM[[#This Row],[HARI 8]]</f>
        <v>3000</v>
      </c>
      <c r="BE22" s="13">
        <f>DATA_ICECREAM[[#This Row],[HARI 9]]</f>
        <v>3000</v>
      </c>
      <c r="BF22" s="81">
        <f>DATA_ICECREAM[[#This Row],[HARI 10]]</f>
        <v>3000</v>
      </c>
      <c r="BH22" s="88" t="s">
        <v>195</v>
      </c>
      <c r="BI22" s="87">
        <v>25000</v>
      </c>
      <c r="BJ22" s="13">
        <f>DATA_ACC[[#This Row],[HARGA AWAL]]</f>
        <v>25000</v>
      </c>
      <c r="BK22" s="13">
        <f>DATA_ACC[[#This Row],[HARI 1]]</f>
        <v>25000</v>
      </c>
      <c r="BL22" s="13">
        <f>DATA_ACC[[#This Row],[HARI 2]]</f>
        <v>25000</v>
      </c>
      <c r="BM22" s="13">
        <f>DATA_ACC[[#This Row],[HARI 3]]</f>
        <v>25000</v>
      </c>
      <c r="BN22" s="13">
        <f>DATA_ACC[[#This Row],[HARI 4]]</f>
        <v>25000</v>
      </c>
      <c r="BO22" s="13">
        <f>DATA_ACC[[#This Row],[HARI 5]]</f>
        <v>25000</v>
      </c>
      <c r="BP22" s="13">
        <f>DATA_ACC[[#This Row],[HARI 6]]</f>
        <v>25000</v>
      </c>
      <c r="BQ22" s="13">
        <f>DATA_ACC[[#This Row],[HARI 7]]</f>
        <v>25000</v>
      </c>
      <c r="BR22" s="13">
        <f>DATA_ACC[[#This Row],[HARI 8]]</f>
        <v>25000</v>
      </c>
      <c r="BS22" s="13">
        <f>DATA_ACC[[#This Row],[HARI 9]]</f>
        <v>25000</v>
      </c>
      <c r="BT22" s="81">
        <f>DATA_ACC[[#This Row],[HARI 10]]</f>
        <v>25000</v>
      </c>
      <c r="BV22" s="88" t="s">
        <v>346</v>
      </c>
      <c r="BW22" s="87">
        <v>50000</v>
      </c>
      <c r="BX22" s="13">
        <f>DATA_HYDRO[[#This Row],[HARGA AWAL]]</f>
        <v>50000</v>
      </c>
      <c r="BY22" s="13">
        <f>DATA_HYDRO[[#This Row],[HARI 1]]</f>
        <v>50000</v>
      </c>
      <c r="BZ22" s="13">
        <f>DATA_HYDRO[[#This Row],[HARI 2]]</f>
        <v>50000</v>
      </c>
      <c r="CA22" s="13">
        <f>DATA_HYDRO[[#This Row],[HARI 3]]</f>
        <v>50000</v>
      </c>
      <c r="CB22" s="13">
        <f>DATA_HYDRO[[#This Row],[HARI 4]]</f>
        <v>50000</v>
      </c>
      <c r="CC22" s="13">
        <f>DATA_HYDRO[[#This Row],[HARI 5]]</f>
        <v>50000</v>
      </c>
      <c r="CD22" s="13">
        <f>DATA_HYDRO[[#This Row],[HARI 6]]</f>
        <v>50000</v>
      </c>
      <c r="CE22" s="13">
        <f>DATA_HYDRO[[#This Row],[HARI 7]]</f>
        <v>50000</v>
      </c>
      <c r="CF22" s="13">
        <f>DATA_HYDRO[[#This Row],[HARI 8]]</f>
        <v>50000</v>
      </c>
      <c r="CG22" s="13">
        <f>DATA_HYDRO[[#This Row],[HARI 9]]</f>
        <v>50000</v>
      </c>
      <c r="CH22" s="81">
        <f>DATA_HYDRO[[#This Row],[HARI 10]]</f>
        <v>50000</v>
      </c>
    </row>
    <row r="23" ht="18" spans="2:86">
      <c r="B23" s="64" t="s">
        <v>120</v>
      </c>
      <c r="D23" s="67" t="s">
        <v>70</v>
      </c>
      <c r="E23" s="68">
        <v>17000</v>
      </c>
      <c r="F23" s="69">
        <f>DATA_ROKOK[[#This Row],[HARGA AWAL]]</f>
        <v>17000</v>
      </c>
      <c r="G23" s="69">
        <f>DATA_ROKOK[[#This Row],[HARI 1]]</f>
        <v>17000</v>
      </c>
      <c r="H23" s="69">
        <f>DATA_ROKOK[[#This Row],[HARI 2]]</f>
        <v>17000</v>
      </c>
      <c r="I23" s="69">
        <f>DATA_ROKOK[[#This Row],[HARI 3]]</f>
        <v>17000</v>
      </c>
      <c r="J23" s="69">
        <f>DATA_ROKOK[[#This Row],[HARI 4]]</f>
        <v>17000</v>
      </c>
      <c r="K23" s="69">
        <f>DATA_ROKOK[[#This Row],[HARI 5]]</f>
        <v>17000</v>
      </c>
      <c r="L23" s="69">
        <f>DATA_ROKOK[[#This Row],[HARI 6]]</f>
        <v>17000</v>
      </c>
      <c r="M23" s="69">
        <f>DATA_ROKOK[[#This Row],[HARI 7]]</f>
        <v>17000</v>
      </c>
      <c r="N23" s="69">
        <f>DATA_ROKOK[[#This Row],[HARI 8]]</f>
        <v>17000</v>
      </c>
      <c r="O23" s="69">
        <f>DATA_ROKOK[[#This Row],[HARI 9]]</f>
        <v>17000</v>
      </c>
      <c r="P23" s="82">
        <f>DATA_ROKOK[[#This Row],[HARI 10]]</f>
        <v>17000</v>
      </c>
      <c r="R23" s="88" t="s">
        <v>347</v>
      </c>
      <c r="S23" s="89">
        <v>70000</v>
      </c>
      <c r="T23" s="69">
        <f>DATA_SPVOU[[#This Row],[HARGA AWAL]]</f>
        <v>70000</v>
      </c>
      <c r="U23" s="69">
        <f>DATA_SPVOU[[#This Row],[HARI 1]]</f>
        <v>70000</v>
      </c>
      <c r="V23" s="69">
        <f>DATA_SPVOU[[#This Row],[HARI 2]]</f>
        <v>70000</v>
      </c>
      <c r="W23" s="69">
        <f>DATA_SPVOU[[#This Row],[HARI 3]]</f>
        <v>70000</v>
      </c>
      <c r="X23" s="69">
        <f>DATA_SPVOU[[#This Row],[HARI 4]]</f>
        <v>70000</v>
      </c>
      <c r="Y23" s="69">
        <f>DATA_SPVOU[[#This Row],[HARI 5]]</f>
        <v>70000</v>
      </c>
      <c r="Z23" s="69">
        <f>DATA_SPVOU[[#This Row],[HARI 6]]</f>
        <v>70000</v>
      </c>
      <c r="AA23" s="69">
        <f>DATA_SPVOU[[#This Row],[HARI 7]]</f>
        <v>70000</v>
      </c>
      <c r="AB23" s="69">
        <f>DATA_SPVOU[[#This Row],[HARI 8]]</f>
        <v>70000</v>
      </c>
      <c r="AC23" s="69">
        <f>DATA_SPVOU[[#This Row],[HARI 9]]</f>
        <v>70000</v>
      </c>
      <c r="AD23" s="82">
        <f>DATA_SPVOU[[#This Row],[HARI 10]]</f>
        <v>70000</v>
      </c>
      <c r="AF23" s="86" t="s">
        <v>98</v>
      </c>
      <c r="AG23" s="89">
        <v>4000</v>
      </c>
      <c r="AH23" s="69">
        <f>DATA_SOFTDRINK[[#This Row],[HARGA AWAL]]</f>
        <v>4000</v>
      </c>
      <c r="AI23" s="69">
        <f>DATA_SOFTDRINK[[#This Row],[HARI 1]]</f>
        <v>4000</v>
      </c>
      <c r="AJ23" s="69">
        <f>DATA_SOFTDRINK[[#This Row],[HARI 2]]</f>
        <v>4000</v>
      </c>
      <c r="AK23" s="69">
        <f>DATA_SOFTDRINK[[#This Row],[HARI 3]]</f>
        <v>4000</v>
      </c>
      <c r="AL23" s="69">
        <f>DATA_SOFTDRINK[[#This Row],[HARI 4]]</f>
        <v>4000</v>
      </c>
      <c r="AM23" s="69">
        <f>DATA_SOFTDRINK[[#This Row],[HARI 5]]</f>
        <v>4000</v>
      </c>
      <c r="AN23" s="69">
        <f>DATA_SOFTDRINK[[#This Row],[HARI 6]]</f>
        <v>4000</v>
      </c>
      <c r="AO23" s="69">
        <f>DATA_SOFTDRINK[[#This Row],[HARI 7]]</f>
        <v>4000</v>
      </c>
      <c r="AP23" s="69">
        <f>DATA_SOFTDRINK[[#This Row],[HARI 8]]</f>
        <v>4000</v>
      </c>
      <c r="AQ23" s="69">
        <f>DATA_SOFTDRINK[[#This Row],[HARI 9]]</f>
        <v>4000</v>
      </c>
      <c r="AR23" s="82">
        <f>DATA_SOFTDRINK[[#This Row],[HARI 10]]</f>
        <v>4000</v>
      </c>
      <c r="AT23" s="86" t="s">
        <v>348</v>
      </c>
      <c r="AU23" s="89">
        <v>3000</v>
      </c>
      <c r="AV23" s="69">
        <f>DATA_ICECREAM[[#This Row],[HARGA AWAL]]</f>
        <v>3000</v>
      </c>
      <c r="AW23" s="69">
        <f>DATA_ICECREAM[[#This Row],[HARI 1]]</f>
        <v>3000</v>
      </c>
      <c r="AX23" s="69">
        <f>DATA_ICECREAM[[#This Row],[HARI 2]]</f>
        <v>3000</v>
      </c>
      <c r="AY23" s="69">
        <f>DATA_ICECREAM[[#This Row],[HARI 3]]</f>
        <v>3000</v>
      </c>
      <c r="AZ23" s="69">
        <f>DATA_ICECREAM[[#This Row],[HARI 4]]</f>
        <v>3000</v>
      </c>
      <c r="BA23" s="69">
        <f>DATA_ICECREAM[[#This Row],[HARI 5]]</f>
        <v>3000</v>
      </c>
      <c r="BB23" s="69">
        <f>DATA_ICECREAM[[#This Row],[HARI 6]]</f>
        <v>3000</v>
      </c>
      <c r="BC23" s="69">
        <f>DATA_ICECREAM[[#This Row],[HARI 7]]</f>
        <v>3000</v>
      </c>
      <c r="BD23" s="69">
        <f>DATA_ICECREAM[[#This Row],[HARI 8]]</f>
        <v>3000</v>
      </c>
      <c r="BE23" s="69">
        <f>DATA_ICECREAM[[#This Row],[HARI 9]]</f>
        <v>3000</v>
      </c>
      <c r="BF23" s="82">
        <f>DATA_ICECREAM[[#This Row],[HARI 10]]</f>
        <v>3000</v>
      </c>
      <c r="BH23" s="86" t="s">
        <v>349</v>
      </c>
      <c r="BI23" s="89">
        <v>35000</v>
      </c>
      <c r="BJ23" s="69">
        <f>DATA_ACC[[#This Row],[HARGA AWAL]]</f>
        <v>35000</v>
      </c>
      <c r="BK23" s="69">
        <f>DATA_ACC[[#This Row],[HARI 1]]</f>
        <v>35000</v>
      </c>
      <c r="BL23" s="69">
        <f>DATA_ACC[[#This Row],[HARI 2]]</f>
        <v>35000</v>
      </c>
      <c r="BM23" s="69">
        <f>DATA_ACC[[#This Row],[HARI 3]]</f>
        <v>35000</v>
      </c>
      <c r="BN23" s="69">
        <f>DATA_ACC[[#This Row],[HARI 4]]</f>
        <v>35000</v>
      </c>
      <c r="BO23" s="69">
        <f>DATA_ACC[[#This Row],[HARI 5]]</f>
        <v>35000</v>
      </c>
      <c r="BP23" s="69">
        <f>DATA_ACC[[#This Row],[HARI 6]]</f>
        <v>35000</v>
      </c>
      <c r="BQ23" s="69">
        <f>DATA_ACC[[#This Row],[HARI 7]]</f>
        <v>35000</v>
      </c>
      <c r="BR23" s="69">
        <f>DATA_ACC[[#This Row],[HARI 8]]</f>
        <v>35000</v>
      </c>
      <c r="BS23" s="69">
        <f>DATA_ACC[[#This Row],[HARI 9]]</f>
        <v>35000</v>
      </c>
      <c r="BT23" s="82">
        <f>DATA_ACC[[#This Row],[HARI 10]]</f>
        <v>35000</v>
      </c>
      <c r="BV23" s="86" t="s">
        <v>350</v>
      </c>
      <c r="BW23" s="89">
        <v>50000</v>
      </c>
      <c r="BX23" s="69">
        <f>DATA_HYDRO[[#This Row],[HARGA AWAL]]</f>
        <v>50000</v>
      </c>
      <c r="BY23" s="69">
        <f>DATA_HYDRO[[#This Row],[HARI 1]]</f>
        <v>50000</v>
      </c>
      <c r="BZ23" s="69">
        <f>DATA_HYDRO[[#This Row],[HARI 2]]</f>
        <v>50000</v>
      </c>
      <c r="CA23" s="69">
        <f>DATA_HYDRO[[#This Row],[HARI 3]]</f>
        <v>50000</v>
      </c>
      <c r="CB23" s="69">
        <f>DATA_HYDRO[[#This Row],[HARI 4]]</f>
        <v>50000</v>
      </c>
      <c r="CC23" s="69">
        <f>DATA_HYDRO[[#This Row],[HARI 5]]</f>
        <v>50000</v>
      </c>
      <c r="CD23" s="69">
        <f>DATA_HYDRO[[#This Row],[HARI 6]]</f>
        <v>50000</v>
      </c>
      <c r="CE23" s="69">
        <f>DATA_HYDRO[[#This Row],[HARI 7]]</f>
        <v>50000</v>
      </c>
      <c r="CF23" s="69">
        <f>DATA_HYDRO[[#This Row],[HARI 8]]</f>
        <v>50000</v>
      </c>
      <c r="CG23" s="69">
        <f>DATA_HYDRO[[#This Row],[HARI 9]]</f>
        <v>50000</v>
      </c>
      <c r="CH23" s="82">
        <f>DATA_HYDRO[[#This Row],[HARI 10]]</f>
        <v>50000</v>
      </c>
    </row>
    <row r="24" ht="18" spans="2:86">
      <c r="B24" s="64" t="s">
        <v>351</v>
      </c>
      <c r="D24" s="65" t="s">
        <v>352</v>
      </c>
      <c r="E24" s="66">
        <v>23000</v>
      </c>
      <c r="F24" s="13">
        <f>DATA_ROKOK[[#This Row],[HARGA AWAL]]</f>
        <v>23000</v>
      </c>
      <c r="G24" s="13">
        <f>DATA_ROKOK[[#This Row],[HARI 1]]</f>
        <v>23000</v>
      </c>
      <c r="H24" s="13">
        <f>DATA_ROKOK[[#This Row],[HARI 2]]</f>
        <v>23000</v>
      </c>
      <c r="I24" s="13">
        <f>DATA_ROKOK[[#This Row],[HARI 3]]</f>
        <v>23000</v>
      </c>
      <c r="J24" s="13">
        <f>DATA_ROKOK[[#This Row],[HARI 4]]</f>
        <v>23000</v>
      </c>
      <c r="K24" s="13">
        <f>DATA_ROKOK[[#This Row],[HARI 5]]</f>
        <v>23000</v>
      </c>
      <c r="L24" s="13">
        <f>DATA_ROKOK[[#This Row],[HARI 6]]</f>
        <v>23000</v>
      </c>
      <c r="M24" s="13">
        <f>DATA_ROKOK[[#This Row],[HARI 7]]</f>
        <v>23000</v>
      </c>
      <c r="N24" s="13">
        <f>DATA_ROKOK[[#This Row],[HARI 8]]</f>
        <v>23000</v>
      </c>
      <c r="O24" s="13">
        <f>DATA_ROKOK[[#This Row],[HARI 9]]</f>
        <v>23000</v>
      </c>
      <c r="P24" s="81">
        <f>DATA_ROKOK[[#This Row],[HARI 10]]</f>
        <v>23000</v>
      </c>
      <c r="R24" s="86" t="s">
        <v>82</v>
      </c>
      <c r="S24" s="87">
        <v>15000</v>
      </c>
      <c r="T24" s="13">
        <f>DATA_SPVOU[[#This Row],[HARGA AWAL]]</f>
        <v>15000</v>
      </c>
      <c r="U24" s="13">
        <f>DATA_SPVOU[[#This Row],[HARI 1]]</f>
        <v>15000</v>
      </c>
      <c r="V24" s="13">
        <f>DATA_SPVOU[[#This Row],[HARI 2]]</f>
        <v>15000</v>
      </c>
      <c r="W24" s="13">
        <f>DATA_SPVOU[[#This Row],[HARI 3]]</f>
        <v>15000</v>
      </c>
      <c r="X24" s="13">
        <f>DATA_SPVOU[[#This Row],[HARI 4]]</f>
        <v>15000</v>
      </c>
      <c r="Y24" s="13">
        <f>DATA_SPVOU[[#This Row],[HARI 5]]</f>
        <v>15000</v>
      </c>
      <c r="Z24" s="13">
        <f>DATA_SPVOU[[#This Row],[HARI 6]]</f>
        <v>15000</v>
      </c>
      <c r="AA24" s="13">
        <f>DATA_SPVOU[[#This Row],[HARI 7]]</f>
        <v>15000</v>
      </c>
      <c r="AB24" s="13">
        <f>DATA_SPVOU[[#This Row],[HARI 8]]</f>
        <v>15000</v>
      </c>
      <c r="AC24" s="13">
        <f>DATA_SPVOU[[#This Row],[HARI 9]]</f>
        <v>15000</v>
      </c>
      <c r="AD24" s="81">
        <f>DATA_SPVOU[[#This Row],[HARI 10]]</f>
        <v>15000</v>
      </c>
      <c r="AF24" s="88" t="s">
        <v>353</v>
      </c>
      <c r="AG24" s="87">
        <v>8000</v>
      </c>
      <c r="AH24" s="13">
        <f>DATA_SOFTDRINK[[#This Row],[HARGA AWAL]]</f>
        <v>8000</v>
      </c>
      <c r="AI24" s="13">
        <f>DATA_SOFTDRINK[[#This Row],[HARI 1]]</f>
        <v>8000</v>
      </c>
      <c r="AJ24" s="13">
        <f>DATA_SOFTDRINK[[#This Row],[HARI 2]]</f>
        <v>8000</v>
      </c>
      <c r="AK24" s="13">
        <f>DATA_SOFTDRINK[[#This Row],[HARI 3]]</f>
        <v>8000</v>
      </c>
      <c r="AL24" s="13">
        <f>DATA_SOFTDRINK[[#This Row],[HARI 4]]</f>
        <v>8000</v>
      </c>
      <c r="AM24" s="13">
        <f>DATA_SOFTDRINK[[#This Row],[HARI 5]]</f>
        <v>8000</v>
      </c>
      <c r="AN24" s="13">
        <f>DATA_SOFTDRINK[[#This Row],[HARI 6]]</f>
        <v>8000</v>
      </c>
      <c r="AO24" s="13">
        <f>DATA_SOFTDRINK[[#This Row],[HARI 7]]</f>
        <v>8000</v>
      </c>
      <c r="AP24" s="13">
        <f>DATA_SOFTDRINK[[#This Row],[HARI 8]]</f>
        <v>8000</v>
      </c>
      <c r="AQ24" s="13">
        <f>DATA_SOFTDRINK[[#This Row],[HARI 9]]</f>
        <v>8000</v>
      </c>
      <c r="AR24" s="81">
        <f>DATA_SOFTDRINK[[#This Row],[HARI 10]]</f>
        <v>8000</v>
      </c>
      <c r="AT24" s="88" t="s">
        <v>354</v>
      </c>
      <c r="AU24" s="87">
        <v>3000</v>
      </c>
      <c r="AV24" s="13">
        <f>DATA_ICECREAM[[#This Row],[HARGA AWAL]]</f>
        <v>3000</v>
      </c>
      <c r="AW24" s="13">
        <f>DATA_ICECREAM[[#This Row],[HARI 1]]</f>
        <v>3000</v>
      </c>
      <c r="AX24" s="13">
        <f>DATA_ICECREAM[[#This Row],[HARI 2]]</f>
        <v>3000</v>
      </c>
      <c r="AY24" s="13">
        <f>DATA_ICECREAM[[#This Row],[HARI 3]]</f>
        <v>3000</v>
      </c>
      <c r="AZ24" s="13">
        <f>DATA_ICECREAM[[#This Row],[HARI 4]]</f>
        <v>3000</v>
      </c>
      <c r="BA24" s="13">
        <f>DATA_ICECREAM[[#This Row],[HARI 5]]</f>
        <v>3000</v>
      </c>
      <c r="BB24" s="13">
        <f>DATA_ICECREAM[[#This Row],[HARI 6]]</f>
        <v>3000</v>
      </c>
      <c r="BC24" s="13">
        <f>DATA_ICECREAM[[#This Row],[HARI 7]]</f>
        <v>3000</v>
      </c>
      <c r="BD24" s="13">
        <f>DATA_ICECREAM[[#This Row],[HARI 8]]</f>
        <v>3000</v>
      </c>
      <c r="BE24" s="13">
        <f>DATA_ICECREAM[[#This Row],[HARI 9]]</f>
        <v>3000</v>
      </c>
      <c r="BF24" s="81">
        <f>DATA_ICECREAM[[#This Row],[HARI 10]]</f>
        <v>3000</v>
      </c>
      <c r="BH24" s="88" t="s">
        <v>355</v>
      </c>
      <c r="BI24" s="87">
        <v>40000</v>
      </c>
      <c r="BJ24" s="13">
        <f>DATA_ACC[[#This Row],[HARGA AWAL]]</f>
        <v>40000</v>
      </c>
      <c r="BK24" s="13">
        <f>DATA_ACC[[#This Row],[HARI 1]]</f>
        <v>40000</v>
      </c>
      <c r="BL24" s="13">
        <f>DATA_ACC[[#This Row],[HARI 2]]</f>
        <v>40000</v>
      </c>
      <c r="BM24" s="13">
        <f>DATA_ACC[[#This Row],[HARI 3]]</f>
        <v>40000</v>
      </c>
      <c r="BN24" s="13">
        <f>DATA_ACC[[#This Row],[HARI 4]]</f>
        <v>40000</v>
      </c>
      <c r="BO24" s="13">
        <f>DATA_ACC[[#This Row],[HARI 5]]</f>
        <v>40000</v>
      </c>
      <c r="BP24" s="13">
        <f>DATA_ACC[[#This Row],[HARI 6]]</f>
        <v>40000</v>
      </c>
      <c r="BQ24" s="13">
        <f>DATA_ACC[[#This Row],[HARI 7]]</f>
        <v>40000</v>
      </c>
      <c r="BR24" s="13">
        <f>DATA_ACC[[#This Row],[HARI 8]]</f>
        <v>40000</v>
      </c>
      <c r="BS24" s="13">
        <f>DATA_ACC[[#This Row],[HARI 9]]</f>
        <v>40000</v>
      </c>
      <c r="BT24" s="81">
        <f>DATA_ACC[[#This Row],[HARI 10]]</f>
        <v>40000</v>
      </c>
      <c r="BV24" s="88" t="s">
        <v>356</v>
      </c>
      <c r="BW24" s="87">
        <v>50000</v>
      </c>
      <c r="BX24" s="13">
        <f>DATA_HYDRO[[#This Row],[HARGA AWAL]]</f>
        <v>50000</v>
      </c>
      <c r="BY24" s="13">
        <f>DATA_HYDRO[[#This Row],[HARI 1]]</f>
        <v>50000</v>
      </c>
      <c r="BZ24" s="13">
        <f>DATA_HYDRO[[#This Row],[HARI 2]]</f>
        <v>50000</v>
      </c>
      <c r="CA24" s="13">
        <f>DATA_HYDRO[[#This Row],[HARI 3]]</f>
        <v>50000</v>
      </c>
      <c r="CB24" s="13">
        <f>DATA_HYDRO[[#This Row],[HARI 4]]</f>
        <v>50000</v>
      </c>
      <c r="CC24" s="13">
        <f>DATA_HYDRO[[#This Row],[HARI 5]]</f>
        <v>50000</v>
      </c>
      <c r="CD24" s="13">
        <f>DATA_HYDRO[[#This Row],[HARI 6]]</f>
        <v>50000</v>
      </c>
      <c r="CE24" s="13">
        <f>DATA_HYDRO[[#This Row],[HARI 7]]</f>
        <v>50000</v>
      </c>
      <c r="CF24" s="13">
        <f>DATA_HYDRO[[#This Row],[HARI 8]]</f>
        <v>50000</v>
      </c>
      <c r="CG24" s="13">
        <f>DATA_HYDRO[[#This Row],[HARI 9]]</f>
        <v>50000</v>
      </c>
      <c r="CH24" s="81">
        <f>DATA_HYDRO[[#This Row],[HARI 10]]</f>
        <v>50000</v>
      </c>
    </row>
    <row r="25" ht="18" spans="2:86">
      <c r="B25" s="64" t="s">
        <v>357</v>
      </c>
      <c r="D25" s="67" t="s">
        <v>358</v>
      </c>
      <c r="E25" s="68">
        <v>28000</v>
      </c>
      <c r="F25" s="69">
        <f>DATA_ROKOK[[#This Row],[HARGA AWAL]]</f>
        <v>28000</v>
      </c>
      <c r="G25" s="69">
        <f>DATA_ROKOK[[#This Row],[HARI 1]]</f>
        <v>28000</v>
      </c>
      <c r="H25" s="69">
        <f>DATA_ROKOK[[#This Row],[HARI 2]]</f>
        <v>28000</v>
      </c>
      <c r="I25" s="69">
        <f>DATA_ROKOK[[#This Row],[HARI 3]]</f>
        <v>28000</v>
      </c>
      <c r="J25" s="69">
        <f>DATA_ROKOK[[#This Row],[HARI 4]]</f>
        <v>28000</v>
      </c>
      <c r="K25" s="69">
        <f>DATA_ROKOK[[#This Row],[HARI 5]]</f>
        <v>28000</v>
      </c>
      <c r="L25" s="69">
        <f>DATA_ROKOK[[#This Row],[HARI 6]]</f>
        <v>28000</v>
      </c>
      <c r="M25" s="69">
        <f>DATA_ROKOK[[#This Row],[HARI 7]]</f>
        <v>28000</v>
      </c>
      <c r="N25" s="69">
        <f>DATA_ROKOK[[#This Row],[HARI 8]]</f>
        <v>28000</v>
      </c>
      <c r="O25" s="69">
        <f>DATA_ROKOK[[#This Row],[HARI 9]]</f>
        <v>28000</v>
      </c>
      <c r="P25" s="82">
        <f>DATA_ROKOK[[#This Row],[HARI 10]]</f>
        <v>28000</v>
      </c>
      <c r="R25" s="88" t="s">
        <v>191</v>
      </c>
      <c r="S25" s="89">
        <v>30000</v>
      </c>
      <c r="T25" s="69">
        <f>DATA_SPVOU[[#This Row],[HARGA AWAL]]</f>
        <v>30000</v>
      </c>
      <c r="U25" s="69">
        <f>DATA_SPVOU[[#This Row],[HARI 1]]</f>
        <v>30000</v>
      </c>
      <c r="V25" s="69">
        <f>DATA_SPVOU[[#This Row],[HARI 2]]</f>
        <v>30000</v>
      </c>
      <c r="W25" s="69">
        <f>DATA_SPVOU[[#This Row],[HARI 3]]</f>
        <v>30000</v>
      </c>
      <c r="X25" s="69">
        <f>DATA_SPVOU[[#This Row],[HARI 4]]</f>
        <v>30000</v>
      </c>
      <c r="Y25" s="69">
        <f>DATA_SPVOU[[#This Row],[HARI 5]]</f>
        <v>30000</v>
      </c>
      <c r="Z25" s="69">
        <f>DATA_SPVOU[[#This Row],[HARI 6]]</f>
        <v>30000</v>
      </c>
      <c r="AA25" s="69">
        <f>DATA_SPVOU[[#This Row],[HARI 7]]</f>
        <v>30000</v>
      </c>
      <c r="AB25" s="69">
        <f>DATA_SPVOU[[#This Row],[HARI 8]]</f>
        <v>30000</v>
      </c>
      <c r="AC25" s="69">
        <f>DATA_SPVOU[[#This Row],[HARI 9]]</f>
        <v>30000</v>
      </c>
      <c r="AD25" s="82">
        <f>DATA_SPVOU[[#This Row],[HARI 10]]</f>
        <v>30000</v>
      </c>
      <c r="AF25" s="86" t="s">
        <v>96</v>
      </c>
      <c r="AG25" s="89">
        <v>2500</v>
      </c>
      <c r="AH25" s="69">
        <f>DATA_SOFTDRINK[[#This Row],[HARGA AWAL]]</f>
        <v>2500</v>
      </c>
      <c r="AI25" s="69">
        <f>DATA_SOFTDRINK[[#This Row],[HARI 1]]</f>
        <v>2500</v>
      </c>
      <c r="AJ25" s="69">
        <f>DATA_SOFTDRINK[[#This Row],[HARI 2]]</f>
        <v>2500</v>
      </c>
      <c r="AK25" s="69">
        <f>DATA_SOFTDRINK[[#This Row],[HARI 3]]</f>
        <v>2500</v>
      </c>
      <c r="AL25" s="69">
        <f>DATA_SOFTDRINK[[#This Row],[HARI 4]]</f>
        <v>2500</v>
      </c>
      <c r="AM25" s="69">
        <f>DATA_SOFTDRINK[[#This Row],[HARI 5]]</f>
        <v>2500</v>
      </c>
      <c r="AN25" s="69">
        <f>DATA_SOFTDRINK[[#This Row],[HARI 6]]</f>
        <v>2500</v>
      </c>
      <c r="AO25" s="69">
        <f>DATA_SOFTDRINK[[#This Row],[HARI 7]]</f>
        <v>2500</v>
      </c>
      <c r="AP25" s="69">
        <f>DATA_SOFTDRINK[[#This Row],[HARI 8]]</f>
        <v>2500</v>
      </c>
      <c r="AQ25" s="69">
        <f>DATA_SOFTDRINK[[#This Row],[HARI 9]]</f>
        <v>2500</v>
      </c>
      <c r="AR25" s="82">
        <f>DATA_SOFTDRINK[[#This Row],[HARI 10]]</f>
        <v>2500</v>
      </c>
      <c r="AT25" s="86" t="s">
        <v>105</v>
      </c>
      <c r="AU25" s="89">
        <v>3000</v>
      </c>
      <c r="AV25" s="69">
        <f>DATA_ICECREAM[[#This Row],[HARGA AWAL]]</f>
        <v>3000</v>
      </c>
      <c r="AW25" s="69">
        <f>DATA_ICECREAM[[#This Row],[HARI 1]]</f>
        <v>3000</v>
      </c>
      <c r="AX25" s="69">
        <f>DATA_ICECREAM[[#This Row],[HARI 2]]</f>
        <v>3000</v>
      </c>
      <c r="AY25" s="69">
        <f>DATA_ICECREAM[[#This Row],[HARI 3]]</f>
        <v>3000</v>
      </c>
      <c r="AZ25" s="69">
        <f>DATA_ICECREAM[[#This Row],[HARI 4]]</f>
        <v>3000</v>
      </c>
      <c r="BA25" s="69">
        <f>DATA_ICECREAM[[#This Row],[HARI 5]]</f>
        <v>3000</v>
      </c>
      <c r="BB25" s="69">
        <f>DATA_ICECREAM[[#This Row],[HARI 6]]</f>
        <v>3000</v>
      </c>
      <c r="BC25" s="69">
        <f>DATA_ICECREAM[[#This Row],[HARI 7]]</f>
        <v>3000</v>
      </c>
      <c r="BD25" s="69">
        <f>DATA_ICECREAM[[#This Row],[HARI 8]]</f>
        <v>3000</v>
      </c>
      <c r="BE25" s="69">
        <f>DATA_ICECREAM[[#This Row],[HARI 9]]</f>
        <v>3000</v>
      </c>
      <c r="BF25" s="82">
        <f>DATA_ICECREAM[[#This Row],[HARI 10]]</f>
        <v>3000</v>
      </c>
      <c r="BH25" s="86" t="s">
        <v>359</v>
      </c>
      <c r="BI25" s="89">
        <v>50000</v>
      </c>
      <c r="BJ25" s="69">
        <f>DATA_ACC[[#This Row],[HARGA AWAL]]</f>
        <v>50000</v>
      </c>
      <c r="BK25" s="69">
        <f>DATA_ACC[[#This Row],[HARI 1]]</f>
        <v>50000</v>
      </c>
      <c r="BL25" s="69">
        <f>DATA_ACC[[#This Row],[HARI 2]]</f>
        <v>50000</v>
      </c>
      <c r="BM25" s="69">
        <f>DATA_ACC[[#This Row],[HARI 3]]</f>
        <v>50000</v>
      </c>
      <c r="BN25" s="69">
        <f>DATA_ACC[[#This Row],[HARI 4]]</f>
        <v>50000</v>
      </c>
      <c r="BO25" s="69">
        <f>DATA_ACC[[#This Row],[HARI 5]]</f>
        <v>50000</v>
      </c>
      <c r="BP25" s="69">
        <f>DATA_ACC[[#This Row],[HARI 6]]</f>
        <v>50000</v>
      </c>
      <c r="BQ25" s="69">
        <f>DATA_ACC[[#This Row],[HARI 7]]</f>
        <v>50000</v>
      </c>
      <c r="BR25" s="69">
        <f>DATA_ACC[[#This Row],[HARI 8]]</f>
        <v>50000</v>
      </c>
      <c r="BS25" s="69">
        <f>DATA_ACC[[#This Row],[HARI 9]]</f>
        <v>50000</v>
      </c>
      <c r="BT25" s="82">
        <f>DATA_ACC[[#This Row],[HARI 10]]</f>
        <v>50000</v>
      </c>
      <c r="BV25" s="86" t="s">
        <v>360</v>
      </c>
      <c r="BW25" s="89">
        <v>50000</v>
      </c>
      <c r="BX25" s="69">
        <f>DATA_HYDRO[[#This Row],[HARGA AWAL]]</f>
        <v>50000</v>
      </c>
      <c r="BY25" s="69">
        <f>DATA_HYDRO[[#This Row],[HARI 1]]</f>
        <v>50000</v>
      </c>
      <c r="BZ25" s="69">
        <f>DATA_HYDRO[[#This Row],[HARI 2]]</f>
        <v>50000</v>
      </c>
      <c r="CA25" s="69">
        <f>DATA_HYDRO[[#This Row],[HARI 3]]</f>
        <v>50000</v>
      </c>
      <c r="CB25" s="69">
        <f>DATA_HYDRO[[#This Row],[HARI 4]]</f>
        <v>50000</v>
      </c>
      <c r="CC25" s="69">
        <f>DATA_HYDRO[[#This Row],[HARI 5]]</f>
        <v>50000</v>
      </c>
      <c r="CD25" s="69">
        <f>DATA_HYDRO[[#This Row],[HARI 6]]</f>
        <v>50000</v>
      </c>
      <c r="CE25" s="69">
        <f>DATA_HYDRO[[#This Row],[HARI 7]]</f>
        <v>50000</v>
      </c>
      <c r="CF25" s="69">
        <f>DATA_HYDRO[[#This Row],[HARI 8]]</f>
        <v>50000</v>
      </c>
      <c r="CG25" s="69">
        <f>DATA_HYDRO[[#This Row],[HARI 9]]</f>
        <v>50000</v>
      </c>
      <c r="CH25" s="82">
        <f>DATA_HYDRO[[#This Row],[HARI 10]]</f>
        <v>50000</v>
      </c>
    </row>
    <row r="26" ht="18" spans="2:86">
      <c r="B26" s="64" t="s">
        <v>361</v>
      </c>
      <c r="D26" s="65" t="s">
        <v>71</v>
      </c>
      <c r="E26" s="66">
        <v>10000</v>
      </c>
      <c r="F26" s="13">
        <f>DATA_ROKOK[[#This Row],[HARGA AWAL]]</f>
        <v>10000</v>
      </c>
      <c r="G26" s="13">
        <f>DATA_ROKOK[[#This Row],[HARI 1]]</f>
        <v>10000</v>
      </c>
      <c r="H26" s="13">
        <f>DATA_ROKOK[[#This Row],[HARI 2]]</f>
        <v>10000</v>
      </c>
      <c r="I26" s="13">
        <f>DATA_ROKOK[[#This Row],[HARI 3]]</f>
        <v>10000</v>
      </c>
      <c r="J26" s="13">
        <f>DATA_ROKOK[[#This Row],[HARI 4]]</f>
        <v>10000</v>
      </c>
      <c r="K26" s="13">
        <f>DATA_ROKOK[[#This Row],[HARI 5]]</f>
        <v>10000</v>
      </c>
      <c r="L26" s="13">
        <f>DATA_ROKOK[[#This Row],[HARI 6]]</f>
        <v>10000</v>
      </c>
      <c r="M26" s="13">
        <f>DATA_ROKOK[[#This Row],[HARI 7]]</f>
        <v>10000</v>
      </c>
      <c r="N26" s="13">
        <f>DATA_ROKOK[[#This Row],[HARI 8]]</f>
        <v>10000</v>
      </c>
      <c r="O26" s="13">
        <f>DATA_ROKOK[[#This Row],[HARI 9]]</f>
        <v>10000</v>
      </c>
      <c r="P26" s="81">
        <f>DATA_ROKOK[[#This Row],[HARI 10]]</f>
        <v>10000</v>
      </c>
      <c r="R26" s="86" t="s">
        <v>362</v>
      </c>
      <c r="S26" s="87">
        <v>50000</v>
      </c>
      <c r="T26" s="13">
        <f>DATA_SPVOU[[#This Row],[HARGA AWAL]]</f>
        <v>50000</v>
      </c>
      <c r="U26" s="13">
        <f>DATA_SPVOU[[#This Row],[HARI 1]]</f>
        <v>50000</v>
      </c>
      <c r="V26" s="13">
        <f>DATA_SPVOU[[#This Row],[HARI 2]]</f>
        <v>50000</v>
      </c>
      <c r="W26" s="13">
        <f>DATA_SPVOU[[#This Row],[HARI 3]]</f>
        <v>50000</v>
      </c>
      <c r="X26" s="13">
        <f>DATA_SPVOU[[#This Row],[HARI 4]]</f>
        <v>50000</v>
      </c>
      <c r="Y26" s="13">
        <f>DATA_SPVOU[[#This Row],[HARI 5]]</f>
        <v>50000</v>
      </c>
      <c r="Z26" s="13">
        <f>DATA_SPVOU[[#This Row],[HARI 6]]</f>
        <v>50000</v>
      </c>
      <c r="AA26" s="13">
        <f>DATA_SPVOU[[#This Row],[HARI 7]]</f>
        <v>50000</v>
      </c>
      <c r="AB26" s="13">
        <f>DATA_SPVOU[[#This Row],[HARI 8]]</f>
        <v>50000</v>
      </c>
      <c r="AC26" s="13">
        <f>DATA_SPVOU[[#This Row],[HARI 9]]</f>
        <v>50000</v>
      </c>
      <c r="AD26" s="81">
        <f>DATA_SPVOU[[#This Row],[HARI 10]]</f>
        <v>50000</v>
      </c>
      <c r="AF26" s="88" t="s">
        <v>363</v>
      </c>
      <c r="AG26" s="87">
        <v>11000</v>
      </c>
      <c r="AH26" s="13">
        <f>DATA_SOFTDRINK[[#This Row],[HARGA AWAL]]</f>
        <v>11000</v>
      </c>
      <c r="AI26" s="13">
        <f>DATA_SOFTDRINK[[#This Row],[HARI 1]]</f>
        <v>11000</v>
      </c>
      <c r="AJ26" s="13">
        <f>DATA_SOFTDRINK[[#This Row],[HARI 2]]</f>
        <v>11000</v>
      </c>
      <c r="AK26" s="13">
        <f>DATA_SOFTDRINK[[#This Row],[HARI 3]]</f>
        <v>11000</v>
      </c>
      <c r="AL26" s="13">
        <f>DATA_SOFTDRINK[[#This Row],[HARI 4]]</f>
        <v>11000</v>
      </c>
      <c r="AM26" s="13">
        <f>DATA_SOFTDRINK[[#This Row],[HARI 5]]</f>
        <v>11000</v>
      </c>
      <c r="AN26" s="13">
        <f>DATA_SOFTDRINK[[#This Row],[HARI 6]]</f>
        <v>11000</v>
      </c>
      <c r="AO26" s="13">
        <f>DATA_SOFTDRINK[[#This Row],[HARI 7]]</f>
        <v>11000</v>
      </c>
      <c r="AP26" s="13">
        <f>DATA_SOFTDRINK[[#This Row],[HARI 8]]</f>
        <v>11000</v>
      </c>
      <c r="AQ26" s="13">
        <f>DATA_SOFTDRINK[[#This Row],[HARI 9]]</f>
        <v>11000</v>
      </c>
      <c r="AR26" s="81">
        <f>DATA_SOFTDRINK[[#This Row],[HARI 10]]</f>
        <v>11000</v>
      </c>
      <c r="AT26" s="88" t="s">
        <v>364</v>
      </c>
      <c r="AU26" s="87">
        <v>3000</v>
      </c>
      <c r="AV26" s="13">
        <f>DATA_ICECREAM[[#This Row],[HARGA AWAL]]</f>
        <v>3000</v>
      </c>
      <c r="AW26" s="13">
        <f>DATA_ICECREAM[[#This Row],[HARI 1]]</f>
        <v>3000</v>
      </c>
      <c r="AX26" s="13">
        <f>DATA_ICECREAM[[#This Row],[HARI 2]]</f>
        <v>3000</v>
      </c>
      <c r="AY26" s="13">
        <f>DATA_ICECREAM[[#This Row],[HARI 3]]</f>
        <v>3000</v>
      </c>
      <c r="AZ26" s="13">
        <f>DATA_ICECREAM[[#This Row],[HARI 4]]</f>
        <v>3000</v>
      </c>
      <c r="BA26" s="13">
        <f>DATA_ICECREAM[[#This Row],[HARI 5]]</f>
        <v>3000</v>
      </c>
      <c r="BB26" s="13">
        <f>DATA_ICECREAM[[#This Row],[HARI 6]]</f>
        <v>3000</v>
      </c>
      <c r="BC26" s="13">
        <f>DATA_ICECREAM[[#This Row],[HARI 7]]</f>
        <v>3000</v>
      </c>
      <c r="BD26" s="13">
        <f>DATA_ICECREAM[[#This Row],[HARI 8]]</f>
        <v>3000</v>
      </c>
      <c r="BE26" s="13">
        <f>DATA_ICECREAM[[#This Row],[HARI 9]]</f>
        <v>3000</v>
      </c>
      <c r="BF26" s="81">
        <f>DATA_ICECREAM[[#This Row],[HARI 10]]</f>
        <v>3000</v>
      </c>
      <c r="BH26" s="88" t="s">
        <v>365</v>
      </c>
      <c r="BI26" s="87">
        <v>55000</v>
      </c>
      <c r="BJ26" s="13">
        <f>DATA_ACC[[#This Row],[HARGA AWAL]]</f>
        <v>55000</v>
      </c>
      <c r="BK26" s="13">
        <f>DATA_ACC[[#This Row],[HARI 1]]</f>
        <v>55000</v>
      </c>
      <c r="BL26" s="13">
        <f>DATA_ACC[[#This Row],[HARI 2]]</f>
        <v>55000</v>
      </c>
      <c r="BM26" s="13">
        <f>DATA_ACC[[#This Row],[HARI 3]]</f>
        <v>55000</v>
      </c>
      <c r="BN26" s="13">
        <f>DATA_ACC[[#This Row],[HARI 4]]</f>
        <v>55000</v>
      </c>
      <c r="BO26" s="13">
        <f>DATA_ACC[[#This Row],[HARI 5]]</f>
        <v>55000</v>
      </c>
      <c r="BP26" s="13">
        <f>DATA_ACC[[#This Row],[HARI 6]]</f>
        <v>55000</v>
      </c>
      <c r="BQ26" s="13">
        <f>DATA_ACC[[#This Row],[HARI 7]]</f>
        <v>55000</v>
      </c>
      <c r="BR26" s="13">
        <f>DATA_ACC[[#This Row],[HARI 8]]</f>
        <v>55000</v>
      </c>
      <c r="BS26" s="13">
        <f>DATA_ACC[[#This Row],[HARI 9]]</f>
        <v>55000</v>
      </c>
      <c r="BT26" s="81">
        <f>DATA_ACC[[#This Row],[HARI 10]]</f>
        <v>55000</v>
      </c>
      <c r="BV26" s="88" t="s">
        <v>366</v>
      </c>
      <c r="BW26" s="87">
        <v>50000</v>
      </c>
      <c r="BX26" s="13">
        <f>DATA_HYDRO[[#This Row],[HARGA AWAL]]</f>
        <v>50000</v>
      </c>
      <c r="BY26" s="13">
        <f>DATA_HYDRO[[#This Row],[HARI 1]]</f>
        <v>50000</v>
      </c>
      <c r="BZ26" s="13">
        <f>DATA_HYDRO[[#This Row],[HARI 2]]</f>
        <v>50000</v>
      </c>
      <c r="CA26" s="13">
        <f>DATA_HYDRO[[#This Row],[HARI 3]]</f>
        <v>50000</v>
      </c>
      <c r="CB26" s="13">
        <f>DATA_HYDRO[[#This Row],[HARI 4]]</f>
        <v>50000</v>
      </c>
      <c r="CC26" s="13">
        <f>DATA_HYDRO[[#This Row],[HARI 5]]</f>
        <v>50000</v>
      </c>
      <c r="CD26" s="13">
        <f>DATA_HYDRO[[#This Row],[HARI 6]]</f>
        <v>50000</v>
      </c>
      <c r="CE26" s="13">
        <f>DATA_HYDRO[[#This Row],[HARI 7]]</f>
        <v>50000</v>
      </c>
      <c r="CF26" s="13">
        <f>DATA_HYDRO[[#This Row],[HARI 8]]</f>
        <v>50000</v>
      </c>
      <c r="CG26" s="13">
        <f>DATA_HYDRO[[#This Row],[HARI 9]]</f>
        <v>50000</v>
      </c>
      <c r="CH26" s="81">
        <f>DATA_HYDRO[[#This Row],[HARI 10]]</f>
        <v>50000</v>
      </c>
    </row>
    <row r="27" ht="18" spans="2:86">
      <c r="B27" s="64" t="s">
        <v>367</v>
      </c>
      <c r="D27" s="67" t="s">
        <v>368</v>
      </c>
      <c r="E27" s="68">
        <v>20000</v>
      </c>
      <c r="F27" s="69">
        <f>DATA_ROKOK[[#This Row],[HARGA AWAL]]</f>
        <v>20000</v>
      </c>
      <c r="G27" s="69">
        <f>DATA_ROKOK[[#This Row],[HARI 1]]</f>
        <v>20000</v>
      </c>
      <c r="H27" s="69">
        <f>DATA_ROKOK[[#This Row],[HARI 2]]</f>
        <v>20000</v>
      </c>
      <c r="I27" s="69">
        <f>DATA_ROKOK[[#This Row],[HARI 3]]</f>
        <v>20000</v>
      </c>
      <c r="J27" s="69">
        <f>DATA_ROKOK[[#This Row],[HARI 4]]</f>
        <v>20000</v>
      </c>
      <c r="K27" s="69">
        <f>DATA_ROKOK[[#This Row],[HARI 5]]</f>
        <v>20000</v>
      </c>
      <c r="L27" s="69">
        <f>DATA_ROKOK[[#This Row],[HARI 6]]</f>
        <v>20000</v>
      </c>
      <c r="M27" s="69">
        <f>DATA_ROKOK[[#This Row],[HARI 7]]</f>
        <v>20000</v>
      </c>
      <c r="N27" s="69">
        <f>DATA_ROKOK[[#This Row],[HARI 8]]</f>
        <v>20000</v>
      </c>
      <c r="O27" s="69">
        <f>DATA_ROKOK[[#This Row],[HARI 9]]</f>
        <v>20000</v>
      </c>
      <c r="P27" s="82">
        <f>DATA_ROKOK[[#This Row],[HARI 10]]</f>
        <v>20000</v>
      </c>
      <c r="R27" s="88" t="s">
        <v>369</v>
      </c>
      <c r="S27" s="89">
        <v>15000</v>
      </c>
      <c r="T27" s="69">
        <f>DATA_SPVOU[[#This Row],[HARGA AWAL]]</f>
        <v>15000</v>
      </c>
      <c r="U27" s="69">
        <f>DATA_SPVOU[[#This Row],[HARI 1]]</f>
        <v>15000</v>
      </c>
      <c r="V27" s="69">
        <f>DATA_SPVOU[[#This Row],[HARI 2]]</f>
        <v>15000</v>
      </c>
      <c r="W27" s="69">
        <f>DATA_SPVOU[[#This Row],[HARI 3]]</f>
        <v>15000</v>
      </c>
      <c r="X27" s="69">
        <f>DATA_SPVOU[[#This Row],[HARI 4]]</f>
        <v>15000</v>
      </c>
      <c r="Y27" s="69">
        <f>DATA_SPVOU[[#This Row],[HARI 5]]</f>
        <v>15000</v>
      </c>
      <c r="Z27" s="69">
        <f>DATA_SPVOU[[#This Row],[HARI 6]]</f>
        <v>15000</v>
      </c>
      <c r="AA27" s="69">
        <f>DATA_SPVOU[[#This Row],[HARI 7]]</f>
        <v>15000</v>
      </c>
      <c r="AB27" s="69">
        <f>DATA_SPVOU[[#This Row],[HARI 8]]</f>
        <v>15000</v>
      </c>
      <c r="AC27" s="69">
        <f>DATA_SPVOU[[#This Row],[HARI 9]]</f>
        <v>15000</v>
      </c>
      <c r="AD27" s="82">
        <f>DATA_SPVOU[[#This Row],[HARI 10]]</f>
        <v>15000</v>
      </c>
      <c r="AF27" s="91" t="s">
        <v>370</v>
      </c>
      <c r="AG27" s="89">
        <v>0</v>
      </c>
      <c r="AH27" s="69">
        <f>DATA_SOFTDRINK[[#This Row],[HARGA AWAL]]</f>
        <v>0</v>
      </c>
      <c r="AI27" s="69">
        <f>DATA_SOFTDRINK[[#This Row],[HARI 1]]</f>
        <v>0</v>
      </c>
      <c r="AJ27" s="69">
        <f>DATA_SOFTDRINK[[#This Row],[HARI 2]]</f>
        <v>0</v>
      </c>
      <c r="AK27" s="69">
        <f>DATA_SOFTDRINK[[#This Row],[HARI 3]]</f>
        <v>0</v>
      </c>
      <c r="AL27" s="69">
        <f>DATA_SOFTDRINK[[#This Row],[HARI 4]]</f>
        <v>0</v>
      </c>
      <c r="AM27" s="69">
        <f>DATA_SOFTDRINK[[#This Row],[HARI 5]]</f>
        <v>0</v>
      </c>
      <c r="AN27" s="69">
        <f>DATA_SOFTDRINK[[#This Row],[HARI 6]]</f>
        <v>0</v>
      </c>
      <c r="AO27" s="69">
        <f>DATA_SOFTDRINK[[#This Row],[HARI 7]]</f>
        <v>0</v>
      </c>
      <c r="AP27" s="69">
        <f>DATA_SOFTDRINK[[#This Row],[HARI 8]]</f>
        <v>0</v>
      </c>
      <c r="AQ27" s="69">
        <f>DATA_SOFTDRINK[[#This Row],[HARI 9]]</f>
        <v>0</v>
      </c>
      <c r="AR27" s="82">
        <f>DATA_SOFTDRINK[[#This Row],[HARI 10]]</f>
        <v>0</v>
      </c>
      <c r="AT27" s="86" t="s">
        <v>103</v>
      </c>
      <c r="AU27" s="89">
        <v>4000</v>
      </c>
      <c r="AV27" s="69">
        <f>DATA_ICECREAM[[#This Row],[HARGA AWAL]]</f>
        <v>4000</v>
      </c>
      <c r="AW27" s="69">
        <f>DATA_ICECREAM[[#This Row],[HARI 1]]</f>
        <v>4000</v>
      </c>
      <c r="AX27" s="69">
        <f>DATA_ICECREAM[[#This Row],[HARI 2]]</f>
        <v>4000</v>
      </c>
      <c r="AY27" s="69">
        <f>DATA_ICECREAM[[#This Row],[HARI 3]]</f>
        <v>4000</v>
      </c>
      <c r="AZ27" s="69">
        <f>DATA_ICECREAM[[#This Row],[HARI 4]]</f>
        <v>4000</v>
      </c>
      <c r="BA27" s="69">
        <f>DATA_ICECREAM[[#This Row],[HARI 5]]</f>
        <v>4000</v>
      </c>
      <c r="BB27" s="69">
        <f>DATA_ICECREAM[[#This Row],[HARI 6]]</f>
        <v>4000</v>
      </c>
      <c r="BC27" s="69">
        <f>DATA_ICECREAM[[#This Row],[HARI 7]]</f>
        <v>4000</v>
      </c>
      <c r="BD27" s="69">
        <f>DATA_ICECREAM[[#This Row],[HARI 8]]</f>
        <v>4000</v>
      </c>
      <c r="BE27" s="69">
        <f>DATA_ICECREAM[[#This Row],[HARI 9]]</f>
        <v>4000</v>
      </c>
      <c r="BF27" s="82">
        <f>DATA_ICECREAM[[#This Row],[HARI 10]]</f>
        <v>4000</v>
      </c>
      <c r="BH27" s="86" t="s">
        <v>371</v>
      </c>
      <c r="BI27" s="89">
        <v>60000</v>
      </c>
      <c r="BJ27" s="69">
        <f>DATA_ACC[[#This Row],[HARGA AWAL]]</f>
        <v>60000</v>
      </c>
      <c r="BK27" s="69">
        <f>DATA_ACC[[#This Row],[HARI 1]]</f>
        <v>60000</v>
      </c>
      <c r="BL27" s="69">
        <f>DATA_ACC[[#This Row],[HARI 2]]</f>
        <v>60000</v>
      </c>
      <c r="BM27" s="69">
        <f>DATA_ACC[[#This Row],[HARI 3]]</f>
        <v>60000</v>
      </c>
      <c r="BN27" s="69">
        <f>DATA_ACC[[#This Row],[HARI 4]]</f>
        <v>60000</v>
      </c>
      <c r="BO27" s="69">
        <f>DATA_ACC[[#This Row],[HARI 5]]</f>
        <v>60000</v>
      </c>
      <c r="BP27" s="69">
        <f>DATA_ACC[[#This Row],[HARI 6]]</f>
        <v>60000</v>
      </c>
      <c r="BQ27" s="69">
        <f>DATA_ACC[[#This Row],[HARI 7]]</f>
        <v>60000</v>
      </c>
      <c r="BR27" s="69">
        <f>DATA_ACC[[#This Row],[HARI 8]]</f>
        <v>60000</v>
      </c>
      <c r="BS27" s="69">
        <f>DATA_ACC[[#This Row],[HARI 9]]</f>
        <v>60000</v>
      </c>
      <c r="BT27" s="82">
        <f>DATA_ACC[[#This Row],[HARI 10]]</f>
        <v>60000</v>
      </c>
      <c r="BV27" s="86" t="s">
        <v>372</v>
      </c>
      <c r="BW27" s="89">
        <v>50000</v>
      </c>
      <c r="BX27" s="69">
        <f>DATA_HYDRO[[#This Row],[HARGA AWAL]]</f>
        <v>50000</v>
      </c>
      <c r="BY27" s="69">
        <f>DATA_HYDRO[[#This Row],[HARI 1]]</f>
        <v>50000</v>
      </c>
      <c r="BZ27" s="69">
        <f>DATA_HYDRO[[#This Row],[HARI 2]]</f>
        <v>50000</v>
      </c>
      <c r="CA27" s="69">
        <f>DATA_HYDRO[[#This Row],[HARI 3]]</f>
        <v>50000</v>
      </c>
      <c r="CB27" s="69">
        <f>DATA_HYDRO[[#This Row],[HARI 4]]</f>
        <v>50000</v>
      </c>
      <c r="CC27" s="69">
        <f>DATA_HYDRO[[#This Row],[HARI 5]]</f>
        <v>50000</v>
      </c>
      <c r="CD27" s="69">
        <f>DATA_HYDRO[[#This Row],[HARI 6]]</f>
        <v>50000</v>
      </c>
      <c r="CE27" s="69">
        <f>DATA_HYDRO[[#This Row],[HARI 7]]</f>
        <v>50000</v>
      </c>
      <c r="CF27" s="69">
        <f>DATA_HYDRO[[#This Row],[HARI 8]]</f>
        <v>50000</v>
      </c>
      <c r="CG27" s="69">
        <f>DATA_HYDRO[[#This Row],[HARI 9]]</f>
        <v>50000</v>
      </c>
      <c r="CH27" s="82">
        <f>DATA_HYDRO[[#This Row],[HARI 10]]</f>
        <v>50000</v>
      </c>
    </row>
    <row r="28" ht="18" spans="2:86">
      <c r="B28"/>
      <c r="D28" s="65" t="s">
        <v>373</v>
      </c>
      <c r="E28" s="66">
        <v>22000</v>
      </c>
      <c r="F28" s="13">
        <f>DATA_ROKOK[[#This Row],[HARGA AWAL]]</f>
        <v>22000</v>
      </c>
      <c r="G28" s="13">
        <f>DATA_ROKOK[[#This Row],[HARI 1]]</f>
        <v>22000</v>
      </c>
      <c r="H28" s="13">
        <f>DATA_ROKOK[[#This Row],[HARI 2]]</f>
        <v>22000</v>
      </c>
      <c r="I28" s="13">
        <f>DATA_ROKOK[[#This Row],[HARI 3]]</f>
        <v>22000</v>
      </c>
      <c r="J28" s="13">
        <f>DATA_ROKOK[[#This Row],[HARI 4]]</f>
        <v>22000</v>
      </c>
      <c r="K28" s="13">
        <f>DATA_ROKOK[[#This Row],[HARI 5]]</f>
        <v>22000</v>
      </c>
      <c r="L28" s="13">
        <f>DATA_ROKOK[[#This Row],[HARI 6]]</f>
        <v>22000</v>
      </c>
      <c r="M28" s="13">
        <f>DATA_ROKOK[[#This Row],[HARI 7]]</f>
        <v>22000</v>
      </c>
      <c r="N28" s="13">
        <f>DATA_ROKOK[[#This Row],[HARI 8]]</f>
        <v>22000</v>
      </c>
      <c r="O28" s="13">
        <f>DATA_ROKOK[[#This Row],[HARI 9]]</f>
        <v>22000</v>
      </c>
      <c r="P28" s="81">
        <f>DATA_ROKOK[[#This Row],[HARI 10]]</f>
        <v>22000</v>
      </c>
      <c r="R28" s="86" t="s">
        <v>374</v>
      </c>
      <c r="S28" s="87">
        <v>20000</v>
      </c>
      <c r="T28" s="13">
        <f>DATA_SPVOU[[#This Row],[HARGA AWAL]]</f>
        <v>20000</v>
      </c>
      <c r="U28" s="13">
        <f>DATA_SPVOU[[#This Row],[HARI 1]]</f>
        <v>20000</v>
      </c>
      <c r="V28" s="13">
        <f>DATA_SPVOU[[#This Row],[HARI 2]]</f>
        <v>20000</v>
      </c>
      <c r="W28" s="13">
        <f>DATA_SPVOU[[#This Row],[HARI 3]]</f>
        <v>20000</v>
      </c>
      <c r="X28" s="13">
        <f>DATA_SPVOU[[#This Row],[HARI 4]]</f>
        <v>20000</v>
      </c>
      <c r="Y28" s="13">
        <f>DATA_SPVOU[[#This Row],[HARI 5]]</f>
        <v>20000</v>
      </c>
      <c r="Z28" s="13">
        <f>DATA_SPVOU[[#This Row],[HARI 6]]</f>
        <v>20000</v>
      </c>
      <c r="AA28" s="13">
        <f>DATA_SPVOU[[#This Row],[HARI 7]]</f>
        <v>20000</v>
      </c>
      <c r="AB28" s="13">
        <f>DATA_SPVOU[[#This Row],[HARI 8]]</f>
        <v>20000</v>
      </c>
      <c r="AC28" s="13">
        <f>DATA_SPVOU[[#This Row],[HARI 9]]</f>
        <v>20000</v>
      </c>
      <c r="AD28" s="81">
        <f>DATA_SPVOU[[#This Row],[HARI 10]]</f>
        <v>20000</v>
      </c>
      <c r="AF28" s="88" t="s">
        <v>375</v>
      </c>
      <c r="AG28" s="66">
        <v>0</v>
      </c>
      <c r="AH28" s="13">
        <f>DATA_SOFTDRINK[[#This Row],[HARGA AWAL]]</f>
        <v>0</v>
      </c>
      <c r="AI28" s="13">
        <f>DATA_SOFTDRINK[[#This Row],[HARI 1]]</f>
        <v>0</v>
      </c>
      <c r="AJ28" s="13">
        <f>DATA_SOFTDRINK[[#This Row],[HARI 2]]</f>
        <v>0</v>
      </c>
      <c r="AK28" s="13">
        <f>DATA_SOFTDRINK[[#This Row],[HARI 3]]</f>
        <v>0</v>
      </c>
      <c r="AL28" s="13">
        <f>DATA_SOFTDRINK[[#This Row],[HARI 4]]</f>
        <v>0</v>
      </c>
      <c r="AM28" s="13">
        <f>DATA_SOFTDRINK[[#This Row],[HARI 5]]</f>
        <v>0</v>
      </c>
      <c r="AN28" s="13">
        <f>DATA_SOFTDRINK[[#This Row],[HARI 6]]</f>
        <v>0</v>
      </c>
      <c r="AO28" s="13">
        <f>DATA_SOFTDRINK[[#This Row],[HARI 7]]</f>
        <v>0</v>
      </c>
      <c r="AP28" s="13">
        <f>DATA_SOFTDRINK[[#This Row],[HARI 8]]</f>
        <v>0</v>
      </c>
      <c r="AQ28" s="13">
        <f>DATA_SOFTDRINK[[#This Row],[HARI 9]]</f>
        <v>0</v>
      </c>
      <c r="AR28" s="81">
        <f>DATA_SOFTDRINK[[#This Row],[HARI 10]]</f>
        <v>0</v>
      </c>
      <c r="AT28" s="88" t="s">
        <v>376</v>
      </c>
      <c r="AU28" s="87">
        <v>4000</v>
      </c>
      <c r="AV28" s="13">
        <f>DATA_ICECREAM[[#This Row],[HARGA AWAL]]</f>
        <v>4000</v>
      </c>
      <c r="AW28" s="13">
        <f>DATA_ICECREAM[[#This Row],[HARI 1]]</f>
        <v>4000</v>
      </c>
      <c r="AX28" s="13">
        <f>DATA_ICECREAM[[#This Row],[HARI 2]]</f>
        <v>4000</v>
      </c>
      <c r="AY28" s="13">
        <f>DATA_ICECREAM[[#This Row],[HARI 3]]</f>
        <v>4000</v>
      </c>
      <c r="AZ28" s="13">
        <f>DATA_ICECREAM[[#This Row],[HARI 4]]</f>
        <v>4000</v>
      </c>
      <c r="BA28" s="13">
        <f>DATA_ICECREAM[[#This Row],[HARI 5]]</f>
        <v>4000</v>
      </c>
      <c r="BB28" s="13">
        <f>DATA_ICECREAM[[#This Row],[HARI 6]]</f>
        <v>4000</v>
      </c>
      <c r="BC28" s="13">
        <f>DATA_ICECREAM[[#This Row],[HARI 7]]</f>
        <v>4000</v>
      </c>
      <c r="BD28" s="13">
        <f>DATA_ICECREAM[[#This Row],[HARI 8]]</f>
        <v>4000</v>
      </c>
      <c r="BE28" s="13">
        <f>DATA_ICECREAM[[#This Row],[HARI 9]]</f>
        <v>4000</v>
      </c>
      <c r="BF28" s="81">
        <f>DATA_ICECREAM[[#This Row],[HARI 10]]</f>
        <v>4000</v>
      </c>
      <c r="BH28" s="88" t="s">
        <v>377</v>
      </c>
      <c r="BI28" s="87">
        <v>25000</v>
      </c>
      <c r="BJ28" s="13">
        <f>DATA_ACC[[#This Row],[HARGA AWAL]]</f>
        <v>25000</v>
      </c>
      <c r="BK28" s="13">
        <f>DATA_ACC[[#This Row],[HARI 1]]</f>
        <v>25000</v>
      </c>
      <c r="BL28" s="13">
        <f>DATA_ACC[[#This Row],[HARI 2]]</f>
        <v>25000</v>
      </c>
      <c r="BM28" s="13">
        <f>DATA_ACC[[#This Row],[HARI 3]]</f>
        <v>25000</v>
      </c>
      <c r="BN28" s="13">
        <f>DATA_ACC[[#This Row],[HARI 4]]</f>
        <v>25000</v>
      </c>
      <c r="BO28" s="13">
        <f>DATA_ACC[[#This Row],[HARI 5]]</f>
        <v>25000</v>
      </c>
      <c r="BP28" s="13">
        <f>DATA_ACC[[#This Row],[HARI 6]]</f>
        <v>25000</v>
      </c>
      <c r="BQ28" s="13">
        <f>DATA_ACC[[#This Row],[HARI 7]]</f>
        <v>25000</v>
      </c>
      <c r="BR28" s="13">
        <f>DATA_ACC[[#This Row],[HARI 8]]</f>
        <v>25000</v>
      </c>
      <c r="BS28" s="13">
        <f>DATA_ACC[[#This Row],[HARI 9]]</f>
        <v>25000</v>
      </c>
      <c r="BT28" s="81">
        <f>DATA_ACC[[#This Row],[HARI 10]]</f>
        <v>25000</v>
      </c>
      <c r="BV28" s="88" t="s">
        <v>378</v>
      </c>
      <c r="BW28" s="87">
        <v>50000</v>
      </c>
      <c r="BX28" s="13">
        <f>DATA_HYDRO[[#This Row],[HARGA AWAL]]</f>
        <v>50000</v>
      </c>
      <c r="BY28" s="13">
        <f>DATA_HYDRO[[#This Row],[HARI 1]]</f>
        <v>50000</v>
      </c>
      <c r="BZ28" s="13">
        <f>DATA_HYDRO[[#This Row],[HARI 2]]</f>
        <v>50000</v>
      </c>
      <c r="CA28" s="13">
        <f>DATA_HYDRO[[#This Row],[HARI 3]]</f>
        <v>50000</v>
      </c>
      <c r="CB28" s="13">
        <f>DATA_HYDRO[[#This Row],[HARI 4]]</f>
        <v>50000</v>
      </c>
      <c r="CC28" s="13">
        <f>DATA_HYDRO[[#This Row],[HARI 5]]</f>
        <v>50000</v>
      </c>
      <c r="CD28" s="13">
        <f>DATA_HYDRO[[#This Row],[HARI 6]]</f>
        <v>50000</v>
      </c>
      <c r="CE28" s="13">
        <f>DATA_HYDRO[[#This Row],[HARI 7]]</f>
        <v>50000</v>
      </c>
      <c r="CF28" s="13">
        <f>DATA_HYDRO[[#This Row],[HARI 8]]</f>
        <v>50000</v>
      </c>
      <c r="CG28" s="13">
        <f>DATA_HYDRO[[#This Row],[HARI 9]]</f>
        <v>50000</v>
      </c>
      <c r="CH28" s="81">
        <f>DATA_HYDRO[[#This Row],[HARI 10]]</f>
        <v>50000</v>
      </c>
    </row>
    <row r="29" ht="18" spans="2:86">
      <c r="B29"/>
      <c r="D29" s="67" t="s">
        <v>379</v>
      </c>
      <c r="E29" s="68">
        <v>26000</v>
      </c>
      <c r="F29" s="69">
        <f>DATA_ROKOK[[#This Row],[HARGA AWAL]]</f>
        <v>26000</v>
      </c>
      <c r="G29" s="69">
        <f>DATA_ROKOK[[#This Row],[HARI 1]]</f>
        <v>26000</v>
      </c>
      <c r="H29" s="69">
        <f>DATA_ROKOK[[#This Row],[HARI 2]]</f>
        <v>26000</v>
      </c>
      <c r="I29" s="69">
        <f>DATA_ROKOK[[#This Row],[HARI 3]]</f>
        <v>26000</v>
      </c>
      <c r="J29" s="69">
        <f>DATA_ROKOK[[#This Row],[HARI 4]]</f>
        <v>26000</v>
      </c>
      <c r="K29" s="69">
        <f>DATA_ROKOK[[#This Row],[HARI 5]]</f>
        <v>26000</v>
      </c>
      <c r="L29" s="69">
        <f>DATA_ROKOK[[#This Row],[HARI 6]]</f>
        <v>26000</v>
      </c>
      <c r="M29" s="69">
        <f>DATA_ROKOK[[#This Row],[HARI 7]]</f>
        <v>26000</v>
      </c>
      <c r="N29" s="69">
        <f>DATA_ROKOK[[#This Row],[HARI 8]]</f>
        <v>26000</v>
      </c>
      <c r="O29" s="69">
        <f>DATA_ROKOK[[#This Row],[HARI 9]]</f>
        <v>26000</v>
      </c>
      <c r="P29" s="82">
        <f>DATA_ROKOK[[#This Row],[HARI 10]]</f>
        <v>26000</v>
      </c>
      <c r="R29" s="88" t="s">
        <v>380</v>
      </c>
      <c r="S29" s="89">
        <v>30000</v>
      </c>
      <c r="T29" s="69">
        <f>DATA_SPVOU[[#This Row],[HARGA AWAL]]</f>
        <v>30000</v>
      </c>
      <c r="U29" s="69">
        <f>DATA_SPVOU[[#This Row],[HARI 1]]</f>
        <v>30000</v>
      </c>
      <c r="V29" s="69">
        <f>DATA_SPVOU[[#This Row],[HARI 2]]</f>
        <v>30000</v>
      </c>
      <c r="W29" s="69">
        <f>DATA_SPVOU[[#This Row],[HARI 3]]</f>
        <v>30000</v>
      </c>
      <c r="X29" s="69">
        <f>DATA_SPVOU[[#This Row],[HARI 4]]</f>
        <v>30000</v>
      </c>
      <c r="Y29" s="69">
        <f>DATA_SPVOU[[#This Row],[HARI 5]]</f>
        <v>30000</v>
      </c>
      <c r="Z29" s="69">
        <f>DATA_SPVOU[[#This Row],[HARI 6]]</f>
        <v>30000</v>
      </c>
      <c r="AA29" s="69">
        <f>DATA_SPVOU[[#This Row],[HARI 7]]</f>
        <v>30000</v>
      </c>
      <c r="AB29" s="69">
        <f>DATA_SPVOU[[#This Row],[HARI 8]]</f>
        <v>30000</v>
      </c>
      <c r="AC29" s="69">
        <f>DATA_SPVOU[[#This Row],[HARI 9]]</f>
        <v>30000</v>
      </c>
      <c r="AD29" s="82">
        <f>DATA_SPVOU[[#This Row],[HARI 10]]</f>
        <v>30000</v>
      </c>
      <c r="AF29" s="91" t="s">
        <v>381</v>
      </c>
      <c r="AG29" s="71">
        <v>0</v>
      </c>
      <c r="AH29" s="72">
        <f>DATA_SOFTDRINK[[#This Row],[HARGA AWAL]]</f>
        <v>0</v>
      </c>
      <c r="AI29" s="72">
        <f>DATA_SOFTDRINK[[#This Row],[HARI 1]]</f>
        <v>0</v>
      </c>
      <c r="AJ29" s="72">
        <f>DATA_SOFTDRINK[[#This Row],[HARI 2]]</f>
        <v>0</v>
      </c>
      <c r="AK29" s="72">
        <f>DATA_SOFTDRINK[[#This Row],[HARI 3]]</f>
        <v>0</v>
      </c>
      <c r="AL29" s="72">
        <f>DATA_SOFTDRINK[[#This Row],[HARI 4]]</f>
        <v>0</v>
      </c>
      <c r="AM29" s="72">
        <f>DATA_SOFTDRINK[[#This Row],[HARI 5]]</f>
        <v>0</v>
      </c>
      <c r="AN29" s="72">
        <f>DATA_SOFTDRINK[[#This Row],[HARI 6]]</f>
        <v>0</v>
      </c>
      <c r="AO29" s="72">
        <f>DATA_SOFTDRINK[[#This Row],[HARI 7]]</f>
        <v>0</v>
      </c>
      <c r="AP29" s="72">
        <f>DATA_SOFTDRINK[[#This Row],[HARI 8]]</f>
        <v>0</v>
      </c>
      <c r="AQ29" s="72">
        <f>DATA_SOFTDRINK[[#This Row],[HARI 9]]</f>
        <v>0</v>
      </c>
      <c r="AR29" s="83">
        <f>DATA_SOFTDRINK[[#This Row],[HARI 10]]</f>
        <v>0</v>
      </c>
      <c r="AT29" s="86" t="s">
        <v>382</v>
      </c>
      <c r="AU29" s="89">
        <v>4500</v>
      </c>
      <c r="AV29" s="69">
        <f>DATA_ICECREAM[[#This Row],[HARGA AWAL]]</f>
        <v>4500</v>
      </c>
      <c r="AW29" s="69">
        <f>DATA_ICECREAM[[#This Row],[HARI 1]]</f>
        <v>4500</v>
      </c>
      <c r="AX29" s="69">
        <f>DATA_ICECREAM[[#This Row],[HARI 2]]</f>
        <v>4500</v>
      </c>
      <c r="AY29" s="69">
        <f>DATA_ICECREAM[[#This Row],[HARI 3]]</f>
        <v>4500</v>
      </c>
      <c r="AZ29" s="69">
        <f>DATA_ICECREAM[[#This Row],[HARI 4]]</f>
        <v>4500</v>
      </c>
      <c r="BA29" s="69">
        <f>DATA_ICECREAM[[#This Row],[HARI 5]]</f>
        <v>4500</v>
      </c>
      <c r="BB29" s="69">
        <f>DATA_ICECREAM[[#This Row],[HARI 6]]</f>
        <v>4500</v>
      </c>
      <c r="BC29" s="69">
        <f>DATA_ICECREAM[[#This Row],[HARI 7]]</f>
        <v>4500</v>
      </c>
      <c r="BD29" s="69">
        <f>DATA_ICECREAM[[#This Row],[HARI 8]]</f>
        <v>4500</v>
      </c>
      <c r="BE29" s="69">
        <f>DATA_ICECREAM[[#This Row],[HARI 9]]</f>
        <v>4500</v>
      </c>
      <c r="BF29" s="82">
        <f>DATA_ICECREAM[[#This Row],[HARI 10]]</f>
        <v>4500</v>
      </c>
      <c r="BH29" s="86" t="s">
        <v>383</v>
      </c>
      <c r="BI29" s="89">
        <v>50000</v>
      </c>
      <c r="BJ29" s="69">
        <f>DATA_ACC[[#This Row],[HARGA AWAL]]</f>
        <v>50000</v>
      </c>
      <c r="BK29" s="69">
        <f>DATA_ACC[[#This Row],[HARI 1]]</f>
        <v>50000</v>
      </c>
      <c r="BL29" s="69">
        <f>DATA_ACC[[#This Row],[HARI 2]]</f>
        <v>50000</v>
      </c>
      <c r="BM29" s="69">
        <f>DATA_ACC[[#This Row],[HARI 3]]</f>
        <v>50000</v>
      </c>
      <c r="BN29" s="69">
        <f>DATA_ACC[[#This Row],[HARI 4]]</f>
        <v>50000</v>
      </c>
      <c r="BO29" s="69">
        <f>DATA_ACC[[#This Row],[HARI 5]]</f>
        <v>50000</v>
      </c>
      <c r="BP29" s="69">
        <f>DATA_ACC[[#This Row],[HARI 6]]</f>
        <v>50000</v>
      </c>
      <c r="BQ29" s="69">
        <f>DATA_ACC[[#This Row],[HARI 7]]</f>
        <v>50000</v>
      </c>
      <c r="BR29" s="69">
        <f>DATA_ACC[[#This Row],[HARI 8]]</f>
        <v>50000</v>
      </c>
      <c r="BS29" s="69">
        <f>DATA_ACC[[#This Row],[HARI 9]]</f>
        <v>50000</v>
      </c>
      <c r="BT29" s="82">
        <f>DATA_ACC[[#This Row],[HARI 10]]</f>
        <v>50000</v>
      </c>
      <c r="BV29" s="86" t="s">
        <v>384</v>
      </c>
      <c r="BW29" s="95">
        <v>60000</v>
      </c>
      <c r="BX29" s="69">
        <f>DATA_HYDRO[[#This Row],[HARGA AWAL]]</f>
        <v>60000</v>
      </c>
      <c r="BY29" s="69">
        <f>DATA_HYDRO[[#This Row],[HARI 1]]</f>
        <v>60000</v>
      </c>
      <c r="BZ29" s="69">
        <f>DATA_HYDRO[[#This Row],[HARI 2]]</f>
        <v>60000</v>
      </c>
      <c r="CA29" s="69">
        <f>DATA_HYDRO[[#This Row],[HARI 3]]</f>
        <v>60000</v>
      </c>
      <c r="CB29" s="69">
        <f>DATA_HYDRO[[#This Row],[HARI 4]]</f>
        <v>60000</v>
      </c>
      <c r="CC29" s="69">
        <f>DATA_HYDRO[[#This Row],[HARI 5]]</f>
        <v>60000</v>
      </c>
      <c r="CD29" s="69">
        <f>DATA_HYDRO[[#This Row],[HARI 6]]</f>
        <v>60000</v>
      </c>
      <c r="CE29" s="69">
        <f>DATA_HYDRO[[#This Row],[HARI 7]]</f>
        <v>60000</v>
      </c>
      <c r="CF29" s="69">
        <f>DATA_HYDRO[[#This Row],[HARI 8]]</f>
        <v>60000</v>
      </c>
      <c r="CG29" s="69">
        <f>DATA_HYDRO[[#This Row],[HARI 9]]</f>
        <v>60000</v>
      </c>
      <c r="CH29" s="82">
        <f>DATA_HYDRO[[#This Row],[HARI 10]]</f>
        <v>60000</v>
      </c>
    </row>
    <row r="30" ht="18" spans="4:86">
      <c r="D30" s="65" t="s">
        <v>385</v>
      </c>
      <c r="E30" s="66">
        <v>12000</v>
      </c>
      <c r="F30" s="13">
        <f>DATA_ROKOK[[#This Row],[HARGA AWAL]]</f>
        <v>12000</v>
      </c>
      <c r="G30" s="13">
        <f>DATA_ROKOK[[#This Row],[HARI 1]]</f>
        <v>12000</v>
      </c>
      <c r="H30" s="13">
        <f>DATA_ROKOK[[#This Row],[HARI 2]]</f>
        <v>12000</v>
      </c>
      <c r="I30" s="13">
        <f>DATA_ROKOK[[#This Row],[HARI 3]]</f>
        <v>12000</v>
      </c>
      <c r="J30" s="13">
        <f>DATA_ROKOK[[#This Row],[HARI 4]]</f>
        <v>12000</v>
      </c>
      <c r="K30" s="13">
        <f>DATA_ROKOK[[#This Row],[HARI 5]]</f>
        <v>12000</v>
      </c>
      <c r="L30" s="13">
        <f>DATA_ROKOK[[#This Row],[HARI 6]]</f>
        <v>12000</v>
      </c>
      <c r="M30" s="13">
        <f>DATA_ROKOK[[#This Row],[HARI 7]]</f>
        <v>12000</v>
      </c>
      <c r="N30" s="13">
        <f>DATA_ROKOK[[#This Row],[HARI 8]]</f>
        <v>12000</v>
      </c>
      <c r="O30" s="13">
        <f>DATA_ROKOK[[#This Row],[HARI 9]]</f>
        <v>12000</v>
      </c>
      <c r="P30" s="81">
        <f>DATA_ROKOK[[#This Row],[HARI 10]]</f>
        <v>12000</v>
      </c>
      <c r="R30" s="86" t="s">
        <v>386</v>
      </c>
      <c r="S30" s="87">
        <v>40000</v>
      </c>
      <c r="T30" s="13">
        <f>DATA_SPVOU[[#This Row],[HARGA AWAL]]</f>
        <v>40000</v>
      </c>
      <c r="U30" s="13">
        <f>DATA_SPVOU[[#This Row],[HARI 1]]</f>
        <v>40000</v>
      </c>
      <c r="V30" s="13">
        <f>DATA_SPVOU[[#This Row],[HARI 2]]</f>
        <v>40000</v>
      </c>
      <c r="W30" s="13">
        <f>DATA_SPVOU[[#This Row],[HARI 3]]</f>
        <v>40000</v>
      </c>
      <c r="X30" s="13">
        <f>DATA_SPVOU[[#This Row],[HARI 4]]</f>
        <v>40000</v>
      </c>
      <c r="Y30" s="13">
        <f>DATA_SPVOU[[#This Row],[HARI 5]]</f>
        <v>40000</v>
      </c>
      <c r="Z30" s="13">
        <f>DATA_SPVOU[[#This Row],[HARI 6]]</f>
        <v>40000</v>
      </c>
      <c r="AA30" s="13">
        <f>DATA_SPVOU[[#This Row],[HARI 7]]</f>
        <v>40000</v>
      </c>
      <c r="AB30" s="13">
        <f>DATA_SPVOU[[#This Row],[HARI 8]]</f>
        <v>40000</v>
      </c>
      <c r="AC30" s="13">
        <f>DATA_SPVOU[[#This Row],[HARI 9]]</f>
        <v>40000</v>
      </c>
      <c r="AD30" s="81">
        <f>DATA_SPVOU[[#This Row],[HARI 10]]</f>
        <v>40000</v>
      </c>
      <c r="AT30" s="88" t="s">
        <v>106</v>
      </c>
      <c r="AU30" s="87">
        <v>4500</v>
      </c>
      <c r="AV30" s="13">
        <f>DATA_ICECREAM[[#This Row],[HARGA AWAL]]</f>
        <v>4500</v>
      </c>
      <c r="AW30" s="13">
        <f>DATA_ICECREAM[[#This Row],[HARI 1]]</f>
        <v>4500</v>
      </c>
      <c r="AX30" s="13">
        <f>DATA_ICECREAM[[#This Row],[HARI 2]]</f>
        <v>4500</v>
      </c>
      <c r="AY30" s="13">
        <f>DATA_ICECREAM[[#This Row],[HARI 3]]</f>
        <v>4500</v>
      </c>
      <c r="AZ30" s="13">
        <f>DATA_ICECREAM[[#This Row],[HARI 4]]</f>
        <v>4500</v>
      </c>
      <c r="BA30" s="13">
        <f>DATA_ICECREAM[[#This Row],[HARI 5]]</f>
        <v>4500</v>
      </c>
      <c r="BB30" s="13">
        <f>DATA_ICECREAM[[#This Row],[HARI 6]]</f>
        <v>4500</v>
      </c>
      <c r="BC30" s="13">
        <f>DATA_ICECREAM[[#This Row],[HARI 7]]</f>
        <v>4500</v>
      </c>
      <c r="BD30" s="13">
        <f>DATA_ICECREAM[[#This Row],[HARI 8]]</f>
        <v>4500</v>
      </c>
      <c r="BE30" s="13">
        <f>DATA_ICECREAM[[#This Row],[HARI 9]]</f>
        <v>4500</v>
      </c>
      <c r="BF30" s="81">
        <f>DATA_ICECREAM[[#This Row],[HARI 10]]</f>
        <v>4500</v>
      </c>
      <c r="BH30" s="88" t="s">
        <v>387</v>
      </c>
      <c r="BI30" s="87">
        <v>65000</v>
      </c>
      <c r="BJ30" s="13">
        <f>DATA_ACC[[#This Row],[HARGA AWAL]]</f>
        <v>65000</v>
      </c>
      <c r="BK30" s="13">
        <f>DATA_ACC[[#This Row],[HARI 1]]</f>
        <v>65000</v>
      </c>
      <c r="BL30" s="13">
        <f>DATA_ACC[[#This Row],[HARI 2]]</f>
        <v>65000</v>
      </c>
      <c r="BM30" s="13">
        <f>DATA_ACC[[#This Row],[HARI 3]]</f>
        <v>65000</v>
      </c>
      <c r="BN30" s="13">
        <f>DATA_ACC[[#This Row],[HARI 4]]</f>
        <v>65000</v>
      </c>
      <c r="BO30" s="13">
        <f>DATA_ACC[[#This Row],[HARI 5]]</f>
        <v>65000</v>
      </c>
      <c r="BP30" s="13">
        <f>DATA_ACC[[#This Row],[HARI 6]]</f>
        <v>65000</v>
      </c>
      <c r="BQ30" s="13">
        <f>DATA_ACC[[#This Row],[HARI 7]]</f>
        <v>65000</v>
      </c>
      <c r="BR30" s="13">
        <f>DATA_ACC[[#This Row],[HARI 8]]</f>
        <v>65000</v>
      </c>
      <c r="BS30" s="13">
        <f>DATA_ACC[[#This Row],[HARI 9]]</f>
        <v>65000</v>
      </c>
      <c r="BT30" s="81">
        <f>DATA_ACC[[#This Row],[HARI 10]]</f>
        <v>65000</v>
      </c>
      <c r="BV30" s="88" t="s">
        <v>370</v>
      </c>
      <c r="BW30" s="96">
        <v>0</v>
      </c>
      <c r="BX30" s="13">
        <f>DATA_HYDRO[[#This Row],[HARGA AWAL]]</f>
        <v>0</v>
      </c>
      <c r="BY30" s="13">
        <f>DATA_HYDRO[[#This Row],[HARI 1]]</f>
        <v>0</v>
      </c>
      <c r="BZ30" s="13">
        <f>DATA_HYDRO[[#This Row],[HARI 2]]</f>
        <v>0</v>
      </c>
      <c r="CA30" s="13">
        <f>DATA_HYDRO[[#This Row],[HARI 3]]</f>
        <v>0</v>
      </c>
      <c r="CB30" s="13">
        <f>DATA_HYDRO[[#This Row],[HARI 4]]</f>
        <v>0</v>
      </c>
      <c r="CC30" s="13">
        <f>DATA_HYDRO[[#This Row],[HARI 5]]</f>
        <v>0</v>
      </c>
      <c r="CD30" s="13">
        <f>DATA_HYDRO[[#This Row],[HARI 6]]</f>
        <v>0</v>
      </c>
      <c r="CE30" s="13">
        <f>DATA_HYDRO[[#This Row],[HARI 7]]</f>
        <v>0</v>
      </c>
      <c r="CF30" s="13">
        <f>DATA_HYDRO[[#This Row],[HARI 8]]</f>
        <v>0</v>
      </c>
      <c r="CG30" s="13">
        <f>DATA_HYDRO[[#This Row],[HARI 9]]</f>
        <v>0</v>
      </c>
      <c r="CH30" s="81">
        <f>DATA_HYDRO[[#This Row],[HARI 10]]</f>
        <v>0</v>
      </c>
    </row>
    <row r="31" ht="18" spans="4:86">
      <c r="D31" s="67" t="s">
        <v>388</v>
      </c>
      <c r="E31" s="68">
        <v>34000</v>
      </c>
      <c r="F31" s="69">
        <f>DATA_ROKOK[[#This Row],[HARGA AWAL]]</f>
        <v>34000</v>
      </c>
      <c r="G31" s="69">
        <f>DATA_ROKOK[[#This Row],[HARI 1]]</f>
        <v>34000</v>
      </c>
      <c r="H31" s="69">
        <f>DATA_ROKOK[[#This Row],[HARI 2]]</f>
        <v>34000</v>
      </c>
      <c r="I31" s="69">
        <f>DATA_ROKOK[[#This Row],[HARI 3]]</f>
        <v>34000</v>
      </c>
      <c r="J31" s="69">
        <f>DATA_ROKOK[[#This Row],[HARI 4]]</f>
        <v>34000</v>
      </c>
      <c r="K31" s="69">
        <f>DATA_ROKOK[[#This Row],[HARI 5]]</f>
        <v>34000</v>
      </c>
      <c r="L31" s="69">
        <f>DATA_ROKOK[[#This Row],[HARI 6]]</f>
        <v>34000</v>
      </c>
      <c r="M31" s="69">
        <f>DATA_ROKOK[[#This Row],[HARI 7]]</f>
        <v>34000</v>
      </c>
      <c r="N31" s="69">
        <f>DATA_ROKOK[[#This Row],[HARI 8]]</f>
        <v>34000</v>
      </c>
      <c r="O31" s="69">
        <f>DATA_ROKOK[[#This Row],[HARI 9]]</f>
        <v>34000</v>
      </c>
      <c r="P31" s="82">
        <f>DATA_ROKOK[[#This Row],[HARI 10]]</f>
        <v>34000</v>
      </c>
      <c r="R31" s="88" t="s">
        <v>389</v>
      </c>
      <c r="S31" s="89">
        <v>22000</v>
      </c>
      <c r="T31" s="69">
        <f>DATA_SPVOU[[#This Row],[HARGA AWAL]]</f>
        <v>22000</v>
      </c>
      <c r="U31" s="69">
        <f>DATA_SPVOU[[#This Row],[HARI 1]]</f>
        <v>22000</v>
      </c>
      <c r="V31" s="69">
        <f>DATA_SPVOU[[#This Row],[HARI 2]]</f>
        <v>22000</v>
      </c>
      <c r="W31" s="69">
        <f>DATA_SPVOU[[#This Row],[HARI 3]]</f>
        <v>22000</v>
      </c>
      <c r="X31" s="69">
        <f>DATA_SPVOU[[#This Row],[HARI 4]]</f>
        <v>22000</v>
      </c>
      <c r="Y31" s="69">
        <f>DATA_SPVOU[[#This Row],[HARI 5]]</f>
        <v>22000</v>
      </c>
      <c r="Z31" s="69">
        <f>DATA_SPVOU[[#This Row],[HARI 6]]</f>
        <v>22000</v>
      </c>
      <c r="AA31" s="69">
        <f>DATA_SPVOU[[#This Row],[HARI 7]]</f>
        <v>22000</v>
      </c>
      <c r="AB31" s="69">
        <f>DATA_SPVOU[[#This Row],[HARI 8]]</f>
        <v>22000</v>
      </c>
      <c r="AC31" s="69">
        <f>DATA_SPVOU[[#This Row],[HARI 9]]</f>
        <v>22000</v>
      </c>
      <c r="AD31" s="82">
        <f>DATA_SPVOU[[#This Row],[HARI 10]]</f>
        <v>22000</v>
      </c>
      <c r="AF31" s="75">
        <f>COUNTA(AF12:AF29)</f>
        <v>18</v>
      </c>
      <c r="AG31" s="76">
        <f>SUM(AG12:AG29)</f>
        <v>79500</v>
      </c>
      <c r="AT31" s="86" t="s">
        <v>390</v>
      </c>
      <c r="AU31" s="89">
        <v>4500</v>
      </c>
      <c r="AV31" s="69">
        <f>DATA_ICECREAM[[#This Row],[HARGA AWAL]]</f>
        <v>4500</v>
      </c>
      <c r="AW31" s="69">
        <f>DATA_ICECREAM[[#This Row],[HARI 1]]</f>
        <v>4500</v>
      </c>
      <c r="AX31" s="69">
        <f>DATA_ICECREAM[[#This Row],[HARI 2]]</f>
        <v>4500</v>
      </c>
      <c r="AY31" s="69">
        <f>DATA_ICECREAM[[#This Row],[HARI 3]]</f>
        <v>4500</v>
      </c>
      <c r="AZ31" s="69">
        <f>DATA_ICECREAM[[#This Row],[HARI 4]]</f>
        <v>4500</v>
      </c>
      <c r="BA31" s="69">
        <f>DATA_ICECREAM[[#This Row],[HARI 5]]</f>
        <v>4500</v>
      </c>
      <c r="BB31" s="69">
        <f>DATA_ICECREAM[[#This Row],[HARI 6]]</f>
        <v>4500</v>
      </c>
      <c r="BC31" s="69">
        <f>DATA_ICECREAM[[#This Row],[HARI 7]]</f>
        <v>4500</v>
      </c>
      <c r="BD31" s="69">
        <f>DATA_ICECREAM[[#This Row],[HARI 8]]</f>
        <v>4500</v>
      </c>
      <c r="BE31" s="69">
        <f>DATA_ICECREAM[[#This Row],[HARI 9]]</f>
        <v>4500</v>
      </c>
      <c r="BF31" s="82">
        <f>DATA_ICECREAM[[#This Row],[HARI 10]]</f>
        <v>4500</v>
      </c>
      <c r="BH31" s="86" t="s">
        <v>391</v>
      </c>
      <c r="BI31" s="89">
        <v>75000</v>
      </c>
      <c r="BJ31" s="69">
        <f>DATA_ACC[[#This Row],[HARGA AWAL]]</f>
        <v>75000</v>
      </c>
      <c r="BK31" s="69">
        <f>DATA_ACC[[#This Row],[HARI 1]]</f>
        <v>75000</v>
      </c>
      <c r="BL31" s="69">
        <f>DATA_ACC[[#This Row],[HARI 2]]</f>
        <v>75000</v>
      </c>
      <c r="BM31" s="69">
        <f>DATA_ACC[[#This Row],[HARI 3]]</f>
        <v>75000</v>
      </c>
      <c r="BN31" s="69">
        <f>DATA_ACC[[#This Row],[HARI 4]]</f>
        <v>75000</v>
      </c>
      <c r="BO31" s="69">
        <f>DATA_ACC[[#This Row],[HARI 5]]</f>
        <v>75000</v>
      </c>
      <c r="BP31" s="69">
        <f>DATA_ACC[[#This Row],[HARI 6]]</f>
        <v>75000</v>
      </c>
      <c r="BQ31" s="69">
        <f>DATA_ACC[[#This Row],[HARI 7]]</f>
        <v>75000</v>
      </c>
      <c r="BR31" s="69">
        <f>DATA_ACC[[#This Row],[HARI 8]]</f>
        <v>75000</v>
      </c>
      <c r="BS31" s="69">
        <f>DATA_ACC[[#This Row],[HARI 9]]</f>
        <v>75000</v>
      </c>
      <c r="BT31" s="82">
        <f>DATA_ACC[[#This Row],[HARI 10]]</f>
        <v>75000</v>
      </c>
      <c r="BV31" s="86" t="s">
        <v>375</v>
      </c>
      <c r="BW31" s="95">
        <v>0</v>
      </c>
      <c r="BX31" s="69">
        <f>DATA_HYDRO[[#This Row],[HARGA AWAL]]</f>
        <v>0</v>
      </c>
      <c r="BY31" s="69">
        <f>DATA_HYDRO[[#This Row],[HARI 1]]</f>
        <v>0</v>
      </c>
      <c r="BZ31" s="69">
        <f>DATA_HYDRO[[#This Row],[HARI 2]]</f>
        <v>0</v>
      </c>
      <c r="CA31" s="69">
        <f>DATA_HYDRO[[#This Row],[HARI 3]]</f>
        <v>0</v>
      </c>
      <c r="CB31" s="69">
        <f>DATA_HYDRO[[#This Row],[HARI 4]]</f>
        <v>0</v>
      </c>
      <c r="CC31" s="69">
        <f>DATA_HYDRO[[#This Row],[HARI 5]]</f>
        <v>0</v>
      </c>
      <c r="CD31" s="69">
        <f>DATA_HYDRO[[#This Row],[HARI 6]]</f>
        <v>0</v>
      </c>
      <c r="CE31" s="69">
        <f>DATA_HYDRO[[#This Row],[HARI 7]]</f>
        <v>0</v>
      </c>
      <c r="CF31" s="69">
        <f>DATA_HYDRO[[#This Row],[HARI 8]]</f>
        <v>0</v>
      </c>
      <c r="CG31" s="69">
        <f>DATA_HYDRO[[#This Row],[HARI 9]]</f>
        <v>0</v>
      </c>
      <c r="CH31" s="82">
        <f>DATA_HYDRO[[#This Row],[HARI 10]]</f>
        <v>0</v>
      </c>
    </row>
    <row r="32" ht="18" spans="4:86">
      <c r="D32" s="65" t="s">
        <v>188</v>
      </c>
      <c r="E32" s="66">
        <v>38000</v>
      </c>
      <c r="F32" s="13">
        <f>DATA_ROKOK[[#This Row],[HARGA AWAL]]</f>
        <v>38000</v>
      </c>
      <c r="G32" s="13">
        <f>DATA_ROKOK[[#This Row],[HARI 1]]</f>
        <v>38000</v>
      </c>
      <c r="H32" s="13">
        <f>DATA_ROKOK[[#This Row],[HARI 2]]</f>
        <v>38000</v>
      </c>
      <c r="I32" s="13">
        <f>DATA_ROKOK[[#This Row],[HARI 3]]</f>
        <v>38000</v>
      </c>
      <c r="J32" s="13">
        <f>DATA_ROKOK[[#This Row],[HARI 4]]</f>
        <v>38000</v>
      </c>
      <c r="K32" s="13">
        <f>DATA_ROKOK[[#This Row],[HARI 5]]</f>
        <v>38000</v>
      </c>
      <c r="L32" s="13">
        <f>DATA_ROKOK[[#This Row],[HARI 6]]</f>
        <v>38000</v>
      </c>
      <c r="M32" s="13">
        <f>DATA_ROKOK[[#This Row],[HARI 7]]</f>
        <v>38000</v>
      </c>
      <c r="N32" s="13">
        <f>DATA_ROKOK[[#This Row],[HARI 8]]</f>
        <v>38000</v>
      </c>
      <c r="O32" s="13">
        <f>DATA_ROKOK[[#This Row],[HARI 9]]</f>
        <v>38000</v>
      </c>
      <c r="P32" s="81">
        <f>DATA_ROKOK[[#This Row],[HARI 10]]</f>
        <v>38000</v>
      </c>
      <c r="R32" s="86" t="s">
        <v>392</v>
      </c>
      <c r="S32" s="87">
        <v>28000</v>
      </c>
      <c r="T32" s="13">
        <f>DATA_SPVOU[[#This Row],[HARGA AWAL]]</f>
        <v>28000</v>
      </c>
      <c r="U32" s="13">
        <f>DATA_SPVOU[[#This Row],[HARI 1]]</f>
        <v>28000</v>
      </c>
      <c r="V32" s="13">
        <f>DATA_SPVOU[[#This Row],[HARI 2]]</f>
        <v>28000</v>
      </c>
      <c r="W32" s="13">
        <f>DATA_SPVOU[[#This Row],[HARI 3]]</f>
        <v>28000</v>
      </c>
      <c r="X32" s="13">
        <f>DATA_SPVOU[[#This Row],[HARI 4]]</f>
        <v>28000</v>
      </c>
      <c r="Y32" s="13">
        <f>DATA_SPVOU[[#This Row],[HARI 5]]</f>
        <v>28000</v>
      </c>
      <c r="Z32" s="13">
        <f>DATA_SPVOU[[#This Row],[HARI 6]]</f>
        <v>28000</v>
      </c>
      <c r="AA32" s="13">
        <f>DATA_SPVOU[[#This Row],[HARI 7]]</f>
        <v>28000</v>
      </c>
      <c r="AB32" s="13">
        <f>DATA_SPVOU[[#This Row],[HARI 8]]</f>
        <v>28000</v>
      </c>
      <c r="AC32" s="13">
        <f>DATA_SPVOU[[#This Row],[HARI 9]]</f>
        <v>28000</v>
      </c>
      <c r="AD32" s="81">
        <f>DATA_SPVOU[[#This Row],[HARI 10]]</f>
        <v>28000</v>
      </c>
      <c r="AT32" s="88" t="s">
        <v>393</v>
      </c>
      <c r="AU32" s="87">
        <v>4500</v>
      </c>
      <c r="AV32" s="13">
        <f>DATA_ICECREAM[[#This Row],[HARGA AWAL]]</f>
        <v>4500</v>
      </c>
      <c r="AW32" s="13">
        <f>DATA_ICECREAM[[#This Row],[HARI 1]]</f>
        <v>4500</v>
      </c>
      <c r="AX32" s="13">
        <f>DATA_ICECREAM[[#This Row],[HARI 2]]</f>
        <v>4500</v>
      </c>
      <c r="AY32" s="13">
        <f>DATA_ICECREAM[[#This Row],[HARI 3]]</f>
        <v>4500</v>
      </c>
      <c r="AZ32" s="13">
        <f>DATA_ICECREAM[[#This Row],[HARI 4]]</f>
        <v>4500</v>
      </c>
      <c r="BA32" s="13">
        <f>DATA_ICECREAM[[#This Row],[HARI 5]]</f>
        <v>4500</v>
      </c>
      <c r="BB32" s="13">
        <f>DATA_ICECREAM[[#This Row],[HARI 6]]</f>
        <v>4500</v>
      </c>
      <c r="BC32" s="13">
        <f>DATA_ICECREAM[[#This Row],[HARI 7]]</f>
        <v>4500</v>
      </c>
      <c r="BD32" s="13">
        <f>DATA_ICECREAM[[#This Row],[HARI 8]]</f>
        <v>4500</v>
      </c>
      <c r="BE32" s="13">
        <f>DATA_ICECREAM[[#This Row],[HARI 9]]</f>
        <v>4500</v>
      </c>
      <c r="BF32" s="81">
        <f>DATA_ICECREAM[[#This Row],[HARI 10]]</f>
        <v>4500</v>
      </c>
      <c r="BH32" s="88" t="s">
        <v>394</v>
      </c>
      <c r="BI32" s="87">
        <v>85000</v>
      </c>
      <c r="BJ32" s="13">
        <f>DATA_ACC[[#This Row],[HARGA AWAL]]</f>
        <v>85000</v>
      </c>
      <c r="BK32" s="13">
        <f>DATA_ACC[[#This Row],[HARI 1]]</f>
        <v>85000</v>
      </c>
      <c r="BL32" s="13">
        <f>DATA_ACC[[#This Row],[HARI 2]]</f>
        <v>85000</v>
      </c>
      <c r="BM32" s="13">
        <f>DATA_ACC[[#This Row],[HARI 3]]</f>
        <v>85000</v>
      </c>
      <c r="BN32" s="13">
        <f>DATA_ACC[[#This Row],[HARI 4]]</f>
        <v>85000</v>
      </c>
      <c r="BO32" s="13">
        <f>DATA_ACC[[#This Row],[HARI 5]]</f>
        <v>85000</v>
      </c>
      <c r="BP32" s="13">
        <f>DATA_ACC[[#This Row],[HARI 6]]</f>
        <v>85000</v>
      </c>
      <c r="BQ32" s="13">
        <f>DATA_ACC[[#This Row],[HARI 7]]</f>
        <v>85000</v>
      </c>
      <c r="BR32" s="13">
        <f>DATA_ACC[[#This Row],[HARI 8]]</f>
        <v>85000</v>
      </c>
      <c r="BS32" s="13">
        <f>DATA_ACC[[#This Row],[HARI 9]]</f>
        <v>85000</v>
      </c>
      <c r="BT32" s="81">
        <f>DATA_ACC[[#This Row],[HARI 10]]</f>
        <v>85000</v>
      </c>
      <c r="BV32" s="88" t="s">
        <v>381</v>
      </c>
      <c r="BW32" s="96">
        <v>0</v>
      </c>
      <c r="BX32" s="13">
        <f>DATA_HYDRO[[#This Row],[HARGA AWAL]]</f>
        <v>0</v>
      </c>
      <c r="BY32" s="13">
        <f>DATA_HYDRO[[#This Row],[HARI 1]]</f>
        <v>0</v>
      </c>
      <c r="BZ32" s="13">
        <f>DATA_HYDRO[[#This Row],[HARI 2]]</f>
        <v>0</v>
      </c>
      <c r="CA32" s="13">
        <f>DATA_HYDRO[[#This Row],[HARI 3]]</f>
        <v>0</v>
      </c>
      <c r="CB32" s="13">
        <f>DATA_HYDRO[[#This Row],[HARI 4]]</f>
        <v>0</v>
      </c>
      <c r="CC32" s="13">
        <f>DATA_HYDRO[[#This Row],[HARI 5]]</f>
        <v>0</v>
      </c>
      <c r="CD32" s="13">
        <f>DATA_HYDRO[[#This Row],[HARI 6]]</f>
        <v>0</v>
      </c>
      <c r="CE32" s="13">
        <f>DATA_HYDRO[[#This Row],[HARI 7]]</f>
        <v>0</v>
      </c>
      <c r="CF32" s="13">
        <f>DATA_HYDRO[[#This Row],[HARI 8]]</f>
        <v>0</v>
      </c>
      <c r="CG32" s="13">
        <f>DATA_HYDRO[[#This Row],[HARI 9]]</f>
        <v>0</v>
      </c>
      <c r="CH32" s="81">
        <f>DATA_HYDRO[[#This Row],[HARI 10]]</f>
        <v>0</v>
      </c>
    </row>
    <row r="33" ht="18" spans="4:72">
      <c r="D33" s="67" t="s">
        <v>395</v>
      </c>
      <c r="E33" s="68">
        <v>20000</v>
      </c>
      <c r="F33" s="69">
        <f>DATA_ROKOK[[#This Row],[HARGA AWAL]]</f>
        <v>20000</v>
      </c>
      <c r="G33" s="69">
        <f>DATA_ROKOK[[#This Row],[HARI 1]]</f>
        <v>20000</v>
      </c>
      <c r="H33" s="69">
        <f>DATA_ROKOK[[#This Row],[HARI 2]]</f>
        <v>20000</v>
      </c>
      <c r="I33" s="69">
        <f>DATA_ROKOK[[#This Row],[HARI 3]]</f>
        <v>20000</v>
      </c>
      <c r="J33" s="69">
        <f>DATA_ROKOK[[#This Row],[HARI 4]]</f>
        <v>20000</v>
      </c>
      <c r="K33" s="69">
        <f>DATA_ROKOK[[#This Row],[HARI 5]]</f>
        <v>20000</v>
      </c>
      <c r="L33" s="69">
        <f>DATA_ROKOK[[#This Row],[HARI 6]]</f>
        <v>20000</v>
      </c>
      <c r="M33" s="69">
        <f>DATA_ROKOK[[#This Row],[HARI 7]]</f>
        <v>20000</v>
      </c>
      <c r="N33" s="69">
        <f>DATA_ROKOK[[#This Row],[HARI 8]]</f>
        <v>20000</v>
      </c>
      <c r="O33" s="69">
        <f>DATA_ROKOK[[#This Row],[HARI 9]]</f>
        <v>20000</v>
      </c>
      <c r="P33" s="82">
        <f>DATA_ROKOK[[#This Row],[HARI 10]]</f>
        <v>20000</v>
      </c>
      <c r="R33" s="88" t="s">
        <v>396</v>
      </c>
      <c r="S33" s="89">
        <v>89000</v>
      </c>
      <c r="T33" s="69">
        <f>DATA_SPVOU[[#This Row],[HARGA AWAL]]</f>
        <v>89000</v>
      </c>
      <c r="U33" s="69">
        <f>DATA_SPVOU[[#This Row],[HARI 1]]</f>
        <v>89000</v>
      </c>
      <c r="V33" s="69">
        <f>DATA_SPVOU[[#This Row],[HARI 2]]</f>
        <v>89000</v>
      </c>
      <c r="W33" s="69">
        <f>DATA_SPVOU[[#This Row],[HARI 3]]</f>
        <v>89000</v>
      </c>
      <c r="X33" s="69">
        <f>DATA_SPVOU[[#This Row],[HARI 4]]</f>
        <v>89000</v>
      </c>
      <c r="Y33" s="69">
        <f>DATA_SPVOU[[#This Row],[HARI 5]]</f>
        <v>89000</v>
      </c>
      <c r="Z33" s="69">
        <f>DATA_SPVOU[[#This Row],[HARI 6]]</f>
        <v>89000</v>
      </c>
      <c r="AA33" s="69">
        <f>DATA_SPVOU[[#This Row],[HARI 7]]</f>
        <v>89000</v>
      </c>
      <c r="AB33" s="69">
        <f>DATA_SPVOU[[#This Row],[HARI 8]]</f>
        <v>89000</v>
      </c>
      <c r="AC33" s="69">
        <f>DATA_SPVOU[[#This Row],[HARI 9]]</f>
        <v>89000</v>
      </c>
      <c r="AD33" s="82">
        <f>DATA_SPVOU[[#This Row],[HARI 10]]</f>
        <v>89000</v>
      </c>
      <c r="AT33" s="86" t="s">
        <v>397</v>
      </c>
      <c r="AU33" s="89">
        <v>5000</v>
      </c>
      <c r="AV33" s="69">
        <f>DATA_ICECREAM[[#This Row],[HARGA AWAL]]</f>
        <v>5000</v>
      </c>
      <c r="AW33" s="69">
        <f>DATA_ICECREAM[[#This Row],[HARI 1]]</f>
        <v>5000</v>
      </c>
      <c r="AX33" s="69">
        <f>DATA_ICECREAM[[#This Row],[HARI 2]]</f>
        <v>5000</v>
      </c>
      <c r="AY33" s="69">
        <f>DATA_ICECREAM[[#This Row],[HARI 3]]</f>
        <v>5000</v>
      </c>
      <c r="AZ33" s="69">
        <f>DATA_ICECREAM[[#This Row],[HARI 4]]</f>
        <v>5000</v>
      </c>
      <c r="BA33" s="69">
        <f>DATA_ICECREAM[[#This Row],[HARI 5]]</f>
        <v>5000</v>
      </c>
      <c r="BB33" s="69">
        <f>DATA_ICECREAM[[#This Row],[HARI 6]]</f>
        <v>5000</v>
      </c>
      <c r="BC33" s="69">
        <f>DATA_ICECREAM[[#This Row],[HARI 7]]</f>
        <v>5000</v>
      </c>
      <c r="BD33" s="69">
        <f>DATA_ICECREAM[[#This Row],[HARI 8]]</f>
        <v>5000</v>
      </c>
      <c r="BE33" s="69">
        <f>DATA_ICECREAM[[#This Row],[HARI 9]]</f>
        <v>5000</v>
      </c>
      <c r="BF33" s="82">
        <f>DATA_ICECREAM[[#This Row],[HARI 10]]</f>
        <v>5000</v>
      </c>
      <c r="BH33" s="86" t="s">
        <v>398</v>
      </c>
      <c r="BI33" s="89">
        <v>15000</v>
      </c>
      <c r="BJ33" s="69">
        <f>DATA_ACC[[#This Row],[HARGA AWAL]]</f>
        <v>15000</v>
      </c>
      <c r="BK33" s="69">
        <f>DATA_ACC[[#This Row],[HARI 1]]</f>
        <v>15000</v>
      </c>
      <c r="BL33" s="69">
        <f>DATA_ACC[[#This Row],[HARI 2]]</f>
        <v>15000</v>
      </c>
      <c r="BM33" s="69">
        <f>DATA_ACC[[#This Row],[HARI 3]]</f>
        <v>15000</v>
      </c>
      <c r="BN33" s="69">
        <f>DATA_ACC[[#This Row],[HARI 4]]</f>
        <v>15000</v>
      </c>
      <c r="BO33" s="69">
        <f>DATA_ACC[[#This Row],[HARI 5]]</f>
        <v>15000</v>
      </c>
      <c r="BP33" s="69">
        <f>DATA_ACC[[#This Row],[HARI 6]]</f>
        <v>15000</v>
      </c>
      <c r="BQ33" s="69">
        <f>DATA_ACC[[#This Row],[HARI 7]]</f>
        <v>15000</v>
      </c>
      <c r="BR33" s="69">
        <f>DATA_ACC[[#This Row],[HARI 8]]</f>
        <v>15000</v>
      </c>
      <c r="BS33" s="69">
        <f>DATA_ACC[[#This Row],[HARI 9]]</f>
        <v>15000</v>
      </c>
      <c r="BT33" s="82">
        <f>DATA_ACC[[#This Row],[HARI 10]]</f>
        <v>15000</v>
      </c>
    </row>
    <row r="34" ht="18" spans="4:75">
      <c r="D34" s="65" t="s">
        <v>399</v>
      </c>
      <c r="E34" s="66">
        <v>24000</v>
      </c>
      <c r="F34" s="13">
        <f>DATA_ROKOK[[#This Row],[HARGA AWAL]]</f>
        <v>24000</v>
      </c>
      <c r="G34" s="13">
        <f>DATA_ROKOK[[#This Row],[HARI 1]]</f>
        <v>24000</v>
      </c>
      <c r="H34" s="13">
        <f>DATA_ROKOK[[#This Row],[HARI 2]]</f>
        <v>24000</v>
      </c>
      <c r="I34" s="13">
        <f>DATA_ROKOK[[#This Row],[HARI 3]]</f>
        <v>24000</v>
      </c>
      <c r="J34" s="13">
        <f>DATA_ROKOK[[#This Row],[HARI 4]]</f>
        <v>24000</v>
      </c>
      <c r="K34" s="13">
        <f>DATA_ROKOK[[#This Row],[HARI 5]]</f>
        <v>24000</v>
      </c>
      <c r="L34" s="13">
        <f>DATA_ROKOK[[#This Row],[HARI 6]]</f>
        <v>24000</v>
      </c>
      <c r="M34" s="13">
        <f>DATA_ROKOK[[#This Row],[HARI 7]]</f>
        <v>24000</v>
      </c>
      <c r="N34" s="13">
        <f>DATA_ROKOK[[#This Row],[HARI 8]]</f>
        <v>24000</v>
      </c>
      <c r="O34" s="13">
        <f>DATA_ROKOK[[#This Row],[HARI 9]]</f>
        <v>24000</v>
      </c>
      <c r="P34" s="81">
        <f>DATA_ROKOK[[#This Row],[HARI 10]]</f>
        <v>24000</v>
      </c>
      <c r="R34" s="86" t="s">
        <v>400</v>
      </c>
      <c r="S34" s="87">
        <v>24000</v>
      </c>
      <c r="T34" s="13">
        <f>DATA_SPVOU[[#This Row],[HARGA AWAL]]</f>
        <v>24000</v>
      </c>
      <c r="U34" s="13">
        <f>DATA_SPVOU[[#This Row],[HARI 1]]</f>
        <v>24000</v>
      </c>
      <c r="V34" s="13">
        <f>DATA_SPVOU[[#This Row],[HARI 2]]</f>
        <v>24000</v>
      </c>
      <c r="W34" s="13">
        <f>DATA_SPVOU[[#This Row],[HARI 3]]</f>
        <v>24000</v>
      </c>
      <c r="X34" s="13">
        <f>DATA_SPVOU[[#This Row],[HARI 4]]</f>
        <v>24000</v>
      </c>
      <c r="Y34" s="13">
        <f>DATA_SPVOU[[#This Row],[HARI 5]]</f>
        <v>24000</v>
      </c>
      <c r="Z34" s="13">
        <f>DATA_SPVOU[[#This Row],[HARI 6]]</f>
        <v>24000</v>
      </c>
      <c r="AA34" s="13">
        <f>DATA_SPVOU[[#This Row],[HARI 7]]</f>
        <v>24000</v>
      </c>
      <c r="AB34" s="13">
        <f>DATA_SPVOU[[#This Row],[HARI 8]]</f>
        <v>24000</v>
      </c>
      <c r="AC34" s="13">
        <f>DATA_SPVOU[[#This Row],[HARI 9]]</f>
        <v>24000</v>
      </c>
      <c r="AD34" s="81">
        <f>DATA_SPVOU[[#This Row],[HARI 10]]</f>
        <v>24000</v>
      </c>
      <c r="AT34" s="88" t="s">
        <v>401</v>
      </c>
      <c r="AU34" s="87">
        <v>5000</v>
      </c>
      <c r="AV34" s="13">
        <f>DATA_ICECREAM[[#This Row],[HARGA AWAL]]</f>
        <v>5000</v>
      </c>
      <c r="AW34" s="13">
        <f>DATA_ICECREAM[[#This Row],[HARI 1]]</f>
        <v>5000</v>
      </c>
      <c r="AX34" s="13">
        <f>DATA_ICECREAM[[#This Row],[HARI 2]]</f>
        <v>5000</v>
      </c>
      <c r="AY34" s="13">
        <f>DATA_ICECREAM[[#This Row],[HARI 3]]</f>
        <v>5000</v>
      </c>
      <c r="AZ34" s="13">
        <f>DATA_ICECREAM[[#This Row],[HARI 4]]</f>
        <v>5000</v>
      </c>
      <c r="BA34" s="13">
        <f>DATA_ICECREAM[[#This Row],[HARI 5]]</f>
        <v>5000</v>
      </c>
      <c r="BB34" s="13">
        <f>DATA_ICECREAM[[#This Row],[HARI 6]]</f>
        <v>5000</v>
      </c>
      <c r="BC34" s="13">
        <f>DATA_ICECREAM[[#This Row],[HARI 7]]</f>
        <v>5000</v>
      </c>
      <c r="BD34" s="13">
        <f>DATA_ICECREAM[[#This Row],[HARI 8]]</f>
        <v>5000</v>
      </c>
      <c r="BE34" s="13">
        <f>DATA_ICECREAM[[#This Row],[HARI 9]]</f>
        <v>5000</v>
      </c>
      <c r="BF34" s="81">
        <f>DATA_ICECREAM[[#This Row],[HARI 10]]</f>
        <v>5000</v>
      </c>
      <c r="BH34" s="88" t="s">
        <v>402</v>
      </c>
      <c r="BI34" s="87">
        <v>20000</v>
      </c>
      <c r="BJ34" s="13">
        <f>DATA_ACC[[#This Row],[HARGA AWAL]]</f>
        <v>20000</v>
      </c>
      <c r="BK34" s="13">
        <f>DATA_ACC[[#This Row],[HARI 1]]</f>
        <v>20000</v>
      </c>
      <c r="BL34" s="13">
        <f>DATA_ACC[[#This Row],[HARI 2]]</f>
        <v>20000</v>
      </c>
      <c r="BM34" s="13">
        <f>DATA_ACC[[#This Row],[HARI 3]]</f>
        <v>20000</v>
      </c>
      <c r="BN34" s="13">
        <f>DATA_ACC[[#This Row],[HARI 4]]</f>
        <v>20000</v>
      </c>
      <c r="BO34" s="13">
        <f>DATA_ACC[[#This Row],[HARI 5]]</f>
        <v>20000</v>
      </c>
      <c r="BP34" s="13">
        <f>DATA_ACC[[#This Row],[HARI 6]]</f>
        <v>20000</v>
      </c>
      <c r="BQ34" s="13">
        <f>DATA_ACC[[#This Row],[HARI 7]]</f>
        <v>20000</v>
      </c>
      <c r="BR34" s="13">
        <f>DATA_ACC[[#This Row],[HARI 8]]</f>
        <v>20000</v>
      </c>
      <c r="BS34" s="13">
        <f>DATA_ACC[[#This Row],[HARI 9]]</f>
        <v>20000</v>
      </c>
      <c r="BT34" s="81">
        <f>DATA_ACC[[#This Row],[HARI 10]]</f>
        <v>20000</v>
      </c>
      <c r="BV34" s="75">
        <f>COUNTA(BV12:BV32)</f>
        <v>21</v>
      </c>
      <c r="BW34" s="76">
        <f>SUM(BW12:BW32)</f>
        <v>820000</v>
      </c>
    </row>
    <row r="35" ht="18" spans="4:72">
      <c r="D35" s="67" t="s">
        <v>403</v>
      </c>
      <c r="E35" s="68">
        <v>26000</v>
      </c>
      <c r="F35" s="69">
        <f>DATA_ROKOK[[#This Row],[HARGA AWAL]]</f>
        <v>26000</v>
      </c>
      <c r="G35" s="69">
        <f>DATA_ROKOK[[#This Row],[HARI 1]]</f>
        <v>26000</v>
      </c>
      <c r="H35" s="69">
        <f>DATA_ROKOK[[#This Row],[HARI 2]]</f>
        <v>26000</v>
      </c>
      <c r="I35" s="69">
        <f>DATA_ROKOK[[#This Row],[HARI 3]]</f>
        <v>26000</v>
      </c>
      <c r="J35" s="69">
        <f>DATA_ROKOK[[#This Row],[HARI 4]]</f>
        <v>26000</v>
      </c>
      <c r="K35" s="69">
        <f>DATA_ROKOK[[#This Row],[HARI 5]]</f>
        <v>26000</v>
      </c>
      <c r="L35" s="69">
        <f>DATA_ROKOK[[#This Row],[HARI 6]]</f>
        <v>26000</v>
      </c>
      <c r="M35" s="69">
        <f>DATA_ROKOK[[#This Row],[HARI 7]]</f>
        <v>26000</v>
      </c>
      <c r="N35" s="69">
        <f>DATA_ROKOK[[#This Row],[HARI 8]]</f>
        <v>26000</v>
      </c>
      <c r="O35" s="69">
        <f>DATA_ROKOK[[#This Row],[HARI 9]]</f>
        <v>26000</v>
      </c>
      <c r="P35" s="82">
        <f>DATA_ROKOK[[#This Row],[HARI 10]]</f>
        <v>26000</v>
      </c>
      <c r="R35" s="88" t="s">
        <v>404</v>
      </c>
      <c r="S35" s="89">
        <v>30000</v>
      </c>
      <c r="T35" s="69">
        <f>DATA_SPVOU[[#This Row],[HARGA AWAL]]</f>
        <v>30000</v>
      </c>
      <c r="U35" s="69">
        <f>DATA_SPVOU[[#This Row],[HARI 1]]</f>
        <v>30000</v>
      </c>
      <c r="V35" s="69">
        <f>DATA_SPVOU[[#This Row],[HARI 2]]</f>
        <v>30000</v>
      </c>
      <c r="W35" s="69">
        <f>DATA_SPVOU[[#This Row],[HARI 3]]</f>
        <v>30000</v>
      </c>
      <c r="X35" s="69">
        <f>DATA_SPVOU[[#This Row],[HARI 4]]</f>
        <v>30000</v>
      </c>
      <c r="Y35" s="69">
        <f>DATA_SPVOU[[#This Row],[HARI 5]]</f>
        <v>30000</v>
      </c>
      <c r="Z35" s="69">
        <f>DATA_SPVOU[[#This Row],[HARI 6]]</f>
        <v>30000</v>
      </c>
      <c r="AA35" s="69">
        <f>DATA_SPVOU[[#This Row],[HARI 7]]</f>
        <v>30000</v>
      </c>
      <c r="AB35" s="69">
        <f>DATA_SPVOU[[#This Row],[HARI 8]]</f>
        <v>30000</v>
      </c>
      <c r="AC35" s="69">
        <f>DATA_SPVOU[[#This Row],[HARI 9]]</f>
        <v>30000</v>
      </c>
      <c r="AD35" s="82">
        <f>DATA_SPVOU[[#This Row],[HARI 10]]</f>
        <v>30000</v>
      </c>
      <c r="AT35" s="86" t="s">
        <v>405</v>
      </c>
      <c r="AU35" s="89">
        <v>5000</v>
      </c>
      <c r="AV35" s="69">
        <f>DATA_ICECREAM[[#This Row],[HARGA AWAL]]</f>
        <v>5000</v>
      </c>
      <c r="AW35" s="69">
        <f>DATA_ICECREAM[[#This Row],[HARI 1]]</f>
        <v>5000</v>
      </c>
      <c r="AX35" s="69">
        <f>DATA_ICECREAM[[#This Row],[HARI 2]]</f>
        <v>5000</v>
      </c>
      <c r="AY35" s="69">
        <f>DATA_ICECREAM[[#This Row],[HARI 3]]</f>
        <v>5000</v>
      </c>
      <c r="AZ35" s="69">
        <f>DATA_ICECREAM[[#This Row],[HARI 4]]</f>
        <v>5000</v>
      </c>
      <c r="BA35" s="69">
        <f>DATA_ICECREAM[[#This Row],[HARI 5]]</f>
        <v>5000</v>
      </c>
      <c r="BB35" s="69">
        <f>DATA_ICECREAM[[#This Row],[HARI 6]]</f>
        <v>5000</v>
      </c>
      <c r="BC35" s="69">
        <f>DATA_ICECREAM[[#This Row],[HARI 7]]</f>
        <v>5000</v>
      </c>
      <c r="BD35" s="69">
        <f>DATA_ICECREAM[[#This Row],[HARI 8]]</f>
        <v>5000</v>
      </c>
      <c r="BE35" s="69">
        <f>DATA_ICECREAM[[#This Row],[HARI 9]]</f>
        <v>5000</v>
      </c>
      <c r="BF35" s="82">
        <f>DATA_ICECREAM[[#This Row],[HARI 10]]</f>
        <v>5000</v>
      </c>
      <c r="BH35" s="86" t="s">
        <v>406</v>
      </c>
      <c r="BI35" s="89">
        <v>25000</v>
      </c>
      <c r="BJ35" s="69">
        <f>DATA_ACC[[#This Row],[HARGA AWAL]]</f>
        <v>25000</v>
      </c>
      <c r="BK35" s="69">
        <f>DATA_ACC[[#This Row],[HARI 1]]</f>
        <v>25000</v>
      </c>
      <c r="BL35" s="69">
        <f>DATA_ACC[[#This Row],[HARI 2]]</f>
        <v>25000</v>
      </c>
      <c r="BM35" s="69">
        <f>DATA_ACC[[#This Row],[HARI 3]]</f>
        <v>25000</v>
      </c>
      <c r="BN35" s="69">
        <f>DATA_ACC[[#This Row],[HARI 4]]</f>
        <v>25000</v>
      </c>
      <c r="BO35" s="69">
        <f>DATA_ACC[[#This Row],[HARI 5]]</f>
        <v>25000</v>
      </c>
      <c r="BP35" s="69">
        <f>DATA_ACC[[#This Row],[HARI 6]]</f>
        <v>25000</v>
      </c>
      <c r="BQ35" s="69">
        <f>DATA_ACC[[#This Row],[HARI 7]]</f>
        <v>25000</v>
      </c>
      <c r="BR35" s="69">
        <f>DATA_ACC[[#This Row],[HARI 8]]</f>
        <v>25000</v>
      </c>
      <c r="BS35" s="69">
        <f>DATA_ACC[[#This Row],[HARI 9]]</f>
        <v>25000</v>
      </c>
      <c r="BT35" s="82">
        <f>DATA_ACC[[#This Row],[HARI 10]]</f>
        <v>25000</v>
      </c>
    </row>
    <row r="36" ht="18" spans="4:72">
      <c r="D36" s="65" t="s">
        <v>72</v>
      </c>
      <c r="E36" s="66">
        <v>20000</v>
      </c>
      <c r="F36" s="13">
        <f>DATA_ROKOK[[#This Row],[HARGA AWAL]]</f>
        <v>20000</v>
      </c>
      <c r="G36" s="13">
        <f>DATA_ROKOK[[#This Row],[HARI 1]]</f>
        <v>20000</v>
      </c>
      <c r="H36" s="13">
        <f>DATA_ROKOK[[#This Row],[HARI 2]]</f>
        <v>20000</v>
      </c>
      <c r="I36" s="13">
        <f>DATA_ROKOK[[#This Row],[HARI 3]]</f>
        <v>20000</v>
      </c>
      <c r="J36" s="13">
        <f>DATA_ROKOK[[#This Row],[HARI 4]]</f>
        <v>20000</v>
      </c>
      <c r="K36" s="13">
        <f>DATA_ROKOK[[#This Row],[HARI 5]]</f>
        <v>20000</v>
      </c>
      <c r="L36" s="13">
        <f>DATA_ROKOK[[#This Row],[HARI 6]]</f>
        <v>20000</v>
      </c>
      <c r="M36" s="13">
        <f>DATA_ROKOK[[#This Row],[HARI 7]]</f>
        <v>20000</v>
      </c>
      <c r="N36" s="13">
        <f>DATA_ROKOK[[#This Row],[HARI 8]]</f>
        <v>20000</v>
      </c>
      <c r="O36" s="13">
        <f>DATA_ROKOK[[#This Row],[HARI 9]]</f>
        <v>20000</v>
      </c>
      <c r="P36" s="81">
        <f>DATA_ROKOK[[#This Row],[HARI 10]]</f>
        <v>20000</v>
      </c>
      <c r="R36" s="86"/>
      <c r="S36" s="87" t="s">
        <v>407</v>
      </c>
      <c r="T36" s="13" t="str">
        <f>DATA_SPVOU[[#This Row],[HARGA AWAL]]</f>
        <v/>
      </c>
      <c r="U36" s="13" t="str">
        <f>DATA_SPVOU[[#This Row],[HARI 1]]</f>
        <v/>
      </c>
      <c r="V36" s="13" t="str">
        <f>DATA_SPVOU[[#This Row],[HARI 2]]</f>
        <v/>
      </c>
      <c r="W36" s="13" t="str">
        <f>DATA_SPVOU[[#This Row],[HARI 3]]</f>
        <v/>
      </c>
      <c r="X36" s="13" t="str">
        <f>DATA_SPVOU[[#This Row],[HARI 4]]</f>
        <v/>
      </c>
      <c r="Y36" s="13" t="str">
        <f>DATA_SPVOU[[#This Row],[HARI 5]]</f>
        <v/>
      </c>
      <c r="Z36" s="13" t="str">
        <f>DATA_SPVOU[[#This Row],[HARI 6]]</f>
        <v/>
      </c>
      <c r="AA36" s="13" t="str">
        <f>DATA_SPVOU[[#This Row],[HARI 7]]</f>
        <v/>
      </c>
      <c r="AB36" s="13" t="str">
        <f>DATA_SPVOU[[#This Row],[HARI 8]]</f>
        <v/>
      </c>
      <c r="AC36" s="13" t="str">
        <f>DATA_SPVOU[[#This Row],[HARI 9]]</f>
        <v/>
      </c>
      <c r="AD36" s="81" t="str">
        <f>DATA_SPVOU[[#This Row],[HARI 10]]</f>
        <v/>
      </c>
      <c r="AT36" s="88" t="s">
        <v>408</v>
      </c>
      <c r="AU36" s="87">
        <v>5000</v>
      </c>
      <c r="AV36" s="13">
        <f>DATA_ICECREAM[[#This Row],[HARGA AWAL]]</f>
        <v>5000</v>
      </c>
      <c r="AW36" s="13">
        <f>DATA_ICECREAM[[#This Row],[HARI 1]]</f>
        <v>5000</v>
      </c>
      <c r="AX36" s="13">
        <f>DATA_ICECREAM[[#This Row],[HARI 2]]</f>
        <v>5000</v>
      </c>
      <c r="AY36" s="13">
        <f>DATA_ICECREAM[[#This Row],[HARI 3]]</f>
        <v>5000</v>
      </c>
      <c r="AZ36" s="13">
        <f>DATA_ICECREAM[[#This Row],[HARI 4]]</f>
        <v>5000</v>
      </c>
      <c r="BA36" s="13">
        <f>DATA_ICECREAM[[#This Row],[HARI 5]]</f>
        <v>5000</v>
      </c>
      <c r="BB36" s="13">
        <f>DATA_ICECREAM[[#This Row],[HARI 6]]</f>
        <v>5000</v>
      </c>
      <c r="BC36" s="13">
        <f>DATA_ICECREAM[[#This Row],[HARI 7]]</f>
        <v>5000</v>
      </c>
      <c r="BD36" s="13">
        <f>DATA_ICECREAM[[#This Row],[HARI 8]]</f>
        <v>5000</v>
      </c>
      <c r="BE36" s="13">
        <f>DATA_ICECREAM[[#This Row],[HARI 9]]</f>
        <v>5000</v>
      </c>
      <c r="BF36" s="81">
        <f>DATA_ICECREAM[[#This Row],[HARI 10]]</f>
        <v>5000</v>
      </c>
      <c r="BH36" s="88" t="s">
        <v>409</v>
      </c>
      <c r="BI36" s="87">
        <v>30000</v>
      </c>
      <c r="BJ36" s="13">
        <f>DATA_ACC[[#This Row],[HARGA AWAL]]</f>
        <v>30000</v>
      </c>
      <c r="BK36" s="13">
        <f>DATA_ACC[[#This Row],[HARI 1]]</f>
        <v>30000</v>
      </c>
      <c r="BL36" s="13">
        <f>DATA_ACC[[#This Row],[HARI 2]]</f>
        <v>30000</v>
      </c>
      <c r="BM36" s="13">
        <f>DATA_ACC[[#This Row],[HARI 3]]</f>
        <v>30000</v>
      </c>
      <c r="BN36" s="13">
        <f>DATA_ACC[[#This Row],[HARI 4]]</f>
        <v>30000</v>
      </c>
      <c r="BO36" s="13">
        <f>DATA_ACC[[#This Row],[HARI 5]]</f>
        <v>30000</v>
      </c>
      <c r="BP36" s="13">
        <f>DATA_ACC[[#This Row],[HARI 6]]</f>
        <v>30000</v>
      </c>
      <c r="BQ36" s="13">
        <f>DATA_ACC[[#This Row],[HARI 7]]</f>
        <v>30000</v>
      </c>
      <c r="BR36" s="13">
        <f>DATA_ACC[[#This Row],[HARI 8]]</f>
        <v>30000</v>
      </c>
      <c r="BS36" s="13">
        <f>DATA_ACC[[#This Row],[HARI 9]]</f>
        <v>30000</v>
      </c>
      <c r="BT36" s="81">
        <f>DATA_ACC[[#This Row],[HARI 10]]</f>
        <v>30000</v>
      </c>
    </row>
    <row r="37" ht="18" spans="4:72">
      <c r="D37" s="67" t="s">
        <v>74</v>
      </c>
      <c r="E37" s="68">
        <v>20000</v>
      </c>
      <c r="F37" s="69">
        <f>DATA_ROKOK[[#This Row],[HARGA AWAL]]</f>
        <v>20000</v>
      </c>
      <c r="G37" s="69">
        <f>DATA_ROKOK[[#This Row],[HARI 1]]</f>
        <v>20000</v>
      </c>
      <c r="H37" s="69">
        <f>DATA_ROKOK[[#This Row],[HARI 2]]</f>
        <v>20000</v>
      </c>
      <c r="I37" s="69">
        <f>DATA_ROKOK[[#This Row],[HARI 3]]</f>
        <v>20000</v>
      </c>
      <c r="J37" s="69">
        <f>DATA_ROKOK[[#This Row],[HARI 4]]</f>
        <v>20000</v>
      </c>
      <c r="K37" s="69">
        <f>DATA_ROKOK[[#This Row],[HARI 5]]</f>
        <v>20000</v>
      </c>
      <c r="L37" s="69">
        <f>DATA_ROKOK[[#This Row],[HARI 6]]</f>
        <v>20000</v>
      </c>
      <c r="M37" s="69">
        <f>DATA_ROKOK[[#This Row],[HARI 7]]</f>
        <v>20000</v>
      </c>
      <c r="N37" s="69">
        <f>DATA_ROKOK[[#This Row],[HARI 8]]</f>
        <v>20000</v>
      </c>
      <c r="O37" s="69">
        <f>DATA_ROKOK[[#This Row],[HARI 9]]</f>
        <v>20000</v>
      </c>
      <c r="P37" s="82">
        <f>DATA_ROKOK[[#This Row],[HARI 10]]</f>
        <v>20000</v>
      </c>
      <c r="R37" s="88" t="s">
        <v>410</v>
      </c>
      <c r="S37" s="89">
        <v>10000</v>
      </c>
      <c r="T37" s="69">
        <f>DATA_SPVOU[[#This Row],[HARGA AWAL]]</f>
        <v>10000</v>
      </c>
      <c r="U37" s="69">
        <f>DATA_SPVOU[[#This Row],[HARI 1]]</f>
        <v>10000</v>
      </c>
      <c r="V37" s="69">
        <f>DATA_SPVOU[[#This Row],[HARI 2]]</f>
        <v>10000</v>
      </c>
      <c r="W37" s="69">
        <f>DATA_SPVOU[[#This Row],[HARI 3]]</f>
        <v>10000</v>
      </c>
      <c r="X37" s="69">
        <f>DATA_SPVOU[[#This Row],[HARI 4]]</f>
        <v>10000</v>
      </c>
      <c r="Y37" s="69">
        <f>DATA_SPVOU[[#This Row],[HARI 5]]</f>
        <v>10000</v>
      </c>
      <c r="Z37" s="69">
        <f>DATA_SPVOU[[#This Row],[HARI 6]]</f>
        <v>10000</v>
      </c>
      <c r="AA37" s="69">
        <f>DATA_SPVOU[[#This Row],[HARI 7]]</f>
        <v>10000</v>
      </c>
      <c r="AB37" s="69">
        <f>DATA_SPVOU[[#This Row],[HARI 8]]</f>
        <v>10000</v>
      </c>
      <c r="AC37" s="69">
        <f>DATA_SPVOU[[#This Row],[HARI 9]]</f>
        <v>10000</v>
      </c>
      <c r="AD37" s="82">
        <f>DATA_SPVOU[[#This Row],[HARI 10]]</f>
        <v>10000</v>
      </c>
      <c r="AT37" s="86" t="s">
        <v>411</v>
      </c>
      <c r="AU37" s="89">
        <v>5000</v>
      </c>
      <c r="AV37" s="69">
        <f>DATA_ICECREAM[[#This Row],[HARGA AWAL]]</f>
        <v>5000</v>
      </c>
      <c r="AW37" s="69">
        <f>DATA_ICECREAM[[#This Row],[HARI 1]]</f>
        <v>5000</v>
      </c>
      <c r="AX37" s="69">
        <f>DATA_ICECREAM[[#This Row],[HARI 2]]</f>
        <v>5000</v>
      </c>
      <c r="AY37" s="69">
        <f>DATA_ICECREAM[[#This Row],[HARI 3]]</f>
        <v>5000</v>
      </c>
      <c r="AZ37" s="69">
        <f>DATA_ICECREAM[[#This Row],[HARI 4]]</f>
        <v>5000</v>
      </c>
      <c r="BA37" s="69">
        <f>DATA_ICECREAM[[#This Row],[HARI 5]]</f>
        <v>5000</v>
      </c>
      <c r="BB37" s="69">
        <f>DATA_ICECREAM[[#This Row],[HARI 6]]</f>
        <v>5000</v>
      </c>
      <c r="BC37" s="69">
        <f>DATA_ICECREAM[[#This Row],[HARI 7]]</f>
        <v>5000</v>
      </c>
      <c r="BD37" s="69">
        <f>DATA_ICECREAM[[#This Row],[HARI 8]]</f>
        <v>5000</v>
      </c>
      <c r="BE37" s="69">
        <f>DATA_ICECREAM[[#This Row],[HARI 9]]</f>
        <v>5000</v>
      </c>
      <c r="BF37" s="82">
        <f>DATA_ICECREAM[[#This Row],[HARI 10]]</f>
        <v>5000</v>
      </c>
      <c r="BH37" s="86" t="s">
        <v>412</v>
      </c>
      <c r="BI37" s="89">
        <v>35000</v>
      </c>
      <c r="BJ37" s="69">
        <f>DATA_ACC[[#This Row],[HARGA AWAL]]</f>
        <v>35000</v>
      </c>
      <c r="BK37" s="69">
        <f>DATA_ACC[[#This Row],[HARI 1]]</f>
        <v>35000</v>
      </c>
      <c r="BL37" s="69">
        <f>DATA_ACC[[#This Row],[HARI 2]]</f>
        <v>35000</v>
      </c>
      <c r="BM37" s="69">
        <f>DATA_ACC[[#This Row],[HARI 3]]</f>
        <v>35000</v>
      </c>
      <c r="BN37" s="69">
        <f>DATA_ACC[[#This Row],[HARI 4]]</f>
        <v>35000</v>
      </c>
      <c r="BO37" s="69">
        <f>DATA_ACC[[#This Row],[HARI 5]]</f>
        <v>35000</v>
      </c>
      <c r="BP37" s="69">
        <f>DATA_ACC[[#This Row],[HARI 6]]</f>
        <v>35000</v>
      </c>
      <c r="BQ37" s="69">
        <f>DATA_ACC[[#This Row],[HARI 7]]</f>
        <v>35000</v>
      </c>
      <c r="BR37" s="69">
        <f>DATA_ACC[[#This Row],[HARI 8]]</f>
        <v>35000</v>
      </c>
      <c r="BS37" s="69">
        <f>DATA_ACC[[#This Row],[HARI 9]]</f>
        <v>35000</v>
      </c>
      <c r="BT37" s="82">
        <f>DATA_ACC[[#This Row],[HARI 10]]</f>
        <v>35000</v>
      </c>
    </row>
    <row r="38" ht="18" spans="4:72">
      <c r="D38" s="65" t="s">
        <v>413</v>
      </c>
      <c r="E38" s="66">
        <v>18000</v>
      </c>
      <c r="F38" s="13">
        <f>DATA_ROKOK[[#This Row],[HARGA AWAL]]</f>
        <v>18000</v>
      </c>
      <c r="G38" s="13">
        <f>DATA_ROKOK[[#This Row],[HARI 1]]</f>
        <v>18000</v>
      </c>
      <c r="H38" s="13">
        <f>DATA_ROKOK[[#This Row],[HARI 2]]</f>
        <v>18000</v>
      </c>
      <c r="I38" s="13">
        <f>DATA_ROKOK[[#This Row],[HARI 3]]</f>
        <v>18000</v>
      </c>
      <c r="J38" s="13">
        <f>DATA_ROKOK[[#This Row],[HARI 4]]</f>
        <v>18000</v>
      </c>
      <c r="K38" s="13">
        <f>DATA_ROKOK[[#This Row],[HARI 5]]</f>
        <v>18000</v>
      </c>
      <c r="L38" s="13">
        <f>DATA_ROKOK[[#This Row],[HARI 6]]</f>
        <v>18000</v>
      </c>
      <c r="M38" s="13">
        <f>DATA_ROKOK[[#This Row],[HARI 7]]</f>
        <v>18000</v>
      </c>
      <c r="N38" s="13">
        <f>DATA_ROKOK[[#This Row],[HARI 8]]</f>
        <v>18000</v>
      </c>
      <c r="O38" s="13">
        <f>DATA_ROKOK[[#This Row],[HARI 9]]</f>
        <v>18000</v>
      </c>
      <c r="P38" s="81">
        <f>DATA_ROKOK[[#This Row],[HARI 10]]</f>
        <v>18000</v>
      </c>
      <c r="R38" s="86" t="s">
        <v>86</v>
      </c>
      <c r="S38" s="87">
        <v>15000</v>
      </c>
      <c r="T38" s="13">
        <f>DATA_SPVOU[[#This Row],[HARGA AWAL]]</f>
        <v>15000</v>
      </c>
      <c r="U38" s="13">
        <f>DATA_SPVOU[[#This Row],[HARI 1]]</f>
        <v>15000</v>
      </c>
      <c r="V38" s="13">
        <f>DATA_SPVOU[[#This Row],[HARI 2]]</f>
        <v>15000</v>
      </c>
      <c r="W38" s="13">
        <f>DATA_SPVOU[[#This Row],[HARI 3]]</f>
        <v>15000</v>
      </c>
      <c r="X38" s="13">
        <f>DATA_SPVOU[[#This Row],[HARI 4]]</f>
        <v>15000</v>
      </c>
      <c r="Y38" s="13">
        <f>DATA_SPVOU[[#This Row],[HARI 5]]</f>
        <v>15000</v>
      </c>
      <c r="Z38" s="13">
        <f>DATA_SPVOU[[#This Row],[HARI 6]]</f>
        <v>15000</v>
      </c>
      <c r="AA38" s="13">
        <f>DATA_SPVOU[[#This Row],[HARI 7]]</f>
        <v>15000</v>
      </c>
      <c r="AB38" s="13">
        <f>DATA_SPVOU[[#This Row],[HARI 8]]</f>
        <v>15000</v>
      </c>
      <c r="AC38" s="13">
        <f>DATA_SPVOU[[#This Row],[HARI 9]]</f>
        <v>15000</v>
      </c>
      <c r="AD38" s="81">
        <f>DATA_SPVOU[[#This Row],[HARI 10]]</f>
        <v>15000</v>
      </c>
      <c r="AT38" s="88" t="s">
        <v>414</v>
      </c>
      <c r="AU38" s="87">
        <v>5000</v>
      </c>
      <c r="AV38" s="13">
        <f>DATA_ICECREAM[[#This Row],[HARGA AWAL]]</f>
        <v>5000</v>
      </c>
      <c r="AW38" s="13">
        <f>DATA_ICECREAM[[#This Row],[HARI 1]]</f>
        <v>5000</v>
      </c>
      <c r="AX38" s="13">
        <f>DATA_ICECREAM[[#This Row],[HARI 2]]</f>
        <v>5000</v>
      </c>
      <c r="AY38" s="13">
        <f>DATA_ICECREAM[[#This Row],[HARI 3]]</f>
        <v>5000</v>
      </c>
      <c r="AZ38" s="13">
        <f>DATA_ICECREAM[[#This Row],[HARI 4]]</f>
        <v>5000</v>
      </c>
      <c r="BA38" s="13">
        <f>DATA_ICECREAM[[#This Row],[HARI 5]]</f>
        <v>5000</v>
      </c>
      <c r="BB38" s="13">
        <f>DATA_ICECREAM[[#This Row],[HARI 6]]</f>
        <v>5000</v>
      </c>
      <c r="BC38" s="13">
        <f>DATA_ICECREAM[[#This Row],[HARI 7]]</f>
        <v>5000</v>
      </c>
      <c r="BD38" s="13">
        <f>DATA_ICECREAM[[#This Row],[HARI 8]]</f>
        <v>5000</v>
      </c>
      <c r="BE38" s="13">
        <f>DATA_ICECREAM[[#This Row],[HARI 9]]</f>
        <v>5000</v>
      </c>
      <c r="BF38" s="81">
        <f>DATA_ICECREAM[[#This Row],[HARI 10]]</f>
        <v>5000</v>
      </c>
      <c r="BH38" s="88" t="s">
        <v>415</v>
      </c>
      <c r="BI38" s="87">
        <v>40000</v>
      </c>
      <c r="BJ38" s="13">
        <f>DATA_ACC[[#This Row],[HARGA AWAL]]</f>
        <v>40000</v>
      </c>
      <c r="BK38" s="13">
        <f>DATA_ACC[[#This Row],[HARI 1]]</f>
        <v>40000</v>
      </c>
      <c r="BL38" s="13">
        <f>DATA_ACC[[#This Row],[HARI 2]]</f>
        <v>40000</v>
      </c>
      <c r="BM38" s="13">
        <f>DATA_ACC[[#This Row],[HARI 3]]</f>
        <v>40000</v>
      </c>
      <c r="BN38" s="13">
        <f>DATA_ACC[[#This Row],[HARI 4]]</f>
        <v>40000</v>
      </c>
      <c r="BO38" s="13">
        <f>DATA_ACC[[#This Row],[HARI 5]]</f>
        <v>40000</v>
      </c>
      <c r="BP38" s="13">
        <f>DATA_ACC[[#This Row],[HARI 6]]</f>
        <v>40000</v>
      </c>
      <c r="BQ38" s="13">
        <f>DATA_ACC[[#This Row],[HARI 7]]</f>
        <v>40000</v>
      </c>
      <c r="BR38" s="13">
        <f>DATA_ACC[[#This Row],[HARI 8]]</f>
        <v>40000</v>
      </c>
      <c r="BS38" s="13">
        <f>DATA_ACC[[#This Row],[HARI 9]]</f>
        <v>40000</v>
      </c>
      <c r="BT38" s="81">
        <f>DATA_ACC[[#This Row],[HARI 10]]</f>
        <v>40000</v>
      </c>
    </row>
    <row r="39" ht="18" spans="4:72">
      <c r="D39" s="67" t="s">
        <v>75</v>
      </c>
      <c r="E39" s="68">
        <v>16000</v>
      </c>
      <c r="F39" s="69">
        <f>DATA_ROKOK[[#This Row],[HARGA AWAL]]</f>
        <v>16000</v>
      </c>
      <c r="G39" s="69">
        <f>DATA_ROKOK[[#This Row],[HARI 1]]</f>
        <v>16000</v>
      </c>
      <c r="H39" s="69">
        <f>DATA_ROKOK[[#This Row],[HARI 2]]</f>
        <v>16000</v>
      </c>
      <c r="I39" s="69">
        <f>DATA_ROKOK[[#This Row],[HARI 3]]</f>
        <v>16000</v>
      </c>
      <c r="J39" s="69">
        <f>DATA_ROKOK[[#This Row],[HARI 4]]</f>
        <v>16000</v>
      </c>
      <c r="K39" s="69">
        <f>DATA_ROKOK[[#This Row],[HARI 5]]</f>
        <v>16000</v>
      </c>
      <c r="L39" s="69">
        <f>DATA_ROKOK[[#This Row],[HARI 6]]</f>
        <v>16000</v>
      </c>
      <c r="M39" s="69">
        <f>DATA_ROKOK[[#This Row],[HARI 7]]</f>
        <v>16000</v>
      </c>
      <c r="N39" s="69">
        <f>DATA_ROKOK[[#This Row],[HARI 8]]</f>
        <v>16000</v>
      </c>
      <c r="O39" s="69">
        <f>DATA_ROKOK[[#This Row],[HARI 9]]</f>
        <v>16000</v>
      </c>
      <c r="P39" s="82">
        <f>DATA_ROKOK[[#This Row],[HARI 10]]</f>
        <v>16000</v>
      </c>
      <c r="R39" s="88" t="s">
        <v>416</v>
      </c>
      <c r="S39" s="89">
        <v>21000</v>
      </c>
      <c r="T39" s="69">
        <f>DATA_SPVOU[[#This Row],[HARGA AWAL]]</f>
        <v>21000</v>
      </c>
      <c r="U39" s="69">
        <f>DATA_SPVOU[[#This Row],[HARI 1]]</f>
        <v>21000</v>
      </c>
      <c r="V39" s="69">
        <f>DATA_SPVOU[[#This Row],[HARI 2]]</f>
        <v>21000</v>
      </c>
      <c r="W39" s="69">
        <f>DATA_SPVOU[[#This Row],[HARI 3]]</f>
        <v>21000</v>
      </c>
      <c r="X39" s="69">
        <f>DATA_SPVOU[[#This Row],[HARI 4]]</f>
        <v>21000</v>
      </c>
      <c r="Y39" s="69">
        <f>DATA_SPVOU[[#This Row],[HARI 5]]</f>
        <v>21000</v>
      </c>
      <c r="Z39" s="69">
        <f>DATA_SPVOU[[#This Row],[HARI 6]]</f>
        <v>21000</v>
      </c>
      <c r="AA39" s="69">
        <f>DATA_SPVOU[[#This Row],[HARI 7]]</f>
        <v>21000</v>
      </c>
      <c r="AB39" s="69">
        <f>DATA_SPVOU[[#This Row],[HARI 8]]</f>
        <v>21000</v>
      </c>
      <c r="AC39" s="69">
        <f>DATA_SPVOU[[#This Row],[HARI 9]]</f>
        <v>21000</v>
      </c>
      <c r="AD39" s="82">
        <f>DATA_SPVOU[[#This Row],[HARI 10]]</f>
        <v>21000</v>
      </c>
      <c r="AT39" s="86" t="s">
        <v>107</v>
      </c>
      <c r="AU39" s="89">
        <v>5000</v>
      </c>
      <c r="AV39" s="69">
        <f>DATA_ICECREAM[[#This Row],[HARGA AWAL]]</f>
        <v>5000</v>
      </c>
      <c r="AW39" s="69">
        <f>DATA_ICECREAM[[#This Row],[HARI 1]]</f>
        <v>5000</v>
      </c>
      <c r="AX39" s="69">
        <f>DATA_ICECREAM[[#This Row],[HARI 2]]</f>
        <v>5000</v>
      </c>
      <c r="AY39" s="69">
        <f>DATA_ICECREAM[[#This Row],[HARI 3]]</f>
        <v>5000</v>
      </c>
      <c r="AZ39" s="69">
        <f>DATA_ICECREAM[[#This Row],[HARI 4]]</f>
        <v>5000</v>
      </c>
      <c r="BA39" s="69">
        <f>DATA_ICECREAM[[#This Row],[HARI 5]]</f>
        <v>5000</v>
      </c>
      <c r="BB39" s="69">
        <f>DATA_ICECREAM[[#This Row],[HARI 6]]</f>
        <v>5000</v>
      </c>
      <c r="BC39" s="69">
        <f>DATA_ICECREAM[[#This Row],[HARI 7]]</f>
        <v>5000</v>
      </c>
      <c r="BD39" s="69">
        <f>DATA_ICECREAM[[#This Row],[HARI 8]]</f>
        <v>5000</v>
      </c>
      <c r="BE39" s="69">
        <f>DATA_ICECREAM[[#This Row],[HARI 9]]</f>
        <v>5000</v>
      </c>
      <c r="BF39" s="82">
        <f>DATA_ICECREAM[[#This Row],[HARI 10]]</f>
        <v>5000</v>
      </c>
      <c r="BH39" s="86" t="s">
        <v>417</v>
      </c>
      <c r="BI39" s="89">
        <v>55000</v>
      </c>
      <c r="BJ39" s="69">
        <f>DATA_ACC[[#This Row],[HARGA AWAL]]</f>
        <v>55000</v>
      </c>
      <c r="BK39" s="69">
        <f>DATA_ACC[[#This Row],[HARI 1]]</f>
        <v>55000</v>
      </c>
      <c r="BL39" s="69">
        <f>DATA_ACC[[#This Row],[HARI 2]]</f>
        <v>55000</v>
      </c>
      <c r="BM39" s="69">
        <f>DATA_ACC[[#This Row],[HARI 3]]</f>
        <v>55000</v>
      </c>
      <c r="BN39" s="69">
        <f>DATA_ACC[[#This Row],[HARI 4]]</f>
        <v>55000</v>
      </c>
      <c r="BO39" s="69">
        <f>DATA_ACC[[#This Row],[HARI 5]]</f>
        <v>55000</v>
      </c>
      <c r="BP39" s="69">
        <f>DATA_ACC[[#This Row],[HARI 6]]</f>
        <v>55000</v>
      </c>
      <c r="BQ39" s="69">
        <f>DATA_ACC[[#This Row],[HARI 7]]</f>
        <v>55000</v>
      </c>
      <c r="BR39" s="69">
        <f>DATA_ACC[[#This Row],[HARI 8]]</f>
        <v>55000</v>
      </c>
      <c r="BS39" s="69">
        <f>DATA_ACC[[#This Row],[HARI 9]]</f>
        <v>55000</v>
      </c>
      <c r="BT39" s="82">
        <f>DATA_ACC[[#This Row],[HARI 10]]</f>
        <v>55000</v>
      </c>
    </row>
    <row r="40" ht="18" spans="4:72">
      <c r="D40" s="65" t="s">
        <v>418</v>
      </c>
      <c r="E40" s="66">
        <v>17000</v>
      </c>
      <c r="F40" s="13">
        <f>DATA_ROKOK[[#This Row],[HARGA AWAL]]</f>
        <v>17000</v>
      </c>
      <c r="G40" s="13">
        <f>DATA_ROKOK[[#This Row],[HARI 1]]</f>
        <v>17000</v>
      </c>
      <c r="H40" s="13">
        <f>DATA_ROKOK[[#This Row],[HARI 2]]</f>
        <v>17000</v>
      </c>
      <c r="I40" s="13">
        <f>DATA_ROKOK[[#This Row],[HARI 3]]</f>
        <v>17000</v>
      </c>
      <c r="J40" s="13">
        <f>DATA_ROKOK[[#This Row],[HARI 4]]</f>
        <v>17000</v>
      </c>
      <c r="K40" s="13">
        <f>DATA_ROKOK[[#This Row],[HARI 5]]</f>
        <v>17000</v>
      </c>
      <c r="L40" s="13">
        <f>DATA_ROKOK[[#This Row],[HARI 6]]</f>
        <v>17000</v>
      </c>
      <c r="M40" s="13">
        <f>DATA_ROKOK[[#This Row],[HARI 7]]</f>
        <v>17000</v>
      </c>
      <c r="N40" s="13">
        <f>DATA_ROKOK[[#This Row],[HARI 8]]</f>
        <v>17000</v>
      </c>
      <c r="O40" s="13">
        <f>DATA_ROKOK[[#This Row],[HARI 9]]</f>
        <v>17000</v>
      </c>
      <c r="P40" s="81">
        <f>DATA_ROKOK[[#This Row],[HARI 10]]</f>
        <v>17000</v>
      </c>
      <c r="R40" s="86" t="s">
        <v>419</v>
      </c>
      <c r="S40" s="87">
        <v>23000</v>
      </c>
      <c r="T40" s="13">
        <f>DATA_SPVOU[[#This Row],[HARGA AWAL]]</f>
        <v>23000</v>
      </c>
      <c r="U40" s="13">
        <f>DATA_SPVOU[[#This Row],[HARI 1]]</f>
        <v>23000</v>
      </c>
      <c r="V40" s="13">
        <f>DATA_SPVOU[[#This Row],[HARI 2]]</f>
        <v>23000</v>
      </c>
      <c r="W40" s="13">
        <f>DATA_SPVOU[[#This Row],[HARI 3]]</f>
        <v>23000</v>
      </c>
      <c r="X40" s="13">
        <f>DATA_SPVOU[[#This Row],[HARI 4]]</f>
        <v>23000</v>
      </c>
      <c r="Y40" s="13">
        <f>DATA_SPVOU[[#This Row],[HARI 5]]</f>
        <v>23000</v>
      </c>
      <c r="Z40" s="13">
        <f>DATA_SPVOU[[#This Row],[HARI 6]]</f>
        <v>23000</v>
      </c>
      <c r="AA40" s="13">
        <f>DATA_SPVOU[[#This Row],[HARI 7]]</f>
        <v>23000</v>
      </c>
      <c r="AB40" s="13">
        <f>DATA_SPVOU[[#This Row],[HARI 8]]</f>
        <v>23000</v>
      </c>
      <c r="AC40" s="13">
        <f>DATA_SPVOU[[#This Row],[HARI 9]]</f>
        <v>23000</v>
      </c>
      <c r="AD40" s="81">
        <f>DATA_SPVOU[[#This Row],[HARI 10]]</f>
        <v>23000</v>
      </c>
      <c r="AT40" s="88" t="s">
        <v>420</v>
      </c>
      <c r="AU40" s="87">
        <v>5000</v>
      </c>
      <c r="AV40" s="13">
        <f>DATA_ICECREAM[[#This Row],[HARGA AWAL]]</f>
        <v>5000</v>
      </c>
      <c r="AW40" s="13">
        <f>DATA_ICECREAM[[#This Row],[HARI 1]]</f>
        <v>5000</v>
      </c>
      <c r="AX40" s="13">
        <f>DATA_ICECREAM[[#This Row],[HARI 2]]</f>
        <v>5000</v>
      </c>
      <c r="AY40" s="13">
        <f>DATA_ICECREAM[[#This Row],[HARI 3]]</f>
        <v>5000</v>
      </c>
      <c r="AZ40" s="13">
        <f>DATA_ICECREAM[[#This Row],[HARI 4]]</f>
        <v>5000</v>
      </c>
      <c r="BA40" s="13">
        <f>DATA_ICECREAM[[#This Row],[HARI 5]]</f>
        <v>5000</v>
      </c>
      <c r="BB40" s="13">
        <f>DATA_ICECREAM[[#This Row],[HARI 6]]</f>
        <v>5000</v>
      </c>
      <c r="BC40" s="13">
        <f>DATA_ICECREAM[[#This Row],[HARI 7]]</f>
        <v>5000</v>
      </c>
      <c r="BD40" s="13">
        <f>DATA_ICECREAM[[#This Row],[HARI 8]]</f>
        <v>5000</v>
      </c>
      <c r="BE40" s="13">
        <f>DATA_ICECREAM[[#This Row],[HARI 9]]</f>
        <v>5000</v>
      </c>
      <c r="BF40" s="81">
        <f>DATA_ICECREAM[[#This Row],[HARI 10]]</f>
        <v>5000</v>
      </c>
      <c r="BH40" s="88" t="s">
        <v>421</v>
      </c>
      <c r="BI40" s="87">
        <v>60000</v>
      </c>
      <c r="BJ40" s="13">
        <f>DATA_ACC[[#This Row],[HARGA AWAL]]</f>
        <v>60000</v>
      </c>
      <c r="BK40" s="13">
        <f>DATA_ACC[[#This Row],[HARI 1]]</f>
        <v>60000</v>
      </c>
      <c r="BL40" s="13">
        <f>DATA_ACC[[#This Row],[HARI 2]]</f>
        <v>60000</v>
      </c>
      <c r="BM40" s="13">
        <f>DATA_ACC[[#This Row],[HARI 3]]</f>
        <v>60000</v>
      </c>
      <c r="BN40" s="13">
        <f>DATA_ACC[[#This Row],[HARI 4]]</f>
        <v>60000</v>
      </c>
      <c r="BO40" s="13">
        <f>DATA_ACC[[#This Row],[HARI 5]]</f>
        <v>60000</v>
      </c>
      <c r="BP40" s="13">
        <f>DATA_ACC[[#This Row],[HARI 6]]</f>
        <v>60000</v>
      </c>
      <c r="BQ40" s="13">
        <f>DATA_ACC[[#This Row],[HARI 7]]</f>
        <v>60000</v>
      </c>
      <c r="BR40" s="13">
        <f>DATA_ACC[[#This Row],[HARI 8]]</f>
        <v>60000</v>
      </c>
      <c r="BS40" s="13">
        <f>DATA_ACC[[#This Row],[HARI 9]]</f>
        <v>60000</v>
      </c>
      <c r="BT40" s="81">
        <f>DATA_ACC[[#This Row],[HARI 10]]</f>
        <v>60000</v>
      </c>
    </row>
    <row r="41" ht="18" spans="4:72">
      <c r="D41" s="67" t="s">
        <v>73</v>
      </c>
      <c r="E41" s="71">
        <v>2500</v>
      </c>
      <c r="F41" s="72">
        <f>DATA_ROKOK[[#This Row],[HARGA AWAL]]</f>
        <v>2500</v>
      </c>
      <c r="G41" s="72">
        <f>DATA_ROKOK[[#This Row],[HARI 1]]</f>
        <v>2500</v>
      </c>
      <c r="H41" s="72">
        <f>DATA_ROKOK[[#This Row],[HARI 2]]</f>
        <v>2500</v>
      </c>
      <c r="I41" s="72">
        <f>DATA_ROKOK[[#This Row],[HARI 3]]</f>
        <v>2500</v>
      </c>
      <c r="J41" s="72">
        <f>DATA_ROKOK[[#This Row],[HARI 4]]</f>
        <v>2500</v>
      </c>
      <c r="K41" s="72">
        <f>DATA_ROKOK[[#This Row],[HARI 5]]</f>
        <v>2500</v>
      </c>
      <c r="L41" s="72">
        <f>DATA_ROKOK[[#This Row],[HARI 6]]</f>
        <v>2500</v>
      </c>
      <c r="M41" s="72">
        <f>DATA_ROKOK[[#This Row],[HARI 7]]</f>
        <v>2500</v>
      </c>
      <c r="N41" s="72">
        <f>DATA_ROKOK[[#This Row],[HARI 8]]</f>
        <v>2500</v>
      </c>
      <c r="O41" s="72">
        <f>DATA_ROKOK[[#This Row],[HARI 9]]</f>
        <v>2500</v>
      </c>
      <c r="P41" s="83">
        <f>DATA_ROKOK[[#This Row],[HARI 10]]</f>
        <v>2500</v>
      </c>
      <c r="R41" s="88" t="s">
        <v>422</v>
      </c>
      <c r="S41" s="89">
        <v>28000</v>
      </c>
      <c r="T41" s="69">
        <f>DATA_SPVOU[[#This Row],[HARGA AWAL]]</f>
        <v>28000</v>
      </c>
      <c r="U41" s="69">
        <f>DATA_SPVOU[[#This Row],[HARI 1]]</f>
        <v>28000</v>
      </c>
      <c r="V41" s="69">
        <f>DATA_SPVOU[[#This Row],[HARI 2]]</f>
        <v>28000</v>
      </c>
      <c r="W41" s="69">
        <f>DATA_SPVOU[[#This Row],[HARI 3]]</f>
        <v>28000</v>
      </c>
      <c r="X41" s="69">
        <f>DATA_SPVOU[[#This Row],[HARI 4]]</f>
        <v>28000</v>
      </c>
      <c r="Y41" s="69">
        <f>DATA_SPVOU[[#This Row],[HARI 5]]</f>
        <v>28000</v>
      </c>
      <c r="Z41" s="69">
        <f>DATA_SPVOU[[#This Row],[HARI 6]]</f>
        <v>28000</v>
      </c>
      <c r="AA41" s="69">
        <f>DATA_SPVOU[[#This Row],[HARI 7]]</f>
        <v>28000</v>
      </c>
      <c r="AB41" s="69">
        <f>DATA_SPVOU[[#This Row],[HARI 8]]</f>
        <v>28000</v>
      </c>
      <c r="AC41" s="69">
        <f>DATA_SPVOU[[#This Row],[HARI 9]]</f>
        <v>28000</v>
      </c>
      <c r="AD41" s="82">
        <f>DATA_SPVOU[[#This Row],[HARI 10]]</f>
        <v>28000</v>
      </c>
      <c r="AT41" s="86" t="s">
        <v>423</v>
      </c>
      <c r="AU41" s="89">
        <v>9000</v>
      </c>
      <c r="AV41" s="69">
        <f>DATA_ICECREAM[[#This Row],[HARGA AWAL]]</f>
        <v>9000</v>
      </c>
      <c r="AW41" s="69">
        <f>DATA_ICECREAM[[#This Row],[HARI 1]]</f>
        <v>9000</v>
      </c>
      <c r="AX41" s="69">
        <f>DATA_ICECREAM[[#This Row],[HARI 2]]</f>
        <v>9000</v>
      </c>
      <c r="AY41" s="69">
        <f>DATA_ICECREAM[[#This Row],[HARI 3]]</f>
        <v>9000</v>
      </c>
      <c r="AZ41" s="69">
        <f>DATA_ICECREAM[[#This Row],[HARI 4]]</f>
        <v>9000</v>
      </c>
      <c r="BA41" s="69">
        <f>DATA_ICECREAM[[#This Row],[HARI 5]]</f>
        <v>9000</v>
      </c>
      <c r="BB41" s="69">
        <f>DATA_ICECREAM[[#This Row],[HARI 6]]</f>
        <v>9000</v>
      </c>
      <c r="BC41" s="69">
        <f>DATA_ICECREAM[[#This Row],[HARI 7]]</f>
        <v>9000</v>
      </c>
      <c r="BD41" s="69">
        <f>DATA_ICECREAM[[#This Row],[HARI 8]]</f>
        <v>9000</v>
      </c>
      <c r="BE41" s="69">
        <f>DATA_ICECREAM[[#This Row],[HARI 9]]</f>
        <v>9000</v>
      </c>
      <c r="BF41" s="82">
        <f>DATA_ICECREAM[[#This Row],[HARI 10]]</f>
        <v>9000</v>
      </c>
      <c r="BH41" s="86" t="s">
        <v>424</v>
      </c>
      <c r="BI41" s="89">
        <v>65000</v>
      </c>
      <c r="BJ41" s="69">
        <f>DATA_ACC[[#This Row],[HARGA AWAL]]</f>
        <v>65000</v>
      </c>
      <c r="BK41" s="69">
        <f>DATA_ACC[[#This Row],[HARI 1]]</f>
        <v>65000</v>
      </c>
      <c r="BL41" s="69">
        <f>DATA_ACC[[#This Row],[HARI 2]]</f>
        <v>65000</v>
      </c>
      <c r="BM41" s="69">
        <f>DATA_ACC[[#This Row],[HARI 3]]</f>
        <v>65000</v>
      </c>
      <c r="BN41" s="69">
        <f>DATA_ACC[[#This Row],[HARI 4]]</f>
        <v>65000</v>
      </c>
      <c r="BO41" s="69">
        <f>DATA_ACC[[#This Row],[HARI 5]]</f>
        <v>65000</v>
      </c>
      <c r="BP41" s="69">
        <f>DATA_ACC[[#This Row],[HARI 6]]</f>
        <v>65000</v>
      </c>
      <c r="BQ41" s="69">
        <f>DATA_ACC[[#This Row],[HARI 7]]</f>
        <v>65000</v>
      </c>
      <c r="BR41" s="69">
        <f>DATA_ACC[[#This Row],[HARI 8]]</f>
        <v>65000</v>
      </c>
      <c r="BS41" s="69">
        <f>DATA_ACC[[#This Row],[HARI 9]]</f>
        <v>65000</v>
      </c>
      <c r="BT41" s="82">
        <f>DATA_ACC[[#This Row],[HARI 10]]</f>
        <v>65000</v>
      </c>
    </row>
    <row r="42" ht="18" spans="4:72">
      <c r="D42" s="65" t="s">
        <v>425</v>
      </c>
      <c r="E42" s="66">
        <v>2000</v>
      </c>
      <c r="F42" s="13">
        <f>DATA_ROKOK[[#This Row],[HARGA AWAL]]</f>
        <v>2000</v>
      </c>
      <c r="G42" s="13">
        <f>DATA_ROKOK[[#This Row],[HARI 1]]</f>
        <v>2000</v>
      </c>
      <c r="H42" s="13">
        <f>DATA_ROKOK[[#This Row],[HARI 2]]</f>
        <v>2000</v>
      </c>
      <c r="I42" s="13">
        <f>DATA_ROKOK[[#This Row],[HARI 3]]</f>
        <v>2000</v>
      </c>
      <c r="J42" s="13">
        <f>DATA_ROKOK[[#This Row],[HARI 4]]</f>
        <v>2000</v>
      </c>
      <c r="K42" s="13">
        <f>DATA_ROKOK[[#This Row],[HARI 5]]</f>
        <v>2000</v>
      </c>
      <c r="L42" s="13">
        <f>DATA_ROKOK[[#This Row],[HARI 6]]</f>
        <v>2000</v>
      </c>
      <c r="M42" s="13">
        <f>DATA_ROKOK[[#This Row],[HARI 7]]</f>
        <v>2000</v>
      </c>
      <c r="N42" s="13">
        <f>DATA_ROKOK[[#This Row],[HARI 8]]</f>
        <v>2000</v>
      </c>
      <c r="O42" s="13">
        <f>DATA_ROKOK[[#This Row],[HARI 9]]</f>
        <v>2000</v>
      </c>
      <c r="P42" s="81">
        <f>DATA_ROKOK[[#This Row],[HARI 10]]</f>
        <v>2000</v>
      </c>
      <c r="R42" s="86" t="s">
        <v>426</v>
      </c>
      <c r="S42" s="87">
        <v>36000</v>
      </c>
      <c r="T42" s="13">
        <f>DATA_SPVOU[[#This Row],[HARGA AWAL]]</f>
        <v>36000</v>
      </c>
      <c r="U42" s="13">
        <f>DATA_SPVOU[[#This Row],[HARI 1]]</f>
        <v>36000</v>
      </c>
      <c r="V42" s="13">
        <f>DATA_SPVOU[[#This Row],[HARI 2]]</f>
        <v>36000</v>
      </c>
      <c r="W42" s="13">
        <f>DATA_SPVOU[[#This Row],[HARI 3]]</f>
        <v>36000</v>
      </c>
      <c r="X42" s="13">
        <f>DATA_SPVOU[[#This Row],[HARI 4]]</f>
        <v>36000</v>
      </c>
      <c r="Y42" s="13">
        <f>DATA_SPVOU[[#This Row],[HARI 5]]</f>
        <v>36000</v>
      </c>
      <c r="Z42" s="13">
        <f>DATA_SPVOU[[#This Row],[HARI 6]]</f>
        <v>36000</v>
      </c>
      <c r="AA42" s="13">
        <f>DATA_SPVOU[[#This Row],[HARI 7]]</f>
        <v>36000</v>
      </c>
      <c r="AB42" s="13">
        <f>DATA_SPVOU[[#This Row],[HARI 8]]</f>
        <v>36000</v>
      </c>
      <c r="AC42" s="13">
        <f>DATA_SPVOU[[#This Row],[HARI 9]]</f>
        <v>36000</v>
      </c>
      <c r="AD42" s="81">
        <f>DATA_SPVOU[[#This Row],[HARI 10]]</f>
        <v>36000</v>
      </c>
      <c r="AT42" s="88" t="s">
        <v>427</v>
      </c>
      <c r="AU42" s="87">
        <v>14000</v>
      </c>
      <c r="AV42" s="13">
        <f>DATA_ICECREAM[[#This Row],[HARGA AWAL]]</f>
        <v>14000</v>
      </c>
      <c r="AW42" s="13">
        <f>DATA_ICECREAM[[#This Row],[HARI 1]]</f>
        <v>14000</v>
      </c>
      <c r="AX42" s="13">
        <f>DATA_ICECREAM[[#This Row],[HARI 2]]</f>
        <v>14000</v>
      </c>
      <c r="AY42" s="13">
        <f>DATA_ICECREAM[[#This Row],[HARI 3]]</f>
        <v>14000</v>
      </c>
      <c r="AZ42" s="13">
        <f>DATA_ICECREAM[[#This Row],[HARI 4]]</f>
        <v>14000</v>
      </c>
      <c r="BA42" s="13">
        <f>DATA_ICECREAM[[#This Row],[HARI 5]]</f>
        <v>14000</v>
      </c>
      <c r="BB42" s="13">
        <f>DATA_ICECREAM[[#This Row],[HARI 6]]</f>
        <v>14000</v>
      </c>
      <c r="BC42" s="13">
        <f>DATA_ICECREAM[[#This Row],[HARI 7]]</f>
        <v>14000</v>
      </c>
      <c r="BD42" s="13">
        <f>DATA_ICECREAM[[#This Row],[HARI 8]]</f>
        <v>14000</v>
      </c>
      <c r="BE42" s="13">
        <f>DATA_ICECREAM[[#This Row],[HARI 9]]</f>
        <v>14000</v>
      </c>
      <c r="BF42" s="81">
        <f>DATA_ICECREAM[[#This Row],[HARI 10]]</f>
        <v>14000</v>
      </c>
      <c r="BH42" s="88" t="s">
        <v>428</v>
      </c>
      <c r="BI42" s="87">
        <v>65000</v>
      </c>
      <c r="BJ42" s="13">
        <f>DATA_ACC[[#This Row],[HARGA AWAL]]</f>
        <v>65000</v>
      </c>
      <c r="BK42" s="13">
        <f>DATA_ACC[[#This Row],[HARI 1]]</f>
        <v>65000</v>
      </c>
      <c r="BL42" s="13">
        <f>DATA_ACC[[#This Row],[HARI 2]]</f>
        <v>65000</v>
      </c>
      <c r="BM42" s="13">
        <f>DATA_ACC[[#This Row],[HARI 3]]</f>
        <v>65000</v>
      </c>
      <c r="BN42" s="13">
        <f>DATA_ACC[[#This Row],[HARI 4]]</f>
        <v>65000</v>
      </c>
      <c r="BO42" s="13">
        <f>DATA_ACC[[#This Row],[HARI 5]]</f>
        <v>65000</v>
      </c>
      <c r="BP42" s="13">
        <f>DATA_ACC[[#This Row],[HARI 6]]</f>
        <v>65000</v>
      </c>
      <c r="BQ42" s="13">
        <f>DATA_ACC[[#This Row],[HARI 7]]</f>
        <v>65000</v>
      </c>
      <c r="BR42" s="13">
        <f>DATA_ACC[[#This Row],[HARI 8]]</f>
        <v>65000</v>
      </c>
      <c r="BS42" s="13">
        <f>DATA_ACC[[#This Row],[HARI 9]]</f>
        <v>65000</v>
      </c>
      <c r="BT42" s="81">
        <f>DATA_ACC[[#This Row],[HARI 10]]</f>
        <v>65000</v>
      </c>
    </row>
    <row r="43" ht="18" spans="4:72">
      <c r="D43" s="67" t="s">
        <v>370</v>
      </c>
      <c r="E43" s="68">
        <v>0</v>
      </c>
      <c r="F43" s="69">
        <f>DATA_ROKOK[[#This Row],[HARGA AWAL]]</f>
        <v>0</v>
      </c>
      <c r="G43" s="69">
        <f>DATA_ROKOK[[#This Row],[HARI 1]]</f>
        <v>0</v>
      </c>
      <c r="H43" s="69">
        <f>DATA_ROKOK[[#This Row],[HARI 2]]</f>
        <v>0</v>
      </c>
      <c r="I43" s="69">
        <f>DATA_ROKOK[[#This Row],[HARI 3]]</f>
        <v>0</v>
      </c>
      <c r="J43" s="69">
        <f>DATA_ROKOK[[#This Row],[HARI 4]]</f>
        <v>0</v>
      </c>
      <c r="K43" s="69">
        <f>DATA_ROKOK[[#This Row],[HARI 5]]</f>
        <v>0</v>
      </c>
      <c r="L43" s="69">
        <f>DATA_ROKOK[[#This Row],[HARI 6]]</f>
        <v>0</v>
      </c>
      <c r="M43" s="69">
        <f>DATA_ROKOK[[#This Row],[HARI 7]]</f>
        <v>0</v>
      </c>
      <c r="N43" s="69">
        <f>DATA_ROKOK[[#This Row],[HARI 8]]</f>
        <v>0</v>
      </c>
      <c r="O43" s="69">
        <f>DATA_ROKOK[[#This Row],[HARI 9]]</f>
        <v>0</v>
      </c>
      <c r="P43" s="82">
        <f>DATA_ROKOK[[#This Row],[HARI 10]]</f>
        <v>0</v>
      </c>
      <c r="R43" s="88" t="s">
        <v>429</v>
      </c>
      <c r="S43" s="89">
        <v>66000</v>
      </c>
      <c r="T43" s="69">
        <f>DATA_SPVOU[[#This Row],[HARGA AWAL]]</f>
        <v>66000</v>
      </c>
      <c r="U43" s="69">
        <f>DATA_SPVOU[[#This Row],[HARI 1]]</f>
        <v>66000</v>
      </c>
      <c r="V43" s="69">
        <f>DATA_SPVOU[[#This Row],[HARI 2]]</f>
        <v>66000</v>
      </c>
      <c r="W43" s="69">
        <f>DATA_SPVOU[[#This Row],[HARI 3]]</f>
        <v>66000</v>
      </c>
      <c r="X43" s="69">
        <f>DATA_SPVOU[[#This Row],[HARI 4]]</f>
        <v>66000</v>
      </c>
      <c r="Y43" s="69">
        <f>DATA_SPVOU[[#This Row],[HARI 5]]</f>
        <v>66000</v>
      </c>
      <c r="Z43" s="69">
        <f>DATA_SPVOU[[#This Row],[HARI 6]]</f>
        <v>66000</v>
      </c>
      <c r="AA43" s="69">
        <f>DATA_SPVOU[[#This Row],[HARI 7]]</f>
        <v>66000</v>
      </c>
      <c r="AB43" s="69">
        <f>DATA_SPVOU[[#This Row],[HARI 8]]</f>
        <v>66000</v>
      </c>
      <c r="AC43" s="69">
        <f>DATA_SPVOU[[#This Row],[HARI 9]]</f>
        <v>66000</v>
      </c>
      <c r="AD43" s="82">
        <f>DATA_SPVOU[[#This Row],[HARI 10]]</f>
        <v>66000</v>
      </c>
      <c r="AT43" s="86" t="s">
        <v>430</v>
      </c>
      <c r="AU43" s="89">
        <v>14000</v>
      </c>
      <c r="AV43" s="69">
        <f>DATA_ICECREAM[[#This Row],[HARGA AWAL]]</f>
        <v>14000</v>
      </c>
      <c r="AW43" s="69">
        <f>DATA_ICECREAM[[#This Row],[HARI 1]]</f>
        <v>14000</v>
      </c>
      <c r="AX43" s="69">
        <f>DATA_ICECREAM[[#This Row],[HARI 2]]</f>
        <v>14000</v>
      </c>
      <c r="AY43" s="69">
        <f>DATA_ICECREAM[[#This Row],[HARI 3]]</f>
        <v>14000</v>
      </c>
      <c r="AZ43" s="69">
        <f>DATA_ICECREAM[[#This Row],[HARI 4]]</f>
        <v>14000</v>
      </c>
      <c r="BA43" s="69">
        <f>DATA_ICECREAM[[#This Row],[HARI 5]]</f>
        <v>14000</v>
      </c>
      <c r="BB43" s="69">
        <f>DATA_ICECREAM[[#This Row],[HARI 6]]</f>
        <v>14000</v>
      </c>
      <c r="BC43" s="69">
        <f>DATA_ICECREAM[[#This Row],[HARI 7]]</f>
        <v>14000</v>
      </c>
      <c r="BD43" s="69">
        <f>DATA_ICECREAM[[#This Row],[HARI 8]]</f>
        <v>14000</v>
      </c>
      <c r="BE43" s="69">
        <f>DATA_ICECREAM[[#This Row],[HARI 9]]</f>
        <v>14000</v>
      </c>
      <c r="BF43" s="82">
        <f>DATA_ICECREAM[[#This Row],[HARI 10]]</f>
        <v>14000</v>
      </c>
      <c r="BH43" s="86" t="s">
        <v>431</v>
      </c>
      <c r="BI43" s="89">
        <v>80000</v>
      </c>
      <c r="BJ43" s="69">
        <f>DATA_ACC[[#This Row],[HARGA AWAL]]</f>
        <v>80000</v>
      </c>
      <c r="BK43" s="69">
        <f>DATA_ACC[[#This Row],[HARI 1]]</f>
        <v>80000</v>
      </c>
      <c r="BL43" s="69">
        <f>DATA_ACC[[#This Row],[HARI 2]]</f>
        <v>80000</v>
      </c>
      <c r="BM43" s="69">
        <f>DATA_ACC[[#This Row],[HARI 3]]</f>
        <v>80000</v>
      </c>
      <c r="BN43" s="69">
        <f>DATA_ACC[[#This Row],[HARI 4]]</f>
        <v>80000</v>
      </c>
      <c r="BO43" s="69">
        <f>DATA_ACC[[#This Row],[HARI 5]]</f>
        <v>80000</v>
      </c>
      <c r="BP43" s="69">
        <f>DATA_ACC[[#This Row],[HARI 6]]</f>
        <v>80000</v>
      </c>
      <c r="BQ43" s="69">
        <f>DATA_ACC[[#This Row],[HARI 7]]</f>
        <v>80000</v>
      </c>
      <c r="BR43" s="69">
        <f>DATA_ACC[[#This Row],[HARI 8]]</f>
        <v>80000</v>
      </c>
      <c r="BS43" s="69">
        <f>DATA_ACC[[#This Row],[HARI 9]]</f>
        <v>80000</v>
      </c>
      <c r="BT43" s="82">
        <f>DATA_ACC[[#This Row],[HARI 10]]</f>
        <v>80000</v>
      </c>
    </row>
    <row r="44" ht="18" spans="4:72">
      <c r="D44" s="73" t="s">
        <v>375</v>
      </c>
      <c r="E44" s="66">
        <v>0</v>
      </c>
      <c r="F44" s="13">
        <f>DATA_ROKOK[[#This Row],[HARGA AWAL]]</f>
        <v>0</v>
      </c>
      <c r="G44" s="13">
        <f>DATA_ROKOK[[#This Row],[HARI 1]]</f>
        <v>0</v>
      </c>
      <c r="H44" s="13">
        <f>DATA_ROKOK[[#This Row],[HARI 2]]</f>
        <v>0</v>
      </c>
      <c r="I44" s="13">
        <f>DATA_ROKOK[[#This Row],[HARI 3]]</f>
        <v>0</v>
      </c>
      <c r="J44" s="13">
        <f>DATA_ROKOK[[#This Row],[HARI 4]]</f>
        <v>0</v>
      </c>
      <c r="K44" s="13">
        <f>DATA_ROKOK[[#This Row],[HARI 5]]</f>
        <v>0</v>
      </c>
      <c r="L44" s="13">
        <f>DATA_ROKOK[[#This Row],[HARI 6]]</f>
        <v>0</v>
      </c>
      <c r="M44" s="13">
        <f>DATA_ROKOK[[#This Row],[HARI 7]]</f>
        <v>0</v>
      </c>
      <c r="N44" s="13">
        <f>DATA_ROKOK[[#This Row],[HARI 8]]</f>
        <v>0</v>
      </c>
      <c r="O44" s="13">
        <f>DATA_ROKOK[[#This Row],[HARI 9]]</f>
        <v>0</v>
      </c>
      <c r="P44" s="81">
        <f>DATA_ROKOK[[#This Row],[HARI 10]]</f>
        <v>0</v>
      </c>
      <c r="R44" s="86" t="s">
        <v>85</v>
      </c>
      <c r="S44" s="87">
        <v>7000</v>
      </c>
      <c r="T44" s="13">
        <f>DATA_SPVOU[[#This Row],[HARGA AWAL]]</f>
        <v>7000</v>
      </c>
      <c r="U44" s="13">
        <f>DATA_SPVOU[[#This Row],[HARI 1]]</f>
        <v>7000</v>
      </c>
      <c r="V44" s="13">
        <f>DATA_SPVOU[[#This Row],[HARI 2]]</f>
        <v>7000</v>
      </c>
      <c r="W44" s="13">
        <f>DATA_SPVOU[[#This Row],[HARI 3]]</f>
        <v>7000</v>
      </c>
      <c r="X44" s="13">
        <f>DATA_SPVOU[[#This Row],[HARI 4]]</f>
        <v>7000</v>
      </c>
      <c r="Y44" s="13">
        <f>DATA_SPVOU[[#This Row],[HARI 5]]</f>
        <v>7000</v>
      </c>
      <c r="Z44" s="13">
        <f>DATA_SPVOU[[#This Row],[HARI 6]]</f>
        <v>7000</v>
      </c>
      <c r="AA44" s="13">
        <f>DATA_SPVOU[[#This Row],[HARI 7]]</f>
        <v>7000</v>
      </c>
      <c r="AB44" s="13">
        <f>DATA_SPVOU[[#This Row],[HARI 8]]</f>
        <v>7000</v>
      </c>
      <c r="AC44" s="13">
        <f>DATA_SPVOU[[#This Row],[HARI 9]]</f>
        <v>7000</v>
      </c>
      <c r="AD44" s="81">
        <f>DATA_SPVOU[[#This Row],[HARI 10]]</f>
        <v>7000</v>
      </c>
      <c r="AT44" s="88" t="s">
        <v>370</v>
      </c>
      <c r="AU44" s="87">
        <v>0</v>
      </c>
      <c r="AV44" s="13">
        <f>DATA_ICECREAM[[#This Row],[HARGA AWAL]]</f>
        <v>0</v>
      </c>
      <c r="AW44" s="13">
        <f>DATA_ICECREAM[[#This Row],[HARI 1]]</f>
        <v>0</v>
      </c>
      <c r="AX44" s="13">
        <f>DATA_ICECREAM[[#This Row],[HARI 2]]</f>
        <v>0</v>
      </c>
      <c r="AY44" s="13">
        <f>DATA_ICECREAM[[#This Row],[HARI 3]]</f>
        <v>0</v>
      </c>
      <c r="AZ44" s="13">
        <f>DATA_ICECREAM[[#This Row],[HARI 4]]</f>
        <v>0</v>
      </c>
      <c r="BA44" s="13">
        <f>DATA_ICECREAM[[#This Row],[HARI 5]]</f>
        <v>0</v>
      </c>
      <c r="BB44" s="13">
        <f>DATA_ICECREAM[[#This Row],[HARI 6]]</f>
        <v>0</v>
      </c>
      <c r="BC44" s="13">
        <f>DATA_ICECREAM[[#This Row],[HARI 7]]</f>
        <v>0</v>
      </c>
      <c r="BD44" s="13">
        <f>DATA_ICECREAM[[#This Row],[HARI 8]]</f>
        <v>0</v>
      </c>
      <c r="BE44" s="13">
        <f>DATA_ICECREAM[[#This Row],[HARI 9]]</f>
        <v>0</v>
      </c>
      <c r="BF44" s="81">
        <f>DATA_ICECREAM[[#This Row],[HARI 10]]</f>
        <v>0</v>
      </c>
      <c r="BH44" s="88" t="s">
        <v>432</v>
      </c>
      <c r="BI44" s="87">
        <v>95000</v>
      </c>
      <c r="BJ44" s="13">
        <f>DATA_ACC[[#This Row],[HARGA AWAL]]</f>
        <v>95000</v>
      </c>
      <c r="BK44" s="13">
        <f>DATA_ACC[[#This Row],[HARI 1]]</f>
        <v>95000</v>
      </c>
      <c r="BL44" s="13">
        <f>DATA_ACC[[#This Row],[HARI 2]]</f>
        <v>95000</v>
      </c>
      <c r="BM44" s="13">
        <f>DATA_ACC[[#This Row],[HARI 3]]</f>
        <v>95000</v>
      </c>
      <c r="BN44" s="13">
        <f>DATA_ACC[[#This Row],[HARI 4]]</f>
        <v>95000</v>
      </c>
      <c r="BO44" s="13">
        <f>DATA_ACC[[#This Row],[HARI 5]]</f>
        <v>95000</v>
      </c>
      <c r="BP44" s="13">
        <f>DATA_ACC[[#This Row],[HARI 6]]</f>
        <v>95000</v>
      </c>
      <c r="BQ44" s="13">
        <f>DATA_ACC[[#This Row],[HARI 7]]</f>
        <v>95000</v>
      </c>
      <c r="BR44" s="13">
        <f>DATA_ACC[[#This Row],[HARI 8]]</f>
        <v>95000</v>
      </c>
      <c r="BS44" s="13">
        <f>DATA_ACC[[#This Row],[HARI 9]]</f>
        <v>95000</v>
      </c>
      <c r="BT44" s="81">
        <f>DATA_ACC[[#This Row],[HARI 10]]</f>
        <v>95000</v>
      </c>
    </row>
    <row r="45" ht="18" spans="4:72">
      <c r="D45" s="67" t="s">
        <v>381</v>
      </c>
      <c r="E45" s="71">
        <v>0</v>
      </c>
      <c r="F45" s="74">
        <f>DATA_ROKOK[[#This Row],[HARGA AWAL]]</f>
        <v>0</v>
      </c>
      <c r="G45" s="74">
        <f>DATA_ROKOK[[#This Row],[HARI 1]]</f>
        <v>0</v>
      </c>
      <c r="H45" s="74">
        <f>DATA_ROKOK[[#This Row],[HARI 2]]</f>
        <v>0</v>
      </c>
      <c r="I45" s="74">
        <f>DATA_ROKOK[[#This Row],[HARI 3]]</f>
        <v>0</v>
      </c>
      <c r="J45" s="74">
        <f>DATA_ROKOK[[#This Row],[HARI 4]]</f>
        <v>0</v>
      </c>
      <c r="K45" s="74">
        <f>DATA_ROKOK[[#This Row],[HARI 5]]</f>
        <v>0</v>
      </c>
      <c r="L45" s="74">
        <f>DATA_ROKOK[[#This Row],[HARI 6]]</f>
        <v>0</v>
      </c>
      <c r="M45" s="74">
        <f>DATA_ROKOK[[#This Row],[HARI 7]]</f>
        <v>0</v>
      </c>
      <c r="N45" s="74">
        <f>DATA_ROKOK[[#This Row],[HARI 8]]</f>
        <v>0</v>
      </c>
      <c r="O45" s="74">
        <f>DATA_ROKOK[[#This Row],[HARI 9]]</f>
        <v>0</v>
      </c>
      <c r="P45" s="84">
        <f>DATA_ROKOK[[#This Row],[HARI 10]]</f>
        <v>0</v>
      </c>
      <c r="R45" s="88" t="s">
        <v>81</v>
      </c>
      <c r="S45" s="89">
        <v>13000</v>
      </c>
      <c r="T45" s="69">
        <f>DATA_SPVOU[[#This Row],[HARGA AWAL]]</f>
        <v>13000</v>
      </c>
      <c r="U45" s="69">
        <f>DATA_SPVOU[[#This Row],[HARI 1]]</f>
        <v>13000</v>
      </c>
      <c r="V45" s="69">
        <f>DATA_SPVOU[[#This Row],[HARI 2]]</f>
        <v>13000</v>
      </c>
      <c r="W45" s="69">
        <f>DATA_SPVOU[[#This Row],[HARI 3]]</f>
        <v>13000</v>
      </c>
      <c r="X45" s="69">
        <f>DATA_SPVOU[[#This Row],[HARI 4]]</f>
        <v>13000</v>
      </c>
      <c r="Y45" s="69">
        <f>DATA_SPVOU[[#This Row],[HARI 5]]</f>
        <v>13000</v>
      </c>
      <c r="Z45" s="69">
        <f>DATA_SPVOU[[#This Row],[HARI 6]]</f>
        <v>13000</v>
      </c>
      <c r="AA45" s="69">
        <f>DATA_SPVOU[[#This Row],[HARI 7]]</f>
        <v>13000</v>
      </c>
      <c r="AB45" s="69">
        <f>DATA_SPVOU[[#This Row],[HARI 8]]</f>
        <v>13000</v>
      </c>
      <c r="AC45" s="69">
        <f>DATA_SPVOU[[#This Row],[HARI 9]]</f>
        <v>13000</v>
      </c>
      <c r="AD45" s="82">
        <f>DATA_SPVOU[[#This Row],[HARI 10]]</f>
        <v>13000</v>
      </c>
      <c r="AT45" s="86" t="s">
        <v>375</v>
      </c>
      <c r="AU45" s="93">
        <v>0</v>
      </c>
      <c r="AV45" s="72">
        <f>DATA_ICECREAM[[#This Row],[HARGA AWAL]]</f>
        <v>0</v>
      </c>
      <c r="AW45" s="72">
        <f>DATA_ICECREAM[[#This Row],[HARI 1]]</f>
        <v>0</v>
      </c>
      <c r="AX45" s="72">
        <f>DATA_ICECREAM[[#This Row],[HARI 2]]</f>
        <v>0</v>
      </c>
      <c r="AY45" s="72">
        <f>DATA_ICECREAM[[#This Row],[HARI 3]]</f>
        <v>0</v>
      </c>
      <c r="AZ45" s="72">
        <f>DATA_ICECREAM[[#This Row],[HARI 4]]</f>
        <v>0</v>
      </c>
      <c r="BA45" s="72">
        <f>DATA_ICECREAM[[#This Row],[HARI 5]]</f>
        <v>0</v>
      </c>
      <c r="BB45" s="72">
        <f>DATA_ICECREAM[[#This Row],[HARI 6]]</f>
        <v>0</v>
      </c>
      <c r="BC45" s="72">
        <f>DATA_ICECREAM[[#This Row],[HARI 7]]</f>
        <v>0</v>
      </c>
      <c r="BD45" s="72">
        <f>DATA_ICECREAM[[#This Row],[HARI 8]]</f>
        <v>0</v>
      </c>
      <c r="BE45" s="72">
        <f>DATA_ICECREAM[[#This Row],[HARI 9]]</f>
        <v>0</v>
      </c>
      <c r="BF45" s="83">
        <f>DATA_ICECREAM[[#This Row],[HARI 10]]</f>
        <v>0</v>
      </c>
      <c r="BH45" s="86" t="s">
        <v>433</v>
      </c>
      <c r="BI45" s="89">
        <v>105000</v>
      </c>
      <c r="BJ45" s="69">
        <f>DATA_ACC[[#This Row],[HARGA AWAL]]</f>
        <v>105000</v>
      </c>
      <c r="BK45" s="69">
        <f>DATA_ACC[[#This Row],[HARI 1]]</f>
        <v>105000</v>
      </c>
      <c r="BL45" s="69">
        <f>DATA_ACC[[#This Row],[HARI 2]]</f>
        <v>105000</v>
      </c>
      <c r="BM45" s="69">
        <f>DATA_ACC[[#This Row],[HARI 3]]</f>
        <v>105000</v>
      </c>
      <c r="BN45" s="69">
        <f>DATA_ACC[[#This Row],[HARI 4]]</f>
        <v>105000</v>
      </c>
      <c r="BO45" s="69">
        <f>DATA_ACC[[#This Row],[HARI 5]]</f>
        <v>105000</v>
      </c>
      <c r="BP45" s="69">
        <f>DATA_ACC[[#This Row],[HARI 6]]</f>
        <v>105000</v>
      </c>
      <c r="BQ45" s="69">
        <f>DATA_ACC[[#This Row],[HARI 7]]</f>
        <v>105000</v>
      </c>
      <c r="BR45" s="69">
        <f>DATA_ACC[[#This Row],[HARI 8]]</f>
        <v>105000</v>
      </c>
      <c r="BS45" s="69">
        <f>DATA_ACC[[#This Row],[HARI 9]]</f>
        <v>105000</v>
      </c>
      <c r="BT45" s="82">
        <f>DATA_ACC[[#This Row],[HARI 10]]</f>
        <v>105000</v>
      </c>
    </row>
    <row r="46" ht="18" spans="18:72">
      <c r="R46" s="86" t="s">
        <v>434</v>
      </c>
      <c r="S46" s="87">
        <v>24000</v>
      </c>
      <c r="T46" s="13">
        <f>DATA_SPVOU[[#This Row],[HARGA AWAL]]</f>
        <v>24000</v>
      </c>
      <c r="U46" s="13">
        <f>DATA_SPVOU[[#This Row],[HARI 1]]</f>
        <v>24000</v>
      </c>
      <c r="V46" s="13">
        <f>DATA_SPVOU[[#This Row],[HARI 2]]</f>
        <v>24000</v>
      </c>
      <c r="W46" s="13">
        <f>DATA_SPVOU[[#This Row],[HARI 3]]</f>
        <v>24000</v>
      </c>
      <c r="X46" s="13">
        <f>DATA_SPVOU[[#This Row],[HARI 4]]</f>
        <v>24000</v>
      </c>
      <c r="Y46" s="13">
        <f>DATA_SPVOU[[#This Row],[HARI 5]]</f>
        <v>24000</v>
      </c>
      <c r="Z46" s="13">
        <f>DATA_SPVOU[[#This Row],[HARI 6]]</f>
        <v>24000</v>
      </c>
      <c r="AA46" s="13">
        <f>DATA_SPVOU[[#This Row],[HARI 7]]</f>
        <v>24000</v>
      </c>
      <c r="AB46" s="13">
        <f>DATA_SPVOU[[#This Row],[HARI 8]]</f>
        <v>24000</v>
      </c>
      <c r="AC46" s="13">
        <f>DATA_SPVOU[[#This Row],[HARI 9]]</f>
        <v>24000</v>
      </c>
      <c r="AD46" s="81">
        <f>DATA_SPVOU[[#This Row],[HARI 10]]</f>
        <v>24000</v>
      </c>
      <c r="AT46" s="88" t="s">
        <v>381</v>
      </c>
      <c r="AU46" s="94">
        <v>0</v>
      </c>
      <c r="AV46" s="13">
        <f>DATA_ICECREAM[[#This Row],[HARGA AWAL]]</f>
        <v>0</v>
      </c>
      <c r="AW46" s="13">
        <f>DATA_ICECREAM[[#This Row],[HARI 1]]</f>
        <v>0</v>
      </c>
      <c r="AX46" s="13">
        <f>DATA_ICECREAM[[#This Row],[HARI 2]]</f>
        <v>0</v>
      </c>
      <c r="AY46" s="13">
        <f>DATA_ICECREAM[[#This Row],[HARI 3]]</f>
        <v>0</v>
      </c>
      <c r="AZ46" s="13">
        <f>DATA_ICECREAM[[#This Row],[HARI 4]]</f>
        <v>0</v>
      </c>
      <c r="BA46" s="13">
        <f>DATA_ICECREAM[[#This Row],[HARI 5]]</f>
        <v>0</v>
      </c>
      <c r="BB46" s="13">
        <f>DATA_ICECREAM[[#This Row],[HARI 6]]</f>
        <v>0</v>
      </c>
      <c r="BC46" s="13">
        <f>DATA_ICECREAM[[#This Row],[HARI 7]]</f>
        <v>0</v>
      </c>
      <c r="BD46" s="13">
        <f>DATA_ICECREAM[[#This Row],[HARI 8]]</f>
        <v>0</v>
      </c>
      <c r="BE46" s="13">
        <f>DATA_ICECREAM[[#This Row],[HARI 9]]</f>
        <v>0</v>
      </c>
      <c r="BF46" s="81">
        <f>DATA_ICECREAM[[#This Row],[HARI 10]]</f>
        <v>0</v>
      </c>
      <c r="BH46" s="88" t="s">
        <v>435</v>
      </c>
      <c r="BI46" s="87">
        <v>115000</v>
      </c>
      <c r="BJ46" s="13">
        <f>DATA_ACC[[#This Row],[HARGA AWAL]]</f>
        <v>115000</v>
      </c>
      <c r="BK46" s="13">
        <f>DATA_ACC[[#This Row],[HARI 1]]</f>
        <v>115000</v>
      </c>
      <c r="BL46" s="13">
        <f>DATA_ACC[[#This Row],[HARI 2]]</f>
        <v>115000</v>
      </c>
      <c r="BM46" s="13">
        <f>DATA_ACC[[#This Row],[HARI 3]]</f>
        <v>115000</v>
      </c>
      <c r="BN46" s="13">
        <f>DATA_ACC[[#This Row],[HARI 4]]</f>
        <v>115000</v>
      </c>
      <c r="BO46" s="13">
        <f>DATA_ACC[[#This Row],[HARI 5]]</f>
        <v>115000</v>
      </c>
      <c r="BP46" s="13">
        <f>DATA_ACC[[#This Row],[HARI 6]]</f>
        <v>115000</v>
      </c>
      <c r="BQ46" s="13">
        <f>DATA_ACC[[#This Row],[HARI 7]]</f>
        <v>115000</v>
      </c>
      <c r="BR46" s="13">
        <f>DATA_ACC[[#This Row],[HARI 8]]</f>
        <v>115000</v>
      </c>
      <c r="BS46" s="13">
        <f>DATA_ACC[[#This Row],[HARI 9]]</f>
        <v>115000</v>
      </c>
      <c r="BT46" s="81">
        <f>DATA_ACC[[#This Row],[HARI 10]]</f>
        <v>115000</v>
      </c>
    </row>
    <row r="47" ht="18" spans="4:72">
      <c r="D47" s="75">
        <f>COUNTA(D12:D45)</f>
        <v>34</v>
      </c>
      <c r="E47" s="76">
        <f>SUM(E12:E45)</f>
        <v>706500</v>
      </c>
      <c r="R47" s="88" t="s">
        <v>436</v>
      </c>
      <c r="S47" s="89">
        <v>28000</v>
      </c>
      <c r="T47" s="69">
        <f>DATA_SPVOU[[#This Row],[HARGA AWAL]]</f>
        <v>28000</v>
      </c>
      <c r="U47" s="69">
        <f>DATA_SPVOU[[#This Row],[HARI 1]]</f>
        <v>28000</v>
      </c>
      <c r="V47" s="69">
        <f>DATA_SPVOU[[#This Row],[HARI 2]]</f>
        <v>28000</v>
      </c>
      <c r="W47" s="69">
        <f>DATA_SPVOU[[#This Row],[HARI 3]]</f>
        <v>28000</v>
      </c>
      <c r="X47" s="69">
        <f>DATA_SPVOU[[#This Row],[HARI 4]]</f>
        <v>28000</v>
      </c>
      <c r="Y47" s="69">
        <f>DATA_SPVOU[[#This Row],[HARI 5]]</f>
        <v>28000</v>
      </c>
      <c r="Z47" s="69">
        <f>DATA_SPVOU[[#This Row],[HARI 6]]</f>
        <v>28000</v>
      </c>
      <c r="AA47" s="69">
        <f>DATA_SPVOU[[#This Row],[HARI 7]]</f>
        <v>28000</v>
      </c>
      <c r="AB47" s="69">
        <f>DATA_SPVOU[[#This Row],[HARI 8]]</f>
        <v>28000</v>
      </c>
      <c r="AC47" s="69">
        <f>DATA_SPVOU[[#This Row],[HARI 9]]</f>
        <v>28000</v>
      </c>
      <c r="AD47" s="82">
        <f>DATA_SPVOU[[#This Row],[HARI 10]]</f>
        <v>28000</v>
      </c>
      <c r="BH47" s="86" t="s">
        <v>437</v>
      </c>
      <c r="BI47" s="89">
        <v>20000</v>
      </c>
      <c r="BJ47" s="69">
        <f>DATA_ACC[[#This Row],[HARGA AWAL]]</f>
        <v>20000</v>
      </c>
      <c r="BK47" s="69">
        <f>DATA_ACC[[#This Row],[HARI 1]]</f>
        <v>20000</v>
      </c>
      <c r="BL47" s="69">
        <f>DATA_ACC[[#This Row],[HARI 2]]</f>
        <v>20000</v>
      </c>
      <c r="BM47" s="69">
        <f>DATA_ACC[[#This Row],[HARI 3]]</f>
        <v>20000</v>
      </c>
      <c r="BN47" s="69">
        <f>DATA_ACC[[#This Row],[HARI 4]]</f>
        <v>20000</v>
      </c>
      <c r="BO47" s="69">
        <f>DATA_ACC[[#This Row],[HARI 5]]</f>
        <v>20000</v>
      </c>
      <c r="BP47" s="69">
        <f>DATA_ACC[[#This Row],[HARI 6]]</f>
        <v>20000</v>
      </c>
      <c r="BQ47" s="69">
        <f>DATA_ACC[[#This Row],[HARI 7]]</f>
        <v>20000</v>
      </c>
      <c r="BR47" s="69">
        <f>DATA_ACC[[#This Row],[HARI 8]]</f>
        <v>20000</v>
      </c>
      <c r="BS47" s="69">
        <f>DATA_ACC[[#This Row],[HARI 9]]</f>
        <v>20000</v>
      </c>
      <c r="BT47" s="82">
        <f>DATA_ACC[[#This Row],[HARI 10]]</f>
        <v>20000</v>
      </c>
    </row>
    <row r="48" ht="18" spans="18:72">
      <c r="R48" s="86" t="s">
        <v>87</v>
      </c>
      <c r="S48" s="87">
        <v>21000</v>
      </c>
      <c r="T48" s="13">
        <f>DATA_SPVOU[[#This Row],[HARGA AWAL]]</f>
        <v>21000</v>
      </c>
      <c r="U48" s="13">
        <f>DATA_SPVOU[[#This Row],[HARI 1]]</f>
        <v>21000</v>
      </c>
      <c r="V48" s="13">
        <f>DATA_SPVOU[[#This Row],[HARI 2]]</f>
        <v>21000</v>
      </c>
      <c r="W48" s="13">
        <f>DATA_SPVOU[[#This Row],[HARI 3]]</f>
        <v>21000</v>
      </c>
      <c r="X48" s="13">
        <f>DATA_SPVOU[[#This Row],[HARI 4]]</f>
        <v>21000</v>
      </c>
      <c r="Y48" s="13">
        <f>DATA_SPVOU[[#This Row],[HARI 5]]</f>
        <v>21000</v>
      </c>
      <c r="Z48" s="13">
        <f>DATA_SPVOU[[#This Row],[HARI 6]]</f>
        <v>21000</v>
      </c>
      <c r="AA48" s="13">
        <f>DATA_SPVOU[[#This Row],[HARI 7]]</f>
        <v>21000</v>
      </c>
      <c r="AB48" s="13">
        <f>DATA_SPVOU[[#This Row],[HARI 8]]</f>
        <v>21000</v>
      </c>
      <c r="AC48" s="13">
        <f>DATA_SPVOU[[#This Row],[HARI 9]]</f>
        <v>21000</v>
      </c>
      <c r="AD48" s="81">
        <f>DATA_SPVOU[[#This Row],[HARI 10]]</f>
        <v>21000</v>
      </c>
      <c r="AT48" s="75">
        <f>COUNTA(AT12:AT46)</f>
        <v>35</v>
      </c>
      <c r="AU48" s="76">
        <f>SUM(AU12:AU46)</f>
        <v>140000</v>
      </c>
      <c r="BH48" s="88" t="s">
        <v>113</v>
      </c>
      <c r="BI48" s="87">
        <v>25000</v>
      </c>
      <c r="BJ48" s="13">
        <f>DATA_ACC[[#This Row],[HARGA AWAL]]</f>
        <v>25000</v>
      </c>
      <c r="BK48" s="13">
        <f>DATA_ACC[[#This Row],[HARI 1]]</f>
        <v>25000</v>
      </c>
      <c r="BL48" s="13">
        <f>DATA_ACC[[#This Row],[HARI 2]]</f>
        <v>25000</v>
      </c>
      <c r="BM48" s="13">
        <f>DATA_ACC[[#This Row],[HARI 3]]</f>
        <v>25000</v>
      </c>
      <c r="BN48" s="13">
        <f>DATA_ACC[[#This Row],[HARI 4]]</f>
        <v>25000</v>
      </c>
      <c r="BO48" s="13">
        <f>DATA_ACC[[#This Row],[HARI 5]]</f>
        <v>25000</v>
      </c>
      <c r="BP48" s="13">
        <f>DATA_ACC[[#This Row],[HARI 6]]</f>
        <v>25000</v>
      </c>
      <c r="BQ48" s="13">
        <f>DATA_ACC[[#This Row],[HARI 7]]</f>
        <v>25000</v>
      </c>
      <c r="BR48" s="13">
        <f>DATA_ACC[[#This Row],[HARI 8]]</f>
        <v>25000</v>
      </c>
      <c r="BS48" s="13">
        <f>DATA_ACC[[#This Row],[HARI 9]]</f>
        <v>25000</v>
      </c>
      <c r="BT48" s="81">
        <f>DATA_ACC[[#This Row],[HARI 10]]</f>
        <v>25000</v>
      </c>
    </row>
    <row r="49" ht="18" spans="18:72">
      <c r="R49" s="88" t="s">
        <v>438</v>
      </c>
      <c r="S49" s="89">
        <v>26000</v>
      </c>
      <c r="T49" s="69">
        <f>DATA_SPVOU[[#This Row],[HARGA AWAL]]</f>
        <v>26000</v>
      </c>
      <c r="U49" s="69">
        <f>DATA_SPVOU[[#This Row],[HARI 1]]</f>
        <v>26000</v>
      </c>
      <c r="V49" s="69">
        <f>DATA_SPVOU[[#This Row],[HARI 2]]</f>
        <v>26000</v>
      </c>
      <c r="W49" s="69">
        <f>DATA_SPVOU[[#This Row],[HARI 3]]</f>
        <v>26000</v>
      </c>
      <c r="X49" s="69">
        <f>DATA_SPVOU[[#This Row],[HARI 4]]</f>
        <v>26000</v>
      </c>
      <c r="Y49" s="69">
        <f>DATA_SPVOU[[#This Row],[HARI 5]]</f>
        <v>26000</v>
      </c>
      <c r="Z49" s="69">
        <f>DATA_SPVOU[[#This Row],[HARI 6]]</f>
        <v>26000</v>
      </c>
      <c r="AA49" s="69">
        <f>DATA_SPVOU[[#This Row],[HARI 7]]</f>
        <v>26000</v>
      </c>
      <c r="AB49" s="69">
        <f>DATA_SPVOU[[#This Row],[HARI 8]]</f>
        <v>26000</v>
      </c>
      <c r="AC49" s="69">
        <f>DATA_SPVOU[[#This Row],[HARI 9]]</f>
        <v>26000</v>
      </c>
      <c r="AD49" s="82">
        <f>DATA_SPVOU[[#This Row],[HARI 10]]</f>
        <v>26000</v>
      </c>
      <c r="BH49" s="86" t="s">
        <v>439</v>
      </c>
      <c r="BI49" s="89">
        <v>30000</v>
      </c>
      <c r="BJ49" s="69">
        <f>DATA_ACC[[#This Row],[HARGA AWAL]]</f>
        <v>30000</v>
      </c>
      <c r="BK49" s="69">
        <f>DATA_ACC[[#This Row],[HARI 1]]</f>
        <v>30000</v>
      </c>
      <c r="BL49" s="69">
        <f>DATA_ACC[[#This Row],[HARI 2]]</f>
        <v>30000</v>
      </c>
      <c r="BM49" s="69">
        <f>DATA_ACC[[#This Row],[HARI 3]]</f>
        <v>30000</v>
      </c>
      <c r="BN49" s="69">
        <f>DATA_ACC[[#This Row],[HARI 4]]</f>
        <v>30000</v>
      </c>
      <c r="BO49" s="69">
        <f>DATA_ACC[[#This Row],[HARI 5]]</f>
        <v>30000</v>
      </c>
      <c r="BP49" s="69">
        <f>DATA_ACC[[#This Row],[HARI 6]]</f>
        <v>30000</v>
      </c>
      <c r="BQ49" s="69">
        <f>DATA_ACC[[#This Row],[HARI 7]]</f>
        <v>30000</v>
      </c>
      <c r="BR49" s="69">
        <f>DATA_ACC[[#This Row],[HARI 8]]</f>
        <v>30000</v>
      </c>
      <c r="BS49" s="69">
        <f>DATA_ACC[[#This Row],[HARI 9]]</f>
        <v>30000</v>
      </c>
      <c r="BT49" s="82">
        <f>DATA_ACC[[#This Row],[HARI 10]]</f>
        <v>30000</v>
      </c>
    </row>
    <row r="50" ht="18" spans="18:72">
      <c r="R50" s="86" t="s">
        <v>89</v>
      </c>
      <c r="S50" s="87">
        <v>35000</v>
      </c>
      <c r="T50" s="13">
        <f>DATA_SPVOU[[#This Row],[HARGA AWAL]]</f>
        <v>35000</v>
      </c>
      <c r="U50" s="13">
        <f>DATA_SPVOU[[#This Row],[HARI 1]]</f>
        <v>35000</v>
      </c>
      <c r="V50" s="13">
        <f>DATA_SPVOU[[#This Row],[HARI 2]]</f>
        <v>35000</v>
      </c>
      <c r="W50" s="13">
        <f>DATA_SPVOU[[#This Row],[HARI 3]]</f>
        <v>35000</v>
      </c>
      <c r="X50" s="13">
        <f>DATA_SPVOU[[#This Row],[HARI 4]]</f>
        <v>35000</v>
      </c>
      <c r="Y50" s="13">
        <f>DATA_SPVOU[[#This Row],[HARI 5]]</f>
        <v>35000</v>
      </c>
      <c r="Z50" s="13">
        <f>DATA_SPVOU[[#This Row],[HARI 6]]</f>
        <v>35000</v>
      </c>
      <c r="AA50" s="13">
        <f>DATA_SPVOU[[#This Row],[HARI 7]]</f>
        <v>35000</v>
      </c>
      <c r="AB50" s="13">
        <f>DATA_SPVOU[[#This Row],[HARI 8]]</f>
        <v>35000</v>
      </c>
      <c r="AC50" s="13">
        <f>DATA_SPVOU[[#This Row],[HARI 9]]</f>
        <v>35000</v>
      </c>
      <c r="AD50" s="81">
        <f>DATA_SPVOU[[#This Row],[HARI 10]]</f>
        <v>35000</v>
      </c>
      <c r="BH50" s="88" t="s">
        <v>440</v>
      </c>
      <c r="BI50" s="87">
        <v>35000</v>
      </c>
      <c r="BJ50" s="13">
        <f>DATA_ACC[[#This Row],[HARGA AWAL]]</f>
        <v>35000</v>
      </c>
      <c r="BK50" s="13">
        <f>DATA_ACC[[#This Row],[HARI 1]]</f>
        <v>35000</v>
      </c>
      <c r="BL50" s="13">
        <f>DATA_ACC[[#This Row],[HARI 2]]</f>
        <v>35000</v>
      </c>
      <c r="BM50" s="13">
        <f>DATA_ACC[[#This Row],[HARI 3]]</f>
        <v>35000</v>
      </c>
      <c r="BN50" s="13">
        <f>DATA_ACC[[#This Row],[HARI 4]]</f>
        <v>35000</v>
      </c>
      <c r="BO50" s="13">
        <f>DATA_ACC[[#This Row],[HARI 5]]</f>
        <v>35000</v>
      </c>
      <c r="BP50" s="13">
        <f>DATA_ACC[[#This Row],[HARI 6]]</f>
        <v>35000</v>
      </c>
      <c r="BQ50" s="13">
        <f>DATA_ACC[[#This Row],[HARI 7]]</f>
        <v>35000</v>
      </c>
      <c r="BR50" s="13">
        <f>DATA_ACC[[#This Row],[HARI 8]]</f>
        <v>35000</v>
      </c>
      <c r="BS50" s="13">
        <f>DATA_ACC[[#This Row],[HARI 9]]</f>
        <v>35000</v>
      </c>
      <c r="BT50" s="81">
        <f>DATA_ACC[[#This Row],[HARI 10]]</f>
        <v>35000</v>
      </c>
    </row>
    <row r="51" ht="18" spans="5:72">
      <c r="E51" s="77"/>
      <c r="R51" s="88" t="s">
        <v>441</v>
      </c>
      <c r="S51" s="89">
        <v>50000</v>
      </c>
      <c r="T51" s="69">
        <f>DATA_SPVOU[[#This Row],[HARGA AWAL]]</f>
        <v>50000</v>
      </c>
      <c r="U51" s="69">
        <f>DATA_SPVOU[[#This Row],[HARI 1]]</f>
        <v>50000</v>
      </c>
      <c r="V51" s="69">
        <f>DATA_SPVOU[[#This Row],[HARI 2]]</f>
        <v>50000</v>
      </c>
      <c r="W51" s="69">
        <f>DATA_SPVOU[[#This Row],[HARI 3]]</f>
        <v>50000</v>
      </c>
      <c r="X51" s="69">
        <f>DATA_SPVOU[[#This Row],[HARI 4]]</f>
        <v>50000</v>
      </c>
      <c r="Y51" s="69">
        <f>DATA_SPVOU[[#This Row],[HARI 5]]</f>
        <v>50000</v>
      </c>
      <c r="Z51" s="69">
        <f>DATA_SPVOU[[#This Row],[HARI 6]]</f>
        <v>50000</v>
      </c>
      <c r="AA51" s="69">
        <f>DATA_SPVOU[[#This Row],[HARI 7]]</f>
        <v>50000</v>
      </c>
      <c r="AB51" s="69">
        <f>DATA_SPVOU[[#This Row],[HARI 8]]</f>
        <v>50000</v>
      </c>
      <c r="AC51" s="69">
        <f>DATA_SPVOU[[#This Row],[HARI 9]]</f>
        <v>50000</v>
      </c>
      <c r="AD51" s="82">
        <f>DATA_SPVOU[[#This Row],[HARI 10]]</f>
        <v>50000</v>
      </c>
      <c r="BH51" s="86" t="s">
        <v>442</v>
      </c>
      <c r="BI51" s="89">
        <v>75000</v>
      </c>
      <c r="BJ51" s="69">
        <f>DATA_ACC[[#This Row],[HARGA AWAL]]</f>
        <v>75000</v>
      </c>
      <c r="BK51" s="69">
        <f>DATA_ACC[[#This Row],[HARI 1]]</f>
        <v>75000</v>
      </c>
      <c r="BL51" s="69">
        <f>DATA_ACC[[#This Row],[HARI 2]]</f>
        <v>75000</v>
      </c>
      <c r="BM51" s="69">
        <f>DATA_ACC[[#This Row],[HARI 3]]</f>
        <v>75000</v>
      </c>
      <c r="BN51" s="69">
        <f>DATA_ACC[[#This Row],[HARI 4]]</f>
        <v>75000</v>
      </c>
      <c r="BO51" s="69">
        <f>DATA_ACC[[#This Row],[HARI 5]]</f>
        <v>75000</v>
      </c>
      <c r="BP51" s="69">
        <f>DATA_ACC[[#This Row],[HARI 6]]</f>
        <v>75000</v>
      </c>
      <c r="BQ51" s="69">
        <f>DATA_ACC[[#This Row],[HARI 7]]</f>
        <v>75000</v>
      </c>
      <c r="BR51" s="69">
        <f>DATA_ACC[[#This Row],[HARI 8]]</f>
        <v>75000</v>
      </c>
      <c r="BS51" s="69">
        <f>DATA_ACC[[#This Row],[HARI 9]]</f>
        <v>75000</v>
      </c>
      <c r="BT51" s="82">
        <f>DATA_ACC[[#This Row],[HARI 10]]</f>
        <v>75000</v>
      </c>
    </row>
    <row r="52" ht="18" spans="18:72">
      <c r="R52" s="86" t="s">
        <v>443</v>
      </c>
      <c r="S52" s="87">
        <v>63000</v>
      </c>
      <c r="T52" s="13">
        <f>DATA_SPVOU[[#This Row],[HARGA AWAL]]</f>
        <v>63000</v>
      </c>
      <c r="U52" s="13">
        <f>DATA_SPVOU[[#This Row],[HARI 1]]</f>
        <v>63000</v>
      </c>
      <c r="V52" s="13">
        <f>DATA_SPVOU[[#This Row],[HARI 2]]</f>
        <v>63000</v>
      </c>
      <c r="W52" s="13">
        <f>DATA_SPVOU[[#This Row],[HARI 3]]</f>
        <v>63000</v>
      </c>
      <c r="X52" s="13">
        <f>DATA_SPVOU[[#This Row],[HARI 4]]</f>
        <v>63000</v>
      </c>
      <c r="Y52" s="13">
        <f>DATA_SPVOU[[#This Row],[HARI 5]]</f>
        <v>63000</v>
      </c>
      <c r="Z52" s="13">
        <f>DATA_SPVOU[[#This Row],[HARI 6]]</f>
        <v>63000</v>
      </c>
      <c r="AA52" s="13">
        <f>DATA_SPVOU[[#This Row],[HARI 7]]</f>
        <v>63000</v>
      </c>
      <c r="AB52" s="13">
        <f>DATA_SPVOU[[#This Row],[HARI 8]]</f>
        <v>63000</v>
      </c>
      <c r="AC52" s="13">
        <f>DATA_SPVOU[[#This Row],[HARI 9]]</f>
        <v>63000</v>
      </c>
      <c r="AD52" s="81">
        <f>DATA_SPVOU[[#This Row],[HARI 10]]</f>
        <v>63000</v>
      </c>
      <c r="BH52" s="88" t="s">
        <v>444</v>
      </c>
      <c r="BI52" s="87">
        <v>85000</v>
      </c>
      <c r="BJ52" s="13">
        <f>DATA_ACC[[#This Row],[HARGA AWAL]]</f>
        <v>85000</v>
      </c>
      <c r="BK52" s="13">
        <f>DATA_ACC[[#This Row],[HARI 1]]</f>
        <v>85000</v>
      </c>
      <c r="BL52" s="13">
        <f>DATA_ACC[[#This Row],[HARI 2]]</f>
        <v>85000</v>
      </c>
      <c r="BM52" s="13">
        <f>DATA_ACC[[#This Row],[HARI 3]]</f>
        <v>85000</v>
      </c>
      <c r="BN52" s="13">
        <f>DATA_ACC[[#This Row],[HARI 4]]</f>
        <v>85000</v>
      </c>
      <c r="BO52" s="13">
        <f>DATA_ACC[[#This Row],[HARI 5]]</f>
        <v>85000</v>
      </c>
      <c r="BP52" s="13">
        <f>DATA_ACC[[#This Row],[HARI 6]]</f>
        <v>85000</v>
      </c>
      <c r="BQ52" s="13">
        <f>DATA_ACC[[#This Row],[HARI 7]]</f>
        <v>85000</v>
      </c>
      <c r="BR52" s="13">
        <f>DATA_ACC[[#This Row],[HARI 8]]</f>
        <v>85000</v>
      </c>
      <c r="BS52" s="13">
        <f>DATA_ACC[[#This Row],[HARI 9]]</f>
        <v>85000</v>
      </c>
      <c r="BT52" s="81">
        <f>DATA_ACC[[#This Row],[HARI 10]]</f>
        <v>85000</v>
      </c>
    </row>
    <row r="53" ht="18" spans="18:72">
      <c r="R53" s="88" t="s">
        <v>445</v>
      </c>
      <c r="S53" s="89">
        <v>18000</v>
      </c>
      <c r="T53" s="69">
        <f>DATA_SPVOU[[#This Row],[HARGA AWAL]]</f>
        <v>18000</v>
      </c>
      <c r="U53" s="69">
        <f>DATA_SPVOU[[#This Row],[HARI 1]]</f>
        <v>18000</v>
      </c>
      <c r="V53" s="69">
        <f>DATA_SPVOU[[#This Row],[HARI 2]]</f>
        <v>18000</v>
      </c>
      <c r="W53" s="69">
        <f>DATA_SPVOU[[#This Row],[HARI 3]]</f>
        <v>18000</v>
      </c>
      <c r="X53" s="69">
        <f>DATA_SPVOU[[#This Row],[HARI 4]]</f>
        <v>18000</v>
      </c>
      <c r="Y53" s="69">
        <f>DATA_SPVOU[[#This Row],[HARI 5]]</f>
        <v>18000</v>
      </c>
      <c r="Z53" s="69">
        <f>DATA_SPVOU[[#This Row],[HARI 6]]</f>
        <v>18000</v>
      </c>
      <c r="AA53" s="69">
        <f>DATA_SPVOU[[#This Row],[HARI 7]]</f>
        <v>18000</v>
      </c>
      <c r="AB53" s="69">
        <f>DATA_SPVOU[[#This Row],[HARI 8]]</f>
        <v>18000</v>
      </c>
      <c r="AC53" s="69">
        <f>DATA_SPVOU[[#This Row],[HARI 9]]</f>
        <v>18000</v>
      </c>
      <c r="AD53" s="82">
        <f>DATA_SPVOU[[#This Row],[HARI 10]]</f>
        <v>18000</v>
      </c>
      <c r="BH53" s="86" t="s">
        <v>446</v>
      </c>
      <c r="BI53" s="89">
        <v>135000</v>
      </c>
      <c r="BJ53" s="69">
        <f>DATA_ACC[[#This Row],[HARGA AWAL]]</f>
        <v>135000</v>
      </c>
      <c r="BK53" s="69">
        <f>DATA_ACC[[#This Row],[HARI 1]]</f>
        <v>135000</v>
      </c>
      <c r="BL53" s="69">
        <f>DATA_ACC[[#This Row],[HARI 2]]</f>
        <v>135000</v>
      </c>
      <c r="BM53" s="69">
        <f>DATA_ACC[[#This Row],[HARI 3]]</f>
        <v>135000</v>
      </c>
      <c r="BN53" s="69">
        <f>DATA_ACC[[#This Row],[HARI 4]]</f>
        <v>135000</v>
      </c>
      <c r="BO53" s="69">
        <f>DATA_ACC[[#This Row],[HARI 5]]</f>
        <v>135000</v>
      </c>
      <c r="BP53" s="69">
        <f>DATA_ACC[[#This Row],[HARI 6]]</f>
        <v>135000</v>
      </c>
      <c r="BQ53" s="69">
        <f>DATA_ACC[[#This Row],[HARI 7]]</f>
        <v>135000</v>
      </c>
      <c r="BR53" s="69">
        <f>DATA_ACC[[#This Row],[HARI 8]]</f>
        <v>135000</v>
      </c>
      <c r="BS53" s="69">
        <f>DATA_ACC[[#This Row],[HARI 9]]</f>
        <v>135000</v>
      </c>
      <c r="BT53" s="82">
        <f>DATA_ACC[[#This Row],[HARI 10]]</f>
        <v>135000</v>
      </c>
    </row>
    <row r="54" ht="18" spans="18:72">
      <c r="R54" s="86" t="s">
        <v>84</v>
      </c>
      <c r="S54" s="87">
        <v>23000</v>
      </c>
      <c r="T54" s="13">
        <f>DATA_SPVOU[[#This Row],[HARGA AWAL]]</f>
        <v>23000</v>
      </c>
      <c r="U54" s="13">
        <f>DATA_SPVOU[[#This Row],[HARI 1]]</f>
        <v>23000</v>
      </c>
      <c r="V54" s="13">
        <f>DATA_SPVOU[[#This Row],[HARI 2]]</f>
        <v>23000</v>
      </c>
      <c r="W54" s="13">
        <f>DATA_SPVOU[[#This Row],[HARI 3]]</f>
        <v>23000</v>
      </c>
      <c r="X54" s="13">
        <f>DATA_SPVOU[[#This Row],[HARI 4]]</f>
        <v>23000</v>
      </c>
      <c r="Y54" s="13">
        <f>DATA_SPVOU[[#This Row],[HARI 5]]</f>
        <v>23000</v>
      </c>
      <c r="Z54" s="13">
        <f>DATA_SPVOU[[#This Row],[HARI 6]]</f>
        <v>23000</v>
      </c>
      <c r="AA54" s="13">
        <f>DATA_SPVOU[[#This Row],[HARI 7]]</f>
        <v>23000</v>
      </c>
      <c r="AB54" s="13">
        <f>DATA_SPVOU[[#This Row],[HARI 8]]</f>
        <v>23000</v>
      </c>
      <c r="AC54" s="13">
        <f>DATA_SPVOU[[#This Row],[HARI 9]]</f>
        <v>23000</v>
      </c>
      <c r="AD54" s="81">
        <f>DATA_SPVOU[[#This Row],[HARI 10]]</f>
        <v>23000</v>
      </c>
      <c r="BH54" s="88" t="s">
        <v>447</v>
      </c>
      <c r="BI54" s="87">
        <v>50000</v>
      </c>
      <c r="BJ54" s="13">
        <f>DATA_ACC[[#This Row],[HARGA AWAL]]</f>
        <v>50000</v>
      </c>
      <c r="BK54" s="13">
        <f>DATA_ACC[[#This Row],[HARI 1]]</f>
        <v>50000</v>
      </c>
      <c r="BL54" s="13">
        <f>DATA_ACC[[#This Row],[HARI 2]]</f>
        <v>50000</v>
      </c>
      <c r="BM54" s="13">
        <f>DATA_ACC[[#This Row],[HARI 3]]</f>
        <v>50000</v>
      </c>
      <c r="BN54" s="13">
        <f>DATA_ACC[[#This Row],[HARI 4]]</f>
        <v>50000</v>
      </c>
      <c r="BO54" s="13">
        <f>DATA_ACC[[#This Row],[HARI 5]]</f>
        <v>50000</v>
      </c>
      <c r="BP54" s="13">
        <f>DATA_ACC[[#This Row],[HARI 6]]</f>
        <v>50000</v>
      </c>
      <c r="BQ54" s="13">
        <f>DATA_ACC[[#This Row],[HARI 7]]</f>
        <v>50000</v>
      </c>
      <c r="BR54" s="13">
        <f>DATA_ACC[[#This Row],[HARI 8]]</f>
        <v>50000</v>
      </c>
      <c r="BS54" s="13">
        <f>DATA_ACC[[#This Row],[HARI 9]]</f>
        <v>50000</v>
      </c>
      <c r="BT54" s="81">
        <f>DATA_ACC[[#This Row],[HARI 10]]</f>
        <v>50000</v>
      </c>
    </row>
    <row r="55" ht="18" spans="18:72">
      <c r="R55" s="88" t="s">
        <v>448</v>
      </c>
      <c r="S55" s="89">
        <v>36000</v>
      </c>
      <c r="T55" s="69">
        <f>DATA_SPVOU[[#This Row],[HARGA AWAL]]</f>
        <v>36000</v>
      </c>
      <c r="U55" s="69">
        <f>DATA_SPVOU[[#This Row],[HARI 1]]</f>
        <v>36000</v>
      </c>
      <c r="V55" s="69">
        <f>DATA_SPVOU[[#This Row],[HARI 2]]</f>
        <v>36000</v>
      </c>
      <c r="W55" s="69">
        <f>DATA_SPVOU[[#This Row],[HARI 3]]</f>
        <v>36000</v>
      </c>
      <c r="X55" s="69">
        <f>DATA_SPVOU[[#This Row],[HARI 4]]</f>
        <v>36000</v>
      </c>
      <c r="Y55" s="69">
        <f>DATA_SPVOU[[#This Row],[HARI 5]]</f>
        <v>36000</v>
      </c>
      <c r="Z55" s="69">
        <f>DATA_SPVOU[[#This Row],[HARI 6]]</f>
        <v>36000</v>
      </c>
      <c r="AA55" s="69">
        <f>DATA_SPVOU[[#This Row],[HARI 7]]</f>
        <v>36000</v>
      </c>
      <c r="AB55" s="69">
        <f>DATA_SPVOU[[#This Row],[HARI 8]]</f>
        <v>36000</v>
      </c>
      <c r="AC55" s="69">
        <f>DATA_SPVOU[[#This Row],[HARI 9]]</f>
        <v>36000</v>
      </c>
      <c r="AD55" s="82">
        <f>DATA_SPVOU[[#This Row],[HARI 10]]</f>
        <v>36000</v>
      </c>
      <c r="BH55" s="86" t="s">
        <v>449</v>
      </c>
      <c r="BI55" s="89">
        <v>35000</v>
      </c>
      <c r="BJ55" s="69">
        <f>DATA_ACC[[#This Row],[HARGA AWAL]]</f>
        <v>35000</v>
      </c>
      <c r="BK55" s="69">
        <f>DATA_ACC[[#This Row],[HARI 1]]</f>
        <v>35000</v>
      </c>
      <c r="BL55" s="69">
        <f>DATA_ACC[[#This Row],[HARI 2]]</f>
        <v>35000</v>
      </c>
      <c r="BM55" s="69">
        <f>DATA_ACC[[#This Row],[HARI 3]]</f>
        <v>35000</v>
      </c>
      <c r="BN55" s="69">
        <f>DATA_ACC[[#This Row],[HARI 4]]</f>
        <v>35000</v>
      </c>
      <c r="BO55" s="69">
        <f>DATA_ACC[[#This Row],[HARI 5]]</f>
        <v>35000</v>
      </c>
      <c r="BP55" s="69">
        <f>DATA_ACC[[#This Row],[HARI 6]]</f>
        <v>35000</v>
      </c>
      <c r="BQ55" s="69">
        <f>DATA_ACC[[#This Row],[HARI 7]]</f>
        <v>35000</v>
      </c>
      <c r="BR55" s="69">
        <f>DATA_ACC[[#This Row],[HARI 8]]</f>
        <v>35000</v>
      </c>
      <c r="BS55" s="69">
        <f>DATA_ACC[[#This Row],[HARI 9]]</f>
        <v>35000</v>
      </c>
      <c r="BT55" s="82">
        <f>DATA_ACC[[#This Row],[HARI 10]]</f>
        <v>35000</v>
      </c>
    </row>
    <row r="56" ht="18" spans="18:72">
      <c r="R56" s="86" t="s">
        <v>450</v>
      </c>
      <c r="S56" s="87">
        <v>49000</v>
      </c>
      <c r="T56" s="13">
        <f>DATA_SPVOU[[#This Row],[HARGA AWAL]]</f>
        <v>49000</v>
      </c>
      <c r="U56" s="13">
        <f>DATA_SPVOU[[#This Row],[HARI 1]]</f>
        <v>49000</v>
      </c>
      <c r="V56" s="13">
        <f>DATA_SPVOU[[#This Row],[HARI 2]]</f>
        <v>49000</v>
      </c>
      <c r="W56" s="13">
        <f>DATA_SPVOU[[#This Row],[HARI 3]]</f>
        <v>49000</v>
      </c>
      <c r="X56" s="13">
        <f>DATA_SPVOU[[#This Row],[HARI 4]]</f>
        <v>49000</v>
      </c>
      <c r="Y56" s="13">
        <f>DATA_SPVOU[[#This Row],[HARI 5]]</f>
        <v>49000</v>
      </c>
      <c r="Z56" s="13">
        <f>DATA_SPVOU[[#This Row],[HARI 6]]</f>
        <v>49000</v>
      </c>
      <c r="AA56" s="13">
        <f>DATA_SPVOU[[#This Row],[HARI 7]]</f>
        <v>49000</v>
      </c>
      <c r="AB56" s="13">
        <f>DATA_SPVOU[[#This Row],[HARI 8]]</f>
        <v>49000</v>
      </c>
      <c r="AC56" s="13">
        <f>DATA_SPVOU[[#This Row],[HARI 9]]</f>
        <v>49000</v>
      </c>
      <c r="AD56" s="81">
        <f>DATA_SPVOU[[#This Row],[HARI 10]]</f>
        <v>49000</v>
      </c>
      <c r="BH56" s="88" t="s">
        <v>451</v>
      </c>
      <c r="BI56" s="87">
        <v>40000</v>
      </c>
      <c r="BJ56" s="13">
        <f>DATA_ACC[[#This Row],[HARGA AWAL]]</f>
        <v>40000</v>
      </c>
      <c r="BK56" s="13">
        <f>DATA_ACC[[#This Row],[HARI 1]]</f>
        <v>40000</v>
      </c>
      <c r="BL56" s="13">
        <f>DATA_ACC[[#This Row],[HARI 2]]</f>
        <v>40000</v>
      </c>
      <c r="BM56" s="13">
        <f>DATA_ACC[[#This Row],[HARI 3]]</f>
        <v>40000</v>
      </c>
      <c r="BN56" s="13">
        <f>DATA_ACC[[#This Row],[HARI 4]]</f>
        <v>40000</v>
      </c>
      <c r="BO56" s="13">
        <f>DATA_ACC[[#This Row],[HARI 5]]</f>
        <v>40000</v>
      </c>
      <c r="BP56" s="13">
        <f>DATA_ACC[[#This Row],[HARI 6]]</f>
        <v>40000</v>
      </c>
      <c r="BQ56" s="13">
        <f>DATA_ACC[[#This Row],[HARI 7]]</f>
        <v>40000</v>
      </c>
      <c r="BR56" s="13">
        <f>DATA_ACC[[#This Row],[HARI 8]]</f>
        <v>40000</v>
      </c>
      <c r="BS56" s="13">
        <f>DATA_ACC[[#This Row],[HARI 9]]</f>
        <v>40000</v>
      </c>
      <c r="BT56" s="81">
        <f>DATA_ACC[[#This Row],[HARI 10]]</f>
        <v>40000</v>
      </c>
    </row>
    <row r="57" ht="18" spans="18:72">
      <c r="R57" s="88" t="s">
        <v>452</v>
      </c>
      <c r="S57" s="89">
        <v>68000</v>
      </c>
      <c r="T57" s="69">
        <f>DATA_SPVOU[[#This Row],[HARGA AWAL]]</f>
        <v>68000</v>
      </c>
      <c r="U57" s="69">
        <f>DATA_SPVOU[[#This Row],[HARI 1]]</f>
        <v>68000</v>
      </c>
      <c r="V57" s="69">
        <f>DATA_SPVOU[[#This Row],[HARI 2]]</f>
        <v>68000</v>
      </c>
      <c r="W57" s="69">
        <f>DATA_SPVOU[[#This Row],[HARI 3]]</f>
        <v>68000</v>
      </c>
      <c r="X57" s="69">
        <f>DATA_SPVOU[[#This Row],[HARI 4]]</f>
        <v>68000</v>
      </c>
      <c r="Y57" s="69">
        <f>DATA_SPVOU[[#This Row],[HARI 5]]</f>
        <v>68000</v>
      </c>
      <c r="Z57" s="69">
        <f>DATA_SPVOU[[#This Row],[HARI 6]]</f>
        <v>68000</v>
      </c>
      <c r="AA57" s="69">
        <f>DATA_SPVOU[[#This Row],[HARI 7]]</f>
        <v>68000</v>
      </c>
      <c r="AB57" s="69">
        <f>DATA_SPVOU[[#This Row],[HARI 8]]</f>
        <v>68000</v>
      </c>
      <c r="AC57" s="69">
        <f>DATA_SPVOU[[#This Row],[HARI 9]]</f>
        <v>68000</v>
      </c>
      <c r="AD57" s="82">
        <f>DATA_SPVOU[[#This Row],[HARI 10]]</f>
        <v>68000</v>
      </c>
      <c r="BH57" s="86" t="s">
        <v>453</v>
      </c>
      <c r="BI57" s="89">
        <v>45000</v>
      </c>
      <c r="BJ57" s="69">
        <f>DATA_ACC[[#This Row],[HARGA AWAL]]</f>
        <v>45000</v>
      </c>
      <c r="BK57" s="69">
        <f>DATA_ACC[[#This Row],[HARI 1]]</f>
        <v>45000</v>
      </c>
      <c r="BL57" s="69">
        <f>DATA_ACC[[#This Row],[HARI 2]]</f>
        <v>45000</v>
      </c>
      <c r="BM57" s="69">
        <f>DATA_ACC[[#This Row],[HARI 3]]</f>
        <v>45000</v>
      </c>
      <c r="BN57" s="69">
        <f>DATA_ACC[[#This Row],[HARI 4]]</f>
        <v>45000</v>
      </c>
      <c r="BO57" s="69">
        <f>DATA_ACC[[#This Row],[HARI 5]]</f>
        <v>45000</v>
      </c>
      <c r="BP57" s="69">
        <f>DATA_ACC[[#This Row],[HARI 6]]</f>
        <v>45000</v>
      </c>
      <c r="BQ57" s="69">
        <f>DATA_ACC[[#This Row],[HARI 7]]</f>
        <v>45000</v>
      </c>
      <c r="BR57" s="69">
        <f>DATA_ACC[[#This Row],[HARI 8]]</f>
        <v>45000</v>
      </c>
      <c r="BS57" s="69">
        <f>DATA_ACC[[#This Row],[HARI 9]]</f>
        <v>45000</v>
      </c>
      <c r="BT57" s="82">
        <f>DATA_ACC[[#This Row],[HARI 10]]</f>
        <v>45000</v>
      </c>
    </row>
    <row r="58" ht="18" spans="18:72">
      <c r="R58" s="86" t="s">
        <v>454</v>
      </c>
      <c r="S58" s="87">
        <v>94000</v>
      </c>
      <c r="T58" s="13">
        <f>DATA_SPVOU[[#This Row],[HARGA AWAL]]</f>
        <v>94000</v>
      </c>
      <c r="U58" s="13">
        <f>DATA_SPVOU[[#This Row],[HARI 1]]</f>
        <v>94000</v>
      </c>
      <c r="V58" s="13">
        <f>DATA_SPVOU[[#This Row],[HARI 2]]</f>
        <v>94000</v>
      </c>
      <c r="W58" s="13">
        <f>DATA_SPVOU[[#This Row],[HARI 3]]</f>
        <v>94000</v>
      </c>
      <c r="X58" s="13">
        <f>DATA_SPVOU[[#This Row],[HARI 4]]</f>
        <v>94000</v>
      </c>
      <c r="Y58" s="13">
        <f>DATA_SPVOU[[#This Row],[HARI 5]]</f>
        <v>94000</v>
      </c>
      <c r="Z58" s="13">
        <f>DATA_SPVOU[[#This Row],[HARI 6]]</f>
        <v>94000</v>
      </c>
      <c r="AA58" s="13">
        <f>DATA_SPVOU[[#This Row],[HARI 7]]</f>
        <v>94000</v>
      </c>
      <c r="AB58" s="13">
        <f>DATA_SPVOU[[#This Row],[HARI 8]]</f>
        <v>94000</v>
      </c>
      <c r="AC58" s="13">
        <f>DATA_SPVOU[[#This Row],[HARI 9]]</f>
        <v>94000</v>
      </c>
      <c r="AD58" s="81">
        <f>DATA_SPVOU[[#This Row],[HARI 10]]</f>
        <v>94000</v>
      </c>
      <c r="BH58" s="88" t="s">
        <v>455</v>
      </c>
      <c r="BI58" s="87">
        <v>55000</v>
      </c>
      <c r="BJ58" s="13">
        <f>DATA_ACC[[#This Row],[HARGA AWAL]]</f>
        <v>55000</v>
      </c>
      <c r="BK58" s="13">
        <f>DATA_ACC[[#This Row],[HARI 1]]</f>
        <v>55000</v>
      </c>
      <c r="BL58" s="13">
        <f>DATA_ACC[[#This Row],[HARI 2]]</f>
        <v>55000</v>
      </c>
      <c r="BM58" s="13">
        <f>DATA_ACC[[#This Row],[HARI 3]]</f>
        <v>55000</v>
      </c>
      <c r="BN58" s="13">
        <f>DATA_ACC[[#This Row],[HARI 4]]</f>
        <v>55000</v>
      </c>
      <c r="BO58" s="13">
        <f>DATA_ACC[[#This Row],[HARI 5]]</f>
        <v>55000</v>
      </c>
      <c r="BP58" s="13">
        <f>DATA_ACC[[#This Row],[HARI 6]]</f>
        <v>55000</v>
      </c>
      <c r="BQ58" s="13">
        <f>DATA_ACC[[#This Row],[HARI 7]]</f>
        <v>55000</v>
      </c>
      <c r="BR58" s="13">
        <f>DATA_ACC[[#This Row],[HARI 8]]</f>
        <v>55000</v>
      </c>
      <c r="BS58" s="13">
        <f>DATA_ACC[[#This Row],[HARI 9]]</f>
        <v>55000</v>
      </c>
      <c r="BT58" s="81">
        <f>DATA_ACC[[#This Row],[HARI 10]]</f>
        <v>55000</v>
      </c>
    </row>
    <row r="59" ht="18" spans="18:72">
      <c r="R59" s="88" t="s">
        <v>456</v>
      </c>
      <c r="S59" s="89">
        <v>9000</v>
      </c>
      <c r="T59" s="69">
        <f>DATA_SPVOU[[#This Row],[HARGA AWAL]]</f>
        <v>9000</v>
      </c>
      <c r="U59" s="69">
        <f>DATA_SPVOU[[#This Row],[HARI 1]]</f>
        <v>9000</v>
      </c>
      <c r="V59" s="69">
        <f>DATA_SPVOU[[#This Row],[HARI 2]]</f>
        <v>9000</v>
      </c>
      <c r="W59" s="69">
        <f>DATA_SPVOU[[#This Row],[HARI 3]]</f>
        <v>9000</v>
      </c>
      <c r="X59" s="69">
        <f>DATA_SPVOU[[#This Row],[HARI 4]]</f>
        <v>9000</v>
      </c>
      <c r="Y59" s="69">
        <f>DATA_SPVOU[[#This Row],[HARI 5]]</f>
        <v>9000</v>
      </c>
      <c r="Z59" s="69">
        <f>DATA_SPVOU[[#This Row],[HARI 6]]</f>
        <v>9000</v>
      </c>
      <c r="AA59" s="69">
        <f>DATA_SPVOU[[#This Row],[HARI 7]]</f>
        <v>9000</v>
      </c>
      <c r="AB59" s="69">
        <f>DATA_SPVOU[[#This Row],[HARI 8]]</f>
        <v>9000</v>
      </c>
      <c r="AC59" s="69">
        <f>DATA_SPVOU[[#This Row],[HARI 9]]</f>
        <v>9000</v>
      </c>
      <c r="AD59" s="82">
        <f>DATA_SPVOU[[#This Row],[HARI 10]]</f>
        <v>9000</v>
      </c>
      <c r="BH59" s="86" t="s">
        <v>457</v>
      </c>
      <c r="BI59" s="89">
        <v>60000</v>
      </c>
      <c r="BJ59" s="69">
        <f>DATA_ACC[[#This Row],[HARGA AWAL]]</f>
        <v>60000</v>
      </c>
      <c r="BK59" s="69">
        <f>DATA_ACC[[#This Row],[HARI 1]]</f>
        <v>60000</v>
      </c>
      <c r="BL59" s="69">
        <f>DATA_ACC[[#This Row],[HARI 2]]</f>
        <v>60000</v>
      </c>
      <c r="BM59" s="69">
        <f>DATA_ACC[[#This Row],[HARI 3]]</f>
        <v>60000</v>
      </c>
      <c r="BN59" s="69">
        <f>DATA_ACC[[#This Row],[HARI 4]]</f>
        <v>60000</v>
      </c>
      <c r="BO59" s="69">
        <f>DATA_ACC[[#This Row],[HARI 5]]</f>
        <v>60000</v>
      </c>
      <c r="BP59" s="69">
        <f>DATA_ACC[[#This Row],[HARI 6]]</f>
        <v>60000</v>
      </c>
      <c r="BQ59" s="69">
        <f>DATA_ACC[[#This Row],[HARI 7]]</f>
        <v>60000</v>
      </c>
      <c r="BR59" s="69">
        <f>DATA_ACC[[#This Row],[HARI 8]]</f>
        <v>60000</v>
      </c>
      <c r="BS59" s="69">
        <f>DATA_ACC[[#This Row],[HARI 9]]</f>
        <v>60000</v>
      </c>
      <c r="BT59" s="82">
        <f>DATA_ACC[[#This Row],[HARI 10]]</f>
        <v>60000</v>
      </c>
    </row>
    <row r="60" ht="18" spans="18:72">
      <c r="R60" s="86" t="s">
        <v>190</v>
      </c>
      <c r="S60" s="87">
        <v>17000</v>
      </c>
      <c r="T60" s="13">
        <f>DATA_SPVOU[[#This Row],[HARGA AWAL]]</f>
        <v>17000</v>
      </c>
      <c r="U60" s="13">
        <f>DATA_SPVOU[[#This Row],[HARI 1]]</f>
        <v>17000</v>
      </c>
      <c r="V60" s="13">
        <f>DATA_SPVOU[[#This Row],[HARI 2]]</f>
        <v>17000</v>
      </c>
      <c r="W60" s="13">
        <f>DATA_SPVOU[[#This Row],[HARI 3]]</f>
        <v>17000</v>
      </c>
      <c r="X60" s="13">
        <f>DATA_SPVOU[[#This Row],[HARI 4]]</f>
        <v>17000</v>
      </c>
      <c r="Y60" s="13">
        <f>DATA_SPVOU[[#This Row],[HARI 5]]</f>
        <v>17000</v>
      </c>
      <c r="Z60" s="13">
        <f>DATA_SPVOU[[#This Row],[HARI 6]]</f>
        <v>17000</v>
      </c>
      <c r="AA60" s="13">
        <f>DATA_SPVOU[[#This Row],[HARI 7]]</f>
        <v>17000</v>
      </c>
      <c r="AB60" s="13">
        <f>DATA_SPVOU[[#This Row],[HARI 8]]</f>
        <v>17000</v>
      </c>
      <c r="AC60" s="13">
        <f>DATA_SPVOU[[#This Row],[HARI 9]]</f>
        <v>17000</v>
      </c>
      <c r="AD60" s="81">
        <f>DATA_SPVOU[[#This Row],[HARI 10]]</f>
        <v>17000</v>
      </c>
      <c r="BH60" s="88" t="s">
        <v>458</v>
      </c>
      <c r="BI60" s="87">
        <v>60000</v>
      </c>
      <c r="BJ60" s="13">
        <f>DATA_ACC[[#This Row],[HARGA AWAL]]</f>
        <v>60000</v>
      </c>
      <c r="BK60" s="13">
        <f>DATA_ACC[[#This Row],[HARI 1]]</f>
        <v>60000</v>
      </c>
      <c r="BL60" s="13">
        <f>DATA_ACC[[#This Row],[HARI 2]]</f>
        <v>60000</v>
      </c>
      <c r="BM60" s="13">
        <f>DATA_ACC[[#This Row],[HARI 3]]</f>
        <v>60000</v>
      </c>
      <c r="BN60" s="13">
        <f>DATA_ACC[[#This Row],[HARI 4]]</f>
        <v>60000</v>
      </c>
      <c r="BO60" s="13">
        <f>DATA_ACC[[#This Row],[HARI 5]]</f>
        <v>60000</v>
      </c>
      <c r="BP60" s="13">
        <f>DATA_ACC[[#This Row],[HARI 6]]</f>
        <v>60000</v>
      </c>
      <c r="BQ60" s="13">
        <f>DATA_ACC[[#This Row],[HARI 7]]</f>
        <v>60000</v>
      </c>
      <c r="BR60" s="13">
        <f>DATA_ACC[[#This Row],[HARI 8]]</f>
        <v>60000</v>
      </c>
      <c r="BS60" s="13">
        <f>DATA_ACC[[#This Row],[HARI 9]]</f>
        <v>60000</v>
      </c>
      <c r="BT60" s="81">
        <f>DATA_ACC[[#This Row],[HARI 10]]</f>
        <v>60000</v>
      </c>
    </row>
    <row r="61" ht="18" spans="18:72">
      <c r="R61" s="88" t="s">
        <v>88</v>
      </c>
      <c r="S61" s="89">
        <v>23000</v>
      </c>
      <c r="T61" s="69">
        <f>DATA_SPVOU[[#This Row],[HARGA AWAL]]</f>
        <v>23000</v>
      </c>
      <c r="U61" s="69">
        <f>DATA_SPVOU[[#This Row],[HARI 1]]</f>
        <v>23000</v>
      </c>
      <c r="V61" s="69">
        <f>DATA_SPVOU[[#This Row],[HARI 2]]</f>
        <v>23000</v>
      </c>
      <c r="W61" s="69">
        <f>DATA_SPVOU[[#This Row],[HARI 3]]</f>
        <v>23000</v>
      </c>
      <c r="X61" s="69">
        <f>DATA_SPVOU[[#This Row],[HARI 4]]</f>
        <v>23000</v>
      </c>
      <c r="Y61" s="69">
        <f>DATA_SPVOU[[#This Row],[HARI 5]]</f>
        <v>23000</v>
      </c>
      <c r="Z61" s="69">
        <f>DATA_SPVOU[[#This Row],[HARI 6]]</f>
        <v>23000</v>
      </c>
      <c r="AA61" s="69">
        <f>DATA_SPVOU[[#This Row],[HARI 7]]</f>
        <v>23000</v>
      </c>
      <c r="AB61" s="69">
        <f>DATA_SPVOU[[#This Row],[HARI 8]]</f>
        <v>23000</v>
      </c>
      <c r="AC61" s="69">
        <f>DATA_SPVOU[[#This Row],[HARI 9]]</f>
        <v>23000</v>
      </c>
      <c r="AD61" s="82">
        <f>DATA_SPVOU[[#This Row],[HARI 10]]</f>
        <v>23000</v>
      </c>
      <c r="BH61" s="86" t="s">
        <v>459</v>
      </c>
      <c r="BI61" s="89">
        <v>65000</v>
      </c>
      <c r="BJ61" s="69">
        <f>DATA_ACC[[#This Row],[HARGA AWAL]]</f>
        <v>65000</v>
      </c>
      <c r="BK61" s="69">
        <f>DATA_ACC[[#This Row],[HARI 1]]</f>
        <v>65000</v>
      </c>
      <c r="BL61" s="69">
        <f>DATA_ACC[[#This Row],[HARI 2]]</f>
        <v>65000</v>
      </c>
      <c r="BM61" s="69">
        <f>DATA_ACC[[#This Row],[HARI 3]]</f>
        <v>65000</v>
      </c>
      <c r="BN61" s="69">
        <f>DATA_ACC[[#This Row],[HARI 4]]</f>
        <v>65000</v>
      </c>
      <c r="BO61" s="69">
        <f>DATA_ACC[[#This Row],[HARI 5]]</f>
        <v>65000</v>
      </c>
      <c r="BP61" s="69">
        <f>DATA_ACC[[#This Row],[HARI 6]]</f>
        <v>65000</v>
      </c>
      <c r="BQ61" s="69">
        <f>DATA_ACC[[#This Row],[HARI 7]]</f>
        <v>65000</v>
      </c>
      <c r="BR61" s="69">
        <f>DATA_ACC[[#This Row],[HARI 8]]</f>
        <v>65000</v>
      </c>
      <c r="BS61" s="69">
        <f>DATA_ACC[[#This Row],[HARI 9]]</f>
        <v>65000</v>
      </c>
      <c r="BT61" s="82">
        <f>DATA_ACC[[#This Row],[HARI 10]]</f>
        <v>65000</v>
      </c>
    </row>
    <row r="62" ht="18" spans="18:72">
      <c r="R62" s="86" t="s">
        <v>460</v>
      </c>
      <c r="S62" s="87">
        <v>38000</v>
      </c>
      <c r="T62" s="13">
        <f>DATA_SPVOU[[#This Row],[HARGA AWAL]]</f>
        <v>38000</v>
      </c>
      <c r="U62" s="13">
        <f>DATA_SPVOU[[#This Row],[HARI 1]]</f>
        <v>38000</v>
      </c>
      <c r="V62" s="13">
        <f>DATA_SPVOU[[#This Row],[HARI 2]]</f>
        <v>38000</v>
      </c>
      <c r="W62" s="13">
        <f>DATA_SPVOU[[#This Row],[HARI 3]]</f>
        <v>38000</v>
      </c>
      <c r="X62" s="13">
        <f>DATA_SPVOU[[#This Row],[HARI 4]]</f>
        <v>38000</v>
      </c>
      <c r="Y62" s="13">
        <f>DATA_SPVOU[[#This Row],[HARI 5]]</f>
        <v>38000</v>
      </c>
      <c r="Z62" s="13">
        <f>DATA_SPVOU[[#This Row],[HARI 6]]</f>
        <v>38000</v>
      </c>
      <c r="AA62" s="13">
        <f>DATA_SPVOU[[#This Row],[HARI 7]]</f>
        <v>38000</v>
      </c>
      <c r="AB62" s="13">
        <f>DATA_SPVOU[[#This Row],[HARI 8]]</f>
        <v>38000</v>
      </c>
      <c r="AC62" s="13">
        <f>DATA_SPVOU[[#This Row],[HARI 9]]</f>
        <v>38000</v>
      </c>
      <c r="AD62" s="81">
        <f>DATA_SPVOU[[#This Row],[HARI 10]]</f>
        <v>38000</v>
      </c>
      <c r="BH62" s="88" t="s">
        <v>461</v>
      </c>
      <c r="BI62" s="87">
        <v>75000</v>
      </c>
      <c r="BJ62" s="13">
        <f>DATA_ACC[[#This Row],[HARGA AWAL]]</f>
        <v>75000</v>
      </c>
      <c r="BK62" s="13">
        <f>DATA_ACC[[#This Row],[HARI 1]]</f>
        <v>75000</v>
      </c>
      <c r="BL62" s="13">
        <f>DATA_ACC[[#This Row],[HARI 2]]</f>
        <v>75000</v>
      </c>
      <c r="BM62" s="13">
        <f>DATA_ACC[[#This Row],[HARI 3]]</f>
        <v>75000</v>
      </c>
      <c r="BN62" s="13">
        <f>DATA_ACC[[#This Row],[HARI 4]]</f>
        <v>75000</v>
      </c>
      <c r="BO62" s="13">
        <f>DATA_ACC[[#This Row],[HARI 5]]</f>
        <v>75000</v>
      </c>
      <c r="BP62" s="13">
        <f>DATA_ACC[[#This Row],[HARI 6]]</f>
        <v>75000</v>
      </c>
      <c r="BQ62" s="13">
        <f>DATA_ACC[[#This Row],[HARI 7]]</f>
        <v>75000</v>
      </c>
      <c r="BR62" s="13">
        <f>DATA_ACC[[#This Row],[HARI 8]]</f>
        <v>75000</v>
      </c>
      <c r="BS62" s="13">
        <f>DATA_ACC[[#This Row],[HARI 9]]</f>
        <v>75000</v>
      </c>
      <c r="BT62" s="81">
        <f>DATA_ACC[[#This Row],[HARI 10]]</f>
        <v>75000</v>
      </c>
    </row>
    <row r="63" ht="18" spans="18:72">
      <c r="R63" s="88" t="s">
        <v>462</v>
      </c>
      <c r="S63" s="89">
        <v>50000</v>
      </c>
      <c r="T63" s="69">
        <f>DATA_SPVOU[[#This Row],[HARGA AWAL]]</f>
        <v>50000</v>
      </c>
      <c r="U63" s="69">
        <f>DATA_SPVOU[[#This Row],[HARI 1]]</f>
        <v>50000</v>
      </c>
      <c r="V63" s="69">
        <f>DATA_SPVOU[[#This Row],[HARI 2]]</f>
        <v>50000</v>
      </c>
      <c r="W63" s="69">
        <f>DATA_SPVOU[[#This Row],[HARI 3]]</f>
        <v>50000</v>
      </c>
      <c r="X63" s="69">
        <f>DATA_SPVOU[[#This Row],[HARI 4]]</f>
        <v>50000</v>
      </c>
      <c r="Y63" s="69">
        <f>DATA_SPVOU[[#This Row],[HARI 5]]</f>
        <v>50000</v>
      </c>
      <c r="Z63" s="69">
        <f>DATA_SPVOU[[#This Row],[HARI 6]]</f>
        <v>50000</v>
      </c>
      <c r="AA63" s="69">
        <f>DATA_SPVOU[[#This Row],[HARI 7]]</f>
        <v>50000</v>
      </c>
      <c r="AB63" s="69">
        <f>DATA_SPVOU[[#This Row],[HARI 8]]</f>
        <v>50000</v>
      </c>
      <c r="AC63" s="69">
        <f>DATA_SPVOU[[#This Row],[HARI 9]]</f>
        <v>50000</v>
      </c>
      <c r="AD63" s="82">
        <f>DATA_SPVOU[[#This Row],[HARI 10]]</f>
        <v>50000</v>
      </c>
      <c r="BH63" s="86" t="s">
        <v>463</v>
      </c>
      <c r="BI63" s="89">
        <v>100000</v>
      </c>
      <c r="BJ63" s="69">
        <f>DATA_ACC[[#This Row],[HARGA AWAL]]</f>
        <v>100000</v>
      </c>
      <c r="BK63" s="69">
        <f>DATA_ACC[[#This Row],[HARI 1]]</f>
        <v>100000</v>
      </c>
      <c r="BL63" s="69">
        <f>DATA_ACC[[#This Row],[HARI 2]]</f>
        <v>100000</v>
      </c>
      <c r="BM63" s="69">
        <f>DATA_ACC[[#This Row],[HARI 3]]</f>
        <v>100000</v>
      </c>
      <c r="BN63" s="69">
        <f>DATA_ACC[[#This Row],[HARI 4]]</f>
        <v>100000</v>
      </c>
      <c r="BO63" s="69">
        <f>DATA_ACC[[#This Row],[HARI 5]]</f>
        <v>100000</v>
      </c>
      <c r="BP63" s="69">
        <f>DATA_ACC[[#This Row],[HARI 6]]</f>
        <v>100000</v>
      </c>
      <c r="BQ63" s="69">
        <f>DATA_ACC[[#This Row],[HARI 7]]</f>
        <v>100000</v>
      </c>
      <c r="BR63" s="69">
        <f>DATA_ACC[[#This Row],[HARI 8]]</f>
        <v>100000</v>
      </c>
      <c r="BS63" s="69">
        <f>DATA_ACC[[#This Row],[HARI 9]]</f>
        <v>100000</v>
      </c>
      <c r="BT63" s="82">
        <f>DATA_ACC[[#This Row],[HARI 10]]</f>
        <v>100000</v>
      </c>
    </row>
    <row r="64" ht="18" spans="18:72">
      <c r="R64" s="86" t="s">
        <v>80</v>
      </c>
      <c r="S64" s="87">
        <v>38000</v>
      </c>
      <c r="T64" s="13">
        <f>DATA_SPVOU[[#This Row],[HARGA AWAL]]</f>
        <v>38000</v>
      </c>
      <c r="U64" s="13">
        <f>DATA_SPVOU[[#This Row],[HARI 1]]</f>
        <v>38000</v>
      </c>
      <c r="V64" s="13">
        <f>DATA_SPVOU[[#This Row],[HARI 2]]</f>
        <v>38000</v>
      </c>
      <c r="W64" s="13">
        <f>DATA_SPVOU[[#This Row],[HARI 3]]</f>
        <v>38000</v>
      </c>
      <c r="X64" s="13">
        <f>DATA_SPVOU[[#This Row],[HARI 4]]</f>
        <v>38000</v>
      </c>
      <c r="Y64" s="13">
        <f>DATA_SPVOU[[#This Row],[HARI 5]]</f>
        <v>38000</v>
      </c>
      <c r="Z64" s="13">
        <f>DATA_SPVOU[[#This Row],[HARI 6]]</f>
        <v>38000</v>
      </c>
      <c r="AA64" s="13">
        <f>DATA_SPVOU[[#This Row],[HARI 7]]</f>
        <v>38000</v>
      </c>
      <c r="AB64" s="13">
        <f>DATA_SPVOU[[#This Row],[HARI 8]]</f>
        <v>38000</v>
      </c>
      <c r="AC64" s="13">
        <f>DATA_SPVOU[[#This Row],[HARI 9]]</f>
        <v>38000</v>
      </c>
      <c r="AD64" s="81">
        <f>DATA_SPVOU[[#This Row],[HARI 10]]</f>
        <v>38000</v>
      </c>
      <c r="BH64" s="88" t="s">
        <v>464</v>
      </c>
      <c r="BI64" s="87">
        <v>125000</v>
      </c>
      <c r="BJ64" s="13">
        <f>DATA_ACC[[#This Row],[HARGA AWAL]]</f>
        <v>125000</v>
      </c>
      <c r="BK64" s="13">
        <f>DATA_ACC[[#This Row],[HARI 1]]</f>
        <v>125000</v>
      </c>
      <c r="BL64" s="13">
        <f>DATA_ACC[[#This Row],[HARI 2]]</f>
        <v>125000</v>
      </c>
      <c r="BM64" s="13">
        <f>DATA_ACC[[#This Row],[HARI 3]]</f>
        <v>125000</v>
      </c>
      <c r="BN64" s="13">
        <f>DATA_ACC[[#This Row],[HARI 4]]</f>
        <v>125000</v>
      </c>
      <c r="BO64" s="13">
        <f>DATA_ACC[[#This Row],[HARI 5]]</f>
        <v>125000</v>
      </c>
      <c r="BP64" s="13">
        <f>DATA_ACC[[#This Row],[HARI 6]]</f>
        <v>125000</v>
      </c>
      <c r="BQ64" s="13">
        <f>DATA_ACC[[#This Row],[HARI 7]]</f>
        <v>125000</v>
      </c>
      <c r="BR64" s="13">
        <f>DATA_ACC[[#This Row],[HARI 8]]</f>
        <v>125000</v>
      </c>
      <c r="BS64" s="13">
        <f>DATA_ACC[[#This Row],[HARI 9]]</f>
        <v>125000</v>
      </c>
      <c r="BT64" s="81">
        <f>DATA_ACC[[#This Row],[HARI 10]]</f>
        <v>125000</v>
      </c>
    </row>
    <row r="65" ht="18" spans="18:72">
      <c r="R65" s="88" t="s">
        <v>83</v>
      </c>
      <c r="S65" s="89">
        <v>12000</v>
      </c>
      <c r="T65" s="69">
        <f>DATA_SPVOU[[#This Row],[HARGA AWAL]]</f>
        <v>12000</v>
      </c>
      <c r="U65" s="69">
        <f>DATA_SPVOU[[#This Row],[HARI 1]]</f>
        <v>12000</v>
      </c>
      <c r="V65" s="69">
        <f>DATA_SPVOU[[#This Row],[HARI 2]]</f>
        <v>12000</v>
      </c>
      <c r="W65" s="69">
        <f>DATA_SPVOU[[#This Row],[HARI 3]]</f>
        <v>12000</v>
      </c>
      <c r="X65" s="69">
        <f>DATA_SPVOU[[#This Row],[HARI 4]]</f>
        <v>12000</v>
      </c>
      <c r="Y65" s="69">
        <f>DATA_SPVOU[[#This Row],[HARI 5]]</f>
        <v>12000</v>
      </c>
      <c r="Z65" s="69">
        <f>DATA_SPVOU[[#This Row],[HARI 6]]</f>
        <v>12000</v>
      </c>
      <c r="AA65" s="69">
        <f>DATA_SPVOU[[#This Row],[HARI 7]]</f>
        <v>12000</v>
      </c>
      <c r="AB65" s="69">
        <f>DATA_SPVOU[[#This Row],[HARI 8]]</f>
        <v>12000</v>
      </c>
      <c r="AC65" s="69">
        <f>DATA_SPVOU[[#This Row],[HARI 9]]</f>
        <v>12000</v>
      </c>
      <c r="AD65" s="82">
        <f>DATA_SPVOU[[#This Row],[HARI 10]]</f>
        <v>12000</v>
      </c>
      <c r="BH65" s="86" t="s">
        <v>465</v>
      </c>
      <c r="BI65" s="89">
        <v>38000</v>
      </c>
      <c r="BJ65" s="69">
        <f>DATA_ACC[[#This Row],[HARGA AWAL]]</f>
        <v>38000</v>
      </c>
      <c r="BK65" s="69">
        <f>DATA_ACC[[#This Row],[HARI 1]]</f>
        <v>38000</v>
      </c>
      <c r="BL65" s="69">
        <f>DATA_ACC[[#This Row],[HARI 2]]</f>
        <v>38000</v>
      </c>
      <c r="BM65" s="69">
        <f>DATA_ACC[[#This Row],[HARI 3]]</f>
        <v>38000</v>
      </c>
      <c r="BN65" s="69">
        <f>DATA_ACC[[#This Row],[HARI 4]]</f>
        <v>38000</v>
      </c>
      <c r="BO65" s="69">
        <f>DATA_ACC[[#This Row],[HARI 5]]</f>
        <v>38000</v>
      </c>
      <c r="BP65" s="69">
        <f>DATA_ACC[[#This Row],[HARI 6]]</f>
        <v>38000</v>
      </c>
      <c r="BQ65" s="69">
        <f>DATA_ACC[[#This Row],[HARI 7]]</f>
        <v>38000</v>
      </c>
      <c r="BR65" s="69">
        <f>DATA_ACC[[#This Row],[HARI 8]]</f>
        <v>38000</v>
      </c>
      <c r="BS65" s="69">
        <f>DATA_ACC[[#This Row],[HARI 9]]</f>
        <v>38000</v>
      </c>
      <c r="BT65" s="82">
        <f>DATA_ACC[[#This Row],[HARI 10]]</f>
        <v>38000</v>
      </c>
    </row>
    <row r="66" ht="18" spans="18:72">
      <c r="R66" s="86" t="s">
        <v>466</v>
      </c>
      <c r="S66" s="87">
        <v>16000</v>
      </c>
      <c r="T66" s="13">
        <f>DATA_SPVOU[[#This Row],[HARGA AWAL]]</f>
        <v>16000</v>
      </c>
      <c r="U66" s="13">
        <f>DATA_SPVOU[[#This Row],[HARI 1]]</f>
        <v>16000</v>
      </c>
      <c r="V66" s="13">
        <f>DATA_SPVOU[[#This Row],[HARI 2]]</f>
        <v>16000</v>
      </c>
      <c r="W66" s="13">
        <f>DATA_SPVOU[[#This Row],[HARI 3]]</f>
        <v>16000</v>
      </c>
      <c r="X66" s="13">
        <f>DATA_SPVOU[[#This Row],[HARI 4]]</f>
        <v>16000</v>
      </c>
      <c r="Y66" s="13">
        <f>DATA_SPVOU[[#This Row],[HARI 5]]</f>
        <v>16000</v>
      </c>
      <c r="Z66" s="13">
        <f>DATA_SPVOU[[#This Row],[HARI 6]]</f>
        <v>16000</v>
      </c>
      <c r="AA66" s="13">
        <f>DATA_SPVOU[[#This Row],[HARI 7]]</f>
        <v>16000</v>
      </c>
      <c r="AB66" s="13">
        <f>DATA_SPVOU[[#This Row],[HARI 8]]</f>
        <v>16000</v>
      </c>
      <c r="AC66" s="13">
        <f>DATA_SPVOU[[#This Row],[HARI 9]]</f>
        <v>16000</v>
      </c>
      <c r="AD66" s="81">
        <f>DATA_SPVOU[[#This Row],[HARI 10]]</f>
        <v>16000</v>
      </c>
      <c r="BH66" s="88" t="s">
        <v>467</v>
      </c>
      <c r="BI66" s="87">
        <v>45000</v>
      </c>
      <c r="BJ66" s="13">
        <f>DATA_ACC[[#This Row],[HARGA AWAL]]</f>
        <v>45000</v>
      </c>
      <c r="BK66" s="13">
        <f>DATA_ACC[[#This Row],[HARI 1]]</f>
        <v>45000</v>
      </c>
      <c r="BL66" s="13">
        <f>DATA_ACC[[#This Row],[HARI 2]]</f>
        <v>45000</v>
      </c>
      <c r="BM66" s="13">
        <f>DATA_ACC[[#This Row],[HARI 3]]</f>
        <v>45000</v>
      </c>
      <c r="BN66" s="13">
        <f>DATA_ACC[[#This Row],[HARI 4]]</f>
        <v>45000</v>
      </c>
      <c r="BO66" s="13">
        <f>DATA_ACC[[#This Row],[HARI 5]]</f>
        <v>45000</v>
      </c>
      <c r="BP66" s="13">
        <f>DATA_ACC[[#This Row],[HARI 6]]</f>
        <v>45000</v>
      </c>
      <c r="BQ66" s="13">
        <f>DATA_ACC[[#This Row],[HARI 7]]</f>
        <v>45000</v>
      </c>
      <c r="BR66" s="13">
        <f>DATA_ACC[[#This Row],[HARI 8]]</f>
        <v>45000</v>
      </c>
      <c r="BS66" s="13">
        <f>DATA_ACC[[#This Row],[HARI 9]]</f>
        <v>45000</v>
      </c>
      <c r="BT66" s="81">
        <f>DATA_ACC[[#This Row],[HARI 10]]</f>
        <v>45000</v>
      </c>
    </row>
    <row r="67" ht="18" spans="18:72">
      <c r="R67" s="88" t="s">
        <v>189</v>
      </c>
      <c r="S67" s="89">
        <v>23000</v>
      </c>
      <c r="T67" s="69">
        <f>DATA_SPVOU[[#This Row],[HARGA AWAL]]</f>
        <v>23000</v>
      </c>
      <c r="U67" s="69">
        <f>DATA_SPVOU[[#This Row],[HARI 1]]</f>
        <v>23000</v>
      </c>
      <c r="V67" s="69">
        <f>DATA_SPVOU[[#This Row],[HARI 2]]</f>
        <v>23000</v>
      </c>
      <c r="W67" s="69">
        <f>DATA_SPVOU[[#This Row],[HARI 3]]</f>
        <v>23000</v>
      </c>
      <c r="X67" s="69">
        <f>DATA_SPVOU[[#This Row],[HARI 4]]</f>
        <v>23000</v>
      </c>
      <c r="Y67" s="69">
        <f>DATA_SPVOU[[#This Row],[HARI 5]]</f>
        <v>23000</v>
      </c>
      <c r="Z67" s="69">
        <f>DATA_SPVOU[[#This Row],[HARI 6]]</f>
        <v>23000</v>
      </c>
      <c r="AA67" s="69">
        <f>DATA_SPVOU[[#This Row],[HARI 7]]</f>
        <v>23000</v>
      </c>
      <c r="AB67" s="69">
        <f>DATA_SPVOU[[#This Row],[HARI 8]]</f>
        <v>23000</v>
      </c>
      <c r="AC67" s="69">
        <f>DATA_SPVOU[[#This Row],[HARI 9]]</f>
        <v>23000</v>
      </c>
      <c r="AD67" s="82">
        <f>DATA_SPVOU[[#This Row],[HARI 10]]</f>
        <v>23000</v>
      </c>
      <c r="BH67" s="86" t="s">
        <v>468</v>
      </c>
      <c r="BI67" s="89">
        <v>50000</v>
      </c>
      <c r="BJ67" s="69">
        <f>DATA_ACC[[#This Row],[HARGA AWAL]]</f>
        <v>50000</v>
      </c>
      <c r="BK67" s="69">
        <f>DATA_ACC[[#This Row],[HARI 1]]</f>
        <v>50000</v>
      </c>
      <c r="BL67" s="69">
        <f>DATA_ACC[[#This Row],[HARI 2]]</f>
        <v>50000</v>
      </c>
      <c r="BM67" s="69">
        <f>DATA_ACC[[#This Row],[HARI 3]]</f>
        <v>50000</v>
      </c>
      <c r="BN67" s="69">
        <f>DATA_ACC[[#This Row],[HARI 4]]</f>
        <v>50000</v>
      </c>
      <c r="BO67" s="69">
        <f>DATA_ACC[[#This Row],[HARI 5]]</f>
        <v>50000</v>
      </c>
      <c r="BP67" s="69">
        <f>DATA_ACC[[#This Row],[HARI 6]]</f>
        <v>50000</v>
      </c>
      <c r="BQ67" s="69">
        <f>DATA_ACC[[#This Row],[HARI 7]]</f>
        <v>50000</v>
      </c>
      <c r="BR67" s="69">
        <f>DATA_ACC[[#This Row],[HARI 8]]</f>
        <v>50000</v>
      </c>
      <c r="BS67" s="69">
        <f>DATA_ACC[[#This Row],[HARI 9]]</f>
        <v>50000</v>
      </c>
      <c r="BT67" s="82">
        <f>DATA_ACC[[#This Row],[HARI 10]]</f>
        <v>50000</v>
      </c>
    </row>
    <row r="68" ht="18" spans="18:72">
      <c r="R68" s="86" t="s">
        <v>469</v>
      </c>
      <c r="S68" s="87">
        <v>35000</v>
      </c>
      <c r="T68" s="13">
        <f>DATA_SPVOU[[#This Row],[HARGA AWAL]]</f>
        <v>35000</v>
      </c>
      <c r="U68" s="13">
        <f>DATA_SPVOU[[#This Row],[HARI 1]]</f>
        <v>35000</v>
      </c>
      <c r="V68" s="13">
        <f>DATA_SPVOU[[#This Row],[HARI 2]]</f>
        <v>35000</v>
      </c>
      <c r="W68" s="13">
        <f>DATA_SPVOU[[#This Row],[HARI 3]]</f>
        <v>35000</v>
      </c>
      <c r="X68" s="13">
        <f>DATA_SPVOU[[#This Row],[HARI 4]]</f>
        <v>35000</v>
      </c>
      <c r="Y68" s="13">
        <f>DATA_SPVOU[[#This Row],[HARI 5]]</f>
        <v>35000</v>
      </c>
      <c r="Z68" s="13">
        <f>DATA_SPVOU[[#This Row],[HARI 6]]</f>
        <v>35000</v>
      </c>
      <c r="AA68" s="13">
        <f>DATA_SPVOU[[#This Row],[HARI 7]]</f>
        <v>35000</v>
      </c>
      <c r="AB68" s="13">
        <f>DATA_SPVOU[[#This Row],[HARI 8]]</f>
        <v>35000</v>
      </c>
      <c r="AC68" s="13">
        <f>DATA_SPVOU[[#This Row],[HARI 9]]</f>
        <v>35000</v>
      </c>
      <c r="AD68" s="81">
        <f>DATA_SPVOU[[#This Row],[HARI 10]]</f>
        <v>35000</v>
      </c>
      <c r="BH68" s="88" t="s">
        <v>470</v>
      </c>
      <c r="BI68" s="87">
        <v>75000</v>
      </c>
      <c r="BJ68" s="13">
        <f>DATA_ACC[[#This Row],[HARGA AWAL]]</f>
        <v>75000</v>
      </c>
      <c r="BK68" s="13">
        <f>DATA_ACC[[#This Row],[HARI 1]]</f>
        <v>75000</v>
      </c>
      <c r="BL68" s="13">
        <f>DATA_ACC[[#This Row],[HARI 2]]</f>
        <v>75000</v>
      </c>
      <c r="BM68" s="13">
        <f>DATA_ACC[[#This Row],[HARI 3]]</f>
        <v>75000</v>
      </c>
      <c r="BN68" s="13">
        <f>DATA_ACC[[#This Row],[HARI 4]]</f>
        <v>75000</v>
      </c>
      <c r="BO68" s="13">
        <f>DATA_ACC[[#This Row],[HARI 5]]</f>
        <v>75000</v>
      </c>
      <c r="BP68" s="13">
        <f>DATA_ACC[[#This Row],[HARI 6]]</f>
        <v>75000</v>
      </c>
      <c r="BQ68" s="13">
        <f>DATA_ACC[[#This Row],[HARI 7]]</f>
        <v>75000</v>
      </c>
      <c r="BR68" s="13">
        <f>DATA_ACC[[#This Row],[HARI 8]]</f>
        <v>75000</v>
      </c>
      <c r="BS68" s="13">
        <f>DATA_ACC[[#This Row],[HARI 9]]</f>
        <v>75000</v>
      </c>
      <c r="BT68" s="81">
        <f>DATA_ACC[[#This Row],[HARI 10]]</f>
        <v>75000</v>
      </c>
    </row>
    <row r="69" ht="18" spans="18:72">
      <c r="R69" s="88" t="s">
        <v>471</v>
      </c>
      <c r="S69" s="89">
        <v>44000</v>
      </c>
      <c r="T69" s="69">
        <f>DATA_SPVOU[[#This Row],[HARGA AWAL]]</f>
        <v>44000</v>
      </c>
      <c r="U69" s="69">
        <f>DATA_SPVOU[[#This Row],[HARI 1]]</f>
        <v>44000</v>
      </c>
      <c r="V69" s="69">
        <f>DATA_SPVOU[[#This Row],[HARI 2]]</f>
        <v>44000</v>
      </c>
      <c r="W69" s="69">
        <f>DATA_SPVOU[[#This Row],[HARI 3]]</f>
        <v>44000</v>
      </c>
      <c r="X69" s="69">
        <f>DATA_SPVOU[[#This Row],[HARI 4]]</f>
        <v>44000</v>
      </c>
      <c r="Y69" s="69">
        <f>DATA_SPVOU[[#This Row],[HARI 5]]</f>
        <v>44000</v>
      </c>
      <c r="Z69" s="69">
        <f>DATA_SPVOU[[#This Row],[HARI 6]]</f>
        <v>44000</v>
      </c>
      <c r="AA69" s="69">
        <f>DATA_SPVOU[[#This Row],[HARI 7]]</f>
        <v>44000</v>
      </c>
      <c r="AB69" s="69">
        <f>DATA_SPVOU[[#This Row],[HARI 8]]</f>
        <v>44000</v>
      </c>
      <c r="AC69" s="69">
        <f>DATA_SPVOU[[#This Row],[HARI 9]]</f>
        <v>44000</v>
      </c>
      <c r="AD69" s="82">
        <f>DATA_SPVOU[[#This Row],[HARI 10]]</f>
        <v>44000</v>
      </c>
      <c r="BH69" s="86" t="s">
        <v>472</v>
      </c>
      <c r="BI69" s="89">
        <v>110000</v>
      </c>
      <c r="BJ69" s="69">
        <f>DATA_ACC[[#This Row],[HARGA AWAL]]</f>
        <v>110000</v>
      </c>
      <c r="BK69" s="69">
        <f>DATA_ACC[[#This Row],[HARI 1]]</f>
        <v>110000</v>
      </c>
      <c r="BL69" s="69">
        <f>DATA_ACC[[#This Row],[HARI 2]]</f>
        <v>110000</v>
      </c>
      <c r="BM69" s="69">
        <f>DATA_ACC[[#This Row],[HARI 3]]</f>
        <v>110000</v>
      </c>
      <c r="BN69" s="69">
        <f>DATA_ACC[[#This Row],[HARI 4]]</f>
        <v>110000</v>
      </c>
      <c r="BO69" s="69">
        <f>DATA_ACC[[#This Row],[HARI 5]]</f>
        <v>110000</v>
      </c>
      <c r="BP69" s="69">
        <f>DATA_ACC[[#This Row],[HARI 6]]</f>
        <v>110000</v>
      </c>
      <c r="BQ69" s="69">
        <f>DATA_ACC[[#This Row],[HARI 7]]</f>
        <v>110000</v>
      </c>
      <c r="BR69" s="69">
        <f>DATA_ACC[[#This Row],[HARI 8]]</f>
        <v>110000</v>
      </c>
      <c r="BS69" s="69">
        <f>DATA_ACC[[#This Row],[HARI 9]]</f>
        <v>110000</v>
      </c>
      <c r="BT69" s="82">
        <f>DATA_ACC[[#This Row],[HARI 10]]</f>
        <v>110000</v>
      </c>
    </row>
    <row r="70" ht="18" spans="18:72">
      <c r="R70" s="86" t="s">
        <v>192</v>
      </c>
      <c r="S70" s="87">
        <v>10000</v>
      </c>
      <c r="T70" s="13">
        <f>DATA_SPVOU[[#This Row],[HARGA AWAL]]</f>
        <v>10000</v>
      </c>
      <c r="U70" s="13">
        <f>DATA_SPVOU[[#This Row],[HARI 1]]</f>
        <v>10000</v>
      </c>
      <c r="V70" s="13">
        <f>DATA_SPVOU[[#This Row],[HARI 2]]</f>
        <v>10000</v>
      </c>
      <c r="W70" s="13">
        <f>DATA_SPVOU[[#This Row],[HARI 3]]</f>
        <v>10000</v>
      </c>
      <c r="X70" s="13">
        <f>DATA_SPVOU[[#This Row],[HARI 4]]</f>
        <v>10000</v>
      </c>
      <c r="Y70" s="13">
        <f>DATA_SPVOU[[#This Row],[HARI 5]]</f>
        <v>10000</v>
      </c>
      <c r="Z70" s="13">
        <f>DATA_SPVOU[[#This Row],[HARI 6]]</f>
        <v>10000</v>
      </c>
      <c r="AA70" s="13">
        <f>DATA_SPVOU[[#This Row],[HARI 7]]</f>
        <v>10000</v>
      </c>
      <c r="AB70" s="13">
        <f>DATA_SPVOU[[#This Row],[HARI 8]]</f>
        <v>10000</v>
      </c>
      <c r="AC70" s="13">
        <f>DATA_SPVOU[[#This Row],[HARI 9]]</f>
        <v>10000</v>
      </c>
      <c r="AD70" s="81">
        <f>DATA_SPVOU[[#This Row],[HARI 10]]</f>
        <v>10000</v>
      </c>
      <c r="BH70" s="88" t="s">
        <v>473</v>
      </c>
      <c r="BI70" s="87">
        <v>120000</v>
      </c>
      <c r="BJ70" s="13">
        <f>DATA_ACC[[#This Row],[HARGA AWAL]]</f>
        <v>120000</v>
      </c>
      <c r="BK70" s="13">
        <f>DATA_ACC[[#This Row],[HARI 1]]</f>
        <v>120000</v>
      </c>
      <c r="BL70" s="13">
        <f>DATA_ACC[[#This Row],[HARI 2]]</f>
        <v>120000</v>
      </c>
      <c r="BM70" s="13">
        <f>DATA_ACC[[#This Row],[HARI 3]]</f>
        <v>120000</v>
      </c>
      <c r="BN70" s="13">
        <f>DATA_ACC[[#This Row],[HARI 4]]</f>
        <v>120000</v>
      </c>
      <c r="BO70" s="13">
        <f>DATA_ACC[[#This Row],[HARI 5]]</f>
        <v>120000</v>
      </c>
      <c r="BP70" s="13">
        <f>DATA_ACC[[#This Row],[HARI 6]]</f>
        <v>120000</v>
      </c>
      <c r="BQ70" s="13">
        <f>DATA_ACC[[#This Row],[HARI 7]]</f>
        <v>120000</v>
      </c>
      <c r="BR70" s="13">
        <f>DATA_ACC[[#This Row],[HARI 8]]</f>
        <v>120000</v>
      </c>
      <c r="BS70" s="13">
        <f>DATA_ACC[[#This Row],[HARI 9]]</f>
        <v>120000</v>
      </c>
      <c r="BT70" s="81">
        <f>DATA_ACC[[#This Row],[HARI 10]]</f>
        <v>120000</v>
      </c>
    </row>
    <row r="71" ht="18" spans="18:72">
      <c r="R71" s="88" t="s">
        <v>474</v>
      </c>
      <c r="S71" s="89">
        <v>16000</v>
      </c>
      <c r="T71" s="69">
        <f>DATA_SPVOU[[#This Row],[HARGA AWAL]]</f>
        <v>16000</v>
      </c>
      <c r="U71" s="69">
        <f>DATA_SPVOU[[#This Row],[HARI 1]]</f>
        <v>16000</v>
      </c>
      <c r="V71" s="69">
        <f>DATA_SPVOU[[#This Row],[HARI 2]]</f>
        <v>16000</v>
      </c>
      <c r="W71" s="69">
        <f>DATA_SPVOU[[#This Row],[HARI 3]]</f>
        <v>16000</v>
      </c>
      <c r="X71" s="69">
        <f>DATA_SPVOU[[#This Row],[HARI 4]]</f>
        <v>16000</v>
      </c>
      <c r="Y71" s="69">
        <f>DATA_SPVOU[[#This Row],[HARI 5]]</f>
        <v>16000</v>
      </c>
      <c r="Z71" s="69">
        <f>DATA_SPVOU[[#This Row],[HARI 6]]</f>
        <v>16000</v>
      </c>
      <c r="AA71" s="69">
        <f>DATA_SPVOU[[#This Row],[HARI 7]]</f>
        <v>16000</v>
      </c>
      <c r="AB71" s="69">
        <f>DATA_SPVOU[[#This Row],[HARI 8]]</f>
        <v>16000</v>
      </c>
      <c r="AC71" s="69">
        <f>DATA_SPVOU[[#This Row],[HARI 9]]</f>
        <v>16000</v>
      </c>
      <c r="AD71" s="82">
        <f>DATA_SPVOU[[#This Row],[HARI 10]]</f>
        <v>16000</v>
      </c>
      <c r="BH71" s="86" t="s">
        <v>475</v>
      </c>
      <c r="BI71" s="89">
        <v>135000</v>
      </c>
      <c r="BJ71" s="69">
        <f>DATA_ACC[[#This Row],[HARGA AWAL]]</f>
        <v>135000</v>
      </c>
      <c r="BK71" s="69">
        <f>DATA_ACC[[#This Row],[HARI 1]]</f>
        <v>135000</v>
      </c>
      <c r="BL71" s="69">
        <f>DATA_ACC[[#This Row],[HARI 2]]</f>
        <v>135000</v>
      </c>
      <c r="BM71" s="69">
        <f>DATA_ACC[[#This Row],[HARI 3]]</f>
        <v>135000</v>
      </c>
      <c r="BN71" s="69">
        <f>DATA_ACC[[#This Row],[HARI 4]]</f>
        <v>135000</v>
      </c>
      <c r="BO71" s="69">
        <f>DATA_ACC[[#This Row],[HARI 5]]</f>
        <v>135000</v>
      </c>
      <c r="BP71" s="69">
        <f>DATA_ACC[[#This Row],[HARI 6]]</f>
        <v>135000</v>
      </c>
      <c r="BQ71" s="69">
        <f>DATA_ACC[[#This Row],[HARI 7]]</f>
        <v>135000</v>
      </c>
      <c r="BR71" s="69">
        <f>DATA_ACC[[#This Row],[HARI 8]]</f>
        <v>135000</v>
      </c>
      <c r="BS71" s="69">
        <f>DATA_ACC[[#This Row],[HARI 9]]</f>
        <v>135000</v>
      </c>
      <c r="BT71" s="82">
        <f>DATA_ACC[[#This Row],[HARI 10]]</f>
        <v>135000</v>
      </c>
    </row>
    <row r="72" ht="18" spans="18:72">
      <c r="R72" s="86" t="s">
        <v>476</v>
      </c>
      <c r="S72" s="87">
        <v>23000</v>
      </c>
      <c r="T72" s="13">
        <f>DATA_SPVOU[[#This Row],[HARGA AWAL]]</f>
        <v>23000</v>
      </c>
      <c r="U72" s="13">
        <f>DATA_SPVOU[[#This Row],[HARI 1]]</f>
        <v>23000</v>
      </c>
      <c r="V72" s="13">
        <f>DATA_SPVOU[[#This Row],[HARI 2]]</f>
        <v>23000</v>
      </c>
      <c r="W72" s="13">
        <f>DATA_SPVOU[[#This Row],[HARI 3]]</f>
        <v>23000</v>
      </c>
      <c r="X72" s="13">
        <f>DATA_SPVOU[[#This Row],[HARI 4]]</f>
        <v>23000</v>
      </c>
      <c r="Y72" s="13">
        <f>DATA_SPVOU[[#This Row],[HARI 5]]</f>
        <v>23000</v>
      </c>
      <c r="Z72" s="13">
        <f>DATA_SPVOU[[#This Row],[HARI 6]]</f>
        <v>23000</v>
      </c>
      <c r="AA72" s="13">
        <f>DATA_SPVOU[[#This Row],[HARI 7]]</f>
        <v>23000</v>
      </c>
      <c r="AB72" s="13">
        <f>DATA_SPVOU[[#This Row],[HARI 8]]</f>
        <v>23000</v>
      </c>
      <c r="AC72" s="13">
        <f>DATA_SPVOU[[#This Row],[HARI 9]]</f>
        <v>23000</v>
      </c>
      <c r="AD72" s="81">
        <f>DATA_SPVOU[[#This Row],[HARI 10]]</f>
        <v>23000</v>
      </c>
      <c r="BH72" s="88" t="s">
        <v>477</v>
      </c>
      <c r="BI72" s="87">
        <v>145000</v>
      </c>
      <c r="BJ72" s="13">
        <f>DATA_ACC[[#This Row],[HARGA AWAL]]</f>
        <v>145000</v>
      </c>
      <c r="BK72" s="13">
        <f>DATA_ACC[[#This Row],[HARI 1]]</f>
        <v>145000</v>
      </c>
      <c r="BL72" s="13">
        <f>DATA_ACC[[#This Row],[HARI 2]]</f>
        <v>145000</v>
      </c>
      <c r="BM72" s="13">
        <f>DATA_ACC[[#This Row],[HARI 3]]</f>
        <v>145000</v>
      </c>
      <c r="BN72" s="13">
        <f>DATA_ACC[[#This Row],[HARI 4]]</f>
        <v>145000</v>
      </c>
      <c r="BO72" s="13">
        <f>DATA_ACC[[#This Row],[HARI 5]]</f>
        <v>145000</v>
      </c>
      <c r="BP72" s="13">
        <f>DATA_ACC[[#This Row],[HARI 6]]</f>
        <v>145000</v>
      </c>
      <c r="BQ72" s="13">
        <f>DATA_ACC[[#This Row],[HARI 7]]</f>
        <v>145000</v>
      </c>
      <c r="BR72" s="13">
        <f>DATA_ACC[[#This Row],[HARI 8]]</f>
        <v>145000</v>
      </c>
      <c r="BS72" s="13">
        <f>DATA_ACC[[#This Row],[HARI 9]]</f>
        <v>145000</v>
      </c>
      <c r="BT72" s="81">
        <f>DATA_ACC[[#This Row],[HARI 10]]</f>
        <v>145000</v>
      </c>
    </row>
    <row r="73" ht="18" spans="18:72">
      <c r="R73" s="88" t="s">
        <v>478</v>
      </c>
      <c r="S73" s="89">
        <v>42000</v>
      </c>
      <c r="T73" s="69">
        <f>DATA_SPVOU[[#This Row],[HARGA AWAL]]</f>
        <v>42000</v>
      </c>
      <c r="U73" s="69">
        <f>DATA_SPVOU[[#This Row],[HARI 1]]</f>
        <v>42000</v>
      </c>
      <c r="V73" s="69">
        <f>DATA_SPVOU[[#This Row],[HARI 2]]</f>
        <v>42000</v>
      </c>
      <c r="W73" s="69">
        <f>DATA_SPVOU[[#This Row],[HARI 3]]</f>
        <v>42000</v>
      </c>
      <c r="X73" s="69">
        <f>DATA_SPVOU[[#This Row],[HARI 4]]</f>
        <v>42000</v>
      </c>
      <c r="Y73" s="69">
        <f>DATA_SPVOU[[#This Row],[HARI 5]]</f>
        <v>42000</v>
      </c>
      <c r="Z73" s="69">
        <f>DATA_SPVOU[[#This Row],[HARI 6]]</f>
        <v>42000</v>
      </c>
      <c r="AA73" s="69">
        <f>DATA_SPVOU[[#This Row],[HARI 7]]</f>
        <v>42000</v>
      </c>
      <c r="AB73" s="69">
        <f>DATA_SPVOU[[#This Row],[HARI 8]]</f>
        <v>42000</v>
      </c>
      <c r="AC73" s="69">
        <f>DATA_SPVOU[[#This Row],[HARI 9]]</f>
        <v>42000</v>
      </c>
      <c r="AD73" s="82">
        <f>DATA_SPVOU[[#This Row],[HARI 10]]</f>
        <v>42000</v>
      </c>
      <c r="BH73" s="86" t="s">
        <v>479</v>
      </c>
      <c r="BI73" s="89">
        <v>155000</v>
      </c>
      <c r="BJ73" s="69">
        <f>DATA_ACC[[#This Row],[HARGA AWAL]]</f>
        <v>155000</v>
      </c>
      <c r="BK73" s="69">
        <f>DATA_ACC[[#This Row],[HARI 1]]</f>
        <v>155000</v>
      </c>
      <c r="BL73" s="69">
        <f>DATA_ACC[[#This Row],[HARI 2]]</f>
        <v>155000</v>
      </c>
      <c r="BM73" s="69">
        <f>DATA_ACC[[#This Row],[HARI 3]]</f>
        <v>155000</v>
      </c>
      <c r="BN73" s="69">
        <f>DATA_ACC[[#This Row],[HARI 4]]</f>
        <v>155000</v>
      </c>
      <c r="BO73" s="69">
        <f>DATA_ACC[[#This Row],[HARI 5]]</f>
        <v>155000</v>
      </c>
      <c r="BP73" s="69">
        <f>DATA_ACC[[#This Row],[HARI 6]]</f>
        <v>155000</v>
      </c>
      <c r="BQ73" s="69">
        <f>DATA_ACC[[#This Row],[HARI 7]]</f>
        <v>155000</v>
      </c>
      <c r="BR73" s="69">
        <f>DATA_ACC[[#This Row],[HARI 8]]</f>
        <v>155000</v>
      </c>
      <c r="BS73" s="69">
        <f>DATA_ACC[[#This Row],[HARI 9]]</f>
        <v>155000</v>
      </c>
      <c r="BT73" s="82">
        <f>DATA_ACC[[#This Row],[HARI 10]]</f>
        <v>155000</v>
      </c>
    </row>
    <row r="74" ht="18" spans="18:72">
      <c r="R74" s="86" t="s">
        <v>480</v>
      </c>
      <c r="S74" s="87">
        <v>59000</v>
      </c>
      <c r="T74" s="13">
        <f>DATA_SPVOU[[#This Row],[HARGA AWAL]]</f>
        <v>59000</v>
      </c>
      <c r="U74" s="13">
        <f>DATA_SPVOU[[#This Row],[HARI 1]]</f>
        <v>59000</v>
      </c>
      <c r="V74" s="13">
        <f>DATA_SPVOU[[#This Row],[HARI 2]]</f>
        <v>59000</v>
      </c>
      <c r="W74" s="13">
        <f>DATA_SPVOU[[#This Row],[HARI 3]]</f>
        <v>59000</v>
      </c>
      <c r="X74" s="13">
        <f>DATA_SPVOU[[#This Row],[HARI 4]]</f>
        <v>59000</v>
      </c>
      <c r="Y74" s="13">
        <f>DATA_SPVOU[[#This Row],[HARI 5]]</f>
        <v>59000</v>
      </c>
      <c r="Z74" s="13">
        <f>DATA_SPVOU[[#This Row],[HARI 6]]</f>
        <v>59000</v>
      </c>
      <c r="AA74" s="13">
        <f>DATA_SPVOU[[#This Row],[HARI 7]]</f>
        <v>59000</v>
      </c>
      <c r="AB74" s="13">
        <f>DATA_SPVOU[[#This Row],[HARI 8]]</f>
        <v>59000</v>
      </c>
      <c r="AC74" s="13">
        <f>DATA_SPVOU[[#This Row],[HARI 9]]</f>
        <v>59000</v>
      </c>
      <c r="AD74" s="81">
        <f>DATA_SPVOU[[#This Row],[HARI 10]]</f>
        <v>59000</v>
      </c>
      <c r="BH74" s="88" t="s">
        <v>481</v>
      </c>
      <c r="BI74" s="87">
        <v>165000</v>
      </c>
      <c r="BJ74" s="13">
        <f>DATA_ACC[[#This Row],[HARGA AWAL]]</f>
        <v>165000</v>
      </c>
      <c r="BK74" s="13">
        <f>DATA_ACC[[#This Row],[HARI 1]]</f>
        <v>165000</v>
      </c>
      <c r="BL74" s="13">
        <f>DATA_ACC[[#This Row],[HARI 2]]</f>
        <v>165000</v>
      </c>
      <c r="BM74" s="13">
        <f>DATA_ACC[[#This Row],[HARI 3]]</f>
        <v>165000</v>
      </c>
      <c r="BN74" s="13">
        <f>DATA_ACC[[#This Row],[HARI 4]]</f>
        <v>165000</v>
      </c>
      <c r="BO74" s="13">
        <f>DATA_ACC[[#This Row],[HARI 5]]</f>
        <v>165000</v>
      </c>
      <c r="BP74" s="13">
        <f>DATA_ACC[[#This Row],[HARI 6]]</f>
        <v>165000</v>
      </c>
      <c r="BQ74" s="13">
        <f>DATA_ACC[[#This Row],[HARI 7]]</f>
        <v>165000</v>
      </c>
      <c r="BR74" s="13">
        <f>DATA_ACC[[#This Row],[HARI 8]]</f>
        <v>165000</v>
      </c>
      <c r="BS74" s="13">
        <f>DATA_ACC[[#This Row],[HARI 9]]</f>
        <v>165000</v>
      </c>
      <c r="BT74" s="81">
        <f>DATA_ACC[[#This Row],[HARI 10]]</f>
        <v>165000</v>
      </c>
    </row>
    <row r="75" ht="18" spans="18:72">
      <c r="R75" s="88" t="s">
        <v>482</v>
      </c>
      <c r="S75" s="89">
        <v>63000</v>
      </c>
      <c r="T75" s="69">
        <f>DATA_SPVOU[[#This Row],[HARGA AWAL]]</f>
        <v>63000</v>
      </c>
      <c r="U75" s="69">
        <f>DATA_SPVOU[[#This Row],[HARI 1]]</f>
        <v>63000</v>
      </c>
      <c r="V75" s="69">
        <f>DATA_SPVOU[[#This Row],[HARI 2]]</f>
        <v>63000</v>
      </c>
      <c r="W75" s="69">
        <f>DATA_SPVOU[[#This Row],[HARI 3]]</f>
        <v>63000</v>
      </c>
      <c r="X75" s="69">
        <f>DATA_SPVOU[[#This Row],[HARI 4]]</f>
        <v>63000</v>
      </c>
      <c r="Y75" s="69">
        <f>DATA_SPVOU[[#This Row],[HARI 5]]</f>
        <v>63000</v>
      </c>
      <c r="Z75" s="69">
        <f>DATA_SPVOU[[#This Row],[HARI 6]]</f>
        <v>63000</v>
      </c>
      <c r="AA75" s="69">
        <f>DATA_SPVOU[[#This Row],[HARI 7]]</f>
        <v>63000</v>
      </c>
      <c r="AB75" s="69">
        <f>DATA_SPVOU[[#This Row],[HARI 8]]</f>
        <v>63000</v>
      </c>
      <c r="AC75" s="69">
        <f>DATA_SPVOU[[#This Row],[HARI 9]]</f>
        <v>63000</v>
      </c>
      <c r="AD75" s="82">
        <f>DATA_SPVOU[[#This Row],[HARI 10]]</f>
        <v>63000</v>
      </c>
      <c r="BH75" s="86" t="s">
        <v>483</v>
      </c>
      <c r="BI75" s="89">
        <v>175000</v>
      </c>
      <c r="BJ75" s="69">
        <f>DATA_ACC[[#This Row],[HARGA AWAL]]</f>
        <v>175000</v>
      </c>
      <c r="BK75" s="69">
        <f>DATA_ACC[[#This Row],[HARI 1]]</f>
        <v>175000</v>
      </c>
      <c r="BL75" s="69">
        <f>DATA_ACC[[#This Row],[HARI 2]]</f>
        <v>175000</v>
      </c>
      <c r="BM75" s="69">
        <f>DATA_ACC[[#This Row],[HARI 3]]</f>
        <v>175000</v>
      </c>
      <c r="BN75" s="69">
        <f>DATA_ACC[[#This Row],[HARI 4]]</f>
        <v>175000</v>
      </c>
      <c r="BO75" s="69">
        <f>DATA_ACC[[#This Row],[HARI 5]]</f>
        <v>175000</v>
      </c>
      <c r="BP75" s="69">
        <f>DATA_ACC[[#This Row],[HARI 6]]</f>
        <v>175000</v>
      </c>
      <c r="BQ75" s="69">
        <f>DATA_ACC[[#This Row],[HARI 7]]</f>
        <v>175000</v>
      </c>
      <c r="BR75" s="69">
        <f>DATA_ACC[[#This Row],[HARI 8]]</f>
        <v>175000</v>
      </c>
      <c r="BS75" s="69">
        <f>DATA_ACC[[#This Row],[HARI 9]]</f>
        <v>175000</v>
      </c>
      <c r="BT75" s="82">
        <f>DATA_ACC[[#This Row],[HARI 10]]</f>
        <v>175000</v>
      </c>
    </row>
    <row r="76" ht="18" spans="18:72">
      <c r="R76" s="91" t="s">
        <v>484</v>
      </c>
      <c r="S76" s="97">
        <v>12000</v>
      </c>
      <c r="T76" s="13">
        <f>DATA_SPVOU[[#This Row],[HARGA AWAL]]</f>
        <v>12000</v>
      </c>
      <c r="U76" s="13">
        <f>DATA_SPVOU[[#This Row],[HARI 1]]</f>
        <v>12000</v>
      </c>
      <c r="V76" s="13">
        <f>DATA_SPVOU[[#This Row],[HARI 2]]</f>
        <v>12000</v>
      </c>
      <c r="W76" s="13">
        <f>DATA_SPVOU[[#This Row],[HARI 3]]</f>
        <v>12000</v>
      </c>
      <c r="X76" s="13">
        <f>DATA_SPVOU[[#This Row],[HARI 4]]</f>
        <v>12000</v>
      </c>
      <c r="Y76" s="13">
        <f>DATA_SPVOU[[#This Row],[HARI 5]]</f>
        <v>12000</v>
      </c>
      <c r="Z76" s="13">
        <f>DATA_SPVOU[[#This Row],[HARI 6]]</f>
        <v>12000</v>
      </c>
      <c r="AA76" s="13">
        <f>DATA_SPVOU[[#This Row],[HARI 7]]</f>
        <v>12000</v>
      </c>
      <c r="AB76" s="13">
        <f>DATA_SPVOU[[#This Row],[HARI 8]]</f>
        <v>12000</v>
      </c>
      <c r="AC76" s="13">
        <f>DATA_SPVOU[[#This Row],[HARI 9]]</f>
        <v>12000</v>
      </c>
      <c r="AD76" s="81">
        <f>DATA_SPVOU[[#This Row],[HARI 10]]</f>
        <v>12000</v>
      </c>
      <c r="BH76" s="88" t="s">
        <v>485</v>
      </c>
      <c r="BI76" s="87">
        <v>185000</v>
      </c>
      <c r="BJ76" s="13">
        <f>DATA_ACC[[#This Row],[HARGA AWAL]]</f>
        <v>185000</v>
      </c>
      <c r="BK76" s="13">
        <f>DATA_ACC[[#This Row],[HARI 1]]</f>
        <v>185000</v>
      </c>
      <c r="BL76" s="13">
        <f>DATA_ACC[[#This Row],[HARI 2]]</f>
        <v>185000</v>
      </c>
      <c r="BM76" s="13">
        <f>DATA_ACC[[#This Row],[HARI 3]]</f>
        <v>185000</v>
      </c>
      <c r="BN76" s="13">
        <f>DATA_ACC[[#This Row],[HARI 4]]</f>
        <v>185000</v>
      </c>
      <c r="BO76" s="13">
        <f>DATA_ACC[[#This Row],[HARI 5]]</f>
        <v>185000</v>
      </c>
      <c r="BP76" s="13">
        <f>DATA_ACC[[#This Row],[HARI 6]]</f>
        <v>185000</v>
      </c>
      <c r="BQ76" s="13">
        <f>DATA_ACC[[#This Row],[HARI 7]]</f>
        <v>185000</v>
      </c>
      <c r="BR76" s="13">
        <f>DATA_ACC[[#This Row],[HARI 8]]</f>
        <v>185000</v>
      </c>
      <c r="BS76" s="13">
        <f>DATA_ACC[[#This Row],[HARI 9]]</f>
        <v>185000</v>
      </c>
      <c r="BT76" s="81">
        <f>DATA_ACC[[#This Row],[HARI 10]]</f>
        <v>185000</v>
      </c>
    </row>
    <row r="77" ht="18" spans="18:72">
      <c r="R77" s="88" t="s">
        <v>486</v>
      </c>
      <c r="S77" s="98">
        <v>20000</v>
      </c>
      <c r="T77" s="74">
        <f>DATA_SPVOU[[#This Row],[HARGA AWAL]]</f>
        <v>20000</v>
      </c>
      <c r="U77" s="74">
        <f>DATA_SPVOU[[#This Row],[HARI 1]]</f>
        <v>20000</v>
      </c>
      <c r="V77" s="74">
        <f>DATA_SPVOU[[#This Row],[HARI 2]]</f>
        <v>20000</v>
      </c>
      <c r="W77" s="74">
        <f>DATA_SPVOU[[#This Row],[HARI 3]]</f>
        <v>20000</v>
      </c>
      <c r="X77" s="74">
        <f>DATA_SPVOU[[#This Row],[HARI 4]]</f>
        <v>20000</v>
      </c>
      <c r="Y77" s="74">
        <f>DATA_SPVOU[[#This Row],[HARI 5]]</f>
        <v>20000</v>
      </c>
      <c r="Z77" s="74">
        <f>DATA_SPVOU[[#This Row],[HARI 6]]</f>
        <v>20000</v>
      </c>
      <c r="AA77" s="74">
        <f>DATA_SPVOU[[#This Row],[HARI 7]]</f>
        <v>20000</v>
      </c>
      <c r="AB77" s="74">
        <f>DATA_SPVOU[[#This Row],[HARI 8]]</f>
        <v>20000</v>
      </c>
      <c r="AC77" s="74">
        <f>DATA_SPVOU[[#This Row],[HARI 9]]</f>
        <v>20000</v>
      </c>
      <c r="AD77" s="84">
        <f>DATA_SPVOU[[#This Row],[HARI 10]]</f>
        <v>20000</v>
      </c>
      <c r="BH77" s="86" t="s">
        <v>487</v>
      </c>
      <c r="BI77" s="89">
        <v>215000</v>
      </c>
      <c r="BJ77" s="69">
        <f>DATA_ACC[[#This Row],[HARGA AWAL]]</f>
        <v>215000</v>
      </c>
      <c r="BK77" s="69">
        <f>DATA_ACC[[#This Row],[HARI 1]]</f>
        <v>215000</v>
      </c>
      <c r="BL77" s="69">
        <f>DATA_ACC[[#This Row],[HARI 2]]</f>
        <v>215000</v>
      </c>
      <c r="BM77" s="69">
        <f>DATA_ACC[[#This Row],[HARI 3]]</f>
        <v>215000</v>
      </c>
      <c r="BN77" s="69">
        <f>DATA_ACC[[#This Row],[HARI 4]]</f>
        <v>215000</v>
      </c>
      <c r="BO77" s="69">
        <f>DATA_ACC[[#This Row],[HARI 5]]</f>
        <v>215000</v>
      </c>
      <c r="BP77" s="69">
        <f>DATA_ACC[[#This Row],[HARI 6]]</f>
        <v>215000</v>
      </c>
      <c r="BQ77" s="69">
        <f>DATA_ACC[[#This Row],[HARI 7]]</f>
        <v>215000</v>
      </c>
      <c r="BR77" s="69">
        <f>DATA_ACC[[#This Row],[HARI 8]]</f>
        <v>215000</v>
      </c>
      <c r="BS77" s="69">
        <f>DATA_ACC[[#This Row],[HARI 9]]</f>
        <v>215000</v>
      </c>
      <c r="BT77" s="82">
        <f>DATA_ACC[[#This Row],[HARI 10]]</f>
        <v>215000</v>
      </c>
    </row>
    <row r="78" ht="18" spans="18:72">
      <c r="R78" s="91" t="s">
        <v>370</v>
      </c>
      <c r="S78" s="97">
        <v>0</v>
      </c>
      <c r="T78" s="13">
        <f>DATA_SPVOU[[#This Row],[HARGA AWAL]]</f>
        <v>0</v>
      </c>
      <c r="U78" s="13">
        <f>DATA_SPVOU[[#This Row],[HARI 1]]</f>
        <v>0</v>
      </c>
      <c r="V78" s="13">
        <f>DATA_SPVOU[[#This Row],[HARI 2]]</f>
        <v>0</v>
      </c>
      <c r="W78" s="13">
        <f>DATA_SPVOU[[#This Row],[HARI 3]]</f>
        <v>0</v>
      </c>
      <c r="X78" s="13">
        <f>DATA_SPVOU[[#This Row],[HARI 4]]</f>
        <v>0</v>
      </c>
      <c r="Y78" s="13">
        <f>DATA_SPVOU[[#This Row],[HARI 5]]</f>
        <v>0</v>
      </c>
      <c r="Z78" s="13">
        <f>DATA_SPVOU[[#This Row],[HARI 6]]</f>
        <v>0</v>
      </c>
      <c r="AA78" s="13">
        <f>DATA_SPVOU[[#This Row],[HARI 7]]</f>
        <v>0</v>
      </c>
      <c r="AB78" s="13">
        <f>DATA_SPVOU[[#This Row],[HARI 8]]</f>
        <v>0</v>
      </c>
      <c r="AC78" s="13">
        <f>DATA_SPVOU[[#This Row],[HARI 9]]</f>
        <v>0</v>
      </c>
      <c r="AD78" s="81">
        <f>DATA_SPVOU[[#This Row],[HARI 10]]</f>
        <v>0</v>
      </c>
      <c r="BH78" s="88" t="s">
        <v>488</v>
      </c>
      <c r="BI78" s="87">
        <v>325000</v>
      </c>
      <c r="BJ78" s="13">
        <f>DATA_ACC[[#This Row],[HARGA AWAL]]</f>
        <v>325000</v>
      </c>
      <c r="BK78" s="13">
        <f>DATA_ACC[[#This Row],[HARI 1]]</f>
        <v>325000</v>
      </c>
      <c r="BL78" s="13">
        <f>DATA_ACC[[#This Row],[HARI 2]]</f>
        <v>325000</v>
      </c>
      <c r="BM78" s="13">
        <f>DATA_ACC[[#This Row],[HARI 3]]</f>
        <v>325000</v>
      </c>
      <c r="BN78" s="13">
        <f>DATA_ACC[[#This Row],[HARI 4]]</f>
        <v>325000</v>
      </c>
      <c r="BO78" s="13">
        <f>DATA_ACC[[#This Row],[HARI 5]]</f>
        <v>325000</v>
      </c>
      <c r="BP78" s="13">
        <f>DATA_ACC[[#This Row],[HARI 6]]</f>
        <v>325000</v>
      </c>
      <c r="BQ78" s="13">
        <f>DATA_ACC[[#This Row],[HARI 7]]</f>
        <v>325000</v>
      </c>
      <c r="BR78" s="13">
        <f>DATA_ACC[[#This Row],[HARI 8]]</f>
        <v>325000</v>
      </c>
      <c r="BS78" s="13">
        <f>DATA_ACC[[#This Row],[HARI 9]]</f>
        <v>325000</v>
      </c>
      <c r="BT78" s="81">
        <f>DATA_ACC[[#This Row],[HARI 10]]</f>
        <v>325000</v>
      </c>
    </row>
    <row r="79" ht="18" spans="18:72">
      <c r="R79" s="88" t="s">
        <v>375</v>
      </c>
      <c r="S79" s="71">
        <v>0</v>
      </c>
      <c r="T79" s="69">
        <f>DATA_SPVOU[[#This Row],[HARGA AWAL]]</f>
        <v>0</v>
      </c>
      <c r="U79" s="69">
        <f>DATA_SPVOU[[#This Row],[HARI 1]]</f>
        <v>0</v>
      </c>
      <c r="V79" s="69">
        <f>DATA_SPVOU[[#This Row],[HARI 2]]</f>
        <v>0</v>
      </c>
      <c r="W79" s="69">
        <f>DATA_SPVOU[[#This Row],[HARI 3]]</f>
        <v>0</v>
      </c>
      <c r="X79" s="69">
        <f>DATA_SPVOU[[#This Row],[HARI 4]]</f>
        <v>0</v>
      </c>
      <c r="Y79" s="69">
        <f>DATA_SPVOU[[#This Row],[HARI 5]]</f>
        <v>0</v>
      </c>
      <c r="Z79" s="69">
        <f>DATA_SPVOU[[#This Row],[HARI 6]]</f>
        <v>0</v>
      </c>
      <c r="AA79" s="69">
        <f>DATA_SPVOU[[#This Row],[HARI 7]]</f>
        <v>0</v>
      </c>
      <c r="AB79" s="69">
        <f>DATA_SPVOU[[#This Row],[HARI 8]]</f>
        <v>0</v>
      </c>
      <c r="AC79" s="69">
        <f>DATA_SPVOU[[#This Row],[HARI 9]]</f>
        <v>0</v>
      </c>
      <c r="AD79" s="82">
        <f>DATA_SPVOU[[#This Row],[HARI 10]]</f>
        <v>0</v>
      </c>
      <c r="BH79" s="86" t="s">
        <v>489</v>
      </c>
      <c r="BI79" s="89">
        <v>15000</v>
      </c>
      <c r="BJ79" s="69">
        <f>DATA_ACC[[#This Row],[HARGA AWAL]]</f>
        <v>15000</v>
      </c>
      <c r="BK79" s="69">
        <f>DATA_ACC[[#This Row],[HARI 1]]</f>
        <v>15000</v>
      </c>
      <c r="BL79" s="69">
        <f>DATA_ACC[[#This Row],[HARI 2]]</f>
        <v>15000</v>
      </c>
      <c r="BM79" s="69">
        <f>DATA_ACC[[#This Row],[HARI 3]]</f>
        <v>15000</v>
      </c>
      <c r="BN79" s="69">
        <f>DATA_ACC[[#This Row],[HARI 4]]</f>
        <v>15000</v>
      </c>
      <c r="BO79" s="69">
        <f>DATA_ACC[[#This Row],[HARI 5]]</f>
        <v>15000</v>
      </c>
      <c r="BP79" s="69">
        <f>DATA_ACC[[#This Row],[HARI 6]]</f>
        <v>15000</v>
      </c>
      <c r="BQ79" s="69">
        <f>DATA_ACC[[#This Row],[HARI 7]]</f>
        <v>15000</v>
      </c>
      <c r="BR79" s="69">
        <f>DATA_ACC[[#This Row],[HARI 8]]</f>
        <v>15000</v>
      </c>
      <c r="BS79" s="69">
        <f>DATA_ACC[[#This Row],[HARI 9]]</f>
        <v>15000</v>
      </c>
      <c r="BT79" s="82">
        <f>DATA_ACC[[#This Row],[HARI 10]]</f>
        <v>15000</v>
      </c>
    </row>
    <row r="80" ht="18" spans="18:72">
      <c r="R80" s="91" t="s">
        <v>381</v>
      </c>
      <c r="S80" s="99">
        <v>0</v>
      </c>
      <c r="T80" s="13">
        <f>DATA_SPVOU[[#This Row],[HARGA AWAL]]</f>
        <v>0</v>
      </c>
      <c r="U80" s="13">
        <f>DATA_SPVOU[[#This Row],[HARI 1]]</f>
        <v>0</v>
      </c>
      <c r="V80" s="13">
        <f>DATA_SPVOU[[#This Row],[HARI 2]]</f>
        <v>0</v>
      </c>
      <c r="W80" s="13">
        <f>DATA_SPVOU[[#This Row],[HARI 3]]</f>
        <v>0</v>
      </c>
      <c r="X80" s="13">
        <f>DATA_SPVOU[[#This Row],[HARI 4]]</f>
        <v>0</v>
      </c>
      <c r="Y80" s="13">
        <f>DATA_SPVOU[[#This Row],[HARI 5]]</f>
        <v>0</v>
      </c>
      <c r="Z80" s="13">
        <f>DATA_SPVOU[[#This Row],[HARI 6]]</f>
        <v>0</v>
      </c>
      <c r="AA80" s="13">
        <f>DATA_SPVOU[[#This Row],[HARI 7]]</f>
        <v>0</v>
      </c>
      <c r="AB80" s="13">
        <f>DATA_SPVOU[[#This Row],[HARI 8]]</f>
        <v>0</v>
      </c>
      <c r="AC80" s="13">
        <f>DATA_SPVOU[[#This Row],[HARI 9]]</f>
        <v>0</v>
      </c>
      <c r="AD80" s="81">
        <f>DATA_SPVOU[[#This Row],[HARI 10]]</f>
        <v>0</v>
      </c>
      <c r="BH80" s="88" t="s">
        <v>490</v>
      </c>
      <c r="BI80" s="87">
        <v>20000</v>
      </c>
      <c r="BJ80" s="13">
        <f>DATA_ACC[[#This Row],[HARGA AWAL]]</f>
        <v>20000</v>
      </c>
      <c r="BK80" s="13">
        <f>DATA_ACC[[#This Row],[HARI 1]]</f>
        <v>20000</v>
      </c>
      <c r="BL80" s="13">
        <f>DATA_ACC[[#This Row],[HARI 2]]</f>
        <v>20000</v>
      </c>
      <c r="BM80" s="13">
        <f>DATA_ACC[[#This Row],[HARI 3]]</f>
        <v>20000</v>
      </c>
      <c r="BN80" s="13">
        <f>DATA_ACC[[#This Row],[HARI 4]]</f>
        <v>20000</v>
      </c>
      <c r="BO80" s="13">
        <f>DATA_ACC[[#This Row],[HARI 5]]</f>
        <v>20000</v>
      </c>
      <c r="BP80" s="13">
        <f>DATA_ACC[[#This Row],[HARI 6]]</f>
        <v>20000</v>
      </c>
      <c r="BQ80" s="13">
        <f>DATA_ACC[[#This Row],[HARI 7]]</f>
        <v>20000</v>
      </c>
      <c r="BR80" s="13">
        <f>DATA_ACC[[#This Row],[HARI 8]]</f>
        <v>20000</v>
      </c>
      <c r="BS80" s="13">
        <f>DATA_ACC[[#This Row],[HARI 9]]</f>
        <v>20000</v>
      </c>
      <c r="BT80" s="81">
        <f>DATA_ACC[[#This Row],[HARI 10]]</f>
        <v>20000</v>
      </c>
    </row>
    <row r="81" ht="18" spans="60:72">
      <c r="BH81" s="86" t="s">
        <v>491</v>
      </c>
      <c r="BI81" s="89">
        <v>25000</v>
      </c>
      <c r="BJ81" s="69">
        <f>DATA_ACC[[#This Row],[HARGA AWAL]]</f>
        <v>25000</v>
      </c>
      <c r="BK81" s="69">
        <f>DATA_ACC[[#This Row],[HARI 1]]</f>
        <v>25000</v>
      </c>
      <c r="BL81" s="69">
        <f>DATA_ACC[[#This Row],[HARI 2]]</f>
        <v>25000</v>
      </c>
      <c r="BM81" s="69">
        <f>DATA_ACC[[#This Row],[HARI 3]]</f>
        <v>25000</v>
      </c>
      <c r="BN81" s="69">
        <f>DATA_ACC[[#This Row],[HARI 4]]</f>
        <v>25000</v>
      </c>
      <c r="BO81" s="69">
        <f>DATA_ACC[[#This Row],[HARI 5]]</f>
        <v>25000</v>
      </c>
      <c r="BP81" s="69">
        <f>DATA_ACC[[#This Row],[HARI 6]]</f>
        <v>25000</v>
      </c>
      <c r="BQ81" s="69">
        <f>DATA_ACC[[#This Row],[HARI 7]]</f>
        <v>25000</v>
      </c>
      <c r="BR81" s="69">
        <f>DATA_ACC[[#This Row],[HARI 8]]</f>
        <v>25000</v>
      </c>
      <c r="BS81" s="69">
        <f>DATA_ACC[[#This Row],[HARI 9]]</f>
        <v>25000</v>
      </c>
      <c r="BT81" s="82">
        <f>DATA_ACC[[#This Row],[HARI 10]]</f>
        <v>25000</v>
      </c>
    </row>
    <row r="82" ht="18" spans="18:72">
      <c r="R82" s="75">
        <f>COUNTA(R12:R80)</f>
        <v>68</v>
      </c>
      <c r="S82" s="76">
        <f>SUM(S12:S80)</f>
        <v>2098000</v>
      </c>
      <c r="BH82" s="88" t="s">
        <v>492</v>
      </c>
      <c r="BI82" s="87">
        <v>35000</v>
      </c>
      <c r="BJ82" s="13">
        <f>DATA_ACC[[#This Row],[HARGA AWAL]]</f>
        <v>35000</v>
      </c>
      <c r="BK82" s="13">
        <f>DATA_ACC[[#This Row],[HARI 1]]</f>
        <v>35000</v>
      </c>
      <c r="BL82" s="13">
        <f>DATA_ACC[[#This Row],[HARI 2]]</f>
        <v>35000</v>
      </c>
      <c r="BM82" s="13">
        <f>DATA_ACC[[#This Row],[HARI 3]]</f>
        <v>35000</v>
      </c>
      <c r="BN82" s="13">
        <f>DATA_ACC[[#This Row],[HARI 4]]</f>
        <v>35000</v>
      </c>
      <c r="BO82" s="13">
        <f>DATA_ACC[[#This Row],[HARI 5]]</f>
        <v>35000</v>
      </c>
      <c r="BP82" s="13">
        <f>DATA_ACC[[#This Row],[HARI 6]]</f>
        <v>35000</v>
      </c>
      <c r="BQ82" s="13">
        <f>DATA_ACC[[#This Row],[HARI 7]]</f>
        <v>35000</v>
      </c>
      <c r="BR82" s="13">
        <f>DATA_ACC[[#This Row],[HARI 8]]</f>
        <v>35000</v>
      </c>
      <c r="BS82" s="13">
        <f>DATA_ACC[[#This Row],[HARI 9]]</f>
        <v>35000</v>
      </c>
      <c r="BT82" s="81">
        <f>DATA_ACC[[#This Row],[HARI 10]]</f>
        <v>35000</v>
      </c>
    </row>
    <row r="83" ht="18" spans="60:72">
      <c r="BH83" s="86" t="s">
        <v>493</v>
      </c>
      <c r="BI83" s="89">
        <v>45000</v>
      </c>
      <c r="BJ83" s="69">
        <f>DATA_ACC[[#This Row],[HARGA AWAL]]</f>
        <v>45000</v>
      </c>
      <c r="BK83" s="69">
        <f>DATA_ACC[[#This Row],[HARI 1]]</f>
        <v>45000</v>
      </c>
      <c r="BL83" s="69">
        <f>DATA_ACC[[#This Row],[HARI 2]]</f>
        <v>45000</v>
      </c>
      <c r="BM83" s="69">
        <f>DATA_ACC[[#This Row],[HARI 3]]</f>
        <v>45000</v>
      </c>
      <c r="BN83" s="69">
        <f>DATA_ACC[[#This Row],[HARI 4]]</f>
        <v>45000</v>
      </c>
      <c r="BO83" s="69">
        <f>DATA_ACC[[#This Row],[HARI 5]]</f>
        <v>45000</v>
      </c>
      <c r="BP83" s="69">
        <f>DATA_ACC[[#This Row],[HARI 6]]</f>
        <v>45000</v>
      </c>
      <c r="BQ83" s="69">
        <f>DATA_ACC[[#This Row],[HARI 7]]</f>
        <v>45000</v>
      </c>
      <c r="BR83" s="69">
        <f>DATA_ACC[[#This Row],[HARI 8]]</f>
        <v>45000</v>
      </c>
      <c r="BS83" s="69">
        <f>DATA_ACC[[#This Row],[HARI 9]]</f>
        <v>45000</v>
      </c>
      <c r="BT83" s="82">
        <f>DATA_ACC[[#This Row],[HARI 10]]</f>
        <v>45000</v>
      </c>
    </row>
    <row r="84" ht="18" spans="60:72">
      <c r="BH84" s="88" t="s">
        <v>494</v>
      </c>
      <c r="BI84" s="87">
        <v>20000</v>
      </c>
      <c r="BJ84" s="13">
        <f>DATA_ACC[[#This Row],[HARGA AWAL]]</f>
        <v>20000</v>
      </c>
      <c r="BK84" s="13">
        <f>DATA_ACC[[#This Row],[HARI 1]]</f>
        <v>20000</v>
      </c>
      <c r="BL84" s="13">
        <f>DATA_ACC[[#This Row],[HARI 2]]</f>
        <v>20000</v>
      </c>
      <c r="BM84" s="13">
        <f>DATA_ACC[[#This Row],[HARI 3]]</f>
        <v>20000</v>
      </c>
      <c r="BN84" s="13">
        <f>DATA_ACC[[#This Row],[HARI 4]]</f>
        <v>20000</v>
      </c>
      <c r="BO84" s="13">
        <f>DATA_ACC[[#This Row],[HARI 5]]</f>
        <v>20000</v>
      </c>
      <c r="BP84" s="13">
        <f>DATA_ACC[[#This Row],[HARI 6]]</f>
        <v>20000</v>
      </c>
      <c r="BQ84" s="13">
        <f>DATA_ACC[[#This Row],[HARI 7]]</f>
        <v>20000</v>
      </c>
      <c r="BR84" s="13">
        <f>DATA_ACC[[#This Row],[HARI 8]]</f>
        <v>20000</v>
      </c>
      <c r="BS84" s="13">
        <f>DATA_ACC[[#This Row],[HARI 9]]</f>
        <v>20000</v>
      </c>
      <c r="BT84" s="81">
        <f>DATA_ACC[[#This Row],[HARI 10]]</f>
        <v>20000</v>
      </c>
    </row>
    <row r="85" ht="18" spans="60:72">
      <c r="BH85" s="86" t="s">
        <v>495</v>
      </c>
      <c r="BI85" s="89">
        <v>25000</v>
      </c>
      <c r="BJ85" s="69">
        <f>DATA_ACC[[#This Row],[HARGA AWAL]]</f>
        <v>25000</v>
      </c>
      <c r="BK85" s="69">
        <f>DATA_ACC[[#This Row],[HARI 1]]</f>
        <v>25000</v>
      </c>
      <c r="BL85" s="69">
        <f>DATA_ACC[[#This Row],[HARI 2]]</f>
        <v>25000</v>
      </c>
      <c r="BM85" s="69">
        <f>DATA_ACC[[#This Row],[HARI 3]]</f>
        <v>25000</v>
      </c>
      <c r="BN85" s="69">
        <f>DATA_ACC[[#This Row],[HARI 4]]</f>
        <v>25000</v>
      </c>
      <c r="BO85" s="69">
        <f>DATA_ACC[[#This Row],[HARI 5]]</f>
        <v>25000</v>
      </c>
      <c r="BP85" s="69">
        <f>DATA_ACC[[#This Row],[HARI 6]]</f>
        <v>25000</v>
      </c>
      <c r="BQ85" s="69">
        <f>DATA_ACC[[#This Row],[HARI 7]]</f>
        <v>25000</v>
      </c>
      <c r="BR85" s="69">
        <f>DATA_ACC[[#This Row],[HARI 8]]</f>
        <v>25000</v>
      </c>
      <c r="BS85" s="69">
        <f>DATA_ACC[[#This Row],[HARI 9]]</f>
        <v>25000</v>
      </c>
      <c r="BT85" s="82">
        <f>DATA_ACC[[#This Row],[HARI 10]]</f>
        <v>25000</v>
      </c>
    </row>
    <row r="86" ht="18" spans="60:72">
      <c r="BH86" s="88" t="s">
        <v>496</v>
      </c>
      <c r="BI86" s="87">
        <v>30000</v>
      </c>
      <c r="BJ86" s="13">
        <f>DATA_ACC[[#This Row],[HARGA AWAL]]</f>
        <v>30000</v>
      </c>
      <c r="BK86" s="13">
        <f>DATA_ACC[[#This Row],[HARI 1]]</f>
        <v>30000</v>
      </c>
      <c r="BL86" s="13">
        <f>DATA_ACC[[#This Row],[HARI 2]]</f>
        <v>30000</v>
      </c>
      <c r="BM86" s="13">
        <f>DATA_ACC[[#This Row],[HARI 3]]</f>
        <v>30000</v>
      </c>
      <c r="BN86" s="13">
        <f>DATA_ACC[[#This Row],[HARI 4]]</f>
        <v>30000</v>
      </c>
      <c r="BO86" s="13">
        <f>DATA_ACC[[#This Row],[HARI 5]]</f>
        <v>30000</v>
      </c>
      <c r="BP86" s="13">
        <f>DATA_ACC[[#This Row],[HARI 6]]</f>
        <v>30000</v>
      </c>
      <c r="BQ86" s="13">
        <f>DATA_ACC[[#This Row],[HARI 7]]</f>
        <v>30000</v>
      </c>
      <c r="BR86" s="13">
        <f>DATA_ACC[[#This Row],[HARI 8]]</f>
        <v>30000</v>
      </c>
      <c r="BS86" s="13">
        <f>DATA_ACC[[#This Row],[HARI 9]]</f>
        <v>30000</v>
      </c>
      <c r="BT86" s="81">
        <f>DATA_ACC[[#This Row],[HARI 10]]</f>
        <v>30000</v>
      </c>
    </row>
    <row r="87" ht="18" spans="60:72">
      <c r="BH87" s="86" t="s">
        <v>497</v>
      </c>
      <c r="BI87" s="89">
        <v>35000</v>
      </c>
      <c r="BJ87" s="69">
        <f>DATA_ACC[[#This Row],[HARGA AWAL]]</f>
        <v>35000</v>
      </c>
      <c r="BK87" s="69">
        <f>DATA_ACC[[#This Row],[HARI 1]]</f>
        <v>35000</v>
      </c>
      <c r="BL87" s="69">
        <f>DATA_ACC[[#This Row],[HARI 2]]</f>
        <v>35000</v>
      </c>
      <c r="BM87" s="69">
        <f>DATA_ACC[[#This Row],[HARI 3]]</f>
        <v>35000</v>
      </c>
      <c r="BN87" s="69">
        <f>DATA_ACC[[#This Row],[HARI 4]]</f>
        <v>35000</v>
      </c>
      <c r="BO87" s="69">
        <f>DATA_ACC[[#This Row],[HARI 5]]</f>
        <v>35000</v>
      </c>
      <c r="BP87" s="69">
        <f>DATA_ACC[[#This Row],[HARI 6]]</f>
        <v>35000</v>
      </c>
      <c r="BQ87" s="69">
        <f>DATA_ACC[[#This Row],[HARI 7]]</f>
        <v>35000</v>
      </c>
      <c r="BR87" s="69">
        <f>DATA_ACC[[#This Row],[HARI 8]]</f>
        <v>35000</v>
      </c>
      <c r="BS87" s="69">
        <f>DATA_ACC[[#This Row],[HARI 9]]</f>
        <v>35000</v>
      </c>
      <c r="BT87" s="82">
        <f>DATA_ACC[[#This Row],[HARI 10]]</f>
        <v>35000</v>
      </c>
    </row>
    <row r="88" ht="18" spans="60:72">
      <c r="BH88" s="88" t="s">
        <v>498</v>
      </c>
      <c r="BI88" s="87">
        <v>40000</v>
      </c>
      <c r="BJ88" s="13">
        <f>DATA_ACC[[#This Row],[HARGA AWAL]]</f>
        <v>40000</v>
      </c>
      <c r="BK88" s="13">
        <f>DATA_ACC[[#This Row],[HARI 1]]</f>
        <v>40000</v>
      </c>
      <c r="BL88" s="13">
        <f>DATA_ACC[[#This Row],[HARI 2]]</f>
        <v>40000</v>
      </c>
      <c r="BM88" s="13">
        <f>DATA_ACC[[#This Row],[HARI 3]]</f>
        <v>40000</v>
      </c>
      <c r="BN88" s="13">
        <f>DATA_ACC[[#This Row],[HARI 4]]</f>
        <v>40000</v>
      </c>
      <c r="BO88" s="13">
        <f>DATA_ACC[[#This Row],[HARI 5]]</f>
        <v>40000</v>
      </c>
      <c r="BP88" s="13">
        <f>DATA_ACC[[#This Row],[HARI 6]]</f>
        <v>40000</v>
      </c>
      <c r="BQ88" s="13">
        <f>DATA_ACC[[#This Row],[HARI 7]]</f>
        <v>40000</v>
      </c>
      <c r="BR88" s="13">
        <f>DATA_ACC[[#This Row],[HARI 8]]</f>
        <v>40000</v>
      </c>
      <c r="BS88" s="13">
        <f>DATA_ACC[[#This Row],[HARI 9]]</f>
        <v>40000</v>
      </c>
      <c r="BT88" s="81">
        <f>DATA_ACC[[#This Row],[HARI 10]]</f>
        <v>40000</v>
      </c>
    </row>
    <row r="89" ht="18" spans="60:72">
      <c r="BH89" s="86" t="s">
        <v>499</v>
      </c>
      <c r="BI89" s="89">
        <v>75000</v>
      </c>
      <c r="BJ89" s="69">
        <f>DATA_ACC[[#This Row],[HARGA AWAL]]</f>
        <v>75000</v>
      </c>
      <c r="BK89" s="69">
        <f>DATA_ACC[[#This Row],[HARI 1]]</f>
        <v>75000</v>
      </c>
      <c r="BL89" s="69">
        <f>DATA_ACC[[#This Row],[HARI 2]]</f>
        <v>75000</v>
      </c>
      <c r="BM89" s="69">
        <f>DATA_ACC[[#This Row],[HARI 3]]</f>
        <v>75000</v>
      </c>
      <c r="BN89" s="69">
        <f>DATA_ACC[[#This Row],[HARI 4]]</f>
        <v>75000</v>
      </c>
      <c r="BO89" s="69">
        <f>DATA_ACC[[#This Row],[HARI 5]]</f>
        <v>75000</v>
      </c>
      <c r="BP89" s="69">
        <f>DATA_ACC[[#This Row],[HARI 6]]</f>
        <v>75000</v>
      </c>
      <c r="BQ89" s="69">
        <f>DATA_ACC[[#This Row],[HARI 7]]</f>
        <v>75000</v>
      </c>
      <c r="BR89" s="69">
        <f>DATA_ACC[[#This Row],[HARI 8]]</f>
        <v>75000</v>
      </c>
      <c r="BS89" s="69">
        <f>DATA_ACC[[#This Row],[HARI 9]]</f>
        <v>75000</v>
      </c>
      <c r="BT89" s="82">
        <f>DATA_ACC[[#This Row],[HARI 10]]</f>
        <v>75000</v>
      </c>
    </row>
    <row r="90" ht="18" spans="60:72">
      <c r="BH90" s="88" t="s">
        <v>500</v>
      </c>
      <c r="BI90" s="87">
        <v>75000</v>
      </c>
      <c r="BJ90" s="13">
        <f>DATA_ACC[[#This Row],[HARGA AWAL]]</f>
        <v>75000</v>
      </c>
      <c r="BK90" s="13">
        <f>DATA_ACC[[#This Row],[HARI 1]]</f>
        <v>75000</v>
      </c>
      <c r="BL90" s="13">
        <f>DATA_ACC[[#This Row],[HARI 2]]</f>
        <v>75000</v>
      </c>
      <c r="BM90" s="13">
        <f>DATA_ACC[[#This Row],[HARI 3]]</f>
        <v>75000</v>
      </c>
      <c r="BN90" s="13">
        <f>DATA_ACC[[#This Row],[HARI 4]]</f>
        <v>75000</v>
      </c>
      <c r="BO90" s="13">
        <f>DATA_ACC[[#This Row],[HARI 5]]</f>
        <v>75000</v>
      </c>
      <c r="BP90" s="13">
        <f>DATA_ACC[[#This Row],[HARI 6]]</f>
        <v>75000</v>
      </c>
      <c r="BQ90" s="13">
        <f>DATA_ACC[[#This Row],[HARI 7]]</f>
        <v>75000</v>
      </c>
      <c r="BR90" s="13">
        <f>DATA_ACC[[#This Row],[HARI 8]]</f>
        <v>75000</v>
      </c>
      <c r="BS90" s="13">
        <f>DATA_ACC[[#This Row],[HARI 9]]</f>
        <v>75000</v>
      </c>
      <c r="BT90" s="81">
        <f>DATA_ACC[[#This Row],[HARI 10]]</f>
        <v>75000</v>
      </c>
    </row>
    <row r="91" ht="18" spans="19:72">
      <c r="S91" s="77"/>
      <c r="BH91" s="86" t="s">
        <v>501</v>
      </c>
      <c r="BI91" s="89">
        <v>75000</v>
      </c>
      <c r="BJ91" s="69">
        <f>DATA_ACC[[#This Row],[HARGA AWAL]]</f>
        <v>75000</v>
      </c>
      <c r="BK91" s="69">
        <f>DATA_ACC[[#This Row],[HARI 1]]</f>
        <v>75000</v>
      </c>
      <c r="BL91" s="69">
        <f>DATA_ACC[[#This Row],[HARI 2]]</f>
        <v>75000</v>
      </c>
      <c r="BM91" s="69">
        <f>DATA_ACC[[#This Row],[HARI 3]]</f>
        <v>75000</v>
      </c>
      <c r="BN91" s="69">
        <f>DATA_ACC[[#This Row],[HARI 4]]</f>
        <v>75000</v>
      </c>
      <c r="BO91" s="69">
        <f>DATA_ACC[[#This Row],[HARI 5]]</f>
        <v>75000</v>
      </c>
      <c r="BP91" s="69">
        <f>DATA_ACC[[#This Row],[HARI 6]]</f>
        <v>75000</v>
      </c>
      <c r="BQ91" s="69">
        <f>DATA_ACC[[#This Row],[HARI 7]]</f>
        <v>75000</v>
      </c>
      <c r="BR91" s="69">
        <f>DATA_ACC[[#This Row],[HARI 8]]</f>
        <v>75000</v>
      </c>
      <c r="BS91" s="69">
        <f>DATA_ACC[[#This Row],[HARI 9]]</f>
        <v>75000</v>
      </c>
      <c r="BT91" s="82">
        <f>DATA_ACC[[#This Row],[HARI 10]]</f>
        <v>75000</v>
      </c>
    </row>
    <row r="92" ht="18" spans="60:72">
      <c r="BH92" s="88" t="s">
        <v>502</v>
      </c>
      <c r="BI92" s="87">
        <v>195000</v>
      </c>
      <c r="BJ92" s="13">
        <f>DATA_ACC[[#This Row],[HARGA AWAL]]</f>
        <v>195000</v>
      </c>
      <c r="BK92" s="13">
        <f>DATA_ACC[[#This Row],[HARI 1]]</f>
        <v>195000</v>
      </c>
      <c r="BL92" s="13">
        <f>DATA_ACC[[#This Row],[HARI 2]]</f>
        <v>195000</v>
      </c>
      <c r="BM92" s="13">
        <f>DATA_ACC[[#This Row],[HARI 3]]</f>
        <v>195000</v>
      </c>
      <c r="BN92" s="13">
        <f>DATA_ACC[[#This Row],[HARI 4]]</f>
        <v>195000</v>
      </c>
      <c r="BO92" s="13">
        <f>DATA_ACC[[#This Row],[HARI 5]]</f>
        <v>195000</v>
      </c>
      <c r="BP92" s="13">
        <f>DATA_ACC[[#This Row],[HARI 6]]</f>
        <v>195000</v>
      </c>
      <c r="BQ92" s="13">
        <f>DATA_ACC[[#This Row],[HARI 7]]</f>
        <v>195000</v>
      </c>
      <c r="BR92" s="13">
        <f>DATA_ACC[[#This Row],[HARI 8]]</f>
        <v>195000</v>
      </c>
      <c r="BS92" s="13">
        <f>DATA_ACC[[#This Row],[HARI 9]]</f>
        <v>195000</v>
      </c>
      <c r="BT92" s="81">
        <f>DATA_ACC[[#This Row],[HARI 10]]</f>
        <v>195000</v>
      </c>
    </row>
    <row r="93" ht="18" spans="60:72">
      <c r="BH93" s="86" t="s">
        <v>503</v>
      </c>
      <c r="BI93" s="89">
        <v>150000</v>
      </c>
      <c r="BJ93" s="69">
        <f>DATA_ACC[[#This Row],[HARGA AWAL]]</f>
        <v>150000</v>
      </c>
      <c r="BK93" s="69">
        <f>DATA_ACC[[#This Row],[HARI 1]]</f>
        <v>150000</v>
      </c>
      <c r="BL93" s="69">
        <f>DATA_ACC[[#This Row],[HARI 2]]</f>
        <v>150000</v>
      </c>
      <c r="BM93" s="69">
        <f>DATA_ACC[[#This Row],[HARI 3]]</f>
        <v>150000</v>
      </c>
      <c r="BN93" s="69">
        <f>DATA_ACC[[#This Row],[HARI 4]]</f>
        <v>150000</v>
      </c>
      <c r="BO93" s="69">
        <f>DATA_ACC[[#This Row],[HARI 5]]</f>
        <v>150000</v>
      </c>
      <c r="BP93" s="69">
        <f>DATA_ACC[[#This Row],[HARI 6]]</f>
        <v>150000</v>
      </c>
      <c r="BQ93" s="69">
        <f>DATA_ACC[[#This Row],[HARI 7]]</f>
        <v>150000</v>
      </c>
      <c r="BR93" s="69">
        <f>DATA_ACC[[#This Row],[HARI 8]]</f>
        <v>150000</v>
      </c>
      <c r="BS93" s="69">
        <f>DATA_ACC[[#This Row],[HARI 9]]</f>
        <v>150000</v>
      </c>
      <c r="BT93" s="82">
        <f>DATA_ACC[[#This Row],[HARI 10]]</f>
        <v>150000</v>
      </c>
    </row>
    <row r="94" ht="18" spans="60:72">
      <c r="BH94" s="88" t="s">
        <v>504</v>
      </c>
      <c r="BI94" s="87">
        <v>165000</v>
      </c>
      <c r="BJ94" s="13">
        <f>DATA_ACC[[#This Row],[HARGA AWAL]]</f>
        <v>165000</v>
      </c>
      <c r="BK94" s="13">
        <f>DATA_ACC[[#This Row],[HARI 1]]</f>
        <v>165000</v>
      </c>
      <c r="BL94" s="13">
        <f>DATA_ACC[[#This Row],[HARI 2]]</f>
        <v>165000</v>
      </c>
      <c r="BM94" s="13">
        <f>DATA_ACC[[#This Row],[HARI 3]]</f>
        <v>165000</v>
      </c>
      <c r="BN94" s="13">
        <f>DATA_ACC[[#This Row],[HARI 4]]</f>
        <v>165000</v>
      </c>
      <c r="BO94" s="13">
        <f>DATA_ACC[[#This Row],[HARI 5]]</f>
        <v>165000</v>
      </c>
      <c r="BP94" s="13">
        <f>DATA_ACC[[#This Row],[HARI 6]]</f>
        <v>165000</v>
      </c>
      <c r="BQ94" s="13">
        <f>DATA_ACC[[#This Row],[HARI 7]]</f>
        <v>165000</v>
      </c>
      <c r="BR94" s="13">
        <f>DATA_ACC[[#This Row],[HARI 8]]</f>
        <v>165000</v>
      </c>
      <c r="BS94" s="13">
        <f>DATA_ACC[[#This Row],[HARI 9]]</f>
        <v>165000</v>
      </c>
      <c r="BT94" s="81">
        <f>DATA_ACC[[#This Row],[HARI 10]]</f>
        <v>165000</v>
      </c>
    </row>
    <row r="95" ht="18" spans="60:72">
      <c r="BH95" s="86" t="s">
        <v>505</v>
      </c>
      <c r="BI95" s="89">
        <v>120000</v>
      </c>
      <c r="BJ95" s="69">
        <f>DATA_ACC[[#This Row],[HARGA AWAL]]</f>
        <v>120000</v>
      </c>
      <c r="BK95" s="69">
        <f>DATA_ACC[[#This Row],[HARI 1]]</f>
        <v>120000</v>
      </c>
      <c r="BL95" s="69">
        <f>DATA_ACC[[#This Row],[HARI 2]]</f>
        <v>120000</v>
      </c>
      <c r="BM95" s="69">
        <f>DATA_ACC[[#This Row],[HARI 3]]</f>
        <v>120000</v>
      </c>
      <c r="BN95" s="69">
        <f>DATA_ACC[[#This Row],[HARI 4]]</f>
        <v>120000</v>
      </c>
      <c r="BO95" s="69">
        <f>DATA_ACC[[#This Row],[HARI 5]]</f>
        <v>120000</v>
      </c>
      <c r="BP95" s="69">
        <f>DATA_ACC[[#This Row],[HARI 6]]</f>
        <v>120000</v>
      </c>
      <c r="BQ95" s="69">
        <f>DATA_ACC[[#This Row],[HARI 7]]</f>
        <v>120000</v>
      </c>
      <c r="BR95" s="69">
        <f>DATA_ACC[[#This Row],[HARI 8]]</f>
        <v>120000</v>
      </c>
      <c r="BS95" s="69">
        <f>DATA_ACC[[#This Row],[HARI 9]]</f>
        <v>120000</v>
      </c>
      <c r="BT95" s="82">
        <f>DATA_ACC[[#This Row],[HARI 10]]</f>
        <v>120000</v>
      </c>
    </row>
    <row r="96" ht="18" spans="60:72">
      <c r="BH96" s="88" t="s">
        <v>506</v>
      </c>
      <c r="BI96" s="87">
        <v>150000</v>
      </c>
      <c r="BJ96" s="13">
        <f>DATA_ACC[[#This Row],[HARGA AWAL]]</f>
        <v>150000</v>
      </c>
      <c r="BK96" s="13">
        <f>DATA_ACC[[#This Row],[HARI 1]]</f>
        <v>150000</v>
      </c>
      <c r="BL96" s="13">
        <f>DATA_ACC[[#This Row],[HARI 2]]</f>
        <v>150000</v>
      </c>
      <c r="BM96" s="13">
        <f>DATA_ACC[[#This Row],[HARI 3]]</f>
        <v>150000</v>
      </c>
      <c r="BN96" s="13">
        <f>DATA_ACC[[#This Row],[HARI 4]]</f>
        <v>150000</v>
      </c>
      <c r="BO96" s="13">
        <f>DATA_ACC[[#This Row],[HARI 5]]</f>
        <v>150000</v>
      </c>
      <c r="BP96" s="13">
        <f>DATA_ACC[[#This Row],[HARI 6]]</f>
        <v>150000</v>
      </c>
      <c r="BQ96" s="13">
        <f>DATA_ACC[[#This Row],[HARI 7]]</f>
        <v>150000</v>
      </c>
      <c r="BR96" s="13">
        <f>DATA_ACC[[#This Row],[HARI 8]]</f>
        <v>150000</v>
      </c>
      <c r="BS96" s="13">
        <f>DATA_ACC[[#This Row],[HARI 9]]</f>
        <v>150000</v>
      </c>
      <c r="BT96" s="81">
        <f>DATA_ACC[[#This Row],[HARI 10]]</f>
        <v>150000</v>
      </c>
    </row>
    <row r="97" ht="18" spans="60:72">
      <c r="BH97" s="86" t="s">
        <v>507</v>
      </c>
      <c r="BI97" s="89">
        <v>160000</v>
      </c>
      <c r="BJ97" s="69">
        <f>DATA_ACC[[#This Row],[HARGA AWAL]]</f>
        <v>160000</v>
      </c>
      <c r="BK97" s="69">
        <f>DATA_ACC[[#This Row],[HARI 1]]</f>
        <v>160000</v>
      </c>
      <c r="BL97" s="69">
        <f>DATA_ACC[[#This Row],[HARI 2]]</f>
        <v>160000</v>
      </c>
      <c r="BM97" s="69">
        <f>DATA_ACC[[#This Row],[HARI 3]]</f>
        <v>160000</v>
      </c>
      <c r="BN97" s="69">
        <f>DATA_ACC[[#This Row],[HARI 4]]</f>
        <v>160000</v>
      </c>
      <c r="BO97" s="69">
        <f>DATA_ACC[[#This Row],[HARI 5]]</f>
        <v>160000</v>
      </c>
      <c r="BP97" s="69">
        <f>DATA_ACC[[#This Row],[HARI 6]]</f>
        <v>160000</v>
      </c>
      <c r="BQ97" s="69">
        <f>DATA_ACC[[#This Row],[HARI 7]]</f>
        <v>160000</v>
      </c>
      <c r="BR97" s="69">
        <f>DATA_ACC[[#This Row],[HARI 8]]</f>
        <v>160000</v>
      </c>
      <c r="BS97" s="69">
        <f>DATA_ACC[[#This Row],[HARI 9]]</f>
        <v>160000</v>
      </c>
      <c r="BT97" s="82">
        <f>DATA_ACC[[#This Row],[HARI 10]]</f>
        <v>160000</v>
      </c>
    </row>
    <row r="98" ht="18" spans="60:72">
      <c r="BH98" s="88" t="s">
        <v>508</v>
      </c>
      <c r="BI98" s="87">
        <v>165000</v>
      </c>
      <c r="BJ98" s="13">
        <f>DATA_ACC[[#This Row],[HARGA AWAL]]</f>
        <v>165000</v>
      </c>
      <c r="BK98" s="13">
        <f>DATA_ACC[[#This Row],[HARI 1]]</f>
        <v>165000</v>
      </c>
      <c r="BL98" s="13">
        <f>DATA_ACC[[#This Row],[HARI 2]]</f>
        <v>165000</v>
      </c>
      <c r="BM98" s="13">
        <f>DATA_ACC[[#This Row],[HARI 3]]</f>
        <v>165000</v>
      </c>
      <c r="BN98" s="13">
        <f>DATA_ACC[[#This Row],[HARI 4]]</f>
        <v>165000</v>
      </c>
      <c r="BO98" s="13">
        <f>DATA_ACC[[#This Row],[HARI 5]]</f>
        <v>165000</v>
      </c>
      <c r="BP98" s="13">
        <f>DATA_ACC[[#This Row],[HARI 6]]</f>
        <v>165000</v>
      </c>
      <c r="BQ98" s="13">
        <f>DATA_ACC[[#This Row],[HARI 7]]</f>
        <v>165000</v>
      </c>
      <c r="BR98" s="13">
        <f>DATA_ACC[[#This Row],[HARI 8]]</f>
        <v>165000</v>
      </c>
      <c r="BS98" s="13">
        <f>DATA_ACC[[#This Row],[HARI 9]]</f>
        <v>165000</v>
      </c>
      <c r="BT98" s="81">
        <f>DATA_ACC[[#This Row],[HARI 10]]</f>
        <v>165000</v>
      </c>
    </row>
    <row r="99" ht="18" spans="60:72">
      <c r="BH99" s="86" t="s">
        <v>509</v>
      </c>
      <c r="BI99" s="89">
        <v>30000</v>
      </c>
      <c r="BJ99" s="69">
        <f>DATA_ACC[[#This Row],[HARGA AWAL]]</f>
        <v>30000</v>
      </c>
      <c r="BK99" s="69">
        <f>DATA_ACC[[#This Row],[HARI 1]]</f>
        <v>30000</v>
      </c>
      <c r="BL99" s="69">
        <f>DATA_ACC[[#This Row],[HARI 2]]</f>
        <v>30000</v>
      </c>
      <c r="BM99" s="69">
        <f>DATA_ACC[[#This Row],[HARI 3]]</f>
        <v>30000</v>
      </c>
      <c r="BN99" s="69">
        <f>DATA_ACC[[#This Row],[HARI 4]]</f>
        <v>30000</v>
      </c>
      <c r="BO99" s="69">
        <f>DATA_ACC[[#This Row],[HARI 5]]</f>
        <v>30000</v>
      </c>
      <c r="BP99" s="69">
        <f>DATA_ACC[[#This Row],[HARI 6]]</f>
        <v>30000</v>
      </c>
      <c r="BQ99" s="69">
        <f>DATA_ACC[[#This Row],[HARI 7]]</f>
        <v>30000</v>
      </c>
      <c r="BR99" s="69">
        <f>DATA_ACC[[#This Row],[HARI 8]]</f>
        <v>30000</v>
      </c>
      <c r="BS99" s="69">
        <f>DATA_ACC[[#This Row],[HARI 9]]</f>
        <v>30000</v>
      </c>
      <c r="BT99" s="82">
        <f>DATA_ACC[[#This Row],[HARI 10]]</f>
        <v>30000</v>
      </c>
    </row>
    <row r="100" ht="18" spans="60:72">
      <c r="BH100" s="88" t="s">
        <v>510</v>
      </c>
      <c r="BI100" s="87">
        <v>30000</v>
      </c>
      <c r="BJ100" s="13">
        <f>DATA_ACC[[#This Row],[HARGA AWAL]]</f>
        <v>30000</v>
      </c>
      <c r="BK100" s="13">
        <f>DATA_ACC[[#This Row],[HARI 1]]</f>
        <v>30000</v>
      </c>
      <c r="BL100" s="13">
        <f>DATA_ACC[[#This Row],[HARI 2]]</f>
        <v>30000</v>
      </c>
      <c r="BM100" s="13">
        <f>DATA_ACC[[#This Row],[HARI 3]]</f>
        <v>30000</v>
      </c>
      <c r="BN100" s="13">
        <f>DATA_ACC[[#This Row],[HARI 4]]</f>
        <v>30000</v>
      </c>
      <c r="BO100" s="13">
        <f>DATA_ACC[[#This Row],[HARI 5]]</f>
        <v>30000</v>
      </c>
      <c r="BP100" s="13">
        <f>DATA_ACC[[#This Row],[HARI 6]]</f>
        <v>30000</v>
      </c>
      <c r="BQ100" s="13">
        <f>DATA_ACC[[#This Row],[HARI 7]]</f>
        <v>30000</v>
      </c>
      <c r="BR100" s="13">
        <f>DATA_ACC[[#This Row],[HARI 8]]</f>
        <v>30000</v>
      </c>
      <c r="BS100" s="13">
        <f>DATA_ACC[[#This Row],[HARI 9]]</f>
        <v>30000</v>
      </c>
      <c r="BT100" s="81">
        <f>DATA_ACC[[#This Row],[HARI 10]]</f>
        <v>30000</v>
      </c>
    </row>
    <row r="101" ht="18" spans="60:72">
      <c r="BH101" s="86" t="s">
        <v>511</v>
      </c>
      <c r="BI101" s="89">
        <v>115000</v>
      </c>
      <c r="BJ101" s="69">
        <f>DATA_ACC[[#This Row],[HARGA AWAL]]</f>
        <v>115000</v>
      </c>
      <c r="BK101" s="69">
        <f>DATA_ACC[[#This Row],[HARI 1]]</f>
        <v>115000</v>
      </c>
      <c r="BL101" s="69">
        <f>DATA_ACC[[#This Row],[HARI 2]]</f>
        <v>115000</v>
      </c>
      <c r="BM101" s="69">
        <f>DATA_ACC[[#This Row],[HARI 3]]</f>
        <v>115000</v>
      </c>
      <c r="BN101" s="69">
        <f>DATA_ACC[[#This Row],[HARI 4]]</f>
        <v>115000</v>
      </c>
      <c r="BO101" s="69">
        <f>DATA_ACC[[#This Row],[HARI 5]]</f>
        <v>115000</v>
      </c>
      <c r="BP101" s="69">
        <f>DATA_ACC[[#This Row],[HARI 6]]</f>
        <v>115000</v>
      </c>
      <c r="BQ101" s="69">
        <f>DATA_ACC[[#This Row],[HARI 7]]</f>
        <v>115000</v>
      </c>
      <c r="BR101" s="69">
        <f>DATA_ACC[[#This Row],[HARI 8]]</f>
        <v>115000</v>
      </c>
      <c r="BS101" s="69">
        <f>DATA_ACC[[#This Row],[HARI 9]]</f>
        <v>115000</v>
      </c>
      <c r="BT101" s="82">
        <f>DATA_ACC[[#This Row],[HARI 10]]</f>
        <v>115000</v>
      </c>
    </row>
    <row r="102" ht="18" spans="60:72">
      <c r="BH102" s="88" t="s">
        <v>512</v>
      </c>
      <c r="BI102" s="87">
        <v>130000</v>
      </c>
      <c r="BJ102" s="13">
        <f>DATA_ACC[[#This Row],[HARGA AWAL]]</f>
        <v>130000</v>
      </c>
      <c r="BK102" s="13">
        <f>DATA_ACC[[#This Row],[HARI 1]]</f>
        <v>130000</v>
      </c>
      <c r="BL102" s="13">
        <f>DATA_ACC[[#This Row],[HARI 2]]</f>
        <v>130000</v>
      </c>
      <c r="BM102" s="13">
        <f>DATA_ACC[[#This Row],[HARI 3]]</f>
        <v>130000</v>
      </c>
      <c r="BN102" s="13">
        <f>DATA_ACC[[#This Row],[HARI 4]]</f>
        <v>130000</v>
      </c>
      <c r="BO102" s="13">
        <f>DATA_ACC[[#This Row],[HARI 5]]</f>
        <v>130000</v>
      </c>
      <c r="BP102" s="13">
        <f>DATA_ACC[[#This Row],[HARI 6]]</f>
        <v>130000</v>
      </c>
      <c r="BQ102" s="13">
        <f>DATA_ACC[[#This Row],[HARI 7]]</f>
        <v>130000</v>
      </c>
      <c r="BR102" s="13">
        <f>DATA_ACC[[#This Row],[HARI 8]]</f>
        <v>130000</v>
      </c>
      <c r="BS102" s="13">
        <f>DATA_ACC[[#This Row],[HARI 9]]</f>
        <v>130000</v>
      </c>
      <c r="BT102" s="81">
        <f>DATA_ACC[[#This Row],[HARI 10]]</f>
        <v>130000</v>
      </c>
    </row>
    <row r="103" ht="18" spans="60:72">
      <c r="BH103" s="86" t="s">
        <v>513</v>
      </c>
      <c r="BI103" s="89">
        <v>170000</v>
      </c>
      <c r="BJ103" s="69">
        <f>DATA_ACC[[#This Row],[HARGA AWAL]]</f>
        <v>170000</v>
      </c>
      <c r="BK103" s="69">
        <f>DATA_ACC[[#This Row],[HARI 1]]</f>
        <v>170000</v>
      </c>
      <c r="BL103" s="69">
        <f>DATA_ACC[[#This Row],[HARI 2]]</f>
        <v>170000</v>
      </c>
      <c r="BM103" s="69">
        <f>DATA_ACC[[#This Row],[HARI 3]]</f>
        <v>170000</v>
      </c>
      <c r="BN103" s="69">
        <f>DATA_ACC[[#This Row],[HARI 4]]</f>
        <v>170000</v>
      </c>
      <c r="BO103" s="69">
        <f>DATA_ACC[[#This Row],[HARI 5]]</f>
        <v>170000</v>
      </c>
      <c r="BP103" s="69">
        <f>DATA_ACC[[#This Row],[HARI 6]]</f>
        <v>170000</v>
      </c>
      <c r="BQ103" s="69">
        <f>DATA_ACC[[#This Row],[HARI 7]]</f>
        <v>170000</v>
      </c>
      <c r="BR103" s="69">
        <f>DATA_ACC[[#This Row],[HARI 8]]</f>
        <v>170000</v>
      </c>
      <c r="BS103" s="69">
        <f>DATA_ACC[[#This Row],[HARI 9]]</f>
        <v>170000</v>
      </c>
      <c r="BT103" s="82">
        <f>DATA_ACC[[#This Row],[HARI 10]]</f>
        <v>170000</v>
      </c>
    </row>
    <row r="104" ht="18" spans="60:72">
      <c r="BH104" s="88" t="s">
        <v>514</v>
      </c>
      <c r="BI104" s="87">
        <v>75000</v>
      </c>
      <c r="BJ104" s="13">
        <f>DATA_ACC[[#This Row],[HARGA AWAL]]</f>
        <v>75000</v>
      </c>
      <c r="BK104" s="13">
        <f>DATA_ACC[[#This Row],[HARI 1]]</f>
        <v>75000</v>
      </c>
      <c r="BL104" s="13">
        <f>DATA_ACC[[#This Row],[HARI 2]]</f>
        <v>75000</v>
      </c>
      <c r="BM104" s="13">
        <f>DATA_ACC[[#This Row],[HARI 3]]</f>
        <v>75000</v>
      </c>
      <c r="BN104" s="13">
        <f>DATA_ACC[[#This Row],[HARI 4]]</f>
        <v>75000</v>
      </c>
      <c r="BO104" s="13">
        <f>DATA_ACC[[#This Row],[HARI 5]]</f>
        <v>75000</v>
      </c>
      <c r="BP104" s="13">
        <f>DATA_ACC[[#This Row],[HARI 6]]</f>
        <v>75000</v>
      </c>
      <c r="BQ104" s="13">
        <f>DATA_ACC[[#This Row],[HARI 7]]</f>
        <v>75000</v>
      </c>
      <c r="BR104" s="13">
        <f>DATA_ACC[[#This Row],[HARI 8]]</f>
        <v>75000</v>
      </c>
      <c r="BS104" s="13">
        <f>DATA_ACC[[#This Row],[HARI 9]]</f>
        <v>75000</v>
      </c>
      <c r="BT104" s="81">
        <f>DATA_ACC[[#This Row],[HARI 10]]</f>
        <v>75000</v>
      </c>
    </row>
    <row r="105" ht="18" spans="60:72">
      <c r="BH105" s="86" t="s">
        <v>515</v>
      </c>
      <c r="BI105" s="89">
        <v>100000</v>
      </c>
      <c r="BJ105" s="69">
        <f>DATA_ACC[[#This Row],[HARGA AWAL]]</f>
        <v>100000</v>
      </c>
      <c r="BK105" s="69">
        <f>DATA_ACC[[#This Row],[HARI 1]]</f>
        <v>100000</v>
      </c>
      <c r="BL105" s="69">
        <f>DATA_ACC[[#This Row],[HARI 2]]</f>
        <v>100000</v>
      </c>
      <c r="BM105" s="69">
        <f>DATA_ACC[[#This Row],[HARI 3]]</f>
        <v>100000</v>
      </c>
      <c r="BN105" s="69">
        <f>DATA_ACC[[#This Row],[HARI 4]]</f>
        <v>100000</v>
      </c>
      <c r="BO105" s="69">
        <f>DATA_ACC[[#This Row],[HARI 5]]</f>
        <v>100000</v>
      </c>
      <c r="BP105" s="69">
        <f>DATA_ACC[[#This Row],[HARI 6]]</f>
        <v>100000</v>
      </c>
      <c r="BQ105" s="69">
        <f>DATA_ACC[[#This Row],[HARI 7]]</f>
        <v>100000</v>
      </c>
      <c r="BR105" s="69">
        <f>DATA_ACC[[#This Row],[HARI 8]]</f>
        <v>100000</v>
      </c>
      <c r="BS105" s="69">
        <f>DATA_ACC[[#This Row],[HARI 9]]</f>
        <v>100000</v>
      </c>
      <c r="BT105" s="82">
        <f>DATA_ACC[[#This Row],[HARI 10]]</f>
        <v>100000</v>
      </c>
    </row>
    <row r="106" ht="18" spans="60:72">
      <c r="BH106" s="88" t="s">
        <v>516</v>
      </c>
      <c r="BI106" s="87">
        <v>110000</v>
      </c>
      <c r="BJ106" s="13">
        <f>DATA_ACC[[#This Row],[HARGA AWAL]]</f>
        <v>110000</v>
      </c>
      <c r="BK106" s="13">
        <f>DATA_ACC[[#This Row],[HARI 1]]</f>
        <v>110000</v>
      </c>
      <c r="BL106" s="13">
        <f>DATA_ACC[[#This Row],[HARI 2]]</f>
        <v>110000</v>
      </c>
      <c r="BM106" s="13">
        <f>DATA_ACC[[#This Row],[HARI 3]]</f>
        <v>110000</v>
      </c>
      <c r="BN106" s="13">
        <f>DATA_ACC[[#This Row],[HARI 4]]</f>
        <v>110000</v>
      </c>
      <c r="BO106" s="13">
        <f>DATA_ACC[[#This Row],[HARI 5]]</f>
        <v>110000</v>
      </c>
      <c r="BP106" s="13">
        <f>DATA_ACC[[#This Row],[HARI 6]]</f>
        <v>110000</v>
      </c>
      <c r="BQ106" s="13">
        <f>DATA_ACC[[#This Row],[HARI 7]]</f>
        <v>110000</v>
      </c>
      <c r="BR106" s="13">
        <f>DATA_ACC[[#This Row],[HARI 8]]</f>
        <v>110000</v>
      </c>
      <c r="BS106" s="13">
        <f>DATA_ACC[[#This Row],[HARI 9]]</f>
        <v>110000</v>
      </c>
      <c r="BT106" s="81">
        <f>DATA_ACC[[#This Row],[HARI 10]]</f>
        <v>110000</v>
      </c>
    </row>
    <row r="107" ht="18" spans="60:72">
      <c r="BH107" s="86" t="s">
        <v>517</v>
      </c>
      <c r="BI107" s="89">
        <v>135000</v>
      </c>
      <c r="BJ107" s="69">
        <f>DATA_ACC[[#This Row],[HARGA AWAL]]</f>
        <v>135000</v>
      </c>
      <c r="BK107" s="69">
        <f>DATA_ACC[[#This Row],[HARI 1]]</f>
        <v>135000</v>
      </c>
      <c r="BL107" s="69">
        <f>DATA_ACC[[#This Row],[HARI 2]]</f>
        <v>135000</v>
      </c>
      <c r="BM107" s="69">
        <f>DATA_ACC[[#This Row],[HARI 3]]</f>
        <v>135000</v>
      </c>
      <c r="BN107" s="69">
        <f>DATA_ACC[[#This Row],[HARI 4]]</f>
        <v>135000</v>
      </c>
      <c r="BO107" s="69">
        <f>DATA_ACC[[#This Row],[HARI 5]]</f>
        <v>135000</v>
      </c>
      <c r="BP107" s="69">
        <f>DATA_ACC[[#This Row],[HARI 6]]</f>
        <v>135000</v>
      </c>
      <c r="BQ107" s="69">
        <f>DATA_ACC[[#This Row],[HARI 7]]</f>
        <v>135000</v>
      </c>
      <c r="BR107" s="69">
        <f>DATA_ACC[[#This Row],[HARI 8]]</f>
        <v>135000</v>
      </c>
      <c r="BS107" s="69">
        <f>DATA_ACC[[#This Row],[HARI 9]]</f>
        <v>135000</v>
      </c>
      <c r="BT107" s="82">
        <f>DATA_ACC[[#This Row],[HARI 10]]</f>
        <v>135000</v>
      </c>
    </row>
    <row r="108" ht="18" spans="60:72">
      <c r="BH108" s="88" t="s">
        <v>518</v>
      </c>
      <c r="BI108" s="87">
        <v>165000</v>
      </c>
      <c r="BJ108" s="13">
        <f>DATA_ACC[[#This Row],[HARGA AWAL]]</f>
        <v>165000</v>
      </c>
      <c r="BK108" s="13">
        <f>DATA_ACC[[#This Row],[HARI 1]]</f>
        <v>165000</v>
      </c>
      <c r="BL108" s="13">
        <f>DATA_ACC[[#This Row],[HARI 2]]</f>
        <v>165000</v>
      </c>
      <c r="BM108" s="13">
        <f>DATA_ACC[[#This Row],[HARI 3]]</f>
        <v>165000</v>
      </c>
      <c r="BN108" s="13">
        <f>DATA_ACC[[#This Row],[HARI 4]]</f>
        <v>165000</v>
      </c>
      <c r="BO108" s="13">
        <f>DATA_ACC[[#This Row],[HARI 5]]</f>
        <v>165000</v>
      </c>
      <c r="BP108" s="13">
        <f>DATA_ACC[[#This Row],[HARI 6]]</f>
        <v>165000</v>
      </c>
      <c r="BQ108" s="13">
        <f>DATA_ACC[[#This Row],[HARI 7]]</f>
        <v>165000</v>
      </c>
      <c r="BR108" s="13">
        <f>DATA_ACC[[#This Row],[HARI 8]]</f>
        <v>165000</v>
      </c>
      <c r="BS108" s="13">
        <f>DATA_ACC[[#This Row],[HARI 9]]</f>
        <v>165000</v>
      </c>
      <c r="BT108" s="81">
        <f>DATA_ACC[[#This Row],[HARI 10]]</f>
        <v>165000</v>
      </c>
    </row>
    <row r="109" ht="18" spans="60:72">
      <c r="BH109" s="86" t="s">
        <v>519</v>
      </c>
      <c r="BI109" s="89">
        <v>10000</v>
      </c>
      <c r="BJ109" s="69">
        <f>DATA_ACC[[#This Row],[HARGA AWAL]]</f>
        <v>10000</v>
      </c>
      <c r="BK109" s="69">
        <f>DATA_ACC[[#This Row],[HARI 1]]</f>
        <v>10000</v>
      </c>
      <c r="BL109" s="69">
        <f>DATA_ACC[[#This Row],[HARI 2]]</f>
        <v>10000</v>
      </c>
      <c r="BM109" s="69">
        <f>DATA_ACC[[#This Row],[HARI 3]]</f>
        <v>10000</v>
      </c>
      <c r="BN109" s="69">
        <f>DATA_ACC[[#This Row],[HARI 4]]</f>
        <v>10000</v>
      </c>
      <c r="BO109" s="69">
        <f>DATA_ACC[[#This Row],[HARI 5]]</f>
        <v>10000</v>
      </c>
      <c r="BP109" s="69">
        <f>DATA_ACC[[#This Row],[HARI 6]]</f>
        <v>10000</v>
      </c>
      <c r="BQ109" s="69">
        <f>DATA_ACC[[#This Row],[HARI 7]]</f>
        <v>10000</v>
      </c>
      <c r="BR109" s="69">
        <f>DATA_ACC[[#This Row],[HARI 8]]</f>
        <v>10000</v>
      </c>
      <c r="BS109" s="69">
        <f>DATA_ACC[[#This Row],[HARI 9]]</f>
        <v>10000</v>
      </c>
      <c r="BT109" s="82">
        <f>DATA_ACC[[#This Row],[HARI 10]]</f>
        <v>10000</v>
      </c>
    </row>
    <row r="110" ht="18" spans="60:72">
      <c r="BH110" s="88" t="s">
        <v>520</v>
      </c>
      <c r="BI110" s="87">
        <v>25000</v>
      </c>
      <c r="BJ110" s="13">
        <f>DATA_ACC[[#This Row],[HARGA AWAL]]</f>
        <v>25000</v>
      </c>
      <c r="BK110" s="13">
        <f>DATA_ACC[[#This Row],[HARI 1]]</f>
        <v>25000</v>
      </c>
      <c r="BL110" s="13">
        <f>DATA_ACC[[#This Row],[HARI 2]]</f>
        <v>25000</v>
      </c>
      <c r="BM110" s="13">
        <f>DATA_ACC[[#This Row],[HARI 3]]</f>
        <v>25000</v>
      </c>
      <c r="BN110" s="13">
        <f>DATA_ACC[[#This Row],[HARI 4]]</f>
        <v>25000</v>
      </c>
      <c r="BO110" s="13">
        <f>DATA_ACC[[#This Row],[HARI 5]]</f>
        <v>25000</v>
      </c>
      <c r="BP110" s="13">
        <f>DATA_ACC[[#This Row],[HARI 6]]</f>
        <v>25000</v>
      </c>
      <c r="BQ110" s="13">
        <f>DATA_ACC[[#This Row],[HARI 7]]</f>
        <v>25000</v>
      </c>
      <c r="BR110" s="13">
        <f>DATA_ACC[[#This Row],[HARI 8]]</f>
        <v>25000</v>
      </c>
      <c r="BS110" s="13">
        <f>DATA_ACC[[#This Row],[HARI 9]]</f>
        <v>25000</v>
      </c>
      <c r="BT110" s="81">
        <f>DATA_ACC[[#This Row],[HARI 10]]</f>
        <v>25000</v>
      </c>
    </row>
    <row r="111" ht="18" spans="60:72">
      <c r="BH111" s="86" t="s">
        <v>521</v>
      </c>
      <c r="BI111" s="89">
        <v>40000</v>
      </c>
      <c r="BJ111" s="69">
        <f>DATA_ACC[[#This Row],[HARGA AWAL]]</f>
        <v>40000</v>
      </c>
      <c r="BK111" s="69">
        <f>DATA_ACC[[#This Row],[HARI 1]]</f>
        <v>40000</v>
      </c>
      <c r="BL111" s="69">
        <f>DATA_ACC[[#This Row],[HARI 2]]</f>
        <v>40000</v>
      </c>
      <c r="BM111" s="69">
        <f>DATA_ACC[[#This Row],[HARI 3]]</f>
        <v>40000</v>
      </c>
      <c r="BN111" s="69">
        <f>DATA_ACC[[#This Row],[HARI 4]]</f>
        <v>40000</v>
      </c>
      <c r="BO111" s="69">
        <f>DATA_ACC[[#This Row],[HARI 5]]</f>
        <v>40000</v>
      </c>
      <c r="BP111" s="69">
        <f>DATA_ACC[[#This Row],[HARI 6]]</f>
        <v>40000</v>
      </c>
      <c r="BQ111" s="69">
        <f>DATA_ACC[[#This Row],[HARI 7]]</f>
        <v>40000</v>
      </c>
      <c r="BR111" s="69">
        <f>DATA_ACC[[#This Row],[HARI 8]]</f>
        <v>40000</v>
      </c>
      <c r="BS111" s="69">
        <f>DATA_ACC[[#This Row],[HARI 9]]</f>
        <v>40000</v>
      </c>
      <c r="BT111" s="82">
        <f>DATA_ACC[[#This Row],[HARI 10]]</f>
        <v>40000</v>
      </c>
    </row>
    <row r="112" ht="18" spans="60:72">
      <c r="BH112" s="88" t="s">
        <v>522</v>
      </c>
      <c r="BI112" s="87">
        <v>50000</v>
      </c>
      <c r="BJ112" s="13">
        <f>DATA_ACC[[#This Row],[HARGA AWAL]]</f>
        <v>50000</v>
      </c>
      <c r="BK112" s="13">
        <f>DATA_ACC[[#This Row],[HARI 1]]</f>
        <v>50000</v>
      </c>
      <c r="BL112" s="13">
        <f>DATA_ACC[[#This Row],[HARI 2]]</f>
        <v>50000</v>
      </c>
      <c r="BM112" s="13">
        <f>DATA_ACC[[#This Row],[HARI 3]]</f>
        <v>50000</v>
      </c>
      <c r="BN112" s="13">
        <f>DATA_ACC[[#This Row],[HARI 4]]</f>
        <v>50000</v>
      </c>
      <c r="BO112" s="13">
        <f>DATA_ACC[[#This Row],[HARI 5]]</f>
        <v>50000</v>
      </c>
      <c r="BP112" s="13">
        <f>DATA_ACC[[#This Row],[HARI 6]]</f>
        <v>50000</v>
      </c>
      <c r="BQ112" s="13">
        <f>DATA_ACC[[#This Row],[HARI 7]]</f>
        <v>50000</v>
      </c>
      <c r="BR112" s="13">
        <f>DATA_ACC[[#This Row],[HARI 8]]</f>
        <v>50000</v>
      </c>
      <c r="BS112" s="13">
        <f>DATA_ACC[[#This Row],[HARI 9]]</f>
        <v>50000</v>
      </c>
      <c r="BT112" s="81">
        <f>DATA_ACC[[#This Row],[HARI 10]]</f>
        <v>50000</v>
      </c>
    </row>
    <row r="113" ht="18" spans="60:72">
      <c r="BH113" s="86" t="s">
        <v>523</v>
      </c>
      <c r="BI113" s="89">
        <v>35000</v>
      </c>
      <c r="BJ113" s="69">
        <f>DATA_ACC[[#This Row],[HARGA AWAL]]</f>
        <v>35000</v>
      </c>
      <c r="BK113" s="69">
        <f>DATA_ACC[[#This Row],[HARI 1]]</f>
        <v>35000</v>
      </c>
      <c r="BL113" s="69">
        <f>DATA_ACC[[#This Row],[HARI 2]]</f>
        <v>35000</v>
      </c>
      <c r="BM113" s="69">
        <f>DATA_ACC[[#This Row],[HARI 3]]</f>
        <v>35000</v>
      </c>
      <c r="BN113" s="69">
        <f>DATA_ACC[[#This Row],[HARI 4]]</f>
        <v>35000</v>
      </c>
      <c r="BO113" s="69">
        <f>DATA_ACC[[#This Row],[HARI 5]]</f>
        <v>35000</v>
      </c>
      <c r="BP113" s="69">
        <f>DATA_ACC[[#This Row],[HARI 6]]</f>
        <v>35000</v>
      </c>
      <c r="BQ113" s="69">
        <f>DATA_ACC[[#This Row],[HARI 7]]</f>
        <v>35000</v>
      </c>
      <c r="BR113" s="69">
        <f>DATA_ACC[[#This Row],[HARI 8]]</f>
        <v>35000</v>
      </c>
      <c r="BS113" s="69">
        <f>DATA_ACC[[#This Row],[HARI 9]]</f>
        <v>35000</v>
      </c>
      <c r="BT113" s="82">
        <f>DATA_ACC[[#This Row],[HARI 10]]</f>
        <v>35000</v>
      </c>
    </row>
    <row r="114" ht="18" spans="60:72">
      <c r="BH114" s="88" t="s">
        <v>524</v>
      </c>
      <c r="BI114" s="87">
        <v>50000</v>
      </c>
      <c r="BJ114" s="13">
        <f>DATA_ACC[[#This Row],[HARGA AWAL]]</f>
        <v>50000</v>
      </c>
      <c r="BK114" s="13">
        <f>DATA_ACC[[#This Row],[HARI 1]]</f>
        <v>50000</v>
      </c>
      <c r="BL114" s="13">
        <f>DATA_ACC[[#This Row],[HARI 2]]</f>
        <v>50000</v>
      </c>
      <c r="BM114" s="13">
        <f>DATA_ACC[[#This Row],[HARI 3]]</f>
        <v>50000</v>
      </c>
      <c r="BN114" s="13">
        <f>DATA_ACC[[#This Row],[HARI 4]]</f>
        <v>50000</v>
      </c>
      <c r="BO114" s="13">
        <f>DATA_ACC[[#This Row],[HARI 5]]</f>
        <v>50000</v>
      </c>
      <c r="BP114" s="13">
        <f>DATA_ACC[[#This Row],[HARI 6]]</f>
        <v>50000</v>
      </c>
      <c r="BQ114" s="13">
        <f>DATA_ACC[[#This Row],[HARI 7]]</f>
        <v>50000</v>
      </c>
      <c r="BR114" s="13">
        <f>DATA_ACC[[#This Row],[HARI 8]]</f>
        <v>50000</v>
      </c>
      <c r="BS114" s="13">
        <f>DATA_ACC[[#This Row],[HARI 9]]</f>
        <v>50000</v>
      </c>
      <c r="BT114" s="81">
        <f>DATA_ACC[[#This Row],[HARI 10]]</f>
        <v>50000</v>
      </c>
    </row>
    <row r="115" ht="18" spans="60:72">
      <c r="BH115" s="86" t="s">
        <v>525</v>
      </c>
      <c r="BI115" s="89">
        <v>85000</v>
      </c>
      <c r="BJ115" s="69">
        <f>DATA_ACC[[#This Row],[HARGA AWAL]]</f>
        <v>85000</v>
      </c>
      <c r="BK115" s="69">
        <f>DATA_ACC[[#This Row],[HARI 1]]</f>
        <v>85000</v>
      </c>
      <c r="BL115" s="69">
        <f>DATA_ACC[[#This Row],[HARI 2]]</f>
        <v>85000</v>
      </c>
      <c r="BM115" s="69">
        <f>DATA_ACC[[#This Row],[HARI 3]]</f>
        <v>85000</v>
      </c>
      <c r="BN115" s="69">
        <f>DATA_ACC[[#This Row],[HARI 4]]</f>
        <v>85000</v>
      </c>
      <c r="BO115" s="69">
        <f>DATA_ACC[[#This Row],[HARI 5]]</f>
        <v>85000</v>
      </c>
      <c r="BP115" s="69">
        <f>DATA_ACC[[#This Row],[HARI 6]]</f>
        <v>85000</v>
      </c>
      <c r="BQ115" s="69">
        <f>DATA_ACC[[#This Row],[HARI 7]]</f>
        <v>85000</v>
      </c>
      <c r="BR115" s="69">
        <f>DATA_ACC[[#This Row],[HARI 8]]</f>
        <v>85000</v>
      </c>
      <c r="BS115" s="69">
        <f>DATA_ACC[[#This Row],[HARI 9]]</f>
        <v>85000</v>
      </c>
      <c r="BT115" s="82">
        <f>DATA_ACC[[#This Row],[HARI 10]]</f>
        <v>85000</v>
      </c>
    </row>
    <row r="116" ht="18" spans="60:72">
      <c r="BH116" s="88" t="s">
        <v>526</v>
      </c>
      <c r="BI116" s="87">
        <v>60000</v>
      </c>
      <c r="BJ116" s="13">
        <f>DATA_ACC[[#This Row],[HARGA AWAL]]</f>
        <v>60000</v>
      </c>
      <c r="BK116" s="13">
        <f>DATA_ACC[[#This Row],[HARI 1]]</f>
        <v>60000</v>
      </c>
      <c r="BL116" s="13">
        <f>DATA_ACC[[#This Row],[HARI 2]]</f>
        <v>60000</v>
      </c>
      <c r="BM116" s="13">
        <f>DATA_ACC[[#This Row],[HARI 3]]</f>
        <v>60000</v>
      </c>
      <c r="BN116" s="13">
        <f>DATA_ACC[[#This Row],[HARI 4]]</f>
        <v>60000</v>
      </c>
      <c r="BO116" s="13">
        <f>DATA_ACC[[#This Row],[HARI 5]]</f>
        <v>60000</v>
      </c>
      <c r="BP116" s="13">
        <f>DATA_ACC[[#This Row],[HARI 6]]</f>
        <v>60000</v>
      </c>
      <c r="BQ116" s="13">
        <f>DATA_ACC[[#This Row],[HARI 7]]</f>
        <v>60000</v>
      </c>
      <c r="BR116" s="13">
        <f>DATA_ACC[[#This Row],[HARI 8]]</f>
        <v>60000</v>
      </c>
      <c r="BS116" s="13">
        <f>DATA_ACC[[#This Row],[HARI 9]]</f>
        <v>60000</v>
      </c>
      <c r="BT116" s="81">
        <f>DATA_ACC[[#This Row],[HARI 10]]</f>
        <v>60000</v>
      </c>
    </row>
    <row r="117" ht="18" spans="60:72">
      <c r="BH117" s="86" t="s">
        <v>527</v>
      </c>
      <c r="BI117" s="89">
        <v>20000</v>
      </c>
      <c r="BJ117" s="69">
        <f>DATA_ACC[[#This Row],[HARGA AWAL]]</f>
        <v>20000</v>
      </c>
      <c r="BK117" s="69">
        <f>DATA_ACC[[#This Row],[HARI 1]]</f>
        <v>20000</v>
      </c>
      <c r="BL117" s="69">
        <f>DATA_ACC[[#This Row],[HARI 2]]</f>
        <v>20000</v>
      </c>
      <c r="BM117" s="69">
        <f>DATA_ACC[[#This Row],[HARI 3]]</f>
        <v>20000</v>
      </c>
      <c r="BN117" s="69">
        <f>DATA_ACC[[#This Row],[HARI 4]]</f>
        <v>20000</v>
      </c>
      <c r="BO117" s="69">
        <f>DATA_ACC[[#This Row],[HARI 5]]</f>
        <v>20000</v>
      </c>
      <c r="BP117" s="69">
        <f>DATA_ACC[[#This Row],[HARI 6]]</f>
        <v>20000</v>
      </c>
      <c r="BQ117" s="69">
        <f>DATA_ACC[[#This Row],[HARI 7]]</f>
        <v>20000</v>
      </c>
      <c r="BR117" s="69">
        <f>DATA_ACC[[#This Row],[HARI 8]]</f>
        <v>20000</v>
      </c>
      <c r="BS117" s="69">
        <f>DATA_ACC[[#This Row],[HARI 9]]</f>
        <v>20000</v>
      </c>
      <c r="BT117" s="82">
        <f>DATA_ACC[[#This Row],[HARI 10]]</f>
        <v>20000</v>
      </c>
    </row>
    <row r="118" ht="18" spans="60:72">
      <c r="BH118" s="88" t="s">
        <v>528</v>
      </c>
      <c r="BI118" s="87">
        <v>30000</v>
      </c>
      <c r="BJ118" s="13">
        <f>DATA_ACC[[#This Row],[HARGA AWAL]]</f>
        <v>30000</v>
      </c>
      <c r="BK118" s="13">
        <f>DATA_ACC[[#This Row],[HARI 1]]</f>
        <v>30000</v>
      </c>
      <c r="BL118" s="13">
        <f>DATA_ACC[[#This Row],[HARI 2]]</f>
        <v>30000</v>
      </c>
      <c r="BM118" s="13">
        <f>DATA_ACC[[#This Row],[HARI 3]]</f>
        <v>30000</v>
      </c>
      <c r="BN118" s="13">
        <f>DATA_ACC[[#This Row],[HARI 4]]</f>
        <v>30000</v>
      </c>
      <c r="BO118" s="13">
        <f>DATA_ACC[[#This Row],[HARI 5]]</f>
        <v>30000</v>
      </c>
      <c r="BP118" s="13">
        <f>DATA_ACC[[#This Row],[HARI 6]]</f>
        <v>30000</v>
      </c>
      <c r="BQ118" s="13">
        <f>DATA_ACC[[#This Row],[HARI 7]]</f>
        <v>30000</v>
      </c>
      <c r="BR118" s="13">
        <f>DATA_ACC[[#This Row],[HARI 8]]</f>
        <v>30000</v>
      </c>
      <c r="BS118" s="13">
        <f>DATA_ACC[[#This Row],[HARI 9]]</f>
        <v>30000</v>
      </c>
      <c r="BT118" s="81">
        <f>DATA_ACC[[#This Row],[HARI 10]]</f>
        <v>30000</v>
      </c>
    </row>
    <row r="119" ht="18" spans="60:72">
      <c r="BH119" s="86" t="s">
        <v>529</v>
      </c>
      <c r="BI119" s="89">
        <v>40000</v>
      </c>
      <c r="BJ119" s="69">
        <f>DATA_ACC[[#This Row],[HARGA AWAL]]</f>
        <v>40000</v>
      </c>
      <c r="BK119" s="69">
        <f>DATA_ACC[[#This Row],[HARI 1]]</f>
        <v>40000</v>
      </c>
      <c r="BL119" s="69">
        <f>DATA_ACC[[#This Row],[HARI 2]]</f>
        <v>40000</v>
      </c>
      <c r="BM119" s="69">
        <f>DATA_ACC[[#This Row],[HARI 3]]</f>
        <v>40000</v>
      </c>
      <c r="BN119" s="69">
        <f>DATA_ACC[[#This Row],[HARI 4]]</f>
        <v>40000</v>
      </c>
      <c r="BO119" s="69">
        <f>DATA_ACC[[#This Row],[HARI 5]]</f>
        <v>40000</v>
      </c>
      <c r="BP119" s="69">
        <f>DATA_ACC[[#This Row],[HARI 6]]</f>
        <v>40000</v>
      </c>
      <c r="BQ119" s="69">
        <f>DATA_ACC[[#This Row],[HARI 7]]</f>
        <v>40000</v>
      </c>
      <c r="BR119" s="69">
        <f>DATA_ACC[[#This Row],[HARI 8]]</f>
        <v>40000</v>
      </c>
      <c r="BS119" s="69">
        <f>DATA_ACC[[#This Row],[HARI 9]]</f>
        <v>40000</v>
      </c>
      <c r="BT119" s="82">
        <f>DATA_ACC[[#This Row],[HARI 10]]</f>
        <v>40000</v>
      </c>
    </row>
    <row r="120" ht="18" spans="60:72">
      <c r="BH120" s="88" t="s">
        <v>530</v>
      </c>
      <c r="BI120" s="87">
        <v>50000</v>
      </c>
      <c r="BJ120" s="13">
        <f>DATA_ACC[[#This Row],[HARGA AWAL]]</f>
        <v>50000</v>
      </c>
      <c r="BK120" s="13">
        <f>DATA_ACC[[#This Row],[HARI 1]]</f>
        <v>50000</v>
      </c>
      <c r="BL120" s="13">
        <f>DATA_ACC[[#This Row],[HARI 2]]</f>
        <v>50000</v>
      </c>
      <c r="BM120" s="13">
        <f>DATA_ACC[[#This Row],[HARI 3]]</f>
        <v>50000</v>
      </c>
      <c r="BN120" s="13">
        <f>DATA_ACC[[#This Row],[HARI 4]]</f>
        <v>50000</v>
      </c>
      <c r="BO120" s="13">
        <f>DATA_ACC[[#This Row],[HARI 5]]</f>
        <v>50000</v>
      </c>
      <c r="BP120" s="13">
        <f>DATA_ACC[[#This Row],[HARI 6]]</f>
        <v>50000</v>
      </c>
      <c r="BQ120" s="13">
        <f>DATA_ACC[[#This Row],[HARI 7]]</f>
        <v>50000</v>
      </c>
      <c r="BR120" s="13">
        <f>DATA_ACC[[#This Row],[HARI 8]]</f>
        <v>50000</v>
      </c>
      <c r="BS120" s="13">
        <f>DATA_ACC[[#This Row],[HARI 9]]</f>
        <v>50000</v>
      </c>
      <c r="BT120" s="81">
        <f>DATA_ACC[[#This Row],[HARI 10]]</f>
        <v>50000</v>
      </c>
    </row>
    <row r="121" ht="18" spans="60:72">
      <c r="BH121" s="86" t="s">
        <v>531</v>
      </c>
      <c r="BI121" s="89">
        <v>70000</v>
      </c>
      <c r="BJ121" s="69">
        <f>DATA_ACC[[#This Row],[HARGA AWAL]]</f>
        <v>70000</v>
      </c>
      <c r="BK121" s="69">
        <f>DATA_ACC[[#This Row],[HARI 1]]</f>
        <v>70000</v>
      </c>
      <c r="BL121" s="69">
        <f>DATA_ACC[[#This Row],[HARI 2]]</f>
        <v>70000</v>
      </c>
      <c r="BM121" s="69">
        <f>DATA_ACC[[#This Row],[HARI 3]]</f>
        <v>70000</v>
      </c>
      <c r="BN121" s="69">
        <f>DATA_ACC[[#This Row],[HARI 4]]</f>
        <v>70000</v>
      </c>
      <c r="BO121" s="69">
        <f>DATA_ACC[[#This Row],[HARI 5]]</f>
        <v>70000</v>
      </c>
      <c r="BP121" s="69">
        <f>DATA_ACC[[#This Row],[HARI 6]]</f>
        <v>70000</v>
      </c>
      <c r="BQ121" s="69">
        <f>DATA_ACC[[#This Row],[HARI 7]]</f>
        <v>70000</v>
      </c>
      <c r="BR121" s="69">
        <f>DATA_ACC[[#This Row],[HARI 8]]</f>
        <v>70000</v>
      </c>
      <c r="BS121" s="69">
        <f>DATA_ACC[[#This Row],[HARI 9]]</f>
        <v>70000</v>
      </c>
      <c r="BT121" s="82">
        <f>DATA_ACC[[#This Row],[HARI 10]]</f>
        <v>70000</v>
      </c>
    </row>
    <row r="122" ht="18" spans="60:72">
      <c r="BH122" s="88" t="s">
        <v>532</v>
      </c>
      <c r="BI122" s="87">
        <v>85000</v>
      </c>
      <c r="BJ122" s="13">
        <f>DATA_ACC[[#This Row],[HARGA AWAL]]</f>
        <v>85000</v>
      </c>
      <c r="BK122" s="13">
        <f>DATA_ACC[[#This Row],[HARI 1]]</f>
        <v>85000</v>
      </c>
      <c r="BL122" s="13">
        <f>DATA_ACC[[#This Row],[HARI 2]]</f>
        <v>85000</v>
      </c>
      <c r="BM122" s="13">
        <f>DATA_ACC[[#This Row],[HARI 3]]</f>
        <v>85000</v>
      </c>
      <c r="BN122" s="13">
        <f>DATA_ACC[[#This Row],[HARI 4]]</f>
        <v>85000</v>
      </c>
      <c r="BO122" s="13">
        <f>DATA_ACC[[#This Row],[HARI 5]]</f>
        <v>85000</v>
      </c>
      <c r="BP122" s="13">
        <f>DATA_ACC[[#This Row],[HARI 6]]</f>
        <v>85000</v>
      </c>
      <c r="BQ122" s="13">
        <f>DATA_ACC[[#This Row],[HARI 7]]</f>
        <v>85000</v>
      </c>
      <c r="BR122" s="13">
        <f>DATA_ACC[[#This Row],[HARI 8]]</f>
        <v>85000</v>
      </c>
      <c r="BS122" s="13">
        <f>DATA_ACC[[#This Row],[HARI 9]]</f>
        <v>85000</v>
      </c>
      <c r="BT122" s="81">
        <f>DATA_ACC[[#This Row],[HARI 10]]</f>
        <v>85000</v>
      </c>
    </row>
    <row r="123" ht="18" spans="60:72">
      <c r="BH123" s="86" t="s">
        <v>533</v>
      </c>
      <c r="BI123" s="89">
        <v>65000</v>
      </c>
      <c r="BJ123" s="69">
        <f>DATA_ACC[[#This Row],[HARGA AWAL]]</f>
        <v>65000</v>
      </c>
      <c r="BK123" s="69">
        <f>DATA_ACC[[#This Row],[HARI 1]]</f>
        <v>65000</v>
      </c>
      <c r="BL123" s="69">
        <f>DATA_ACC[[#This Row],[HARI 2]]</f>
        <v>65000</v>
      </c>
      <c r="BM123" s="69">
        <f>DATA_ACC[[#This Row],[HARI 3]]</f>
        <v>65000</v>
      </c>
      <c r="BN123" s="69">
        <f>DATA_ACC[[#This Row],[HARI 4]]</f>
        <v>65000</v>
      </c>
      <c r="BO123" s="69">
        <f>DATA_ACC[[#This Row],[HARI 5]]</f>
        <v>65000</v>
      </c>
      <c r="BP123" s="69">
        <f>DATA_ACC[[#This Row],[HARI 6]]</f>
        <v>65000</v>
      </c>
      <c r="BQ123" s="69">
        <f>DATA_ACC[[#This Row],[HARI 7]]</f>
        <v>65000</v>
      </c>
      <c r="BR123" s="69">
        <f>DATA_ACC[[#This Row],[HARI 8]]</f>
        <v>65000</v>
      </c>
      <c r="BS123" s="69">
        <f>DATA_ACC[[#This Row],[HARI 9]]</f>
        <v>65000</v>
      </c>
      <c r="BT123" s="82">
        <f>DATA_ACC[[#This Row],[HARI 10]]</f>
        <v>65000</v>
      </c>
    </row>
    <row r="124" ht="18" spans="60:72">
      <c r="BH124" s="88" t="s">
        <v>534</v>
      </c>
      <c r="BI124" s="97">
        <v>75000</v>
      </c>
      <c r="BJ124" s="13">
        <f>DATA_ACC[[#This Row],[HARGA AWAL]]</f>
        <v>75000</v>
      </c>
      <c r="BK124" s="13">
        <f>DATA_ACC[[#This Row],[HARI 1]]</f>
        <v>75000</v>
      </c>
      <c r="BL124" s="13">
        <f>DATA_ACC[[#This Row],[HARI 2]]</f>
        <v>75000</v>
      </c>
      <c r="BM124" s="13">
        <f>DATA_ACC[[#This Row],[HARI 3]]</f>
        <v>75000</v>
      </c>
      <c r="BN124" s="13">
        <f>DATA_ACC[[#This Row],[HARI 4]]</f>
        <v>75000</v>
      </c>
      <c r="BO124" s="13">
        <f>DATA_ACC[[#This Row],[HARI 5]]</f>
        <v>75000</v>
      </c>
      <c r="BP124" s="13">
        <f>DATA_ACC[[#This Row],[HARI 6]]</f>
        <v>75000</v>
      </c>
      <c r="BQ124" s="13">
        <f>DATA_ACC[[#This Row],[HARI 7]]</f>
        <v>75000</v>
      </c>
      <c r="BR124" s="13">
        <f>DATA_ACC[[#This Row],[HARI 8]]</f>
        <v>75000</v>
      </c>
      <c r="BS124" s="13">
        <f>DATA_ACC[[#This Row],[HARI 9]]</f>
        <v>75000</v>
      </c>
      <c r="BT124" s="81">
        <f>DATA_ACC[[#This Row],[HARI 10]]</f>
        <v>75000</v>
      </c>
    </row>
    <row r="125" ht="18" spans="60:72">
      <c r="BH125" s="91" t="s">
        <v>535</v>
      </c>
      <c r="BI125" s="98">
        <v>85000</v>
      </c>
      <c r="BJ125" s="69">
        <f>DATA_ACC[[#This Row],[HARGA AWAL]]</f>
        <v>85000</v>
      </c>
      <c r="BK125" s="69">
        <f>DATA_ACC[[#This Row],[HARI 1]]</f>
        <v>85000</v>
      </c>
      <c r="BL125" s="69">
        <f>DATA_ACC[[#This Row],[HARI 2]]</f>
        <v>85000</v>
      </c>
      <c r="BM125" s="69">
        <f>DATA_ACC[[#This Row],[HARI 3]]</f>
        <v>85000</v>
      </c>
      <c r="BN125" s="69">
        <f>DATA_ACC[[#This Row],[HARI 4]]</f>
        <v>85000</v>
      </c>
      <c r="BO125" s="69">
        <f>DATA_ACC[[#This Row],[HARI 5]]</f>
        <v>85000</v>
      </c>
      <c r="BP125" s="69">
        <f>DATA_ACC[[#This Row],[HARI 6]]</f>
        <v>85000</v>
      </c>
      <c r="BQ125" s="69">
        <f>DATA_ACC[[#This Row],[HARI 7]]</f>
        <v>85000</v>
      </c>
      <c r="BR125" s="69">
        <f>DATA_ACC[[#This Row],[HARI 8]]</f>
        <v>85000</v>
      </c>
      <c r="BS125" s="69">
        <f>DATA_ACC[[#This Row],[HARI 9]]</f>
        <v>85000</v>
      </c>
      <c r="BT125" s="82">
        <f>DATA_ACC[[#This Row],[HARI 10]]</f>
        <v>85000</v>
      </c>
    </row>
    <row r="126" ht="18" spans="60:72">
      <c r="BH126" s="88" t="s">
        <v>536</v>
      </c>
      <c r="BI126" s="97">
        <v>110000</v>
      </c>
      <c r="BJ126" s="13">
        <f>DATA_ACC[[#This Row],[HARGA AWAL]]</f>
        <v>110000</v>
      </c>
      <c r="BK126" s="13">
        <f>DATA_ACC[[#This Row],[HARI 1]]</f>
        <v>110000</v>
      </c>
      <c r="BL126" s="13">
        <f>DATA_ACC[[#This Row],[HARI 2]]</f>
        <v>110000</v>
      </c>
      <c r="BM126" s="13">
        <f>DATA_ACC[[#This Row],[HARI 3]]</f>
        <v>110000</v>
      </c>
      <c r="BN126" s="13">
        <f>DATA_ACC[[#This Row],[HARI 4]]</f>
        <v>110000</v>
      </c>
      <c r="BO126" s="13">
        <f>DATA_ACC[[#This Row],[HARI 5]]</f>
        <v>110000</v>
      </c>
      <c r="BP126" s="13">
        <f>DATA_ACC[[#This Row],[HARI 6]]</f>
        <v>110000</v>
      </c>
      <c r="BQ126" s="13">
        <f>DATA_ACC[[#This Row],[HARI 7]]</f>
        <v>110000</v>
      </c>
      <c r="BR126" s="13">
        <f>DATA_ACC[[#This Row],[HARI 8]]</f>
        <v>110000</v>
      </c>
      <c r="BS126" s="13">
        <f>DATA_ACC[[#This Row],[HARI 9]]</f>
        <v>110000</v>
      </c>
      <c r="BT126" s="81">
        <f>DATA_ACC[[#This Row],[HARI 10]]</f>
        <v>110000</v>
      </c>
    </row>
    <row r="127" ht="18" spans="60:72">
      <c r="BH127" s="91" t="s">
        <v>537</v>
      </c>
      <c r="BI127" s="98">
        <v>75000</v>
      </c>
      <c r="BJ127" s="69">
        <f>DATA_ACC[[#This Row],[HARGA AWAL]]</f>
        <v>75000</v>
      </c>
      <c r="BK127" s="69">
        <f>DATA_ACC[[#This Row],[HARI 1]]</f>
        <v>75000</v>
      </c>
      <c r="BL127" s="69">
        <f>DATA_ACC[[#This Row],[HARI 2]]</f>
        <v>75000</v>
      </c>
      <c r="BM127" s="69">
        <f>DATA_ACC[[#This Row],[HARI 3]]</f>
        <v>75000</v>
      </c>
      <c r="BN127" s="69">
        <f>DATA_ACC[[#This Row],[HARI 4]]</f>
        <v>75000</v>
      </c>
      <c r="BO127" s="69">
        <f>DATA_ACC[[#This Row],[HARI 5]]</f>
        <v>75000</v>
      </c>
      <c r="BP127" s="69">
        <f>DATA_ACC[[#This Row],[HARI 6]]</f>
        <v>75000</v>
      </c>
      <c r="BQ127" s="69">
        <f>DATA_ACC[[#This Row],[HARI 7]]</f>
        <v>75000</v>
      </c>
      <c r="BR127" s="69">
        <f>DATA_ACC[[#This Row],[HARI 8]]</f>
        <v>75000</v>
      </c>
      <c r="BS127" s="69">
        <f>DATA_ACC[[#This Row],[HARI 9]]</f>
        <v>75000</v>
      </c>
      <c r="BT127" s="82">
        <f>DATA_ACC[[#This Row],[HARI 10]]</f>
        <v>75000</v>
      </c>
    </row>
    <row r="128" ht="18" spans="60:72">
      <c r="BH128" s="88" t="s">
        <v>538</v>
      </c>
      <c r="BI128" s="97">
        <v>175000</v>
      </c>
      <c r="BJ128" s="13">
        <f>DATA_ACC[[#This Row],[HARGA AWAL]]</f>
        <v>175000</v>
      </c>
      <c r="BK128" s="13">
        <f>DATA_ACC[[#This Row],[HARI 1]]</f>
        <v>175000</v>
      </c>
      <c r="BL128" s="13">
        <f>DATA_ACC[[#This Row],[HARI 2]]</f>
        <v>175000</v>
      </c>
      <c r="BM128" s="13">
        <f>DATA_ACC[[#This Row],[HARI 3]]</f>
        <v>175000</v>
      </c>
      <c r="BN128" s="13">
        <f>DATA_ACC[[#This Row],[HARI 4]]</f>
        <v>175000</v>
      </c>
      <c r="BO128" s="13">
        <f>DATA_ACC[[#This Row],[HARI 5]]</f>
        <v>175000</v>
      </c>
      <c r="BP128" s="13">
        <f>DATA_ACC[[#This Row],[HARI 6]]</f>
        <v>175000</v>
      </c>
      <c r="BQ128" s="13">
        <f>DATA_ACC[[#This Row],[HARI 7]]</f>
        <v>175000</v>
      </c>
      <c r="BR128" s="13">
        <f>DATA_ACC[[#This Row],[HARI 8]]</f>
        <v>175000</v>
      </c>
      <c r="BS128" s="13">
        <f>DATA_ACC[[#This Row],[HARI 9]]</f>
        <v>175000</v>
      </c>
      <c r="BT128" s="81">
        <f>DATA_ACC[[#This Row],[HARI 10]]</f>
        <v>175000</v>
      </c>
    </row>
    <row r="129" ht="18" spans="60:72">
      <c r="BH129" s="91" t="s">
        <v>539</v>
      </c>
      <c r="BI129" s="98">
        <v>50000</v>
      </c>
      <c r="BJ129" s="69">
        <f>DATA_ACC[[#This Row],[HARGA AWAL]]</f>
        <v>50000</v>
      </c>
      <c r="BK129" s="69">
        <f>DATA_ACC[[#This Row],[HARI 1]]</f>
        <v>50000</v>
      </c>
      <c r="BL129" s="69">
        <f>DATA_ACC[[#This Row],[HARI 2]]</f>
        <v>50000</v>
      </c>
      <c r="BM129" s="69">
        <f>DATA_ACC[[#This Row],[HARI 3]]</f>
        <v>50000</v>
      </c>
      <c r="BN129" s="69">
        <f>DATA_ACC[[#This Row],[HARI 4]]</f>
        <v>50000</v>
      </c>
      <c r="BO129" s="69">
        <f>DATA_ACC[[#This Row],[HARI 5]]</f>
        <v>50000</v>
      </c>
      <c r="BP129" s="69">
        <f>DATA_ACC[[#This Row],[HARI 6]]</f>
        <v>50000</v>
      </c>
      <c r="BQ129" s="69">
        <f>DATA_ACC[[#This Row],[HARI 7]]</f>
        <v>50000</v>
      </c>
      <c r="BR129" s="69">
        <f>DATA_ACC[[#This Row],[HARI 8]]</f>
        <v>50000</v>
      </c>
      <c r="BS129" s="69">
        <f>DATA_ACC[[#This Row],[HARI 9]]</f>
        <v>50000</v>
      </c>
      <c r="BT129" s="82">
        <f>DATA_ACC[[#This Row],[HARI 10]]</f>
        <v>50000</v>
      </c>
    </row>
    <row r="130" ht="18" spans="60:72">
      <c r="BH130" s="88" t="s">
        <v>540</v>
      </c>
      <c r="BI130" s="97">
        <v>60000</v>
      </c>
      <c r="BJ130" s="13">
        <f>DATA_ACC[[#This Row],[HARGA AWAL]]</f>
        <v>60000</v>
      </c>
      <c r="BK130" s="13">
        <f>DATA_ACC[[#This Row],[HARI 1]]</f>
        <v>60000</v>
      </c>
      <c r="BL130" s="13">
        <f>DATA_ACC[[#This Row],[HARI 2]]</f>
        <v>60000</v>
      </c>
      <c r="BM130" s="13">
        <f>DATA_ACC[[#This Row],[HARI 3]]</f>
        <v>60000</v>
      </c>
      <c r="BN130" s="13">
        <f>DATA_ACC[[#This Row],[HARI 4]]</f>
        <v>60000</v>
      </c>
      <c r="BO130" s="13">
        <f>DATA_ACC[[#This Row],[HARI 5]]</f>
        <v>60000</v>
      </c>
      <c r="BP130" s="13">
        <f>DATA_ACC[[#This Row],[HARI 6]]</f>
        <v>60000</v>
      </c>
      <c r="BQ130" s="13">
        <f>DATA_ACC[[#This Row],[HARI 7]]</f>
        <v>60000</v>
      </c>
      <c r="BR130" s="13">
        <f>DATA_ACC[[#This Row],[HARI 8]]</f>
        <v>60000</v>
      </c>
      <c r="BS130" s="13">
        <f>DATA_ACC[[#This Row],[HARI 9]]</f>
        <v>60000</v>
      </c>
      <c r="BT130" s="81">
        <f>DATA_ACC[[#This Row],[HARI 10]]</f>
        <v>60000</v>
      </c>
    </row>
    <row r="131" ht="18" spans="60:72">
      <c r="BH131" s="91" t="s">
        <v>541</v>
      </c>
      <c r="BI131" s="100">
        <v>70000</v>
      </c>
      <c r="BJ131" s="69">
        <f>DATA_ACC[[#This Row],[HARGA AWAL]]</f>
        <v>70000</v>
      </c>
      <c r="BK131" s="69">
        <f>DATA_ACC[[#This Row],[HARI 1]]</f>
        <v>70000</v>
      </c>
      <c r="BL131" s="69">
        <f>DATA_ACC[[#This Row],[HARI 2]]</f>
        <v>70000</v>
      </c>
      <c r="BM131" s="69">
        <f>DATA_ACC[[#This Row],[HARI 3]]</f>
        <v>70000</v>
      </c>
      <c r="BN131" s="69">
        <f>DATA_ACC[[#This Row],[HARI 4]]</f>
        <v>70000</v>
      </c>
      <c r="BO131" s="69">
        <f>DATA_ACC[[#This Row],[HARI 5]]</f>
        <v>70000</v>
      </c>
      <c r="BP131" s="69">
        <f>DATA_ACC[[#This Row],[HARI 6]]</f>
        <v>70000</v>
      </c>
      <c r="BQ131" s="69">
        <f>DATA_ACC[[#This Row],[HARI 7]]</f>
        <v>70000</v>
      </c>
      <c r="BR131" s="69">
        <f>DATA_ACC[[#This Row],[HARI 8]]</f>
        <v>70000</v>
      </c>
      <c r="BS131" s="69">
        <f>DATA_ACC[[#This Row],[HARI 9]]</f>
        <v>70000</v>
      </c>
      <c r="BT131" s="82">
        <f>DATA_ACC[[#This Row],[HARI 10]]</f>
        <v>70000</v>
      </c>
    </row>
    <row r="132" ht="18" spans="60:72">
      <c r="BH132" s="88" t="s">
        <v>542</v>
      </c>
      <c r="BI132" s="94">
        <v>80000</v>
      </c>
      <c r="BJ132" s="13">
        <f>DATA_ACC[[#This Row],[HARGA AWAL]]</f>
        <v>80000</v>
      </c>
      <c r="BK132" s="13">
        <f>DATA_ACC[[#This Row],[HARI 1]]</f>
        <v>80000</v>
      </c>
      <c r="BL132" s="13">
        <f>DATA_ACC[[#This Row],[HARI 2]]</f>
        <v>80000</v>
      </c>
      <c r="BM132" s="13">
        <f>DATA_ACC[[#This Row],[HARI 3]]</f>
        <v>80000</v>
      </c>
      <c r="BN132" s="13">
        <f>DATA_ACC[[#This Row],[HARI 4]]</f>
        <v>80000</v>
      </c>
      <c r="BO132" s="13">
        <f>DATA_ACC[[#This Row],[HARI 5]]</f>
        <v>80000</v>
      </c>
      <c r="BP132" s="13">
        <f>DATA_ACC[[#This Row],[HARI 6]]</f>
        <v>80000</v>
      </c>
      <c r="BQ132" s="13">
        <f>DATA_ACC[[#This Row],[HARI 7]]</f>
        <v>80000</v>
      </c>
      <c r="BR132" s="13">
        <f>DATA_ACC[[#This Row],[HARI 8]]</f>
        <v>80000</v>
      </c>
      <c r="BS132" s="13">
        <f>DATA_ACC[[#This Row],[HARI 9]]</f>
        <v>80000</v>
      </c>
      <c r="BT132" s="81">
        <f>DATA_ACC[[#This Row],[HARI 10]]</f>
        <v>80000</v>
      </c>
    </row>
    <row r="133" ht="18" spans="60:72">
      <c r="BH133" s="91" t="s">
        <v>543</v>
      </c>
      <c r="BI133" s="100">
        <v>85000</v>
      </c>
      <c r="BJ133" s="69">
        <f>DATA_ACC[[#This Row],[HARGA AWAL]]</f>
        <v>85000</v>
      </c>
      <c r="BK133" s="69">
        <f>DATA_ACC[[#This Row],[HARI 1]]</f>
        <v>85000</v>
      </c>
      <c r="BL133" s="69">
        <f>DATA_ACC[[#This Row],[HARI 2]]</f>
        <v>85000</v>
      </c>
      <c r="BM133" s="69">
        <f>DATA_ACC[[#This Row],[HARI 3]]</f>
        <v>85000</v>
      </c>
      <c r="BN133" s="69">
        <f>DATA_ACC[[#This Row],[HARI 4]]</f>
        <v>85000</v>
      </c>
      <c r="BO133" s="69">
        <f>DATA_ACC[[#This Row],[HARI 5]]</f>
        <v>85000</v>
      </c>
      <c r="BP133" s="69">
        <f>DATA_ACC[[#This Row],[HARI 6]]</f>
        <v>85000</v>
      </c>
      <c r="BQ133" s="69">
        <f>DATA_ACC[[#This Row],[HARI 7]]</f>
        <v>85000</v>
      </c>
      <c r="BR133" s="69">
        <f>DATA_ACC[[#This Row],[HARI 8]]</f>
        <v>85000</v>
      </c>
      <c r="BS133" s="69">
        <f>DATA_ACC[[#This Row],[HARI 9]]</f>
        <v>85000</v>
      </c>
      <c r="BT133" s="82">
        <f>DATA_ACC[[#This Row],[HARI 10]]</f>
        <v>85000</v>
      </c>
    </row>
    <row r="134" ht="18" spans="60:72">
      <c r="BH134" s="88" t="s">
        <v>544</v>
      </c>
      <c r="BI134" s="94">
        <v>100000</v>
      </c>
      <c r="BJ134" s="13">
        <f>DATA_ACC[[#This Row],[HARGA AWAL]]</f>
        <v>100000</v>
      </c>
      <c r="BK134" s="13">
        <f>DATA_ACC[[#This Row],[HARI 1]]</f>
        <v>100000</v>
      </c>
      <c r="BL134" s="13">
        <f>DATA_ACC[[#This Row],[HARI 2]]</f>
        <v>100000</v>
      </c>
      <c r="BM134" s="13">
        <f>DATA_ACC[[#This Row],[HARI 3]]</f>
        <v>100000</v>
      </c>
      <c r="BN134" s="13">
        <f>DATA_ACC[[#This Row],[HARI 4]]</f>
        <v>100000</v>
      </c>
      <c r="BO134" s="13">
        <f>DATA_ACC[[#This Row],[HARI 5]]</f>
        <v>100000</v>
      </c>
      <c r="BP134" s="13">
        <f>DATA_ACC[[#This Row],[HARI 6]]</f>
        <v>100000</v>
      </c>
      <c r="BQ134" s="13">
        <f>DATA_ACC[[#This Row],[HARI 7]]</f>
        <v>100000</v>
      </c>
      <c r="BR134" s="13">
        <f>DATA_ACC[[#This Row],[HARI 8]]</f>
        <v>100000</v>
      </c>
      <c r="BS134" s="13">
        <f>DATA_ACC[[#This Row],[HARI 9]]</f>
        <v>100000</v>
      </c>
      <c r="BT134" s="81">
        <f>DATA_ACC[[#This Row],[HARI 10]]</f>
        <v>100000</v>
      </c>
    </row>
    <row r="135" ht="18" spans="60:72">
      <c r="BH135" s="101" t="s">
        <v>545</v>
      </c>
      <c r="BI135" s="100">
        <v>150000</v>
      </c>
      <c r="BJ135" s="102">
        <f>DATA_ACC[[#This Row],[HARGA AWAL]]</f>
        <v>150000</v>
      </c>
      <c r="BK135" s="102">
        <f>DATA_ACC[[#This Row],[HARI 1]]</f>
        <v>150000</v>
      </c>
      <c r="BL135" s="102">
        <f>DATA_ACC[[#This Row],[HARI 2]]</f>
        <v>150000</v>
      </c>
      <c r="BM135" s="102">
        <f>DATA_ACC[[#This Row],[HARI 3]]</f>
        <v>150000</v>
      </c>
      <c r="BN135" s="102">
        <f>DATA_ACC[[#This Row],[HARI 4]]</f>
        <v>150000</v>
      </c>
      <c r="BO135" s="102">
        <f>DATA_ACC[[#This Row],[HARI 5]]</f>
        <v>150000</v>
      </c>
      <c r="BP135" s="102">
        <f>DATA_ACC[[#This Row],[HARI 6]]</f>
        <v>150000</v>
      </c>
      <c r="BQ135" s="102">
        <f>DATA_ACC[[#This Row],[HARI 7]]</f>
        <v>150000</v>
      </c>
      <c r="BR135" s="102">
        <f>DATA_ACC[[#This Row],[HARI 8]]</f>
        <v>150000</v>
      </c>
      <c r="BS135" s="102">
        <f>DATA_ACC[[#This Row],[HARI 9]]</f>
        <v>150000</v>
      </c>
      <c r="BT135" s="111">
        <f>DATA_ACC[[#This Row],[HARI 10]]</f>
        <v>150000</v>
      </c>
    </row>
    <row r="136" ht="18" spans="60:72">
      <c r="BH136" s="103" t="s">
        <v>546</v>
      </c>
      <c r="BI136" s="94">
        <v>60000</v>
      </c>
      <c r="BJ136" s="104">
        <f>DATA_ACC[[#This Row],[HARGA AWAL]]</f>
        <v>60000</v>
      </c>
      <c r="BK136" s="104">
        <f>DATA_ACC[[#This Row],[HARI 1]]</f>
        <v>60000</v>
      </c>
      <c r="BL136" s="104">
        <f>DATA_ACC[[#This Row],[HARI 2]]</f>
        <v>60000</v>
      </c>
      <c r="BM136" s="104">
        <f>DATA_ACC[[#This Row],[HARI 3]]</f>
        <v>60000</v>
      </c>
      <c r="BN136" s="104">
        <f>DATA_ACC[[#This Row],[HARI 4]]</f>
        <v>60000</v>
      </c>
      <c r="BO136" s="104">
        <f>DATA_ACC[[#This Row],[HARI 5]]</f>
        <v>60000</v>
      </c>
      <c r="BP136" s="104">
        <f>DATA_ACC[[#This Row],[HARI 6]]</f>
        <v>60000</v>
      </c>
      <c r="BQ136" s="104">
        <f>DATA_ACC[[#This Row],[HARI 7]]</f>
        <v>60000</v>
      </c>
      <c r="BR136" s="104">
        <f>DATA_ACC[[#This Row],[HARI 8]]</f>
        <v>60000</v>
      </c>
      <c r="BS136" s="104">
        <f>DATA_ACC[[#This Row],[HARI 9]]</f>
        <v>60000</v>
      </c>
      <c r="BT136" s="112">
        <f>DATA_ACC[[#This Row],[HARI 10]]</f>
        <v>60000</v>
      </c>
    </row>
    <row r="137" ht="18" spans="60:72">
      <c r="BH137" s="105" t="s">
        <v>547</v>
      </c>
      <c r="BI137" s="100">
        <v>70000</v>
      </c>
      <c r="BJ137" s="102">
        <f>DATA_ACC[[#This Row],[HARGA AWAL]]</f>
        <v>70000</v>
      </c>
      <c r="BK137" s="102">
        <f>DATA_ACC[[#This Row],[HARI 1]]</f>
        <v>70000</v>
      </c>
      <c r="BL137" s="102">
        <f>DATA_ACC[[#This Row],[HARI 2]]</f>
        <v>70000</v>
      </c>
      <c r="BM137" s="102">
        <f>DATA_ACC[[#This Row],[HARI 3]]</f>
        <v>70000</v>
      </c>
      <c r="BN137" s="102">
        <f>DATA_ACC[[#This Row],[HARI 4]]</f>
        <v>70000</v>
      </c>
      <c r="BO137" s="102">
        <f>DATA_ACC[[#This Row],[HARI 5]]</f>
        <v>70000</v>
      </c>
      <c r="BP137" s="102">
        <f>DATA_ACC[[#This Row],[HARI 6]]</f>
        <v>70000</v>
      </c>
      <c r="BQ137" s="102">
        <f>DATA_ACC[[#This Row],[HARI 7]]</f>
        <v>70000</v>
      </c>
      <c r="BR137" s="102">
        <f>DATA_ACC[[#This Row],[HARI 8]]</f>
        <v>70000</v>
      </c>
      <c r="BS137" s="102">
        <f>DATA_ACC[[#This Row],[HARI 9]]</f>
        <v>70000</v>
      </c>
      <c r="BT137" s="111">
        <f>DATA_ACC[[#This Row],[HARI 10]]</f>
        <v>70000</v>
      </c>
    </row>
    <row r="138" ht="18" spans="60:72">
      <c r="BH138" s="106" t="s">
        <v>548</v>
      </c>
      <c r="BI138" s="94">
        <v>95000</v>
      </c>
      <c r="BJ138" s="104">
        <f>DATA_ACC[[#This Row],[HARGA AWAL]]</f>
        <v>95000</v>
      </c>
      <c r="BK138" s="104">
        <f>DATA_ACC[[#This Row],[HARI 1]]</f>
        <v>95000</v>
      </c>
      <c r="BL138" s="104">
        <f>DATA_ACC[[#This Row],[HARI 2]]</f>
        <v>95000</v>
      </c>
      <c r="BM138" s="104">
        <f>DATA_ACC[[#This Row],[HARI 3]]</f>
        <v>95000</v>
      </c>
      <c r="BN138" s="104">
        <f>DATA_ACC[[#This Row],[HARI 4]]</f>
        <v>95000</v>
      </c>
      <c r="BO138" s="104">
        <f>DATA_ACC[[#This Row],[HARI 5]]</f>
        <v>95000</v>
      </c>
      <c r="BP138" s="104">
        <f>DATA_ACC[[#This Row],[HARI 6]]</f>
        <v>95000</v>
      </c>
      <c r="BQ138" s="104">
        <f>DATA_ACC[[#This Row],[HARI 7]]</f>
        <v>95000</v>
      </c>
      <c r="BR138" s="104">
        <f>DATA_ACC[[#This Row],[HARI 8]]</f>
        <v>95000</v>
      </c>
      <c r="BS138" s="104">
        <f>DATA_ACC[[#This Row],[HARI 9]]</f>
        <v>95000</v>
      </c>
      <c r="BT138" s="112">
        <f>DATA_ACC[[#This Row],[HARI 10]]</f>
        <v>95000</v>
      </c>
    </row>
    <row r="139" ht="18" spans="60:72">
      <c r="BH139" s="105" t="s">
        <v>549</v>
      </c>
      <c r="BI139" s="100">
        <v>115000</v>
      </c>
      <c r="BJ139" s="102">
        <f>DATA_ACC[[#This Row],[HARGA AWAL]]</f>
        <v>115000</v>
      </c>
      <c r="BK139" s="102">
        <f>DATA_ACC[[#This Row],[HARI 1]]</f>
        <v>115000</v>
      </c>
      <c r="BL139" s="102">
        <f>DATA_ACC[[#This Row],[HARI 2]]</f>
        <v>115000</v>
      </c>
      <c r="BM139" s="102">
        <f>DATA_ACC[[#This Row],[HARI 3]]</f>
        <v>115000</v>
      </c>
      <c r="BN139" s="102">
        <f>DATA_ACC[[#This Row],[HARI 4]]</f>
        <v>115000</v>
      </c>
      <c r="BO139" s="102">
        <f>DATA_ACC[[#This Row],[HARI 5]]</f>
        <v>115000</v>
      </c>
      <c r="BP139" s="102">
        <f>DATA_ACC[[#This Row],[HARI 6]]</f>
        <v>115000</v>
      </c>
      <c r="BQ139" s="102">
        <f>DATA_ACC[[#This Row],[HARI 7]]</f>
        <v>115000</v>
      </c>
      <c r="BR139" s="102">
        <f>DATA_ACC[[#This Row],[HARI 8]]</f>
        <v>115000</v>
      </c>
      <c r="BS139" s="102">
        <f>DATA_ACC[[#This Row],[HARI 9]]</f>
        <v>115000</v>
      </c>
      <c r="BT139" s="111">
        <f>DATA_ACC[[#This Row],[HARI 10]]</f>
        <v>115000</v>
      </c>
    </row>
    <row r="140" ht="18" spans="60:72">
      <c r="BH140" s="106" t="s">
        <v>550</v>
      </c>
      <c r="BI140" s="94">
        <v>150000</v>
      </c>
      <c r="BJ140" s="104">
        <f>DATA_ACC[[#This Row],[HARGA AWAL]]</f>
        <v>150000</v>
      </c>
      <c r="BK140" s="104">
        <f>DATA_ACC[[#This Row],[HARI 1]]</f>
        <v>150000</v>
      </c>
      <c r="BL140" s="104">
        <f>DATA_ACC[[#This Row],[HARI 2]]</f>
        <v>150000</v>
      </c>
      <c r="BM140" s="104">
        <f>DATA_ACC[[#This Row],[HARI 3]]</f>
        <v>150000</v>
      </c>
      <c r="BN140" s="104">
        <f>DATA_ACC[[#This Row],[HARI 4]]</f>
        <v>150000</v>
      </c>
      <c r="BO140" s="104">
        <f>DATA_ACC[[#This Row],[HARI 5]]</f>
        <v>150000</v>
      </c>
      <c r="BP140" s="104">
        <f>DATA_ACC[[#This Row],[HARI 6]]</f>
        <v>150000</v>
      </c>
      <c r="BQ140" s="104">
        <f>DATA_ACC[[#This Row],[HARI 7]]</f>
        <v>150000</v>
      </c>
      <c r="BR140" s="104">
        <f>DATA_ACC[[#This Row],[HARI 8]]</f>
        <v>150000</v>
      </c>
      <c r="BS140" s="104">
        <f>DATA_ACC[[#This Row],[HARI 9]]</f>
        <v>150000</v>
      </c>
      <c r="BT140" s="112">
        <f>DATA_ACC[[#This Row],[HARI 10]]</f>
        <v>150000</v>
      </c>
    </row>
    <row r="141" ht="18" spans="60:72">
      <c r="BH141" s="105" t="s">
        <v>551</v>
      </c>
      <c r="BI141" s="100">
        <v>45000</v>
      </c>
      <c r="BJ141" s="102">
        <f>DATA_ACC[[#This Row],[HARGA AWAL]]</f>
        <v>45000</v>
      </c>
      <c r="BK141" s="102">
        <f>DATA_ACC[[#This Row],[HARI 1]]</f>
        <v>45000</v>
      </c>
      <c r="BL141" s="102">
        <f>DATA_ACC[[#This Row],[HARI 2]]</f>
        <v>45000</v>
      </c>
      <c r="BM141" s="102">
        <f>DATA_ACC[[#This Row],[HARI 3]]</f>
        <v>45000</v>
      </c>
      <c r="BN141" s="102">
        <f>DATA_ACC[[#This Row],[HARI 4]]</f>
        <v>45000</v>
      </c>
      <c r="BO141" s="102">
        <f>DATA_ACC[[#This Row],[HARI 5]]</f>
        <v>45000</v>
      </c>
      <c r="BP141" s="102">
        <f>DATA_ACC[[#This Row],[HARI 6]]</f>
        <v>45000</v>
      </c>
      <c r="BQ141" s="102">
        <f>DATA_ACC[[#This Row],[HARI 7]]</f>
        <v>45000</v>
      </c>
      <c r="BR141" s="102">
        <f>DATA_ACC[[#This Row],[HARI 8]]</f>
        <v>45000</v>
      </c>
      <c r="BS141" s="102">
        <f>DATA_ACC[[#This Row],[HARI 9]]</f>
        <v>45000</v>
      </c>
      <c r="BT141" s="111">
        <f>DATA_ACC[[#This Row],[HARI 10]]</f>
        <v>45000</v>
      </c>
    </row>
    <row r="142" ht="18" spans="60:72">
      <c r="BH142" s="106" t="s">
        <v>552</v>
      </c>
      <c r="BI142" s="94">
        <v>55000</v>
      </c>
      <c r="BJ142" s="104">
        <f>DATA_ACC[[#This Row],[HARGA AWAL]]</f>
        <v>55000</v>
      </c>
      <c r="BK142" s="104">
        <f>DATA_ACC[[#This Row],[HARI 1]]</f>
        <v>55000</v>
      </c>
      <c r="BL142" s="104">
        <f>DATA_ACC[[#This Row],[HARI 2]]</f>
        <v>55000</v>
      </c>
      <c r="BM142" s="104">
        <f>DATA_ACC[[#This Row],[HARI 3]]</f>
        <v>55000</v>
      </c>
      <c r="BN142" s="104">
        <f>DATA_ACC[[#This Row],[HARI 4]]</f>
        <v>55000</v>
      </c>
      <c r="BO142" s="104">
        <f>DATA_ACC[[#This Row],[HARI 5]]</f>
        <v>55000</v>
      </c>
      <c r="BP142" s="104">
        <f>DATA_ACC[[#This Row],[HARI 6]]</f>
        <v>55000</v>
      </c>
      <c r="BQ142" s="104">
        <f>DATA_ACC[[#This Row],[HARI 7]]</f>
        <v>55000</v>
      </c>
      <c r="BR142" s="104">
        <f>DATA_ACC[[#This Row],[HARI 8]]</f>
        <v>55000</v>
      </c>
      <c r="BS142" s="104">
        <f>DATA_ACC[[#This Row],[HARI 9]]</f>
        <v>55000</v>
      </c>
      <c r="BT142" s="112">
        <f>DATA_ACC[[#This Row],[HARI 10]]</f>
        <v>55000</v>
      </c>
    </row>
    <row r="143" ht="18" spans="60:72">
      <c r="BH143" s="107" t="s">
        <v>553</v>
      </c>
      <c r="BI143" s="100">
        <v>60000</v>
      </c>
      <c r="BJ143" s="102">
        <f>DATA_ACC[[#This Row],[HARGA AWAL]]</f>
        <v>60000</v>
      </c>
      <c r="BK143" s="102">
        <f>DATA_ACC[[#This Row],[HARI 1]]</f>
        <v>60000</v>
      </c>
      <c r="BL143" s="102">
        <f>DATA_ACC[[#This Row],[HARI 2]]</f>
        <v>60000</v>
      </c>
      <c r="BM143" s="102">
        <f>DATA_ACC[[#This Row],[HARI 3]]</f>
        <v>60000</v>
      </c>
      <c r="BN143" s="102">
        <f>DATA_ACC[[#This Row],[HARI 4]]</f>
        <v>60000</v>
      </c>
      <c r="BO143" s="102">
        <f>DATA_ACC[[#This Row],[HARI 5]]</f>
        <v>60000</v>
      </c>
      <c r="BP143" s="102">
        <f>DATA_ACC[[#This Row],[HARI 6]]</f>
        <v>60000</v>
      </c>
      <c r="BQ143" s="102">
        <f>DATA_ACC[[#This Row],[HARI 7]]</f>
        <v>60000</v>
      </c>
      <c r="BR143" s="102">
        <f>DATA_ACC[[#This Row],[HARI 8]]</f>
        <v>60000</v>
      </c>
      <c r="BS143" s="102">
        <f>DATA_ACC[[#This Row],[HARI 9]]</f>
        <v>60000</v>
      </c>
      <c r="BT143" s="111">
        <f>DATA_ACC[[#This Row],[HARI 10]]</f>
        <v>60000</v>
      </c>
    </row>
    <row r="144" ht="18" spans="60:72">
      <c r="BH144" s="106" t="s">
        <v>554</v>
      </c>
      <c r="BI144" s="94">
        <v>65000</v>
      </c>
      <c r="BJ144" s="104">
        <f>DATA_ACC[[#This Row],[HARGA AWAL]]</f>
        <v>65000</v>
      </c>
      <c r="BK144" s="104">
        <f>DATA_ACC[[#This Row],[HARI 1]]</f>
        <v>65000</v>
      </c>
      <c r="BL144" s="104">
        <f>DATA_ACC[[#This Row],[HARI 2]]</f>
        <v>65000</v>
      </c>
      <c r="BM144" s="104">
        <f>DATA_ACC[[#This Row],[HARI 3]]</f>
        <v>65000</v>
      </c>
      <c r="BN144" s="104">
        <f>DATA_ACC[[#This Row],[HARI 4]]</f>
        <v>65000</v>
      </c>
      <c r="BO144" s="104">
        <f>DATA_ACC[[#This Row],[HARI 5]]</f>
        <v>65000</v>
      </c>
      <c r="BP144" s="104">
        <f>DATA_ACC[[#This Row],[HARI 6]]</f>
        <v>65000</v>
      </c>
      <c r="BQ144" s="104">
        <f>DATA_ACC[[#This Row],[HARI 7]]</f>
        <v>65000</v>
      </c>
      <c r="BR144" s="104">
        <f>DATA_ACC[[#This Row],[HARI 8]]</f>
        <v>65000</v>
      </c>
      <c r="BS144" s="104">
        <f>DATA_ACC[[#This Row],[HARI 9]]</f>
        <v>65000</v>
      </c>
      <c r="BT144" s="112">
        <f>DATA_ACC[[#This Row],[HARI 10]]</f>
        <v>65000</v>
      </c>
    </row>
    <row r="145" ht="18" spans="60:72">
      <c r="BH145" s="105" t="s">
        <v>555</v>
      </c>
      <c r="BI145" s="100">
        <v>75000</v>
      </c>
      <c r="BJ145" s="102">
        <f>DATA_ACC[[#This Row],[HARGA AWAL]]</f>
        <v>75000</v>
      </c>
      <c r="BK145" s="102">
        <f>DATA_ACC[[#This Row],[HARI 1]]</f>
        <v>75000</v>
      </c>
      <c r="BL145" s="102">
        <f>DATA_ACC[[#This Row],[HARI 2]]</f>
        <v>75000</v>
      </c>
      <c r="BM145" s="102">
        <f>DATA_ACC[[#This Row],[HARI 3]]</f>
        <v>75000</v>
      </c>
      <c r="BN145" s="102">
        <f>DATA_ACC[[#This Row],[HARI 4]]</f>
        <v>75000</v>
      </c>
      <c r="BO145" s="102">
        <f>DATA_ACC[[#This Row],[HARI 5]]</f>
        <v>75000</v>
      </c>
      <c r="BP145" s="102">
        <f>DATA_ACC[[#This Row],[HARI 6]]</f>
        <v>75000</v>
      </c>
      <c r="BQ145" s="102">
        <f>DATA_ACC[[#This Row],[HARI 7]]</f>
        <v>75000</v>
      </c>
      <c r="BR145" s="102">
        <f>DATA_ACC[[#This Row],[HARI 8]]</f>
        <v>75000</v>
      </c>
      <c r="BS145" s="102">
        <f>DATA_ACC[[#This Row],[HARI 9]]</f>
        <v>75000</v>
      </c>
      <c r="BT145" s="111">
        <f>DATA_ACC[[#This Row],[HARI 10]]</f>
        <v>75000</v>
      </c>
    </row>
    <row r="146" ht="18" spans="60:72">
      <c r="BH146" s="106" t="s">
        <v>556</v>
      </c>
      <c r="BI146" s="94">
        <v>80000</v>
      </c>
      <c r="BJ146" s="104">
        <f>DATA_ACC[[#This Row],[HARGA AWAL]]</f>
        <v>80000</v>
      </c>
      <c r="BK146" s="104">
        <f>DATA_ACC[[#This Row],[HARI 1]]</f>
        <v>80000</v>
      </c>
      <c r="BL146" s="104">
        <f>DATA_ACC[[#This Row],[HARI 2]]</f>
        <v>80000</v>
      </c>
      <c r="BM146" s="104">
        <f>DATA_ACC[[#This Row],[HARI 3]]</f>
        <v>80000</v>
      </c>
      <c r="BN146" s="104">
        <f>DATA_ACC[[#This Row],[HARI 4]]</f>
        <v>80000</v>
      </c>
      <c r="BO146" s="104">
        <f>DATA_ACC[[#This Row],[HARI 5]]</f>
        <v>80000</v>
      </c>
      <c r="BP146" s="104">
        <f>DATA_ACC[[#This Row],[HARI 6]]</f>
        <v>80000</v>
      </c>
      <c r="BQ146" s="104">
        <f>DATA_ACC[[#This Row],[HARI 7]]</f>
        <v>80000</v>
      </c>
      <c r="BR146" s="104">
        <f>DATA_ACC[[#This Row],[HARI 8]]</f>
        <v>80000</v>
      </c>
      <c r="BS146" s="104">
        <f>DATA_ACC[[#This Row],[HARI 9]]</f>
        <v>80000</v>
      </c>
      <c r="BT146" s="112">
        <f>DATA_ACC[[#This Row],[HARI 10]]</f>
        <v>80000</v>
      </c>
    </row>
    <row r="147" ht="18" spans="60:72">
      <c r="BH147" s="105" t="s">
        <v>557</v>
      </c>
      <c r="BI147" s="100">
        <v>95000</v>
      </c>
      <c r="BJ147" s="102">
        <f>DATA_ACC[[#This Row],[HARGA AWAL]]</f>
        <v>95000</v>
      </c>
      <c r="BK147" s="102">
        <f>DATA_ACC[[#This Row],[HARI 1]]</f>
        <v>95000</v>
      </c>
      <c r="BL147" s="102">
        <f>DATA_ACC[[#This Row],[HARI 2]]</f>
        <v>95000</v>
      </c>
      <c r="BM147" s="102">
        <f>DATA_ACC[[#This Row],[HARI 3]]</f>
        <v>95000</v>
      </c>
      <c r="BN147" s="102">
        <f>DATA_ACC[[#This Row],[HARI 4]]</f>
        <v>95000</v>
      </c>
      <c r="BO147" s="102">
        <f>DATA_ACC[[#This Row],[HARI 5]]</f>
        <v>95000</v>
      </c>
      <c r="BP147" s="102">
        <f>DATA_ACC[[#This Row],[HARI 6]]</f>
        <v>95000</v>
      </c>
      <c r="BQ147" s="102">
        <f>DATA_ACC[[#This Row],[HARI 7]]</f>
        <v>95000</v>
      </c>
      <c r="BR147" s="102">
        <f>DATA_ACC[[#This Row],[HARI 8]]</f>
        <v>95000</v>
      </c>
      <c r="BS147" s="102">
        <f>DATA_ACC[[#This Row],[HARI 9]]</f>
        <v>95000</v>
      </c>
      <c r="BT147" s="111">
        <f>DATA_ACC[[#This Row],[HARI 10]]</f>
        <v>95000</v>
      </c>
    </row>
    <row r="148" ht="18" spans="60:72">
      <c r="BH148" s="106" t="s">
        <v>558</v>
      </c>
      <c r="BI148" s="94">
        <v>100000</v>
      </c>
      <c r="BJ148" s="104">
        <f>DATA_ACC[[#This Row],[HARGA AWAL]]</f>
        <v>100000</v>
      </c>
      <c r="BK148" s="104">
        <f>DATA_ACC[[#This Row],[HARI 1]]</f>
        <v>100000</v>
      </c>
      <c r="BL148" s="104">
        <f>DATA_ACC[[#This Row],[HARI 2]]</f>
        <v>100000</v>
      </c>
      <c r="BM148" s="104">
        <f>DATA_ACC[[#This Row],[HARI 3]]</f>
        <v>100000</v>
      </c>
      <c r="BN148" s="104">
        <f>DATA_ACC[[#This Row],[HARI 4]]</f>
        <v>100000</v>
      </c>
      <c r="BO148" s="104">
        <f>DATA_ACC[[#This Row],[HARI 5]]</f>
        <v>100000</v>
      </c>
      <c r="BP148" s="104">
        <f>DATA_ACC[[#This Row],[HARI 6]]</f>
        <v>100000</v>
      </c>
      <c r="BQ148" s="104">
        <f>DATA_ACC[[#This Row],[HARI 7]]</f>
        <v>100000</v>
      </c>
      <c r="BR148" s="104">
        <f>DATA_ACC[[#This Row],[HARI 8]]</f>
        <v>100000</v>
      </c>
      <c r="BS148" s="104">
        <f>DATA_ACC[[#This Row],[HARI 9]]</f>
        <v>100000</v>
      </c>
      <c r="BT148" s="112">
        <f>DATA_ACC[[#This Row],[HARI 10]]</f>
        <v>100000</v>
      </c>
    </row>
    <row r="149" ht="18" spans="60:72">
      <c r="BH149" s="101" t="s">
        <v>559</v>
      </c>
      <c r="BI149" s="100">
        <v>150000</v>
      </c>
      <c r="BJ149" s="102">
        <f>DATA_ACC[[#This Row],[HARGA AWAL]]</f>
        <v>150000</v>
      </c>
      <c r="BK149" s="102">
        <f>DATA_ACC[[#This Row],[HARI 1]]</f>
        <v>150000</v>
      </c>
      <c r="BL149" s="102">
        <f>DATA_ACC[[#This Row],[HARI 2]]</f>
        <v>150000</v>
      </c>
      <c r="BM149" s="102">
        <f>DATA_ACC[[#This Row],[HARI 3]]</f>
        <v>150000</v>
      </c>
      <c r="BN149" s="102">
        <f>DATA_ACC[[#This Row],[HARI 4]]</f>
        <v>150000</v>
      </c>
      <c r="BO149" s="102">
        <f>DATA_ACC[[#This Row],[HARI 5]]</f>
        <v>150000</v>
      </c>
      <c r="BP149" s="102">
        <f>DATA_ACC[[#This Row],[HARI 6]]</f>
        <v>150000</v>
      </c>
      <c r="BQ149" s="102">
        <f>DATA_ACC[[#This Row],[HARI 7]]</f>
        <v>150000</v>
      </c>
      <c r="BR149" s="102">
        <f>DATA_ACC[[#This Row],[HARI 8]]</f>
        <v>150000</v>
      </c>
      <c r="BS149" s="102">
        <f>DATA_ACC[[#This Row],[HARI 9]]</f>
        <v>150000</v>
      </c>
      <c r="BT149" s="111">
        <f>DATA_ACC[[#This Row],[HARI 10]]</f>
        <v>150000</v>
      </c>
    </row>
    <row r="150" ht="18" spans="60:72">
      <c r="BH150" s="103" t="s">
        <v>560</v>
      </c>
      <c r="BI150" s="94">
        <v>175000</v>
      </c>
      <c r="BJ150" s="104">
        <f>DATA_ACC[[#This Row],[HARGA AWAL]]</f>
        <v>175000</v>
      </c>
      <c r="BK150" s="104">
        <f>DATA_ACC[[#This Row],[HARI 1]]</f>
        <v>175000</v>
      </c>
      <c r="BL150" s="104">
        <f>DATA_ACC[[#This Row],[HARI 2]]</f>
        <v>175000</v>
      </c>
      <c r="BM150" s="104">
        <f>DATA_ACC[[#This Row],[HARI 3]]</f>
        <v>175000</v>
      </c>
      <c r="BN150" s="104">
        <f>DATA_ACC[[#This Row],[HARI 4]]</f>
        <v>175000</v>
      </c>
      <c r="BO150" s="104">
        <f>DATA_ACC[[#This Row],[HARI 5]]</f>
        <v>175000</v>
      </c>
      <c r="BP150" s="104">
        <f>DATA_ACC[[#This Row],[HARI 6]]</f>
        <v>175000</v>
      </c>
      <c r="BQ150" s="104">
        <f>DATA_ACC[[#This Row],[HARI 7]]</f>
        <v>175000</v>
      </c>
      <c r="BR150" s="104">
        <f>DATA_ACC[[#This Row],[HARI 8]]</f>
        <v>175000</v>
      </c>
      <c r="BS150" s="104">
        <f>DATA_ACC[[#This Row],[HARI 9]]</f>
        <v>175000</v>
      </c>
      <c r="BT150" s="112">
        <f>DATA_ACC[[#This Row],[HARI 10]]</f>
        <v>175000</v>
      </c>
    </row>
    <row r="151" ht="18" spans="60:72">
      <c r="BH151" s="101" t="s">
        <v>561</v>
      </c>
      <c r="BI151" s="100">
        <v>85000</v>
      </c>
      <c r="BJ151" s="102">
        <f>DATA_ACC[[#This Row],[HARGA AWAL]]</f>
        <v>85000</v>
      </c>
      <c r="BK151" s="102">
        <f>DATA_ACC[[#This Row],[HARI 1]]</f>
        <v>85000</v>
      </c>
      <c r="BL151" s="102">
        <f>DATA_ACC[[#This Row],[HARI 2]]</f>
        <v>85000</v>
      </c>
      <c r="BM151" s="102">
        <f>DATA_ACC[[#This Row],[HARI 3]]</f>
        <v>85000</v>
      </c>
      <c r="BN151" s="102">
        <f>DATA_ACC[[#This Row],[HARI 4]]</f>
        <v>85000</v>
      </c>
      <c r="BO151" s="102">
        <f>DATA_ACC[[#This Row],[HARI 5]]</f>
        <v>85000</v>
      </c>
      <c r="BP151" s="102">
        <f>DATA_ACC[[#This Row],[HARI 6]]</f>
        <v>85000</v>
      </c>
      <c r="BQ151" s="102">
        <f>DATA_ACC[[#This Row],[HARI 7]]</f>
        <v>85000</v>
      </c>
      <c r="BR151" s="102">
        <f>DATA_ACC[[#This Row],[HARI 8]]</f>
        <v>85000</v>
      </c>
      <c r="BS151" s="102">
        <f>DATA_ACC[[#This Row],[HARI 9]]</f>
        <v>85000</v>
      </c>
      <c r="BT151" s="111">
        <f>DATA_ACC[[#This Row],[HARI 10]]</f>
        <v>85000</v>
      </c>
    </row>
    <row r="152" ht="18" spans="60:72">
      <c r="BH152" s="103" t="s">
        <v>562</v>
      </c>
      <c r="BI152" s="94">
        <v>80000</v>
      </c>
      <c r="BJ152" s="104">
        <f>DATA_ACC[[#This Row],[HARGA AWAL]]</f>
        <v>80000</v>
      </c>
      <c r="BK152" s="104">
        <f>DATA_ACC[[#This Row],[HARI 1]]</f>
        <v>80000</v>
      </c>
      <c r="BL152" s="104">
        <f>DATA_ACC[[#This Row],[HARI 2]]</f>
        <v>80000</v>
      </c>
      <c r="BM152" s="104">
        <f>DATA_ACC[[#This Row],[HARI 3]]</f>
        <v>80000</v>
      </c>
      <c r="BN152" s="104">
        <f>DATA_ACC[[#This Row],[HARI 4]]</f>
        <v>80000</v>
      </c>
      <c r="BO152" s="104">
        <f>DATA_ACC[[#This Row],[HARI 5]]</f>
        <v>80000</v>
      </c>
      <c r="BP152" s="104">
        <f>DATA_ACC[[#This Row],[HARI 6]]</f>
        <v>80000</v>
      </c>
      <c r="BQ152" s="104">
        <f>DATA_ACC[[#This Row],[HARI 7]]</f>
        <v>80000</v>
      </c>
      <c r="BR152" s="104">
        <f>DATA_ACC[[#This Row],[HARI 8]]</f>
        <v>80000</v>
      </c>
      <c r="BS152" s="104">
        <f>DATA_ACC[[#This Row],[HARI 9]]</f>
        <v>80000</v>
      </c>
      <c r="BT152" s="112">
        <f>DATA_ACC[[#This Row],[HARI 10]]</f>
        <v>80000</v>
      </c>
    </row>
    <row r="153" ht="18" spans="60:72">
      <c r="BH153" s="101" t="s">
        <v>563</v>
      </c>
      <c r="BI153" s="100">
        <v>15000</v>
      </c>
      <c r="BJ153" s="102">
        <f>DATA_ACC[[#This Row],[HARGA AWAL]]</f>
        <v>15000</v>
      </c>
      <c r="BK153" s="102">
        <f>DATA_ACC[[#This Row],[HARI 1]]</f>
        <v>15000</v>
      </c>
      <c r="BL153" s="102">
        <f>DATA_ACC[[#This Row],[HARI 2]]</f>
        <v>15000</v>
      </c>
      <c r="BM153" s="102">
        <f>DATA_ACC[[#This Row],[HARI 3]]</f>
        <v>15000</v>
      </c>
      <c r="BN153" s="102">
        <f>DATA_ACC[[#This Row],[HARI 4]]</f>
        <v>15000</v>
      </c>
      <c r="BO153" s="102">
        <f>DATA_ACC[[#This Row],[HARI 5]]</f>
        <v>15000</v>
      </c>
      <c r="BP153" s="102">
        <f>DATA_ACC[[#This Row],[HARI 6]]</f>
        <v>15000</v>
      </c>
      <c r="BQ153" s="102">
        <f>DATA_ACC[[#This Row],[HARI 7]]</f>
        <v>15000</v>
      </c>
      <c r="BR153" s="102">
        <f>DATA_ACC[[#This Row],[HARI 8]]</f>
        <v>15000</v>
      </c>
      <c r="BS153" s="102">
        <f>DATA_ACC[[#This Row],[HARI 9]]</f>
        <v>15000</v>
      </c>
      <c r="BT153" s="111">
        <f>DATA_ACC[[#This Row],[HARI 10]]</f>
        <v>15000</v>
      </c>
    </row>
    <row r="154" ht="18" spans="60:72">
      <c r="BH154" s="103" t="s">
        <v>564</v>
      </c>
      <c r="BI154" s="94">
        <v>5000</v>
      </c>
      <c r="BJ154" s="104">
        <f>DATA_ACC[[#This Row],[HARGA AWAL]]</f>
        <v>5000</v>
      </c>
      <c r="BK154" s="104">
        <f>DATA_ACC[[#This Row],[HARI 1]]</f>
        <v>5000</v>
      </c>
      <c r="BL154" s="104">
        <f>DATA_ACC[[#This Row],[HARI 2]]</f>
        <v>5000</v>
      </c>
      <c r="BM154" s="104">
        <f>DATA_ACC[[#This Row],[HARI 3]]</f>
        <v>5000</v>
      </c>
      <c r="BN154" s="104">
        <f>DATA_ACC[[#This Row],[HARI 4]]</f>
        <v>5000</v>
      </c>
      <c r="BO154" s="104">
        <f>DATA_ACC[[#This Row],[HARI 5]]</f>
        <v>5000</v>
      </c>
      <c r="BP154" s="104">
        <f>DATA_ACC[[#This Row],[HARI 6]]</f>
        <v>5000</v>
      </c>
      <c r="BQ154" s="104">
        <f>DATA_ACC[[#This Row],[HARI 7]]</f>
        <v>5000</v>
      </c>
      <c r="BR154" s="104">
        <f>DATA_ACC[[#This Row],[HARI 8]]</f>
        <v>5000</v>
      </c>
      <c r="BS154" s="104">
        <f>DATA_ACC[[#This Row],[HARI 9]]</f>
        <v>5000</v>
      </c>
      <c r="BT154" s="112">
        <f>DATA_ACC[[#This Row],[HARI 10]]</f>
        <v>5000</v>
      </c>
    </row>
    <row r="155" ht="18" spans="60:72">
      <c r="BH155" s="101" t="s">
        <v>565</v>
      </c>
      <c r="BI155" s="100">
        <v>185000</v>
      </c>
      <c r="BJ155" s="102">
        <f>DATA_ACC[[#This Row],[HARGA AWAL]]</f>
        <v>185000</v>
      </c>
      <c r="BK155" s="102">
        <f>DATA_ACC[[#This Row],[HARI 1]]</f>
        <v>185000</v>
      </c>
      <c r="BL155" s="102">
        <f>DATA_ACC[[#This Row],[HARI 2]]</f>
        <v>185000</v>
      </c>
      <c r="BM155" s="102">
        <f>DATA_ACC[[#This Row],[HARI 3]]</f>
        <v>185000</v>
      </c>
      <c r="BN155" s="102">
        <f>DATA_ACC[[#This Row],[HARI 4]]</f>
        <v>185000</v>
      </c>
      <c r="BO155" s="102">
        <f>DATA_ACC[[#This Row],[HARI 5]]</f>
        <v>185000</v>
      </c>
      <c r="BP155" s="102">
        <f>DATA_ACC[[#This Row],[HARI 6]]</f>
        <v>185000</v>
      </c>
      <c r="BQ155" s="102">
        <f>DATA_ACC[[#This Row],[HARI 7]]</f>
        <v>185000</v>
      </c>
      <c r="BR155" s="102">
        <f>DATA_ACC[[#This Row],[HARI 8]]</f>
        <v>185000</v>
      </c>
      <c r="BS155" s="102">
        <f>DATA_ACC[[#This Row],[HARI 9]]</f>
        <v>185000</v>
      </c>
      <c r="BT155" s="111">
        <f>DATA_ACC[[#This Row],[HARI 10]]</f>
        <v>185000</v>
      </c>
    </row>
    <row r="156" ht="18" spans="60:72">
      <c r="BH156" s="103" t="s">
        <v>566</v>
      </c>
      <c r="BI156" s="94">
        <v>185000</v>
      </c>
      <c r="BJ156" s="104">
        <f>DATA_ACC[[#This Row],[HARGA AWAL]]</f>
        <v>185000</v>
      </c>
      <c r="BK156" s="104">
        <f>DATA_ACC[[#This Row],[HARI 1]]</f>
        <v>185000</v>
      </c>
      <c r="BL156" s="104">
        <f>DATA_ACC[[#This Row],[HARI 2]]</f>
        <v>185000</v>
      </c>
      <c r="BM156" s="104">
        <f>DATA_ACC[[#This Row],[HARI 3]]</f>
        <v>185000</v>
      </c>
      <c r="BN156" s="104">
        <f>DATA_ACC[[#This Row],[HARI 4]]</f>
        <v>185000</v>
      </c>
      <c r="BO156" s="104">
        <f>DATA_ACC[[#This Row],[HARI 5]]</f>
        <v>185000</v>
      </c>
      <c r="BP156" s="104">
        <f>DATA_ACC[[#This Row],[HARI 6]]</f>
        <v>185000</v>
      </c>
      <c r="BQ156" s="104">
        <f>DATA_ACC[[#This Row],[HARI 7]]</f>
        <v>185000</v>
      </c>
      <c r="BR156" s="104">
        <f>DATA_ACC[[#This Row],[HARI 8]]</f>
        <v>185000</v>
      </c>
      <c r="BS156" s="104">
        <f>DATA_ACC[[#This Row],[HARI 9]]</f>
        <v>185000</v>
      </c>
      <c r="BT156" s="112">
        <f>DATA_ACC[[#This Row],[HARI 10]]</f>
        <v>185000</v>
      </c>
    </row>
    <row r="157" ht="18" spans="60:72">
      <c r="BH157" s="101" t="s">
        <v>567</v>
      </c>
      <c r="BI157" s="100">
        <v>365000</v>
      </c>
      <c r="BJ157" s="108">
        <f>DATA_ACC[[#This Row],[HARGA AWAL]]</f>
        <v>365000</v>
      </c>
      <c r="BK157" s="108">
        <f>DATA_ACC[[#This Row],[HARI 1]]</f>
        <v>365000</v>
      </c>
      <c r="BL157" s="108">
        <f>DATA_ACC[[#This Row],[HARI 2]]</f>
        <v>365000</v>
      </c>
      <c r="BM157" s="108">
        <f>DATA_ACC[[#This Row],[HARI 3]]</f>
        <v>365000</v>
      </c>
      <c r="BN157" s="108">
        <f>DATA_ACC[[#This Row],[HARI 4]]</f>
        <v>365000</v>
      </c>
      <c r="BO157" s="108">
        <f>DATA_ACC[[#This Row],[HARI 5]]</f>
        <v>365000</v>
      </c>
      <c r="BP157" s="108">
        <f>DATA_ACC[[#This Row],[HARI 6]]</f>
        <v>365000</v>
      </c>
      <c r="BQ157" s="108">
        <f>DATA_ACC[[#This Row],[HARI 7]]</f>
        <v>365000</v>
      </c>
      <c r="BR157" s="108">
        <f>DATA_ACC[[#This Row],[HARI 8]]</f>
        <v>365000</v>
      </c>
      <c r="BS157" s="108">
        <f>DATA_ACC[[#This Row],[HARI 9]]</f>
        <v>365000</v>
      </c>
      <c r="BT157" s="113">
        <f>DATA_ACC[[#This Row],[HARI 10]]</f>
        <v>365000</v>
      </c>
    </row>
    <row r="158" ht="18" spans="60:72">
      <c r="BH158" s="103" t="s">
        <v>568</v>
      </c>
      <c r="BI158" s="94">
        <v>120000</v>
      </c>
      <c r="BJ158" s="104">
        <f>DATA_ACC[[#This Row],[HARGA AWAL]]</f>
        <v>120000</v>
      </c>
      <c r="BK158" s="104">
        <f>DATA_ACC[[#This Row],[HARI 1]]</f>
        <v>120000</v>
      </c>
      <c r="BL158" s="104">
        <f>DATA_ACC[[#This Row],[HARI 2]]</f>
        <v>120000</v>
      </c>
      <c r="BM158" s="104">
        <f>DATA_ACC[[#This Row],[HARI 3]]</f>
        <v>120000</v>
      </c>
      <c r="BN158" s="104">
        <f>DATA_ACC[[#This Row],[HARI 4]]</f>
        <v>120000</v>
      </c>
      <c r="BO158" s="104">
        <f>DATA_ACC[[#This Row],[HARI 5]]</f>
        <v>120000</v>
      </c>
      <c r="BP158" s="104">
        <f>DATA_ACC[[#This Row],[HARI 6]]</f>
        <v>120000</v>
      </c>
      <c r="BQ158" s="104">
        <f>DATA_ACC[[#This Row],[HARI 7]]</f>
        <v>120000</v>
      </c>
      <c r="BR158" s="104">
        <f>DATA_ACC[[#This Row],[HARI 8]]</f>
        <v>120000</v>
      </c>
      <c r="BS158" s="104">
        <f>DATA_ACC[[#This Row],[HARI 9]]</f>
        <v>120000</v>
      </c>
      <c r="BT158" s="112">
        <f>DATA_ACC[[#This Row],[HARI 10]]</f>
        <v>120000</v>
      </c>
    </row>
    <row r="159" ht="18" spans="60:72">
      <c r="BH159" s="101" t="s">
        <v>569</v>
      </c>
      <c r="BI159" s="100">
        <v>125000</v>
      </c>
      <c r="BJ159" s="108">
        <f>DATA_ACC[[#This Row],[HARGA AWAL]]</f>
        <v>125000</v>
      </c>
      <c r="BK159" s="108">
        <f>DATA_ACC[[#This Row],[HARI 1]]</f>
        <v>125000</v>
      </c>
      <c r="BL159" s="108">
        <f>DATA_ACC[[#This Row],[HARI 2]]</f>
        <v>125000</v>
      </c>
      <c r="BM159" s="108">
        <f>DATA_ACC[[#This Row],[HARI 3]]</f>
        <v>125000</v>
      </c>
      <c r="BN159" s="108">
        <f>DATA_ACC[[#This Row],[HARI 4]]</f>
        <v>125000</v>
      </c>
      <c r="BO159" s="108">
        <f>DATA_ACC[[#This Row],[HARI 5]]</f>
        <v>125000</v>
      </c>
      <c r="BP159" s="108">
        <f>DATA_ACC[[#This Row],[HARI 6]]</f>
        <v>125000</v>
      </c>
      <c r="BQ159" s="108">
        <f>DATA_ACC[[#This Row],[HARI 7]]</f>
        <v>125000</v>
      </c>
      <c r="BR159" s="108">
        <f>DATA_ACC[[#This Row],[HARI 8]]</f>
        <v>125000</v>
      </c>
      <c r="BS159" s="108">
        <f>DATA_ACC[[#This Row],[HARI 9]]</f>
        <v>125000</v>
      </c>
      <c r="BT159" s="113">
        <f>DATA_ACC[[#This Row],[HARI 10]]</f>
        <v>125000</v>
      </c>
    </row>
    <row r="160" ht="18" spans="60:72">
      <c r="BH160" s="103" t="s">
        <v>570</v>
      </c>
      <c r="BI160" s="94">
        <v>150000</v>
      </c>
      <c r="BJ160" s="104">
        <f>DATA_ACC[[#This Row],[HARGA AWAL]]</f>
        <v>150000</v>
      </c>
      <c r="BK160" s="104">
        <f>DATA_ACC[[#This Row],[HARI 1]]</f>
        <v>150000</v>
      </c>
      <c r="BL160" s="104">
        <f>DATA_ACC[[#This Row],[HARI 2]]</f>
        <v>150000</v>
      </c>
      <c r="BM160" s="104">
        <f>DATA_ACC[[#This Row],[HARI 3]]</f>
        <v>150000</v>
      </c>
      <c r="BN160" s="104">
        <f>DATA_ACC[[#This Row],[HARI 4]]</f>
        <v>150000</v>
      </c>
      <c r="BO160" s="104">
        <f>DATA_ACC[[#This Row],[HARI 5]]</f>
        <v>150000</v>
      </c>
      <c r="BP160" s="104">
        <f>DATA_ACC[[#This Row],[HARI 6]]</f>
        <v>150000</v>
      </c>
      <c r="BQ160" s="104">
        <f>DATA_ACC[[#This Row],[HARI 7]]</f>
        <v>150000</v>
      </c>
      <c r="BR160" s="104">
        <f>DATA_ACC[[#This Row],[HARI 8]]</f>
        <v>150000</v>
      </c>
      <c r="BS160" s="104">
        <f>DATA_ACC[[#This Row],[HARI 9]]</f>
        <v>150000</v>
      </c>
      <c r="BT160" s="112">
        <f>DATA_ACC[[#This Row],[HARI 10]]</f>
        <v>150000</v>
      </c>
    </row>
    <row r="161" ht="18" spans="60:72">
      <c r="BH161" s="101" t="s">
        <v>571</v>
      </c>
      <c r="BI161" s="100">
        <v>0</v>
      </c>
      <c r="BJ161" s="109">
        <f>DATA_ACC[[#This Row],[HARGA AWAL]]</f>
        <v>0</v>
      </c>
      <c r="BK161" s="109">
        <f>DATA_ACC[[#This Row],[HARI 1]]</f>
        <v>0</v>
      </c>
      <c r="BL161" s="109">
        <f>DATA_ACC[[#This Row],[HARI 2]]</f>
        <v>0</v>
      </c>
      <c r="BM161" s="109">
        <f>DATA_ACC[[#This Row],[HARI 3]]</f>
        <v>0</v>
      </c>
      <c r="BN161" s="109">
        <f>DATA_ACC[[#This Row],[HARI 4]]</f>
        <v>0</v>
      </c>
      <c r="BO161" s="109">
        <f>DATA_ACC[[#This Row],[HARI 5]]</f>
        <v>0</v>
      </c>
      <c r="BP161" s="109">
        <f>DATA_ACC[[#This Row],[HARI 6]]</f>
        <v>0</v>
      </c>
      <c r="BQ161" s="109">
        <f>DATA_ACC[[#This Row],[HARI 7]]</f>
        <v>0</v>
      </c>
      <c r="BR161" s="109">
        <f>DATA_ACC[[#This Row],[HARI 8]]</f>
        <v>0</v>
      </c>
      <c r="BS161" s="109">
        <f>DATA_ACC[[#This Row],[HARI 9]]</f>
        <v>0</v>
      </c>
      <c r="BT161" s="114">
        <f>DATA_ACC[[#This Row],[HARI 10]]</f>
        <v>0</v>
      </c>
    </row>
    <row r="162" ht="18" spans="60:72">
      <c r="BH162" s="103" t="s">
        <v>572</v>
      </c>
      <c r="BI162" s="94">
        <v>175000</v>
      </c>
      <c r="BJ162" s="104">
        <f>DATA_ACC[[#This Row],[HARGA AWAL]]</f>
        <v>175000</v>
      </c>
      <c r="BK162" s="104">
        <f>DATA_ACC[[#This Row],[HARI 1]]</f>
        <v>175000</v>
      </c>
      <c r="BL162" s="104">
        <f>DATA_ACC[[#This Row],[HARI 2]]</f>
        <v>175000</v>
      </c>
      <c r="BM162" s="104">
        <f>DATA_ACC[[#This Row],[HARI 3]]</f>
        <v>175000</v>
      </c>
      <c r="BN162" s="104">
        <f>DATA_ACC[[#This Row],[HARI 4]]</f>
        <v>175000</v>
      </c>
      <c r="BO162" s="104">
        <f>DATA_ACC[[#This Row],[HARI 5]]</f>
        <v>175000</v>
      </c>
      <c r="BP162" s="104">
        <f>DATA_ACC[[#This Row],[HARI 6]]</f>
        <v>175000</v>
      </c>
      <c r="BQ162" s="104">
        <f>DATA_ACC[[#This Row],[HARI 7]]</f>
        <v>175000</v>
      </c>
      <c r="BR162" s="104">
        <f>DATA_ACC[[#This Row],[HARI 8]]</f>
        <v>175000</v>
      </c>
      <c r="BS162" s="104">
        <f>DATA_ACC[[#This Row],[HARI 9]]</f>
        <v>175000</v>
      </c>
      <c r="BT162" s="112">
        <f>DATA_ACC[[#This Row],[HARI 10]]</f>
        <v>175000</v>
      </c>
    </row>
    <row r="163" ht="18" spans="60:72">
      <c r="BH163" s="101" t="s">
        <v>573</v>
      </c>
      <c r="BI163" s="100">
        <v>215000</v>
      </c>
      <c r="BJ163" s="109">
        <f>DATA_ACC[[#This Row],[HARGA AWAL]]</f>
        <v>215000</v>
      </c>
      <c r="BK163" s="109">
        <f>DATA_ACC[[#This Row],[HARI 1]]</f>
        <v>215000</v>
      </c>
      <c r="BL163" s="109">
        <f>DATA_ACC[[#This Row],[HARI 2]]</f>
        <v>215000</v>
      </c>
      <c r="BM163" s="109">
        <f>DATA_ACC[[#This Row],[HARI 3]]</f>
        <v>215000</v>
      </c>
      <c r="BN163" s="109">
        <f>DATA_ACC[[#This Row],[HARI 4]]</f>
        <v>215000</v>
      </c>
      <c r="BO163" s="109">
        <f>DATA_ACC[[#This Row],[HARI 5]]</f>
        <v>215000</v>
      </c>
      <c r="BP163" s="109">
        <f>DATA_ACC[[#This Row],[HARI 6]]</f>
        <v>215000</v>
      </c>
      <c r="BQ163" s="109">
        <f>DATA_ACC[[#This Row],[HARI 7]]</f>
        <v>215000</v>
      </c>
      <c r="BR163" s="109">
        <f>DATA_ACC[[#This Row],[HARI 8]]</f>
        <v>215000</v>
      </c>
      <c r="BS163" s="109">
        <f>DATA_ACC[[#This Row],[HARI 9]]</f>
        <v>215000</v>
      </c>
      <c r="BT163" s="114">
        <f>DATA_ACC[[#This Row],[HARI 10]]</f>
        <v>215000</v>
      </c>
    </row>
    <row r="164" ht="18" spans="60:72">
      <c r="BH164" s="103" t="s">
        <v>574</v>
      </c>
      <c r="BI164" s="94">
        <v>245000</v>
      </c>
      <c r="BJ164" s="104">
        <f>DATA_ACC[[#This Row],[HARGA AWAL]]</f>
        <v>245000</v>
      </c>
      <c r="BK164" s="104">
        <f>DATA_ACC[[#This Row],[HARI 1]]</f>
        <v>245000</v>
      </c>
      <c r="BL164" s="104">
        <f>DATA_ACC[[#This Row],[HARI 2]]</f>
        <v>245000</v>
      </c>
      <c r="BM164" s="104">
        <f>DATA_ACC[[#This Row],[HARI 3]]</f>
        <v>245000</v>
      </c>
      <c r="BN164" s="104">
        <f>DATA_ACC[[#This Row],[HARI 4]]</f>
        <v>245000</v>
      </c>
      <c r="BO164" s="104">
        <f>DATA_ACC[[#This Row],[HARI 5]]</f>
        <v>245000</v>
      </c>
      <c r="BP164" s="104">
        <f>DATA_ACC[[#This Row],[HARI 6]]</f>
        <v>245000</v>
      </c>
      <c r="BQ164" s="104">
        <f>DATA_ACC[[#This Row],[HARI 7]]</f>
        <v>245000</v>
      </c>
      <c r="BR164" s="104">
        <f>DATA_ACC[[#This Row],[HARI 8]]</f>
        <v>245000</v>
      </c>
      <c r="BS164" s="104">
        <f>DATA_ACC[[#This Row],[HARI 9]]</f>
        <v>245000</v>
      </c>
      <c r="BT164" s="112">
        <f>DATA_ACC[[#This Row],[HARI 10]]</f>
        <v>245000</v>
      </c>
    </row>
    <row r="165" ht="18" spans="60:72">
      <c r="BH165" s="101" t="s">
        <v>575</v>
      </c>
      <c r="BI165" s="100">
        <v>275000</v>
      </c>
      <c r="BJ165" s="109">
        <f>DATA_ACC[[#This Row],[HARGA AWAL]]</f>
        <v>275000</v>
      </c>
      <c r="BK165" s="109">
        <f>DATA_ACC[[#This Row],[HARI 1]]</f>
        <v>275000</v>
      </c>
      <c r="BL165" s="109">
        <f>DATA_ACC[[#This Row],[HARI 2]]</f>
        <v>275000</v>
      </c>
      <c r="BM165" s="109">
        <f>DATA_ACC[[#This Row],[HARI 3]]</f>
        <v>275000</v>
      </c>
      <c r="BN165" s="109">
        <f>DATA_ACC[[#This Row],[HARI 4]]</f>
        <v>275000</v>
      </c>
      <c r="BO165" s="109">
        <f>DATA_ACC[[#This Row],[HARI 5]]</f>
        <v>275000</v>
      </c>
      <c r="BP165" s="109">
        <f>DATA_ACC[[#This Row],[HARI 6]]</f>
        <v>275000</v>
      </c>
      <c r="BQ165" s="109">
        <f>DATA_ACC[[#This Row],[HARI 7]]</f>
        <v>275000</v>
      </c>
      <c r="BR165" s="109">
        <f>DATA_ACC[[#This Row],[HARI 8]]</f>
        <v>275000</v>
      </c>
      <c r="BS165" s="109">
        <f>DATA_ACC[[#This Row],[HARI 9]]</f>
        <v>275000</v>
      </c>
      <c r="BT165" s="114">
        <f>DATA_ACC[[#This Row],[HARI 10]]</f>
        <v>275000</v>
      </c>
    </row>
    <row r="166" ht="18" spans="60:72">
      <c r="BH166" s="103" t="s">
        <v>370</v>
      </c>
      <c r="BI166" s="94">
        <v>0</v>
      </c>
      <c r="BJ166" s="104">
        <f>DATA_ACC[[#This Row],[HARGA AWAL]]</f>
        <v>0</v>
      </c>
      <c r="BK166" s="104">
        <f>DATA_ACC[[#This Row],[HARI 1]]</f>
        <v>0</v>
      </c>
      <c r="BL166" s="104">
        <f>DATA_ACC[[#This Row],[HARI 2]]</f>
        <v>0</v>
      </c>
      <c r="BM166" s="104">
        <f>DATA_ACC[[#This Row],[HARI 3]]</f>
        <v>0</v>
      </c>
      <c r="BN166" s="104">
        <f>DATA_ACC[[#This Row],[HARI 4]]</f>
        <v>0</v>
      </c>
      <c r="BO166" s="104">
        <f>DATA_ACC[[#This Row],[HARI 5]]</f>
        <v>0</v>
      </c>
      <c r="BP166" s="104">
        <f>DATA_ACC[[#This Row],[HARI 6]]</f>
        <v>0</v>
      </c>
      <c r="BQ166" s="104">
        <f>DATA_ACC[[#This Row],[HARI 7]]</f>
        <v>0</v>
      </c>
      <c r="BR166" s="104">
        <f>DATA_ACC[[#This Row],[HARI 8]]</f>
        <v>0</v>
      </c>
      <c r="BS166" s="104">
        <f>DATA_ACC[[#This Row],[HARI 9]]</f>
        <v>0</v>
      </c>
      <c r="BT166" s="112">
        <f>DATA_ACC[[#This Row],[HARI 10]]</f>
        <v>0</v>
      </c>
    </row>
    <row r="167" ht="18" spans="60:72">
      <c r="BH167" s="101" t="s">
        <v>375</v>
      </c>
      <c r="BI167" s="100">
        <v>0</v>
      </c>
      <c r="BJ167" s="74">
        <f>DATA_ACC[[#This Row],[HARGA AWAL]]</f>
        <v>0</v>
      </c>
      <c r="BK167" s="109">
        <f>DATA_ACC[[#This Row],[HARI 1]]</f>
        <v>0</v>
      </c>
      <c r="BL167" s="109">
        <f>DATA_ACC[[#This Row],[HARI 2]]</f>
        <v>0</v>
      </c>
      <c r="BM167" s="109">
        <f>DATA_ACC[[#This Row],[HARI 3]]</f>
        <v>0</v>
      </c>
      <c r="BN167" s="109">
        <f>DATA_ACC[[#This Row],[HARI 4]]</f>
        <v>0</v>
      </c>
      <c r="BO167" s="109">
        <f>DATA_ACC[[#This Row],[HARI 5]]</f>
        <v>0</v>
      </c>
      <c r="BP167" s="109">
        <f>DATA_ACC[[#This Row],[HARI 6]]</f>
        <v>0</v>
      </c>
      <c r="BQ167" s="109">
        <f>DATA_ACC[[#This Row],[HARI 7]]</f>
        <v>0</v>
      </c>
      <c r="BR167" s="109">
        <f>DATA_ACC[[#This Row],[HARI 8]]</f>
        <v>0</v>
      </c>
      <c r="BS167" s="109">
        <f>DATA_ACC[[#This Row],[HARI 9]]</f>
        <v>0</v>
      </c>
      <c r="BT167" s="114">
        <f>DATA_ACC[[#This Row],[HARI 10]]</f>
        <v>0</v>
      </c>
    </row>
    <row r="168" ht="18" spans="60:72">
      <c r="BH168" s="103" t="s">
        <v>381</v>
      </c>
      <c r="BI168" s="110">
        <v>0</v>
      </c>
      <c r="BJ168" s="13">
        <f>DATA_ACC[[#This Row],[HARGA AWAL]]</f>
        <v>0</v>
      </c>
      <c r="BK168" s="104">
        <f>DATA_ACC[[#This Row],[HARI 1]]</f>
        <v>0</v>
      </c>
      <c r="BL168" s="104">
        <f>DATA_ACC[[#This Row],[HARI 2]]</f>
        <v>0</v>
      </c>
      <c r="BM168" s="104">
        <f>DATA_ACC[[#This Row],[HARI 3]]</f>
        <v>0</v>
      </c>
      <c r="BN168" s="104">
        <f>DATA_ACC[[#This Row],[HARI 4]]</f>
        <v>0</v>
      </c>
      <c r="BO168" s="104">
        <f>DATA_ACC[[#This Row],[HARI 5]]</f>
        <v>0</v>
      </c>
      <c r="BP168" s="104">
        <f>DATA_ACC[[#This Row],[HARI 6]]</f>
        <v>0</v>
      </c>
      <c r="BQ168" s="104">
        <f>DATA_ACC[[#This Row],[HARI 7]]</f>
        <v>0</v>
      </c>
      <c r="BR168" s="104">
        <f>DATA_ACC[[#This Row],[HARI 8]]</f>
        <v>0</v>
      </c>
      <c r="BS168" s="104">
        <f>DATA_ACC[[#This Row],[HARI 9]]</f>
        <v>0</v>
      </c>
      <c r="BT168" s="112">
        <f>DATA_ACC[[#This Row],[HARI 10]]</f>
        <v>0</v>
      </c>
    </row>
    <row r="170" spans="60:72">
      <c r="BH170" s="75">
        <f>COUNTA(BH12:BH168)</f>
        <v>157</v>
      </c>
      <c r="BI170" s="76">
        <f>SUM(BI12:BI168)</f>
        <v>12843000</v>
      </c>
      <c r="BT170" s="76"/>
    </row>
  </sheetData>
  <sheetProtection algorithmName="SHA-512" hashValue="qNCyY+oHkFgxjm5neVC5TiMsnYXZZe3HYsuU6TDNWq/J3EThkQ3hOu96h5SSK3h6KtomvjZxvhotOYzNxokRRQ==" saltValue="OtK8s9gujb4fUZG36ErZAA==" spinCount="100000" sheet="1" objects="1" scenarios="1"/>
  <mergeCells count="8">
    <mergeCell ref="B9:B10"/>
    <mergeCell ref="B17:B18"/>
    <mergeCell ref="BH9:BT10"/>
    <mergeCell ref="BV9:CH10"/>
    <mergeCell ref="D9:P10"/>
    <mergeCell ref="R9:AD10"/>
    <mergeCell ref="AF9:AR10"/>
    <mergeCell ref="AT9:BF10"/>
  </mergeCells>
  <pageMargins left="0.7" right="0.7" top="0.75" bottom="0.75" header="0.3" footer="0.3"/>
  <headerFooter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1:Z24"/>
  <sheetViews>
    <sheetView showGridLines="0" topLeftCell="I1" workbookViewId="0">
      <selection activeCell="R384" sqref="R384:R385"/>
    </sheetView>
  </sheetViews>
  <sheetFormatPr defaultColWidth="8.84166666666667" defaultRowHeight="16.5"/>
  <cols>
    <col min="4" max="6" width="20.5416666666667" customWidth="1"/>
    <col min="8" max="9" width="20.5416666666667" customWidth="1"/>
    <col min="11" max="16" width="20.5416666666667" customWidth="1"/>
    <col min="18" max="22" width="20.5416666666667" customWidth="1"/>
    <col min="24" max="27" width="20.5416666666667" customWidth="1"/>
  </cols>
  <sheetData>
    <row r="11" ht="17.25" customHeight="1" spans="2:26">
      <c r="B11" s="21" t="s">
        <v>267</v>
      </c>
      <c r="C11" s="22"/>
      <c r="D11" s="23" t="s">
        <v>576</v>
      </c>
      <c r="E11" s="23"/>
      <c r="F11" s="23"/>
      <c r="H11" s="23" t="s">
        <v>173</v>
      </c>
      <c r="I11" s="23"/>
      <c r="K11" s="39" t="s">
        <v>16</v>
      </c>
      <c r="L11" s="39"/>
      <c r="M11" s="39"/>
      <c r="N11" s="39"/>
      <c r="O11" s="39"/>
      <c r="P11" s="39"/>
      <c r="R11" s="39" t="s">
        <v>17</v>
      </c>
      <c r="S11" s="39"/>
      <c r="T11" s="39"/>
      <c r="U11" s="39"/>
      <c r="V11" s="39"/>
      <c r="X11" s="23" t="s">
        <v>577</v>
      </c>
      <c r="Y11" s="23"/>
      <c r="Z11" s="23"/>
    </row>
    <row r="12" ht="17.25" customHeight="1" spans="2:26">
      <c r="B12" s="21"/>
      <c r="C12" s="22"/>
      <c r="D12" s="24" t="s">
        <v>578</v>
      </c>
      <c r="E12" s="24" t="s">
        <v>579</v>
      </c>
      <c r="F12" s="25" t="s">
        <v>141</v>
      </c>
      <c r="H12" s="24" t="s">
        <v>578</v>
      </c>
      <c r="I12" s="24" t="s">
        <v>579</v>
      </c>
      <c r="K12" s="40" t="s">
        <v>580</v>
      </c>
      <c r="L12" s="41" t="s">
        <v>581</v>
      </c>
      <c r="M12" s="42" t="s">
        <v>129</v>
      </c>
      <c r="N12" s="43" t="s">
        <v>144</v>
      </c>
      <c r="O12" s="44" t="s">
        <v>582</v>
      </c>
      <c r="P12" s="45" t="s">
        <v>583</v>
      </c>
      <c r="R12" s="40" t="s">
        <v>584</v>
      </c>
      <c r="S12" s="42" t="s">
        <v>130</v>
      </c>
      <c r="T12" s="43" t="s">
        <v>145</v>
      </c>
      <c r="U12" s="44" t="s">
        <v>585</v>
      </c>
      <c r="V12" s="45" t="s">
        <v>586</v>
      </c>
      <c r="X12" s="25" t="s">
        <v>238</v>
      </c>
      <c r="Y12" s="24" t="s">
        <v>587</v>
      </c>
      <c r="Z12" s="43" t="s">
        <v>588</v>
      </c>
    </row>
    <row r="13" ht="17.25" customHeight="1" spans="2:26">
      <c r="B13" s="26">
        <v>1</v>
      </c>
      <c r="C13" s="26"/>
      <c r="D13" s="27">
        <f>'HARI 1'!D442</f>
        <v>567500</v>
      </c>
      <c r="E13" s="27">
        <f>'HARI 1'!S442</f>
        <v>760500</v>
      </c>
      <c r="F13" s="28">
        <f>D13+E13</f>
        <v>1328000</v>
      </c>
      <c r="H13" s="29">
        <f>'HARI 1'!D444</f>
        <v>0</v>
      </c>
      <c r="I13" s="29">
        <f>'HARI 1'!S444</f>
        <v>1000</v>
      </c>
      <c r="K13" s="29">
        <f>'SALES SUMMARY'!J31</f>
        <v>1327000</v>
      </c>
      <c r="L13" s="29">
        <f>'HARI 1'!E397+'HARI 1'!T397</f>
        <v>0</v>
      </c>
      <c r="M13" s="29">
        <f>'HARI 1'!J396+'HARI 1'!Y396</f>
        <v>0</v>
      </c>
      <c r="N13" s="29">
        <f>'HARI 1'!J408+'HARI 1'!Y408</f>
        <v>0</v>
      </c>
      <c r="O13" s="29">
        <f>'HARI 1'!F418+'HARI 1'!U418</f>
        <v>0</v>
      </c>
      <c r="P13" s="29">
        <f>'HARI 1'!J420+'HARI 1'!Y420</f>
        <v>0</v>
      </c>
      <c r="R13" s="29">
        <f>'SALES SUMMARY'!K31</f>
        <v>0</v>
      </c>
      <c r="S13" s="29">
        <f>'HARI 1'!J397+'HARI 1'!Y397</f>
        <v>0</v>
      </c>
      <c r="T13" s="29">
        <f>'HARI 1'!J409+'HARI 1'!Y409</f>
        <v>0</v>
      </c>
      <c r="U13" s="29">
        <f>'HARI 1'!E413+'HARI 1'!T413</f>
        <v>0</v>
      </c>
      <c r="V13" s="29">
        <f>'HARI 1'!J421+'HARI 1'!Y421</f>
        <v>0</v>
      </c>
      <c r="X13" s="50">
        <f>'SALES SUMMARY'!L31</f>
        <v>1327000</v>
      </c>
      <c r="Y13" s="52" t="str">
        <f>IF(F13=0,"",IF(F13-H13-I13=K13-L13+M13+O13+P13-S13-T13-V13,"BALANCE","CEK LAGI HUHU"))</f>
        <v>BALANCE</v>
      </c>
      <c r="Z13" s="52" t="str">
        <f>IF(R13=0,"",IF(R13=U13,"BALANCE","CEK LAGI HUHU"))</f>
        <v/>
      </c>
    </row>
    <row r="14" ht="17.25" customHeight="1" spans="2:26">
      <c r="B14" s="30">
        <v>2</v>
      </c>
      <c r="C14" s="30"/>
      <c r="D14" s="31">
        <f>'HARI 2'!D442</f>
        <v>651500</v>
      </c>
      <c r="E14" s="31">
        <f>'HARI 2'!S442</f>
        <v>0</v>
      </c>
      <c r="F14" s="32">
        <f t="shared" ref="F14:F23" si="0">D14+E14</f>
        <v>651500</v>
      </c>
      <c r="H14" s="33">
        <f>'HARI 2'!D444</f>
        <v>0</v>
      </c>
      <c r="I14" s="33">
        <f>'HARI 2'!S444</f>
        <v>0</v>
      </c>
      <c r="K14" s="33">
        <f>'SALES SUMMARY'!J32</f>
        <v>651500</v>
      </c>
      <c r="L14" s="33">
        <f>'HARI 2'!E397+'HARI 2'!T397</f>
        <v>0</v>
      </c>
      <c r="M14" s="33">
        <f>'HARI 2'!J396+'HARI 2'!Y396</f>
        <v>0</v>
      </c>
      <c r="N14" s="33">
        <f>'HARI 2'!J408+'HARI 2'!Y408</f>
        <v>0</v>
      </c>
      <c r="O14" s="33">
        <f>'HARI 2'!F418+'HARI 2'!U418</f>
        <v>0</v>
      </c>
      <c r="P14" s="33">
        <f>'HARI 2'!J420+'HARI 2'!Y420</f>
        <v>0</v>
      </c>
      <c r="R14" s="33">
        <f>'SALES SUMMARY'!K32</f>
        <v>0</v>
      </c>
      <c r="S14" s="33">
        <f>'HARI 2'!J397+'HARI 2'!Y397</f>
        <v>0</v>
      </c>
      <c r="T14" s="33">
        <f>'HARI 2'!J409+'HARI 2'!Y409</f>
        <v>0</v>
      </c>
      <c r="U14" s="33">
        <f>'HARI 2'!E413+'HARI 2'!T413</f>
        <v>0</v>
      </c>
      <c r="V14" s="33">
        <f>'HARI 2'!J421+'HARI 2'!Y421</f>
        <v>0</v>
      </c>
      <c r="X14" s="51">
        <f>'SALES SUMMARY'!L32</f>
        <v>651500</v>
      </c>
      <c r="Y14" s="52" t="str">
        <f t="shared" ref="Y14:Y23" si="1">IF(F14=0,"",IF(F14-H14-I14=K14-L14+M14+O14+P14-S14-T14-V14,"BALANCE","CEK LAGI HUHU"))</f>
        <v>BALANCE</v>
      </c>
      <c r="Z14" s="52" t="str">
        <f t="shared" ref="Z14:Z23" si="2">IF(R14=0,"",IF(R14=U14,"BALANCE","CEK LAGI HUHU"))</f>
        <v/>
      </c>
    </row>
    <row r="15" ht="17.25" customHeight="1" spans="2:26">
      <c r="B15" s="26">
        <v>3</v>
      </c>
      <c r="C15" s="26"/>
      <c r="D15" s="27">
        <f>'HARI 3'!D442</f>
        <v>0</v>
      </c>
      <c r="E15" s="27">
        <f>'HARI 3'!S442</f>
        <v>0</v>
      </c>
      <c r="F15" s="28">
        <f t="shared" si="0"/>
        <v>0</v>
      </c>
      <c r="H15" s="29">
        <f>'HARI 3'!D444</f>
        <v>0</v>
      </c>
      <c r="I15" s="29">
        <f>'HARI 3'!S444</f>
        <v>0</v>
      </c>
      <c r="K15" s="29">
        <f>'SALES SUMMARY'!J33</f>
        <v>0</v>
      </c>
      <c r="L15" s="29">
        <f>'HARI 3'!E397+'HARI 3'!T397</f>
        <v>0</v>
      </c>
      <c r="M15" s="29">
        <f>'HARI 3'!J396+'HARI 3'!Y396</f>
        <v>0</v>
      </c>
      <c r="N15" s="29">
        <f>'HARI 3'!J408+'HARI 3'!Y408</f>
        <v>0</v>
      </c>
      <c r="O15" s="29">
        <f>'HARI 3'!F418+'HARI 3'!U418</f>
        <v>0</v>
      </c>
      <c r="P15" s="29">
        <f>'HARI 3'!J420+'HARI 3'!Y420</f>
        <v>0</v>
      </c>
      <c r="R15" s="29">
        <f>'SALES SUMMARY'!K33</f>
        <v>0</v>
      </c>
      <c r="S15" s="29">
        <f>'HARI 3'!J397+'HARI 3'!Y397</f>
        <v>0</v>
      </c>
      <c r="T15" s="29">
        <f>'HARI 3'!J409+'HARI 3'!Y409</f>
        <v>0</v>
      </c>
      <c r="U15" s="29">
        <f>'HARI 3'!E413+'HARI 3'!T413</f>
        <v>0</v>
      </c>
      <c r="V15" s="29">
        <f>'HARI 3'!J421+'HARI 3'!Y421</f>
        <v>0</v>
      </c>
      <c r="X15" s="50">
        <f>'SALES SUMMARY'!L33</f>
        <v>0</v>
      </c>
      <c r="Y15" s="52" t="str">
        <f t="shared" si="1"/>
        <v/>
      </c>
      <c r="Z15" s="52" t="str">
        <f t="shared" si="2"/>
        <v/>
      </c>
    </row>
    <row r="16" ht="17.25" customHeight="1" spans="2:26">
      <c r="B16" s="30">
        <v>4</v>
      </c>
      <c r="C16" s="30"/>
      <c r="D16" s="31">
        <f>'HARI 4'!D442</f>
        <v>0</v>
      </c>
      <c r="E16" s="31">
        <f>'HARI 4'!S442</f>
        <v>0</v>
      </c>
      <c r="F16" s="32">
        <f t="shared" si="0"/>
        <v>0</v>
      </c>
      <c r="H16" s="33">
        <f>'HARI 4'!D444</f>
        <v>0</v>
      </c>
      <c r="I16" s="33">
        <f>'HARI 4'!S444</f>
        <v>0</v>
      </c>
      <c r="K16" s="33">
        <f>'SALES SUMMARY'!J34</f>
        <v>0</v>
      </c>
      <c r="L16" s="33">
        <f>'HARI 4'!E397+'HARI 4'!T397</f>
        <v>0</v>
      </c>
      <c r="M16" s="33">
        <f>'HARI 4'!J396+'HARI 4'!Y396</f>
        <v>0</v>
      </c>
      <c r="N16" s="33">
        <f>'HARI 4'!J408+'HARI 4'!Y408</f>
        <v>0</v>
      </c>
      <c r="O16" s="33">
        <f>'HARI 4'!F418+'HARI 4'!U418</f>
        <v>0</v>
      </c>
      <c r="P16" s="33">
        <f>'HARI 4'!J420+'HARI 4'!Y420</f>
        <v>0</v>
      </c>
      <c r="R16" s="33">
        <f>'SALES SUMMARY'!K34</f>
        <v>0</v>
      </c>
      <c r="S16" s="33">
        <f>'HARI 4'!J397+'HARI 4'!Y397</f>
        <v>0</v>
      </c>
      <c r="T16" s="33">
        <f>'HARI 4'!J409+'HARI 4'!Y409</f>
        <v>0</v>
      </c>
      <c r="U16" s="33">
        <f>'HARI 4'!E413+'HARI 4'!T413</f>
        <v>0</v>
      </c>
      <c r="V16" s="33">
        <f>'HARI 4'!J421+'HARI 4'!Y421</f>
        <v>0</v>
      </c>
      <c r="X16" s="51">
        <f>'SALES SUMMARY'!L34</f>
        <v>0</v>
      </c>
      <c r="Y16" s="52" t="str">
        <f t="shared" si="1"/>
        <v/>
      </c>
      <c r="Z16" s="52" t="str">
        <f t="shared" si="2"/>
        <v/>
      </c>
    </row>
    <row r="17" ht="17.25" customHeight="1" spans="2:26">
      <c r="B17" s="26">
        <v>5</v>
      </c>
      <c r="C17" s="26"/>
      <c r="D17" s="27">
        <f>'HARI 5'!D442</f>
        <v>0</v>
      </c>
      <c r="E17" s="27">
        <f>'HARI 5'!S442</f>
        <v>0</v>
      </c>
      <c r="F17" s="28">
        <f t="shared" si="0"/>
        <v>0</v>
      </c>
      <c r="H17" s="29">
        <f>'HARI 5'!D444</f>
        <v>0</v>
      </c>
      <c r="I17" s="29">
        <f>'HARI 5'!S444</f>
        <v>0</v>
      </c>
      <c r="K17" s="29">
        <f>'SALES SUMMARY'!J35</f>
        <v>0</v>
      </c>
      <c r="L17" s="29">
        <f>'HARI 5'!E397+'HARI 5'!T397</f>
        <v>0</v>
      </c>
      <c r="M17" s="29">
        <f>'HARI 5'!J396+'HARI 5'!Y396</f>
        <v>0</v>
      </c>
      <c r="N17" s="29">
        <f>'HARI 5'!J408+'HARI 5'!Y408</f>
        <v>0</v>
      </c>
      <c r="O17" s="29">
        <f>'HARI 5'!F418+'HARI 5'!U418</f>
        <v>0</v>
      </c>
      <c r="P17" s="29">
        <f>'HARI 5'!J420+'HARI 5'!Y420</f>
        <v>0</v>
      </c>
      <c r="R17" s="29">
        <f>'SALES SUMMARY'!K35</f>
        <v>0</v>
      </c>
      <c r="S17" s="29">
        <f>'HARI 5'!J397+'HARI 5'!Y397</f>
        <v>0</v>
      </c>
      <c r="T17" s="29">
        <f>'HARI 5'!J409+'HARI 5'!Y409</f>
        <v>0</v>
      </c>
      <c r="U17" s="29">
        <f>'HARI 5'!E413+'HARI 5'!T413</f>
        <v>0</v>
      </c>
      <c r="V17" s="29">
        <f>'HARI 5'!J421+'HARI 5'!Y421</f>
        <v>0</v>
      </c>
      <c r="X17" s="50">
        <f>'SALES SUMMARY'!L35</f>
        <v>0</v>
      </c>
      <c r="Y17" s="52" t="str">
        <f t="shared" si="1"/>
        <v/>
      </c>
      <c r="Z17" s="52" t="str">
        <f t="shared" si="2"/>
        <v/>
      </c>
    </row>
    <row r="18" ht="17.25" customHeight="1" spans="2:26">
      <c r="B18" s="30">
        <v>6</v>
      </c>
      <c r="C18" s="30"/>
      <c r="D18" s="31">
        <f>'HARI 6'!D442</f>
        <v>0</v>
      </c>
      <c r="E18" s="31">
        <f>'HARI 6'!S442</f>
        <v>0</v>
      </c>
      <c r="F18" s="32">
        <f t="shared" si="0"/>
        <v>0</v>
      </c>
      <c r="H18" s="33">
        <f>'HARI 6'!D444</f>
        <v>0</v>
      </c>
      <c r="I18" s="33">
        <f>'HARI 6'!S444</f>
        <v>0</v>
      </c>
      <c r="K18" s="33">
        <f>'SALES SUMMARY'!J36</f>
        <v>0</v>
      </c>
      <c r="L18" s="33">
        <f>'HARI 6'!E397+'HARI 6'!T397</f>
        <v>0</v>
      </c>
      <c r="M18" s="33">
        <f>'HARI 6'!J396+'HARI 6'!Y396</f>
        <v>0</v>
      </c>
      <c r="N18" s="33">
        <f>'HARI 6'!J408+'HARI 6'!Y408</f>
        <v>0</v>
      </c>
      <c r="O18" s="33">
        <f>'HARI 6'!F418+'HARI 6'!U418</f>
        <v>0</v>
      </c>
      <c r="P18" s="33">
        <f>'HARI 6'!J420+'HARI 6'!Y420</f>
        <v>0</v>
      </c>
      <c r="R18" s="33">
        <f>'SALES SUMMARY'!K36</f>
        <v>0</v>
      </c>
      <c r="S18" s="33">
        <f>'HARI 6'!J397+'HARI 6'!Y397</f>
        <v>0</v>
      </c>
      <c r="T18" s="33">
        <f>'HARI 6'!J409+'HARI 6'!Y409</f>
        <v>0</v>
      </c>
      <c r="U18" s="33">
        <f>'HARI 6'!E413+'HARI 6'!T413</f>
        <v>0</v>
      </c>
      <c r="V18" s="33">
        <f>'HARI 6'!J421+'HARI 6'!Y421</f>
        <v>0</v>
      </c>
      <c r="X18" s="51">
        <f>'SALES SUMMARY'!L36</f>
        <v>0</v>
      </c>
      <c r="Y18" s="52" t="str">
        <f t="shared" si="1"/>
        <v/>
      </c>
      <c r="Z18" s="52" t="str">
        <f t="shared" si="2"/>
        <v/>
      </c>
    </row>
    <row r="19" ht="17.25" customHeight="1" spans="2:26">
      <c r="B19" s="26">
        <v>7</v>
      </c>
      <c r="C19" s="26"/>
      <c r="D19" s="27">
        <f>'HARI 7'!D442</f>
        <v>0</v>
      </c>
      <c r="E19" s="27">
        <f>'HARI 7'!S442</f>
        <v>0</v>
      </c>
      <c r="F19" s="28">
        <f t="shared" si="0"/>
        <v>0</v>
      </c>
      <c r="H19" s="29">
        <f>'HARI 7'!D444</f>
        <v>0</v>
      </c>
      <c r="I19" s="29">
        <f>'HARI 7'!S444</f>
        <v>0</v>
      </c>
      <c r="K19" s="29">
        <f>'SALES SUMMARY'!J37</f>
        <v>0</v>
      </c>
      <c r="L19" s="29">
        <f>'HARI 7'!E397+'HARI 7'!T397</f>
        <v>0</v>
      </c>
      <c r="M19" s="29">
        <f>'HARI 7'!J396+'HARI 7'!Y396</f>
        <v>0</v>
      </c>
      <c r="N19" s="29">
        <f>'HARI 7'!J408+'HARI 7'!Y408</f>
        <v>0</v>
      </c>
      <c r="O19" s="29">
        <f>'HARI 7'!F418+'HARI 7'!U418</f>
        <v>0</v>
      </c>
      <c r="P19" s="29">
        <f>'HARI 7'!J420+'HARI 7'!Y420</f>
        <v>0</v>
      </c>
      <c r="R19" s="29">
        <f>'SALES SUMMARY'!K37</f>
        <v>0</v>
      </c>
      <c r="S19" s="29">
        <f>'HARI 7'!J397+'HARI 7'!Y397</f>
        <v>0</v>
      </c>
      <c r="T19" s="29">
        <f>'HARI 7'!J409+'HARI 7'!Y409</f>
        <v>0</v>
      </c>
      <c r="U19" s="29">
        <f>'HARI 7'!E413+'HARI 7'!T413</f>
        <v>0</v>
      </c>
      <c r="V19" s="29">
        <f>'HARI 7'!J421+'HARI 7'!Y421</f>
        <v>0</v>
      </c>
      <c r="X19" s="50">
        <f>'SALES SUMMARY'!L37</f>
        <v>0</v>
      </c>
      <c r="Y19" s="52" t="str">
        <f t="shared" si="1"/>
        <v/>
      </c>
      <c r="Z19" s="52" t="str">
        <f t="shared" si="2"/>
        <v/>
      </c>
    </row>
    <row r="20" ht="17.25" customHeight="1" spans="2:26">
      <c r="B20" s="30">
        <v>8</v>
      </c>
      <c r="C20" s="30"/>
      <c r="D20" s="31">
        <f>'HARI 8'!D442</f>
        <v>0</v>
      </c>
      <c r="E20" s="31">
        <f>'HARI 8'!S442</f>
        <v>0</v>
      </c>
      <c r="F20" s="32">
        <f t="shared" si="0"/>
        <v>0</v>
      </c>
      <c r="H20" s="33">
        <f>'HARI 8'!D444</f>
        <v>0</v>
      </c>
      <c r="I20" s="33">
        <f>'HARI 8'!S444</f>
        <v>0</v>
      </c>
      <c r="K20" s="33">
        <f>'SALES SUMMARY'!J38</f>
        <v>0</v>
      </c>
      <c r="L20" s="33">
        <f>'HARI 8'!E397+'HARI 8'!T397</f>
        <v>0</v>
      </c>
      <c r="M20" s="33">
        <f>'HARI 8'!J396+'HARI 8'!Y396</f>
        <v>0</v>
      </c>
      <c r="N20" s="33">
        <f>'HARI 8'!J408+'HARI 8'!Y408</f>
        <v>0</v>
      </c>
      <c r="O20" s="33">
        <f>'HARI 8'!F418+'HARI 8'!U418</f>
        <v>0</v>
      </c>
      <c r="P20" s="33">
        <f>'HARI 8'!J420+'HARI 8'!Y420</f>
        <v>0</v>
      </c>
      <c r="R20" s="33">
        <f>'SALES SUMMARY'!K38</f>
        <v>0</v>
      </c>
      <c r="S20" s="33">
        <f>'HARI 8'!J397+'HARI 8'!Y397</f>
        <v>0</v>
      </c>
      <c r="T20" s="33">
        <f>'HARI 8'!J409+'HARI 8'!Y409</f>
        <v>0</v>
      </c>
      <c r="U20" s="33">
        <f>'HARI 8'!E413+'HARI 8'!T413</f>
        <v>0</v>
      </c>
      <c r="V20" s="33">
        <f>'HARI 8'!J421+'HARI 8'!Y421</f>
        <v>0</v>
      </c>
      <c r="X20" s="51">
        <f>'SALES SUMMARY'!L38</f>
        <v>0</v>
      </c>
      <c r="Y20" s="52" t="str">
        <f t="shared" si="1"/>
        <v/>
      </c>
      <c r="Z20" s="52" t="str">
        <f t="shared" si="2"/>
        <v/>
      </c>
    </row>
    <row r="21" ht="17.25" customHeight="1" spans="2:26">
      <c r="B21" s="26">
        <v>9</v>
      </c>
      <c r="C21" s="26"/>
      <c r="D21" s="27">
        <f>'HARI 9'!D442</f>
        <v>0</v>
      </c>
      <c r="E21" s="27">
        <f>'HARI 9'!S442</f>
        <v>0</v>
      </c>
      <c r="F21" s="28">
        <f t="shared" si="0"/>
        <v>0</v>
      </c>
      <c r="H21" s="29">
        <f>'HARI 9'!D444</f>
        <v>0</v>
      </c>
      <c r="I21" s="29">
        <f>'HARI 9'!S444</f>
        <v>0</v>
      </c>
      <c r="K21" s="29">
        <f>'SALES SUMMARY'!J39</f>
        <v>0</v>
      </c>
      <c r="L21" s="29">
        <f>'HARI 9'!E397+'HARI 9'!T397</f>
        <v>0</v>
      </c>
      <c r="M21" s="29">
        <f>'HARI 9'!J396+'HARI 9'!Y396</f>
        <v>0</v>
      </c>
      <c r="N21" s="29">
        <f>'HARI 9'!J408+'HARI 9'!Y408</f>
        <v>0</v>
      </c>
      <c r="O21" s="29">
        <f>'HARI 9'!F418+'HARI 9'!U418</f>
        <v>0</v>
      </c>
      <c r="P21" s="29">
        <f>'HARI 9'!J420+'HARI 9'!Y420</f>
        <v>0</v>
      </c>
      <c r="R21" s="29">
        <f>'SALES SUMMARY'!K39</f>
        <v>0</v>
      </c>
      <c r="S21" s="29">
        <f>'HARI 9'!J397+'HARI 9'!Y397</f>
        <v>0</v>
      </c>
      <c r="T21" s="29">
        <f>'HARI 9'!J409+'HARI 9'!Y409</f>
        <v>0</v>
      </c>
      <c r="U21" s="29">
        <f>'HARI 9'!E413+'HARI 9'!T413</f>
        <v>0</v>
      </c>
      <c r="V21" s="29">
        <f>'HARI 9'!J421+'HARI 9'!Y421</f>
        <v>0</v>
      </c>
      <c r="X21" s="50">
        <f>'SALES SUMMARY'!L39</f>
        <v>0</v>
      </c>
      <c r="Y21" s="52" t="str">
        <f t="shared" si="1"/>
        <v/>
      </c>
      <c r="Z21" s="52" t="str">
        <f t="shared" si="2"/>
        <v/>
      </c>
    </row>
    <row r="22" ht="17.25" customHeight="1" spans="2:26">
      <c r="B22" s="30">
        <v>10</v>
      </c>
      <c r="C22" s="30"/>
      <c r="D22" s="31">
        <f>'HARI 10'!D442</f>
        <v>0</v>
      </c>
      <c r="E22" s="31">
        <f>'HARI 10'!S442</f>
        <v>0</v>
      </c>
      <c r="F22" s="32">
        <f t="shared" si="0"/>
        <v>0</v>
      </c>
      <c r="H22" s="33">
        <f>'HARI 10'!D444</f>
        <v>0</v>
      </c>
      <c r="I22" s="33">
        <f>'HARI 10'!S444</f>
        <v>0</v>
      </c>
      <c r="K22" s="33">
        <f>'SALES SUMMARY'!J40</f>
        <v>0</v>
      </c>
      <c r="L22" s="33">
        <f>'HARI 10'!E397+'HARI 10'!T397</f>
        <v>0</v>
      </c>
      <c r="M22" s="33">
        <f>'HARI 10'!J396+'HARI 10'!Y396</f>
        <v>0</v>
      </c>
      <c r="N22" s="33">
        <f>'HARI 10'!J408+'HARI 10'!Y408</f>
        <v>0</v>
      </c>
      <c r="O22" s="33">
        <f>'HARI 10'!F418+'HARI 10'!U418</f>
        <v>0</v>
      </c>
      <c r="P22" s="33">
        <f>'HARI 10'!J420+'HARI 10'!Y420</f>
        <v>0</v>
      </c>
      <c r="R22" s="33">
        <f>'SALES SUMMARY'!K40</f>
        <v>0</v>
      </c>
      <c r="S22" s="33">
        <f>'HARI 10'!J397+'HARI 10'!Y397</f>
        <v>0</v>
      </c>
      <c r="T22" s="33">
        <f>'HARI 10'!J409+'HARI 10'!Y409</f>
        <v>0</v>
      </c>
      <c r="U22" s="33">
        <f>'HARI 10'!E413+'HARI 10'!T413</f>
        <v>0</v>
      </c>
      <c r="V22" s="33">
        <f>'HARI 10'!J421+'HARI 10'!Y421</f>
        <v>0</v>
      </c>
      <c r="X22" s="51">
        <f>'SALES SUMMARY'!L40</f>
        <v>0</v>
      </c>
      <c r="Y22" s="52" t="str">
        <f t="shared" si="1"/>
        <v/>
      </c>
      <c r="Z22" s="52" t="str">
        <f t="shared" si="2"/>
        <v/>
      </c>
    </row>
    <row r="23" ht="17.25" customHeight="1" spans="2:26">
      <c r="B23" s="26">
        <v>11</v>
      </c>
      <c r="C23" s="26"/>
      <c r="D23" s="27">
        <f>'HARI 11'!D442</f>
        <v>0</v>
      </c>
      <c r="E23" s="27">
        <f>'HARI 11'!S442</f>
        <v>0</v>
      </c>
      <c r="F23" s="28">
        <f t="shared" si="0"/>
        <v>0</v>
      </c>
      <c r="H23" s="29">
        <f>'HARI 11'!D444</f>
        <v>0</v>
      </c>
      <c r="I23" s="29">
        <f>'HARI 11'!S444</f>
        <v>0</v>
      </c>
      <c r="K23" s="29">
        <f>'SALES SUMMARY'!J41</f>
        <v>0</v>
      </c>
      <c r="L23" s="29">
        <f>'HARI 11'!E397+'HARI 11'!T397</f>
        <v>0</v>
      </c>
      <c r="M23" s="29">
        <f>'HARI 11'!J396+'HARI 11'!Y396</f>
        <v>0</v>
      </c>
      <c r="N23" s="29">
        <f>'HARI 11'!J408+'HARI 11'!Y408</f>
        <v>0</v>
      </c>
      <c r="O23" s="29">
        <f>'HARI 11'!F418+'HARI 11'!U418</f>
        <v>0</v>
      </c>
      <c r="P23" s="29">
        <f>'HARI 11'!J420+'HARI 11'!Y420</f>
        <v>0</v>
      </c>
      <c r="R23" s="29">
        <f>'SALES SUMMARY'!K41</f>
        <v>0</v>
      </c>
      <c r="S23" s="29">
        <f>'HARI 11'!J397+'HARI 11'!Y397</f>
        <v>0</v>
      </c>
      <c r="T23" s="29">
        <f>'HARI 11'!J409+'HARI 11'!Y409</f>
        <v>0</v>
      </c>
      <c r="U23" s="29">
        <f>'HARI 11'!E413+'HARI 11'!T413</f>
        <v>0</v>
      </c>
      <c r="V23" s="29">
        <f>'HARI 11'!J421+'HARI 11'!Y421</f>
        <v>0</v>
      </c>
      <c r="X23" s="50">
        <f>'SALES SUMMARY'!L41</f>
        <v>0</v>
      </c>
      <c r="Y23" s="52" t="str">
        <f t="shared" si="1"/>
        <v/>
      </c>
      <c r="Z23" s="52" t="str">
        <f t="shared" si="2"/>
        <v/>
      </c>
    </row>
    <row r="24" ht="17.25" customHeight="1" spans="2:24">
      <c r="B24" s="34" t="s">
        <v>141</v>
      </c>
      <c r="C24" s="34"/>
      <c r="D24" s="35">
        <f>SUM(D13:D23)</f>
        <v>1219000</v>
      </c>
      <c r="E24" s="36">
        <f>SUM(E13:E23)</f>
        <v>760500</v>
      </c>
      <c r="F24" s="37">
        <f>SUM(F13:F23)</f>
        <v>1979500</v>
      </c>
      <c r="H24" s="38">
        <f>SUM(H13:H23)</f>
        <v>0</v>
      </c>
      <c r="I24" s="46">
        <f>SUM(I13:I23)</f>
        <v>1000</v>
      </c>
      <c r="K24" s="36">
        <f t="shared" ref="K24:P24" si="3">SUM(K13:K23)</f>
        <v>1978500</v>
      </c>
      <c r="L24" s="47">
        <f t="shared" si="3"/>
        <v>0</v>
      </c>
      <c r="M24" s="48">
        <f t="shared" si="3"/>
        <v>0</v>
      </c>
      <c r="N24" s="38">
        <f t="shared" si="3"/>
        <v>0</v>
      </c>
      <c r="O24" s="49">
        <f t="shared" si="3"/>
        <v>0</v>
      </c>
      <c r="P24" s="46">
        <f t="shared" si="3"/>
        <v>0</v>
      </c>
      <c r="R24" s="36">
        <f>SUM(R13:R23)</f>
        <v>0</v>
      </c>
      <c r="S24" s="48">
        <f>SUM(S13:S23)</f>
        <v>0</v>
      </c>
      <c r="T24" s="38">
        <f>SUM(T13:T23)</f>
        <v>0</v>
      </c>
      <c r="U24" s="49">
        <f>SUM(U13:U23)</f>
        <v>0</v>
      </c>
      <c r="V24" s="46">
        <f>SUM(V13:V23)</f>
        <v>0</v>
      </c>
      <c r="X24" s="37">
        <f>SUM(X13:X23)</f>
        <v>1978500</v>
      </c>
    </row>
  </sheetData>
  <sheetProtection algorithmName="SHA-512" hashValue="fpTzzKi/SaRgyjB0VGaguRuJ+iPByLX7ElNbKq79T+naJS3fn2k99TXM32iRmbb4ezIxSqsWs3qsRjWVLLtDLg==" saltValue="C240Qm9mSuhGWx0Vw5M3Aw==" spinCount="100000" sheet="1" objects="1" scenarios="1"/>
  <mergeCells count="18">
    <mergeCell ref="D11:F11"/>
    <mergeCell ref="H11:I11"/>
    <mergeCell ref="K11:P11"/>
    <mergeCell ref="R11:V11"/>
    <mergeCell ref="X11:Z11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11:C12"/>
  </mergeCells>
  <conditionalFormatting sqref="Y13:Y23">
    <cfRule type="containsText" dxfId="1597" priority="1" operator="between" text="BALANCE">
      <formula>NOT(ISERROR(SEARCH("BALANCE",Y13)))</formula>
    </cfRule>
    <cfRule type="containsText" dxfId="1598" priority="4" stopIfTrue="1" operator="between" text="CEK LAGI HUHU">
      <formula>NOT(ISERROR(SEARCH("CEK LAGI HUHU",Y13)))</formula>
    </cfRule>
    <cfRule type="containsText" dxfId="1599" priority="5" operator="between" text="BALANCE">
      <formula>NOT(ISERROR(SEARCH("BALANCE",Y13)))</formula>
    </cfRule>
  </conditionalFormatting>
  <conditionalFormatting sqref="Z13:Z23">
    <cfRule type="containsText" dxfId="1600" priority="2" stopIfTrue="1" operator="between" text="CEK LAGI HUHU">
      <formula>NOT(ISERROR(SEARCH("CEK LAGI HUHU",Z13)))</formula>
    </cfRule>
    <cfRule type="containsText" dxfId="1599" priority="3" operator="between" text="BALANCE">
      <formula>NOT(ISERROR(SEARCH("BALANCE",Z13)))</formula>
    </cfRule>
  </conditionalFormatting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25"/>
  <sheetViews>
    <sheetView showGridLines="0" workbookViewId="0">
      <selection activeCell="R384" sqref="R384:R385"/>
    </sheetView>
  </sheetViews>
  <sheetFormatPr defaultColWidth="8.84166666666667" defaultRowHeight="20.1" customHeight="1"/>
  <cols>
    <col min="1" max="1" width="8.84166666666667" style="1"/>
    <col min="2" max="3" width="5.85" style="1" customWidth="1"/>
    <col min="4" max="7" width="20.8" style="1" customWidth="1"/>
    <col min="8" max="8" width="8.84166666666667" style="1"/>
    <col min="9" max="10" width="15.8583333333333" style="1" customWidth="1"/>
    <col min="11" max="12" width="10.7916666666667" style="1" customWidth="1"/>
    <col min="13" max="16384" width="8.84166666666667" style="1"/>
  </cols>
  <sheetData>
    <row r="1" ht="16.5"/>
    <row r="2" ht="16.5"/>
    <row r="3" ht="16.5"/>
    <row r="4" ht="16.5"/>
    <row r="5" ht="16.5"/>
    <row r="6" ht="16.5"/>
    <row r="7" ht="16.5"/>
    <row r="8" ht="16.5"/>
    <row r="9" ht="16.5"/>
    <row r="10" ht="16.5"/>
    <row r="12" customHeight="1" spans="2:7">
      <c r="B12" s="2" t="s">
        <v>267</v>
      </c>
      <c r="C12" s="3"/>
      <c r="D12" s="4" t="s">
        <v>589</v>
      </c>
      <c r="E12" s="2"/>
      <c r="F12" s="2"/>
      <c r="G12" s="2"/>
    </row>
    <row r="13" customHeight="1" spans="2:7">
      <c r="B13" s="2"/>
      <c r="C13" s="3"/>
      <c r="D13" s="5" t="s">
        <v>578</v>
      </c>
      <c r="E13" s="6"/>
      <c r="F13" s="7" t="s">
        <v>579</v>
      </c>
      <c r="G13" s="8"/>
    </row>
    <row r="14" customHeight="1" spans="2:10">
      <c r="B14" s="9"/>
      <c r="C14" s="10"/>
      <c r="D14" s="11" t="s">
        <v>124</v>
      </c>
      <c r="E14" s="11" t="s">
        <v>121</v>
      </c>
      <c r="F14" s="11" t="s">
        <v>124</v>
      </c>
      <c r="G14" s="11" t="s">
        <v>121</v>
      </c>
      <c r="I14" s="16" t="s">
        <v>312</v>
      </c>
      <c r="J14" s="17" t="s">
        <v>590</v>
      </c>
    </row>
    <row r="15" customHeight="1" spans="2:10">
      <c r="B15" s="12">
        <v>1</v>
      </c>
      <c r="C15" s="12"/>
      <c r="D15" s="13" t="str">
        <f>IF('HARI 1'!$C$384="SHIFTER 1","",'HARI 1'!$C$384)</f>
        <v>GINA</v>
      </c>
      <c r="E15" s="13" t="str">
        <f>IF('HARI 1'!$D$384="SHIFTER 2","",'HARI 1'!$D$384)</f>
        <v/>
      </c>
      <c r="F15" s="13" t="str">
        <f>IF('HARI 1'!$R$384="SHIFTER 1","",'HARI 1'!$R$384)</f>
        <v/>
      </c>
      <c r="G15" s="13">
        <f>IF('HARI 1'!$S$384="SHIFTER 2","",'HARI 1'!$S$384)</f>
        <v>0</v>
      </c>
      <c r="I15" s="18" t="s">
        <v>323</v>
      </c>
      <c r="J15" s="18">
        <f>COUNTIF($D$15:$G$25,I15)</f>
        <v>0</v>
      </c>
    </row>
    <row r="16" customHeight="1" spans="2:10">
      <c r="B16" s="14">
        <v>2</v>
      </c>
      <c r="C16" s="14"/>
      <c r="D16" s="15" t="str">
        <f>IF('HARI 2'!$C$384="SHIFTER 1","",'HARI 2'!$C$384)</f>
        <v>GINA</v>
      </c>
      <c r="E16" s="15" t="str">
        <f>IF('HARI 2'!$D$384="SHIFTER 2","",'HARI 2'!$D$384)</f>
        <v/>
      </c>
      <c r="F16" s="15" t="str">
        <f>IF('HARI 2'!$R$384="SHIFTER 1","",'HARI 2'!$R$384)</f>
        <v/>
      </c>
      <c r="G16" s="15" t="str">
        <f>IF('HARI 2'!$S$384="SHIFTER 2","",'HARI 2'!$S$384)</f>
        <v/>
      </c>
      <c r="I16" s="18" t="s">
        <v>330</v>
      </c>
      <c r="J16" s="18">
        <f t="shared" ref="J16:J23" si="0">COUNTIF($D$15:$G$25,I16)</f>
        <v>0</v>
      </c>
    </row>
    <row r="17" customHeight="1" spans="2:10">
      <c r="B17" s="12">
        <v>3</v>
      </c>
      <c r="C17" s="12"/>
      <c r="D17" s="13" t="str">
        <f>IF('HARI 3'!$C$384="SHIFTER 1","",'HARI 3'!$C$384)</f>
        <v/>
      </c>
      <c r="E17" s="13" t="str">
        <f>IF('HARI 3'!$D$384="SHIFTER 2","",'HARI 3'!$D$384)</f>
        <v/>
      </c>
      <c r="F17" s="13" t="str">
        <f>IF('HARI 3'!$R$384="SHIFTER 1","",'HARI 3'!$R$384)</f>
        <v/>
      </c>
      <c r="G17" s="13" t="str">
        <f>IF('HARI 3'!$S$384="SHIFTER 2","",'HARI 3'!$S$384)</f>
        <v/>
      </c>
      <c r="I17" s="18" t="s">
        <v>336</v>
      </c>
      <c r="J17" s="18">
        <f t="shared" si="0"/>
        <v>0</v>
      </c>
    </row>
    <row r="18" customHeight="1" spans="2:10">
      <c r="B18" s="14">
        <v>4</v>
      </c>
      <c r="C18" s="14"/>
      <c r="D18" s="15" t="str">
        <f>IF('HARI 4'!$C$384="SHIFTER 1","",'HARI 4'!$C$384)</f>
        <v/>
      </c>
      <c r="E18" s="15" t="str">
        <f>IF('HARI 4'!$D$384="SHIFTER 2","",'HARI 4'!$D$384)</f>
        <v/>
      </c>
      <c r="F18" s="15" t="str">
        <f>IF('HARI 4'!$R$384="SHIFTER 1","",'HARI 4'!$R$384)</f>
        <v/>
      </c>
      <c r="G18" s="15" t="str">
        <f>IF('HARI 4'!$S$384="SHIFTER 2","",'HARI 4'!$S$384)</f>
        <v/>
      </c>
      <c r="I18" s="18" t="s">
        <v>342</v>
      </c>
      <c r="J18" s="18">
        <f t="shared" si="0"/>
        <v>0</v>
      </c>
    </row>
    <row r="19" customHeight="1" spans="2:10">
      <c r="B19" s="12">
        <v>5</v>
      </c>
      <c r="C19" s="12"/>
      <c r="D19" s="13" t="str">
        <f>IF('HARI 5'!$C$384="SHIFTER 1","",'HARI 5'!$C$384)</f>
        <v/>
      </c>
      <c r="E19" s="13" t="str">
        <f>IF('HARI 5'!$D$384="SHIFTER 2","",'HARI 5'!$D$384)</f>
        <v/>
      </c>
      <c r="F19" s="13" t="str">
        <f>IF('HARI 5'!$R$384="SHIFTER 1","",'HARI 5'!$R$384)</f>
        <v/>
      </c>
      <c r="G19" s="13" t="str">
        <f>IF('HARI 5'!$S$384="SHIFTER 2","",'HARI 5'!$S$384)</f>
        <v/>
      </c>
      <c r="I19" s="18" t="s">
        <v>120</v>
      </c>
      <c r="J19" s="18">
        <f t="shared" si="0"/>
        <v>2</v>
      </c>
    </row>
    <row r="20" customHeight="1" spans="2:10">
      <c r="B20" s="14">
        <v>6</v>
      </c>
      <c r="C20" s="14"/>
      <c r="D20" s="15" t="str">
        <f>IF('HARI 6'!$C$384="SHIFTER 1","",'HARI 6'!$C$384)</f>
        <v/>
      </c>
      <c r="E20" s="15" t="str">
        <f>IF('HARI 6'!$D$384="SHIFTER 2","",'HARI 6'!$D$384)</f>
        <v/>
      </c>
      <c r="F20" s="15" t="str">
        <f>IF('HARI 6'!$R$384="SHIFTER 1","",'HARI 6'!$R$384)</f>
        <v/>
      </c>
      <c r="G20" s="15" t="str">
        <f>IF('HARI 6'!$S$384="SHIFTER 2","",'HARI 6'!$S$384)</f>
        <v/>
      </c>
      <c r="I20" s="18" t="s">
        <v>351</v>
      </c>
      <c r="J20" s="18">
        <f t="shared" si="0"/>
        <v>0</v>
      </c>
    </row>
    <row r="21" customHeight="1" spans="2:10">
      <c r="B21" s="12">
        <v>7</v>
      </c>
      <c r="C21" s="12"/>
      <c r="D21" s="13" t="str">
        <f>IF('HARI 7'!$C$384="SHIFTER 1","",'HARI 7'!$C$384)</f>
        <v/>
      </c>
      <c r="E21" s="13" t="str">
        <f>IF('HARI 7'!$D$384="SHIFTER 2","",'HARI 7'!$D$384)</f>
        <v/>
      </c>
      <c r="F21" s="13" t="str">
        <f>IF('HARI 7'!$R$384="SHIFTER 1","",'HARI 7'!$R$384)</f>
        <v/>
      </c>
      <c r="G21" s="13" t="str">
        <f>IF('HARI 7'!$S$384="SHIFTER 2","",'HARI 7'!$S$384)</f>
        <v/>
      </c>
      <c r="I21" s="18" t="s">
        <v>357</v>
      </c>
      <c r="J21" s="18">
        <f t="shared" si="0"/>
        <v>0</v>
      </c>
    </row>
    <row r="22" customHeight="1" spans="2:10">
      <c r="B22" s="14">
        <v>8</v>
      </c>
      <c r="C22" s="14"/>
      <c r="D22" s="15" t="str">
        <f>IF('HARI 8'!$C$384="SHIFTER 1","",'HARI 8'!$C$384)</f>
        <v/>
      </c>
      <c r="E22" s="15" t="str">
        <f>IF('HARI 8'!$D$384="SHIFTER 2","",'HARI 8'!$D$384)</f>
        <v/>
      </c>
      <c r="F22" s="15" t="str">
        <f>IF('HARI 8'!$R$384="SHIFTER 1","",'HARI 8'!$R$384)</f>
        <v/>
      </c>
      <c r="G22" s="15" t="str">
        <f>IF('HARI 8'!$S$384="SHIFTER 2","",'HARI 8'!$S$384)</f>
        <v/>
      </c>
      <c r="I22" s="18" t="s">
        <v>361</v>
      </c>
      <c r="J22" s="18">
        <f t="shared" si="0"/>
        <v>0</v>
      </c>
    </row>
    <row r="23" customHeight="1" spans="2:10">
      <c r="B23" s="12">
        <v>9</v>
      </c>
      <c r="C23" s="12"/>
      <c r="D23" s="13" t="str">
        <f>IF('HARI 9'!$C$384="SHIFTER 1","",'HARI 9'!$C$384)</f>
        <v/>
      </c>
      <c r="E23" s="13" t="str">
        <f>IF('HARI 9'!$D$384="SHIFTER 2","",'HARI 9'!$D$384)</f>
        <v/>
      </c>
      <c r="F23" s="13" t="str">
        <f>IF('HARI 9'!$R$384="SHIFTER 1","",'HARI 9'!$R$384)</f>
        <v/>
      </c>
      <c r="G23" s="13" t="str">
        <f>IF('HARI 9'!$S$384="SHIFTER 2","",'HARI 9'!$S$384)</f>
        <v/>
      </c>
      <c r="I23" s="18" t="s">
        <v>367</v>
      </c>
      <c r="J23" s="18">
        <f t="shared" si="0"/>
        <v>0</v>
      </c>
    </row>
    <row r="24" customHeight="1" spans="2:10">
      <c r="B24" s="14">
        <v>10</v>
      </c>
      <c r="C24" s="14"/>
      <c r="D24" s="15" t="str">
        <f>IF('HARI 10'!$C$384="SHIFTER 1","",'HARI 10'!$C$384)</f>
        <v/>
      </c>
      <c r="E24" s="15" t="str">
        <f>IF('HARI 10'!$D$384="SHIFTER 2","",'HARI 10'!$D$384)</f>
        <v/>
      </c>
      <c r="F24" s="15" t="str">
        <f>IF('HARI 10'!$R$384="SHIFTER 1","",'HARI 10'!$R$384)</f>
        <v/>
      </c>
      <c r="G24" s="15" t="str">
        <f>IF('HARI 10'!$S$384="SHIFTER 2","",'HARI 10'!$S$384)</f>
        <v/>
      </c>
      <c r="I24" s="19" t="s">
        <v>141</v>
      </c>
      <c r="J24" s="20">
        <f>SUM(J15:J23)</f>
        <v>2</v>
      </c>
    </row>
    <row r="25" customHeight="1" spans="2:7">
      <c r="B25" s="12">
        <v>11</v>
      </c>
      <c r="C25" s="12"/>
      <c r="D25" s="13" t="str">
        <f>IF('HARI 11'!$C$384="SHIFTER 1","",'HARI 11'!$C$384)</f>
        <v/>
      </c>
      <c r="E25" s="13" t="str">
        <f>IF('HARI 11'!$D$384="SHIFTER 2","",'HARI 11'!$D$384)</f>
        <v/>
      </c>
      <c r="F25" s="13" t="str">
        <f>IF('HARI 11'!$R$384="SHIFTER 1","",'HARI 11'!$R$384)</f>
        <v/>
      </c>
      <c r="G25" s="13" t="str">
        <f>IF('HARI 11'!$S$384="SHIFTER 2","",'HARI 11'!$S$384)</f>
        <v/>
      </c>
    </row>
  </sheetData>
  <sheetProtection algorithmName="SHA-512" hashValue="GOH7DRbX9OX2eLPRVPViE0Gb9FbWDTwryV1sU3583YMUDA3zUH/sRd7kKt6K7u7Q4d0IcA13GKpkkHMvxwK3pw==" saltValue="/wSYncxsUlbXHp5bcAqktA==" spinCount="100000" sheet="1" objects="1" scenarios="1"/>
  <mergeCells count="15">
    <mergeCell ref="D12:G12"/>
    <mergeCell ref="D13:E13"/>
    <mergeCell ref="F13:G13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12:C14"/>
  </mergeCells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5" master="" otherUserPermission="visible"/>
  <rangeList sheetStid="1" master="" otherUserPermission="visible"/>
  <rangeList sheetStid="6" master="" otherUserPermission="visible"/>
  <rangeList sheetStid="7" master="" otherUserPermission="visible"/>
  <rangeList sheetStid="8" master="" otherUserPermission="visible"/>
  <rangeList sheetStid="9" master="" otherUserPermission="visible"/>
  <rangeList sheetStid="10" master="" otherUserPermission="visible"/>
  <rangeList sheetStid="11" master="" otherUserPermission="visible"/>
  <rangeList sheetStid="12" master="" otherUserPermission="visible"/>
  <rangeList sheetStid="13" master="" otherUserPermission="visible"/>
  <rangeList sheetStid="14" master="" otherUserPermission="visible"/>
  <rangeList sheetStid="15" master="" otherUserPermission="visible"/>
  <rangeList sheetStid="19" master="" otherUserPermission="visible"/>
  <rangeList sheetStid="17" master="" otherUserPermission="visible"/>
  <rangeList sheetStid="4" master="" otherUserPermission="visible"/>
  <rangeList sheetStid="20" master="" otherUserPermission="visible"/>
  <rangeList sheetStid="21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INITIAL</vt:lpstr>
      <vt:lpstr>HARI 1</vt:lpstr>
      <vt:lpstr>HARI 2</vt:lpstr>
      <vt:lpstr>HARI 3</vt:lpstr>
      <vt:lpstr>HARI 4</vt:lpstr>
      <vt:lpstr>HARI 5</vt:lpstr>
      <vt:lpstr>HARI 6</vt:lpstr>
      <vt:lpstr>HARI 7</vt:lpstr>
      <vt:lpstr>HARI 8</vt:lpstr>
      <vt:lpstr>HARI 9</vt:lpstr>
      <vt:lpstr>HARI 10</vt:lpstr>
      <vt:lpstr>HARI 11</vt:lpstr>
      <vt:lpstr>SALES SUMMARY</vt:lpstr>
      <vt:lpstr>INVENTORY RECAP</vt:lpstr>
      <vt:lpstr>DATA PRODUK</vt:lpstr>
      <vt:lpstr>SPV RECAP</vt:lpstr>
      <vt:lpstr>SHIFT RECAP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Risang Arie</dc:creator>
  <cp:lastModifiedBy>bertr</cp:lastModifiedBy>
  <dcterms:created xsi:type="dcterms:W3CDTF">2023-09-17T12:09:00Z</dcterms:created>
  <dcterms:modified xsi:type="dcterms:W3CDTF">2025-05-15T13:43:13Z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1B99FCB8612B476B9A6CA31A1D6EA898_12</vt:lpwstr>
  </property>
  <property fmtid="{D5CDD505-2E9C-101B-9397-08002B2CF9AE}" pid="3" name="KSOProductBuildVer">
    <vt:lpwstr>1033-12.2.0.21179</vt:lpwstr>
  </property>
</Properties>
</file>