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9"/>
  <sheetViews>
    <sheetView workbookViewId="0">
      <selection activeCell="A1" sqref="A1"/>
    </sheetView>
  </sheetViews>
  <sheetFormatPr baseColWidth="8" defaultRowHeight="15"/>
  <cols>
    <col width="13" customWidth="1" min="1" max="1"/>
    <col width="19" customWidth="1" min="2" max="2"/>
    <col width="11" customWidth="1" min="3" max="3"/>
    <col width="6" customWidth="1" min="4" max="4"/>
    <col width="44" customWidth="1" min="5" max="5"/>
    <col width="11" customWidth="1" min="6" max="6"/>
    <col width="6" customWidth="1" min="7" max="7"/>
    <col width="34" customWidth="1" min="8" max="8"/>
    <col width="16" customWidth="1" min="9" max="9"/>
    <col width="8" customWidth="1" min="10" max="10"/>
    <col width="109" customWidth="1" min="11" max="11"/>
    <col width="6" customWidth="1" min="12" max="12"/>
    <col width="8" customWidth="1" min="13" max="13"/>
    <col width="10" customWidth="1" min="14" max="14"/>
    <col width="38" customWidth="1" min="15" max="15"/>
    <col width="28" customWidth="1" min="16" max="16"/>
    <col width="103" customWidth="1" min="17" max="17"/>
    <col width="6" customWidth="1" min="18" max="18"/>
    <col width="24" customWidth="1" min="19" max="19"/>
    <col width="9" customWidth="1" min="20" max="20"/>
  </cols>
  <sheetData>
    <row r="1">
      <c r="A1" t="inlineStr">
        <is>
          <t>Beneficiary</t>
        </is>
      </c>
      <c r="B1" t="inlineStr">
        <is>
          <t>Country of Source</t>
        </is>
      </c>
      <c r="C1" t="inlineStr">
        <is>
          <t>SALE</t>
        </is>
      </c>
      <c r="D1" t="inlineStr"/>
      <c r="E1" t="inlineStr"/>
      <c r="F1" t="inlineStr">
        <is>
          <t>PURCHASE</t>
        </is>
      </c>
      <c r="G1" t="inlineStr"/>
      <c r="H1" t="inlineStr"/>
      <c r="I1" t="inlineStr">
        <is>
          <t>WITHOLDING TAX</t>
        </is>
      </c>
      <c r="J1" t="inlineStr"/>
      <c r="K1" t="inlineStr">
        <is>
          <t>Expenses incurred with obtaining the capital gains</t>
        </is>
      </c>
      <c r="L1" t="inlineStr"/>
      <c r="M1" t="inlineStr">
        <is>
          <t>Symbol</t>
        </is>
      </c>
      <c r="N1" t="inlineStr">
        <is>
          <t>Currency</t>
        </is>
      </c>
      <c r="O1" t="inlineStr">
        <is>
          <t>Sale amount</t>
        </is>
      </c>
      <c r="P1" t="inlineStr">
        <is>
          <t>Buy amount</t>
        </is>
      </c>
      <c r="Q1" t="inlineStr">
        <is>
          <t>Expenses amount</t>
        </is>
      </c>
      <c r="S1" t="inlineStr">
        <is>
          <t>Currency exchange rate</t>
        </is>
      </c>
    </row>
    <row r="2">
      <c r="A2" t="inlineStr"/>
      <c r="B2" t="inlineStr"/>
      <c r="C2" t="inlineStr">
        <is>
          <t xml:space="preserve">Month </t>
        </is>
      </c>
      <c r="D2" t="inlineStr">
        <is>
          <t>Year</t>
        </is>
      </c>
      <c r="E2" t="inlineStr">
        <is>
          <t>Amount</t>
        </is>
      </c>
      <c r="F2" t="inlineStr">
        <is>
          <t xml:space="preserve">Month </t>
        </is>
      </c>
      <c r="G2" t="inlineStr">
        <is>
          <t>Year</t>
        </is>
      </c>
      <c r="H2" t="inlineStr">
        <is>
          <t>Amount</t>
        </is>
      </c>
      <c r="I2" t="inlineStr">
        <is>
          <t>Country</t>
        </is>
      </c>
      <c r="J2" t="inlineStr">
        <is>
          <t>Amount</t>
        </is>
      </c>
      <c r="K2" t="inlineStr"/>
      <c r="L2" t="inlineStr"/>
      <c r="M2" t="inlineStr"/>
      <c r="N2" t="inlineStr"/>
      <c r="O2" t="inlineStr"/>
      <c r="P2" t="inlineStr"/>
      <c r="Q2" t="inlineStr"/>
      <c r="S2" t="inlineStr">
        <is>
          <t>EUR/CAD</t>
        </is>
      </c>
      <c r="T2" t="inlineStr">
        <is>
          <t>0.69478</t>
        </is>
      </c>
    </row>
    <row r="3">
      <c r="C3" t="inlineStr">
        <is>
          <t>June</t>
        </is>
      </c>
      <c r="D3" t="n">
        <v>2021</v>
      </c>
      <c r="E3">
        <f>T2*(0+30*11.26)</f>
        <v/>
      </c>
      <c r="F3" t="inlineStr">
        <is>
          <t>June</t>
        </is>
      </c>
      <c r="G3" t="n">
        <v>2021</v>
      </c>
      <c r="H3">
        <f>T2*(0+30*12.1)</f>
        <v/>
      </c>
      <c r="K3">
        <f>T2*(0+30*1.0384/30+30*1.0894/30)</f>
        <v/>
      </c>
      <c r="M3" t="inlineStr">
        <is>
          <t>ACB</t>
        </is>
      </c>
      <c r="N3" t="inlineStr">
        <is>
          <t>CAD</t>
        </is>
      </c>
      <c r="O3" s="1" t="inlineStr">
        <is>
          <t>0+30*11.26</t>
        </is>
      </c>
      <c r="P3" s="1" t="inlineStr">
        <is>
          <t>0+30*12.1</t>
        </is>
      </c>
      <c r="Q3" s="1" t="inlineStr">
        <is>
          <t>0+30*1.0384/30+30*1.0894/30</t>
        </is>
      </c>
      <c r="S3" t="inlineStr">
        <is>
          <t>EUR/USD</t>
        </is>
      </c>
      <c r="T3" t="inlineStr">
        <is>
          <t>0.88292</t>
        </is>
      </c>
    </row>
    <row r="4">
      <c r="C4" t="inlineStr">
        <is>
          <t>July</t>
        </is>
      </c>
      <c r="D4" t="n">
        <v>2021</v>
      </c>
      <c r="E4">
        <f>T7*(0+20*8.372+20*8.396)</f>
        <v/>
      </c>
      <c r="F4" t="inlineStr">
        <is>
          <t>May</t>
        </is>
      </c>
      <c r="G4" t="n">
        <v>2021</v>
      </c>
      <c r="H4">
        <f>T7*(0+20*10.56+20*9.472)</f>
        <v/>
      </c>
      <c r="K4">
        <f>T7*(0+20*1.25/20+20*1.8916792/20+20*1.892112/20+20*1.8918944/20)</f>
        <v/>
      </c>
      <c r="M4" t="inlineStr">
        <is>
          <t>TKAd</t>
        </is>
      </c>
      <c r="N4" t="inlineStr">
        <is>
          <t>EUR</t>
        </is>
      </c>
      <c r="O4" s="1" t="inlineStr">
        <is>
          <t>0+20*8.372+20*8.396</t>
        </is>
      </c>
      <c r="P4" s="1" t="inlineStr">
        <is>
          <t>0+20*10.56+20*9.472</t>
        </is>
      </c>
      <c r="Q4" s="1" t="inlineStr">
        <is>
          <t>0+20*1.25/20+20*1.8916792/20+20*1.892112/20+20*1.8918944/20</t>
        </is>
      </c>
      <c r="S4" t="inlineStr">
        <is>
          <t>EUR/GBP</t>
        </is>
      </c>
      <c r="T4" t="inlineStr">
        <is>
          <t>1.19008</t>
        </is>
      </c>
    </row>
    <row r="5">
      <c r="C5" t="inlineStr">
        <is>
          <t>July</t>
        </is>
      </c>
      <c r="D5" t="n">
        <v>2021</v>
      </c>
      <c r="E5">
        <f>T4*(0+10*29.91+10*30.96)</f>
        <v/>
      </c>
      <c r="F5" t="inlineStr">
        <is>
          <t>May</t>
        </is>
      </c>
      <c r="G5" t="n">
        <v>2021</v>
      </c>
      <c r="H5">
        <f>T4*(0+5*32.61+10*32.51+5*32.42)</f>
        <v/>
      </c>
      <c r="K5">
        <f>T4*(0+10*1.17/10+10*1.17/10+5*1.98525/5+10*2.8555/10+5*1.9805/5)</f>
        <v/>
      </c>
      <c r="M5" t="inlineStr">
        <is>
          <t>AALl</t>
        </is>
      </c>
      <c r="N5" t="inlineStr">
        <is>
          <t>GBP</t>
        </is>
      </c>
      <c r="O5" s="1" t="inlineStr">
        <is>
          <t>0+10*29.91+10*30.96</t>
        </is>
      </c>
      <c r="P5" s="1" t="inlineStr">
        <is>
          <t>0+5*32.61+10*32.51+5*32.42</t>
        </is>
      </c>
      <c r="Q5" s="1" t="inlineStr">
        <is>
          <t>0+10*1.17/10+10*1.17/10+5*1.98525/5+10*2.8555/10+5*1.9805/5</t>
        </is>
      </c>
      <c r="S5" t="inlineStr">
        <is>
          <t>EUR/HKD</t>
        </is>
      </c>
      <c r="T5" t="inlineStr">
        <is>
          <t>0.11321</t>
        </is>
      </c>
    </row>
    <row r="6">
      <c r="C6" t="inlineStr">
        <is>
          <t>August</t>
        </is>
      </c>
      <c r="D6" t="n">
        <v>2021</v>
      </c>
      <c r="E6">
        <f>T4*(0+10*33.675)</f>
        <v/>
      </c>
      <c r="F6" t="inlineStr">
        <is>
          <t>July</t>
        </is>
      </c>
      <c r="G6" t="n">
        <v>2021</v>
      </c>
      <c r="H6">
        <f>T4*(0+10*27.33)</f>
        <v/>
      </c>
      <c r="K6">
        <f>T4*(0+10*1.17/10+10*2.5365/10)</f>
        <v/>
      </c>
      <c r="M6" t="inlineStr">
        <is>
          <t>AALl</t>
        </is>
      </c>
      <c r="N6" t="inlineStr">
        <is>
          <t>GBP</t>
        </is>
      </c>
      <c r="O6" s="1" t="inlineStr">
        <is>
          <t>0+10*33.675</t>
        </is>
      </c>
      <c r="P6" s="1" t="inlineStr">
        <is>
          <t>0+10*27.33</t>
        </is>
      </c>
      <c r="Q6" s="1" t="inlineStr">
        <is>
          <t>0+10*1.17/10+10*2.5365/10</t>
        </is>
      </c>
      <c r="S6" t="inlineStr">
        <is>
          <t>EUR/PLN</t>
        </is>
      </c>
      <c r="T6" t="inlineStr">
        <is>
          <t>0.21754</t>
        </is>
      </c>
    </row>
    <row r="7">
      <c r="C7" t="inlineStr">
        <is>
          <t>September</t>
        </is>
      </c>
      <c r="D7" t="n">
        <v>2021</v>
      </c>
      <c r="E7">
        <f>T4*(0+500*0.242+500*0.25)</f>
        <v/>
      </c>
      <c r="F7" t="inlineStr">
        <is>
          <t>June</t>
        </is>
      </c>
      <c r="G7" t="n">
        <v>2021</v>
      </c>
      <c r="H7">
        <f>T4*(0+1000*0.2126)</f>
        <v/>
      </c>
      <c r="K7">
        <f>T4*(0+500*1.17/500+500*1.17/500+1000*1.17/1000)</f>
        <v/>
      </c>
      <c r="M7" t="inlineStr">
        <is>
          <t>EUA</t>
        </is>
      </c>
      <c r="N7" t="inlineStr">
        <is>
          <t>GBP</t>
        </is>
      </c>
      <c r="O7" s="1" t="inlineStr">
        <is>
          <t>0+500*0.242+500*0.25</t>
        </is>
      </c>
      <c r="P7" s="1" t="inlineStr">
        <is>
          <t>0+1000*0.2126</t>
        </is>
      </c>
      <c r="Q7" s="1" t="inlineStr">
        <is>
          <t>0+500*1.17/500+500*1.17/500+1000*1.17/1000</t>
        </is>
      </c>
      <c r="S7" t="inlineStr">
        <is>
          <t>EUR/EUR</t>
        </is>
      </c>
      <c r="T7" t="inlineStr">
        <is>
          <t>1</t>
        </is>
      </c>
    </row>
    <row r="8">
      <c r="C8" t="inlineStr">
        <is>
          <t>September</t>
        </is>
      </c>
      <c r="D8" t="n">
        <v>2021</v>
      </c>
      <c r="E8">
        <f>T4*(0+1000*0.284+100*0.301+400*0.31)</f>
        <v/>
      </c>
      <c r="F8" t="inlineStr">
        <is>
          <t>July</t>
        </is>
      </c>
      <c r="G8" t="n">
        <v>2021</v>
      </c>
      <c r="H8">
        <f>T4*(0+1500*0.2)</f>
        <v/>
      </c>
      <c r="K8">
        <f>T4*(0+1000*1.17/1000+100*1.17/100+400*1.17/1000+1500*1.17/1500)</f>
        <v/>
      </c>
      <c r="M8" t="inlineStr">
        <is>
          <t>EUA</t>
        </is>
      </c>
      <c r="N8" t="inlineStr">
        <is>
          <t>GBP</t>
        </is>
      </c>
      <c r="O8" s="1" t="inlineStr">
        <is>
          <t>0+1000*0.284+100*0.301+400*0.31</t>
        </is>
      </c>
      <c r="P8" s="1" t="inlineStr">
        <is>
          <t>0+1500*0.2</t>
        </is>
      </c>
      <c r="Q8" s="1" t="inlineStr">
        <is>
          <t>0+1000*1.17/1000+100*1.17/100+400*1.17/1000+1500*1.17/1500</t>
        </is>
      </c>
    </row>
    <row r="9">
      <c r="C9" t="inlineStr">
        <is>
          <t>September</t>
        </is>
      </c>
      <c r="D9" t="n">
        <v>2021</v>
      </c>
      <c r="E9">
        <f>T4*(0+600*0.31+1000*0.365)</f>
        <v/>
      </c>
      <c r="F9" t="inlineStr">
        <is>
          <t>August</t>
        </is>
      </c>
      <c r="G9" t="n">
        <v>2021</v>
      </c>
      <c r="H9">
        <f>T4*(0+1000*0.192+600*0.171)</f>
        <v/>
      </c>
      <c r="K9">
        <f>T4*(0+600*1.17/1000+1000*1.17/1000+1000*1.17/1000+600*1.17/2000)</f>
        <v/>
      </c>
      <c r="M9" t="inlineStr">
        <is>
          <t>EUA</t>
        </is>
      </c>
      <c r="N9" t="inlineStr">
        <is>
          <t>GBP</t>
        </is>
      </c>
      <c r="O9" s="1" t="inlineStr">
        <is>
          <t>0+600*0.31+1000*0.365</t>
        </is>
      </c>
      <c r="P9" s="1" t="inlineStr">
        <is>
          <t>0+1000*0.192+600*0.171</t>
        </is>
      </c>
      <c r="Q9" s="1" t="inlineStr">
        <is>
          <t>0+600*1.17/1000+1000*1.17/1000+1000*1.17/1000+600*1.17/2000</t>
        </is>
      </c>
    </row>
    <row r="10">
      <c r="C10" t="inlineStr">
        <is>
          <t>July</t>
        </is>
      </c>
      <c r="D10" t="n">
        <v>2021</v>
      </c>
      <c r="E10">
        <f>T4*(0+2*7.998)</f>
        <v/>
      </c>
      <c r="F10" t="inlineStr">
        <is>
          <t>April</t>
        </is>
      </c>
      <c r="G10" t="n">
        <v>2021</v>
      </c>
      <c r="H10">
        <f>T4*(0+1*8.902+1*8.768)</f>
        <v/>
      </c>
      <c r="K10">
        <f>T4*(0+2*1.17/15+1*1.21451/1+1*1.21384/1)</f>
        <v/>
      </c>
      <c r="M10" t="inlineStr">
        <is>
          <t>FRES</t>
        </is>
      </c>
      <c r="N10" t="inlineStr">
        <is>
          <t>GBP</t>
        </is>
      </c>
      <c r="O10" s="1" t="inlineStr">
        <is>
          <t>0+2*7.998</t>
        </is>
      </c>
      <c r="P10" s="1" t="inlineStr">
        <is>
          <t>0+1*8.902+1*8.768</t>
        </is>
      </c>
      <c r="Q10" s="1" t="inlineStr">
        <is>
          <t>0+2*1.17/15+1*1.21451/1+1*1.21384/1</t>
        </is>
      </c>
    </row>
    <row r="11">
      <c r="C11" t="inlineStr">
        <is>
          <t>July</t>
        </is>
      </c>
      <c r="D11" t="n">
        <v>2021</v>
      </c>
      <c r="E11">
        <f>T4*(0+13*7.998)</f>
        <v/>
      </c>
      <c r="F11" t="inlineStr">
        <is>
          <t>July</t>
        </is>
      </c>
      <c r="G11" t="n">
        <v>2021</v>
      </c>
      <c r="H11">
        <f>T4*(0+13*7.954)</f>
        <v/>
      </c>
      <c r="K11">
        <f>T4*(0+13*1.17/15+13*3.1585/50)</f>
        <v/>
      </c>
      <c r="M11" t="inlineStr">
        <is>
          <t>FRES</t>
        </is>
      </c>
      <c r="N11" t="inlineStr">
        <is>
          <t>GBP</t>
        </is>
      </c>
      <c r="O11" s="1" t="inlineStr">
        <is>
          <t>0+13*7.998</t>
        </is>
      </c>
      <c r="P11" s="1" t="inlineStr">
        <is>
          <t>0+13*7.954</t>
        </is>
      </c>
      <c r="Q11" s="1" t="inlineStr">
        <is>
          <t>0+13*1.17/15+13*3.1585/50</t>
        </is>
      </c>
    </row>
    <row r="12">
      <c r="C12" t="inlineStr">
        <is>
          <t>September</t>
        </is>
      </c>
      <c r="D12" t="n">
        <v>2021</v>
      </c>
      <c r="E12">
        <f>T4*(0+10*8.548)</f>
        <v/>
      </c>
      <c r="F12" t="inlineStr">
        <is>
          <t>July</t>
        </is>
      </c>
      <c r="G12" t="n">
        <v>2021</v>
      </c>
      <c r="H12">
        <f>T4*(0+10*7.954)</f>
        <v/>
      </c>
      <c r="K12">
        <f>T4*(0+10*1.17/10+10*3.1585/50)</f>
        <v/>
      </c>
      <c r="M12" t="inlineStr">
        <is>
          <t>FRES</t>
        </is>
      </c>
      <c r="N12" t="inlineStr">
        <is>
          <t>GBP</t>
        </is>
      </c>
      <c r="O12" s="1" t="inlineStr">
        <is>
          <t>0+10*8.548</t>
        </is>
      </c>
      <c r="P12" s="1" t="inlineStr">
        <is>
          <t>0+10*7.954</t>
        </is>
      </c>
      <c r="Q12" s="1" t="inlineStr">
        <is>
          <t>0+10*1.17/10+10*3.1585/50</t>
        </is>
      </c>
    </row>
    <row r="13">
      <c r="C13" t="inlineStr">
        <is>
          <t>October</t>
        </is>
      </c>
      <c r="D13" t="n">
        <v>2021</v>
      </c>
      <c r="E13">
        <f>T4*(0+10*8.976)</f>
        <v/>
      </c>
      <c r="F13" t="inlineStr">
        <is>
          <t>July</t>
        </is>
      </c>
      <c r="G13" t="n">
        <v>2021</v>
      </c>
      <c r="H13">
        <f>T4*(0+10*7.954)</f>
        <v/>
      </c>
      <c r="K13">
        <f>T4*(0+10*1.17/10+10*3.1585/50)</f>
        <v/>
      </c>
      <c r="M13" t="inlineStr">
        <is>
          <t>FRES</t>
        </is>
      </c>
      <c r="N13" t="inlineStr">
        <is>
          <t>GBP</t>
        </is>
      </c>
      <c r="O13" s="1" t="inlineStr">
        <is>
          <t>0+10*8.976</t>
        </is>
      </c>
      <c r="P13" s="1" t="inlineStr">
        <is>
          <t>0+10*7.954</t>
        </is>
      </c>
      <c r="Q13" s="1" t="inlineStr">
        <is>
          <t>0+10*1.17/10+10*3.1585/50</t>
        </is>
      </c>
    </row>
    <row r="14">
      <c r="C14" t="inlineStr">
        <is>
          <t>November</t>
        </is>
      </c>
      <c r="D14" t="n">
        <v>2021</v>
      </c>
      <c r="E14">
        <f>T4*(0+17*9.196)</f>
        <v/>
      </c>
      <c r="F14" t="inlineStr">
        <is>
          <t>July</t>
        </is>
      </c>
      <c r="G14" t="n">
        <v>2021</v>
      </c>
      <c r="H14">
        <f>T4*(0+17*7.954)</f>
        <v/>
      </c>
      <c r="K14">
        <f>T4*(0+17*1.17/17+17*3.1585/50)</f>
        <v/>
      </c>
      <c r="M14" t="inlineStr">
        <is>
          <t>FRES</t>
        </is>
      </c>
      <c r="N14" t="inlineStr">
        <is>
          <t>GBP</t>
        </is>
      </c>
      <c r="O14" s="1" t="inlineStr">
        <is>
          <t>0+17*9.196</t>
        </is>
      </c>
      <c r="P14" s="1" t="inlineStr">
        <is>
          <t>0+17*7.954</t>
        </is>
      </c>
      <c r="Q14" s="1" t="inlineStr">
        <is>
          <t>0+17*1.17/17+17*3.1585/50</t>
        </is>
      </c>
    </row>
    <row r="15">
      <c r="C15" t="inlineStr">
        <is>
          <t>October</t>
        </is>
      </c>
      <c r="D15" t="n">
        <v>2021</v>
      </c>
      <c r="E15">
        <f>T5*(0+400*20.95)</f>
        <v/>
      </c>
      <c r="F15" t="inlineStr">
        <is>
          <t>September</t>
        </is>
      </c>
      <c r="G15" t="n">
        <v>2021</v>
      </c>
      <c r="H15">
        <f>T5*(0+400*20.65)</f>
        <v/>
      </c>
      <c r="K15">
        <f>T5*(0+400*32.14526/400+400*32.13602/400)</f>
        <v/>
      </c>
      <c r="M15" t="inlineStr">
        <is>
          <t>1099</t>
        </is>
      </c>
      <c r="N15" t="inlineStr">
        <is>
          <t>HKD</t>
        </is>
      </c>
      <c r="O15" s="1" t="inlineStr">
        <is>
          <t>0+400*20.95</t>
        </is>
      </c>
      <c r="P15" s="1" t="inlineStr">
        <is>
          <t>0+400*20.65</t>
        </is>
      </c>
      <c r="Q15" s="1" t="inlineStr">
        <is>
          <t>0+400*32.14526/400+400*32.13602/400</t>
        </is>
      </c>
    </row>
    <row r="16">
      <c r="C16" t="inlineStr">
        <is>
          <t>June</t>
        </is>
      </c>
      <c r="D16" t="n">
        <v>2021</v>
      </c>
      <c r="E16">
        <f>T6*(0+5*169.96+5*179.88+5*191.5+5*199.66)</f>
        <v/>
      </c>
      <c r="F16" t="inlineStr">
        <is>
          <t>April</t>
        </is>
      </c>
      <c r="G16" t="n">
        <v>2021</v>
      </c>
      <c r="H16">
        <f>T6*(0+10*180.32+10*166)</f>
        <v/>
      </c>
      <c r="K16">
        <f>T6*(0+5*6.042580174/5+5*6.057740723/5+5*6.079085772/5+5*6.090917772/5+10*6.327116137/10+10*6.287274888/10)</f>
        <v/>
      </c>
      <c r="M16" t="inlineStr">
        <is>
          <t>CDR</t>
        </is>
      </c>
      <c r="N16" t="inlineStr">
        <is>
          <t>PLN</t>
        </is>
      </c>
      <c r="O16" s="1" t="inlineStr">
        <is>
          <t>0+5*169.96+5*179.88+5*191.5+5*199.66</t>
        </is>
      </c>
      <c r="P16" s="1" t="inlineStr">
        <is>
          <t>0+10*180.32+10*166</t>
        </is>
      </c>
      <c r="Q16" s="1" t="inlineStr">
        <is>
          <t>0+5*6.042580174/5+5*6.057740723/5+5*6.079085772/5+5*6.090917772/5+10*6.327116137/10+10*6.287274888/10</t>
        </is>
      </c>
    </row>
    <row r="17">
      <c r="C17" t="inlineStr">
        <is>
          <t>June</t>
        </is>
      </c>
      <c r="D17" t="n">
        <v>2021</v>
      </c>
      <c r="E17">
        <f>T3*(0+10*9.96)</f>
        <v/>
      </c>
      <c r="F17" t="inlineStr">
        <is>
          <t>June</t>
        </is>
      </c>
      <c r="G17" t="n">
        <v>2021</v>
      </c>
      <c r="H17">
        <f>T3*(0+10*9.66)</f>
        <v/>
      </c>
      <c r="K17">
        <f>T3*(0+10*0.33295521/10+10*0.27425725/40)</f>
        <v/>
      </c>
      <c r="M17" t="inlineStr">
        <is>
          <t>ACB</t>
        </is>
      </c>
      <c r="N17" t="inlineStr">
        <is>
          <t>USD</t>
        </is>
      </c>
      <c r="O17" s="1" t="inlineStr">
        <is>
          <t>0+10*9.96</t>
        </is>
      </c>
      <c r="P17" s="1" t="inlineStr">
        <is>
          <t>0+10*9.66</t>
        </is>
      </c>
      <c r="Q17" s="1" t="inlineStr">
        <is>
          <t>0+10*0.33295521/10+10*0.27425725/40</t>
        </is>
      </c>
    </row>
    <row r="18">
      <c r="C18" t="inlineStr">
        <is>
          <t>October</t>
        </is>
      </c>
      <c r="D18" t="n">
        <v>2021</v>
      </c>
      <c r="E18">
        <f>T3*(0+20*7.33)</f>
        <v/>
      </c>
      <c r="F18" t="inlineStr">
        <is>
          <t>June</t>
        </is>
      </c>
      <c r="G18" t="n">
        <v>2021</v>
      </c>
      <c r="H18">
        <f>T3*(0+20*9.66)</f>
        <v/>
      </c>
      <c r="K18">
        <f>T3*(0+20*0.31538491/20+20*0.27425725/40)</f>
        <v/>
      </c>
      <c r="M18" t="inlineStr">
        <is>
          <t>ACB</t>
        </is>
      </c>
      <c r="N18" t="inlineStr">
        <is>
          <t>USD</t>
        </is>
      </c>
      <c r="O18" s="1" t="inlineStr">
        <is>
          <t>0+20*7.33</t>
        </is>
      </c>
      <c r="P18" s="1" t="inlineStr">
        <is>
          <t>0+20*9.66</t>
        </is>
      </c>
      <c r="Q18" s="1" t="inlineStr">
        <is>
          <t>0+20*0.31538491/20+20*0.27425725/40</t>
        </is>
      </c>
    </row>
    <row r="19">
      <c r="C19" t="inlineStr">
        <is>
          <t>November</t>
        </is>
      </c>
      <c r="D19" t="n">
        <v>2021</v>
      </c>
      <c r="E19">
        <f>T3*(0+10*7.96)</f>
        <v/>
      </c>
      <c r="F19" t="inlineStr">
        <is>
          <t>June</t>
        </is>
      </c>
      <c r="G19" t="n">
        <v>2021</v>
      </c>
      <c r="H19">
        <f>T3*(0+10*9.66)</f>
        <v/>
      </c>
      <c r="K19">
        <f>T3*(0+10*0.33285321/10+10*0.27425725/40)</f>
        <v/>
      </c>
      <c r="M19" t="inlineStr">
        <is>
          <t>ACB</t>
        </is>
      </c>
      <c r="N19" t="inlineStr">
        <is>
          <t>USD</t>
        </is>
      </c>
      <c r="O19" s="1" t="inlineStr">
        <is>
          <t>0+10*7.96</t>
        </is>
      </c>
      <c r="P19" s="1" t="inlineStr">
        <is>
          <t>0+10*9.66</t>
        </is>
      </c>
      <c r="Q19" s="1" t="inlineStr">
        <is>
          <t>0+10*0.33285321/10+10*0.27425725/40</t>
        </is>
      </c>
    </row>
    <row r="20">
      <c r="C20" t="inlineStr">
        <is>
          <t>December</t>
        </is>
      </c>
      <c r="D20" t="n">
        <v>2021</v>
      </c>
      <c r="E20">
        <f>T3*(0+60*6.08)</f>
        <v/>
      </c>
      <c r="F20" t="inlineStr">
        <is>
          <t>September</t>
        </is>
      </c>
      <c r="G20" t="n">
        <v>2021</v>
      </c>
      <c r="H20">
        <f>T3*(0+30*6.51+30*6.33)</f>
        <v/>
      </c>
      <c r="K20">
        <f>T3*(0+60*0.24525773/60+30*0.29325725/30+30*0.29325725/30)</f>
        <v/>
      </c>
      <c r="M20" t="inlineStr">
        <is>
          <t>ACB</t>
        </is>
      </c>
      <c r="N20" t="inlineStr">
        <is>
          <t>USD</t>
        </is>
      </c>
      <c r="O20" s="1" t="inlineStr">
        <is>
          <t>0+60*6.08</t>
        </is>
      </c>
      <c r="P20" s="1" t="inlineStr">
        <is>
          <t>0+30*6.51+30*6.33</t>
        </is>
      </c>
      <c r="Q20" s="1" t="inlineStr">
        <is>
          <t>0+60*0.24525773/60+30*0.29325725/30+30*0.29325725/30</t>
        </is>
      </c>
    </row>
    <row r="21">
      <c r="C21" t="inlineStr">
        <is>
          <t>September</t>
        </is>
      </c>
      <c r="D21" t="n">
        <v>2021</v>
      </c>
      <c r="E21">
        <f>T3*(0+0.2*3521.55)</f>
        <v/>
      </c>
      <c r="F21" t="inlineStr">
        <is>
          <t>April</t>
        </is>
      </c>
      <c r="G21" t="n">
        <v>2021</v>
      </c>
      <c r="H21">
        <f>T3*(0+0.2*3333.71)</f>
        <v/>
      </c>
      <c r="K21">
        <f>T3*(0+0.2*0.353913031/0.2+0.2*0.35029725/0.2)</f>
        <v/>
      </c>
      <c r="M21" t="inlineStr">
        <is>
          <t>AMZN</t>
        </is>
      </c>
      <c r="N21" t="inlineStr">
        <is>
          <t>USD</t>
        </is>
      </c>
      <c r="O21" s="1" t="inlineStr">
        <is>
          <t>0+0.2*3521.55</t>
        </is>
      </c>
      <c r="P21" s="1" t="inlineStr">
        <is>
          <t>0+0.2*3333.71</t>
        </is>
      </c>
      <c r="Q21" s="1" t="inlineStr">
        <is>
          <t>0+0.2*0.353913031/0.2+0.2*0.35029725/0.2</t>
        </is>
      </c>
    </row>
    <row r="22">
      <c r="C22" t="inlineStr">
        <is>
          <t>November</t>
        </is>
      </c>
      <c r="D22" t="n">
        <v>2021</v>
      </c>
      <c r="E22">
        <f>T3*(0+30*18.59)</f>
        <v/>
      </c>
      <c r="F22" t="inlineStr">
        <is>
          <t>November</t>
        </is>
      </c>
      <c r="G22" t="n">
        <v>2021</v>
      </c>
      <c r="H22">
        <f>T3*(0+10*25.5+20*25.06)</f>
        <v/>
      </c>
      <c r="K22">
        <f>T3*(0+30*0.29967152/30+10*0.33125725/10+20*0.31225725/20)</f>
        <v/>
      </c>
      <c r="M22" t="inlineStr">
        <is>
          <t>APEI</t>
        </is>
      </c>
      <c r="N22" t="inlineStr">
        <is>
          <t>USD</t>
        </is>
      </c>
      <c r="O22" s="1" t="inlineStr">
        <is>
          <t>0+30*18.59</t>
        </is>
      </c>
      <c r="P22" s="1" t="inlineStr">
        <is>
          <t>0+10*25.5+20*25.06</t>
        </is>
      </c>
      <c r="Q22" s="1" t="inlineStr">
        <is>
          <t>0+30*0.29967152/30+10*0.33125725/10+20*0.31225725/20</t>
        </is>
      </c>
    </row>
    <row r="23">
      <c r="C23" t="inlineStr">
        <is>
          <t>November</t>
        </is>
      </c>
      <c r="D23" t="n">
        <v>2021</v>
      </c>
      <c r="E23">
        <f>T3*(0+60*1.79)</f>
        <v/>
      </c>
      <c r="F23" t="inlineStr">
        <is>
          <t>April</t>
        </is>
      </c>
      <c r="G23" t="n">
        <v>2021</v>
      </c>
      <c r="H23">
        <f>T3*(0+60*4.11)</f>
        <v/>
      </c>
      <c r="K23">
        <f>T3*(0+60*0.505060183/370+60*0.45225725/60)</f>
        <v/>
      </c>
      <c r="M23" t="inlineStr">
        <is>
          <t>ATNX</t>
        </is>
      </c>
      <c r="N23" t="inlineStr">
        <is>
          <t>USD</t>
        </is>
      </c>
      <c r="O23" s="1" t="inlineStr">
        <is>
          <t>0+60*1.79</t>
        </is>
      </c>
      <c r="P23" s="1" t="inlineStr">
        <is>
          <t>0+60*4.11</t>
        </is>
      </c>
      <c r="Q23" s="1" t="inlineStr">
        <is>
          <t>0+60*0.505060183/370+60*0.45225725/60</t>
        </is>
      </c>
    </row>
    <row r="24">
      <c r="C24" t="inlineStr">
        <is>
          <t>November</t>
        </is>
      </c>
      <c r="D24" t="n">
        <v>2021</v>
      </c>
      <c r="E24">
        <f>T3*(0+80*1.79)</f>
        <v/>
      </c>
      <c r="F24" t="inlineStr">
        <is>
          <t>May</t>
        </is>
      </c>
      <c r="G24" t="n">
        <v>2021</v>
      </c>
      <c r="H24">
        <f>T3*(0+80*3.81)</f>
        <v/>
      </c>
      <c r="K24">
        <f>T3*(0+80*0.505060183/370+80*0.19825725/80)</f>
        <v/>
      </c>
      <c r="M24" t="inlineStr">
        <is>
          <t>ATNX</t>
        </is>
      </c>
      <c r="N24" t="inlineStr">
        <is>
          <t>USD</t>
        </is>
      </c>
      <c r="O24" s="1" t="inlineStr">
        <is>
          <t>0+80*1.79</t>
        </is>
      </c>
      <c r="P24" s="1" t="inlineStr">
        <is>
          <t>0+80*3.81</t>
        </is>
      </c>
      <c r="Q24" s="1" t="inlineStr">
        <is>
          <t>0+80*0.505060183/370+80*0.19825725/80</t>
        </is>
      </c>
    </row>
    <row r="25">
      <c r="C25" t="inlineStr">
        <is>
          <t>November</t>
        </is>
      </c>
      <c r="D25" t="n">
        <v>2021</v>
      </c>
      <c r="E25">
        <f>T3*(0+50*1.79)</f>
        <v/>
      </c>
      <c r="F25" t="inlineStr">
        <is>
          <t>July</t>
        </is>
      </c>
      <c r="G25" t="n">
        <v>2021</v>
      </c>
      <c r="H25">
        <f>T3*(0+50*4.13)</f>
        <v/>
      </c>
      <c r="K25">
        <f>T3*(0+50*0.505060183/370+50*0.25525725/50)</f>
        <v/>
      </c>
      <c r="M25" t="inlineStr">
        <is>
          <t>ATNX</t>
        </is>
      </c>
      <c r="N25" t="inlineStr">
        <is>
          <t>USD</t>
        </is>
      </c>
      <c r="O25" s="1" t="inlineStr">
        <is>
          <t>0+50*1.79</t>
        </is>
      </c>
      <c r="P25" s="1" t="inlineStr">
        <is>
          <t>0+50*4.13</t>
        </is>
      </c>
      <c r="Q25" s="1" t="inlineStr">
        <is>
          <t>0+50*0.505060183/370+50*0.25525725/50</t>
        </is>
      </c>
    </row>
    <row r="26">
      <c r="C26" t="inlineStr">
        <is>
          <t>November</t>
        </is>
      </c>
      <c r="D26" t="n">
        <v>2021</v>
      </c>
      <c r="E26">
        <f>T3*(0+30*1.79)</f>
        <v/>
      </c>
      <c r="F26" t="inlineStr">
        <is>
          <t>August</t>
        </is>
      </c>
      <c r="G26" t="n">
        <v>2021</v>
      </c>
      <c r="H26">
        <f>T3*(0+30*3.41)</f>
        <v/>
      </c>
      <c r="K26">
        <f>T3*(0+30*0.505060183/370+30*0.29325725/30)</f>
        <v/>
      </c>
      <c r="M26" t="inlineStr">
        <is>
          <t>ATNX</t>
        </is>
      </c>
      <c r="N26" t="inlineStr">
        <is>
          <t>USD</t>
        </is>
      </c>
      <c r="O26" s="1" t="inlineStr">
        <is>
          <t>0+30*1.79</t>
        </is>
      </c>
      <c r="P26" s="1" t="inlineStr">
        <is>
          <t>0+30*3.41</t>
        </is>
      </c>
      <c r="Q26" s="1" t="inlineStr">
        <is>
          <t>0+30*0.505060183/370+30*0.29325725/30</t>
        </is>
      </c>
    </row>
    <row r="27">
      <c r="C27" t="inlineStr">
        <is>
          <t>November</t>
        </is>
      </c>
      <c r="D27" t="n">
        <v>2021</v>
      </c>
      <c r="E27">
        <f>T3*(0+50*1.79)</f>
        <v/>
      </c>
      <c r="F27" t="inlineStr">
        <is>
          <t>September</t>
        </is>
      </c>
      <c r="G27" t="n">
        <v>2021</v>
      </c>
      <c r="H27">
        <f>T3*(0+50*3.21)</f>
        <v/>
      </c>
      <c r="K27">
        <f>T3*(0+50*0.505060183/370+50*0.25525725/50)</f>
        <v/>
      </c>
      <c r="M27" t="inlineStr">
        <is>
          <t>ATNX</t>
        </is>
      </c>
      <c r="N27" t="inlineStr">
        <is>
          <t>USD</t>
        </is>
      </c>
      <c r="O27" s="1" t="inlineStr">
        <is>
          <t>0+50*1.79</t>
        </is>
      </c>
      <c r="P27" s="1" t="inlineStr">
        <is>
          <t>0+50*3.21</t>
        </is>
      </c>
      <c r="Q27" s="1" t="inlineStr">
        <is>
          <t>0+50*0.505060183/370+50*0.25525725/50</t>
        </is>
      </c>
    </row>
    <row r="28">
      <c r="C28" t="inlineStr">
        <is>
          <t>November</t>
        </is>
      </c>
      <c r="D28" t="n">
        <v>2021</v>
      </c>
      <c r="E28">
        <f>T3*(0+100*1.79)</f>
        <v/>
      </c>
      <c r="F28" t="inlineStr">
        <is>
          <t>October</t>
        </is>
      </c>
      <c r="G28" t="n">
        <v>2021</v>
      </c>
      <c r="H28">
        <f>T3*(0+50*2.66+50*2.66)</f>
        <v/>
      </c>
      <c r="K28">
        <f>T3*(0+100*0.505060183/370+50*0.25525725/50+50*0.25525725/50)</f>
        <v/>
      </c>
      <c r="M28" t="inlineStr">
        <is>
          <t>ATNX</t>
        </is>
      </c>
      <c r="N28" t="inlineStr">
        <is>
          <t>USD</t>
        </is>
      </c>
      <c r="O28" s="1" t="inlineStr">
        <is>
          <t>0+100*1.79</t>
        </is>
      </c>
      <c r="P28" s="1" t="inlineStr">
        <is>
          <t>0+50*2.66+50*2.66</t>
        </is>
      </c>
      <c r="Q28" s="1" t="inlineStr">
        <is>
          <t>0+100*0.505060183/370+50*0.25525725/50+50*0.25525725/50</t>
        </is>
      </c>
    </row>
    <row r="29">
      <c r="C29" t="inlineStr">
        <is>
          <t>June</t>
        </is>
      </c>
      <c r="D29" t="n">
        <v>2021</v>
      </c>
      <c r="E29">
        <f>T3*(0+1*89.66)</f>
        <v/>
      </c>
      <c r="F29" t="inlineStr">
        <is>
          <t>May</t>
        </is>
      </c>
      <c r="G29" t="n">
        <v>2021</v>
      </c>
      <c r="H29">
        <f>T3*(0+1*88.66)</f>
        <v/>
      </c>
      <c r="K29">
        <f>T3*(0+1*0.349833516/1+1*0.34825725/2)</f>
        <v/>
      </c>
      <c r="M29" t="inlineStr">
        <is>
          <t>BG</t>
        </is>
      </c>
      <c r="N29" t="inlineStr">
        <is>
          <t>USD</t>
        </is>
      </c>
      <c r="O29" s="1" t="inlineStr">
        <is>
          <t>0+1*89.66</t>
        </is>
      </c>
      <c r="P29" s="1" t="inlineStr">
        <is>
          <t>0+1*88.66</t>
        </is>
      </c>
      <c r="Q29" s="1" t="inlineStr">
        <is>
          <t>0+1*0.349833516/1+1*0.34825725/2</t>
        </is>
      </c>
    </row>
    <row r="30">
      <c r="C30" t="inlineStr">
        <is>
          <t>July</t>
        </is>
      </c>
      <c r="D30" t="n">
        <v>2021</v>
      </c>
      <c r="E30">
        <f>T3*(0+1*77.91)</f>
        <v/>
      </c>
      <c r="F30" t="inlineStr">
        <is>
          <t>May</t>
        </is>
      </c>
      <c r="G30" t="n">
        <v>2021</v>
      </c>
      <c r="H30">
        <f>T3*(0+1*88.66)</f>
        <v/>
      </c>
      <c r="K30">
        <f>T3*(0+1*0.355406273/3+1*0.34825725/2)</f>
        <v/>
      </c>
      <c r="M30" t="inlineStr">
        <is>
          <t>BG</t>
        </is>
      </c>
      <c r="N30" t="inlineStr">
        <is>
          <t>USD</t>
        </is>
      </c>
      <c r="O30" s="1" t="inlineStr">
        <is>
          <t>0+1*77.91</t>
        </is>
      </c>
      <c r="P30" s="1" t="inlineStr">
        <is>
          <t>0+1*88.66</t>
        </is>
      </c>
      <c r="Q30" s="1" t="inlineStr">
        <is>
          <t>0+1*0.355406273/3+1*0.34825725/2</t>
        </is>
      </c>
    </row>
    <row r="31">
      <c r="C31" t="inlineStr">
        <is>
          <t>July</t>
        </is>
      </c>
      <c r="D31" t="n">
        <v>2021</v>
      </c>
      <c r="E31">
        <f>T3*(0+2*77.91)</f>
        <v/>
      </c>
      <c r="F31" t="inlineStr">
        <is>
          <t>June</t>
        </is>
      </c>
      <c r="G31" t="n">
        <v>2021</v>
      </c>
      <c r="H31">
        <f>T3*(0+2*75.61)</f>
        <v/>
      </c>
      <c r="K31">
        <f>T3*(0+2*0.355406273/3+2*0.35065725/2)</f>
        <v/>
      </c>
      <c r="M31" t="inlineStr">
        <is>
          <t>BG</t>
        </is>
      </c>
      <c r="N31" t="inlineStr">
        <is>
          <t>USD</t>
        </is>
      </c>
      <c r="O31" s="1" t="inlineStr">
        <is>
          <t>0+2*77.91</t>
        </is>
      </c>
      <c r="P31" s="1" t="inlineStr">
        <is>
          <t>0+2*75.61</t>
        </is>
      </c>
      <c r="Q31" s="1" t="inlineStr">
        <is>
          <t>0+2*0.355406273/3+2*0.35065725/2</t>
        </is>
      </c>
    </row>
    <row r="32">
      <c r="C32" t="inlineStr">
        <is>
          <t>October</t>
        </is>
      </c>
      <c r="D32" t="n">
        <v>2021</v>
      </c>
      <c r="E32">
        <f>T3*(0+2*58)</f>
        <v/>
      </c>
      <c r="F32" t="inlineStr">
        <is>
          <t>October</t>
        </is>
      </c>
      <c r="G32" t="n">
        <v>2021</v>
      </c>
      <c r="H32">
        <f>T3*(0+2*53.06)</f>
        <v/>
      </c>
      <c r="K32">
        <f>T3*(0+2*0.35348685/2+2*0.34525725/5)</f>
        <v/>
      </c>
      <c r="M32" t="inlineStr">
        <is>
          <t>BHP</t>
        </is>
      </c>
      <c r="N32" t="inlineStr">
        <is>
          <t>USD</t>
        </is>
      </c>
      <c r="O32" s="1" t="inlineStr">
        <is>
          <t>0+2*58</t>
        </is>
      </c>
      <c r="P32" s="1" t="inlineStr">
        <is>
          <t>0+2*53.06</t>
        </is>
      </c>
      <c r="Q32" s="1" t="inlineStr">
        <is>
          <t>0+2*0.35348685/2+2*0.34525725/5</t>
        </is>
      </c>
    </row>
    <row r="33">
      <c r="C33" t="inlineStr">
        <is>
          <t>June</t>
        </is>
      </c>
      <c r="D33" t="n">
        <v>2021</v>
      </c>
      <c r="E33">
        <f>T3*(0+10*7.55+10*7.875+10*7.862)</f>
        <v/>
      </c>
      <c r="F33" t="inlineStr">
        <is>
          <t>May</t>
        </is>
      </c>
      <c r="G33" t="n">
        <v>2021</v>
      </c>
      <c r="H33">
        <f>T3*(0+15*6.77+15*6.67)</f>
        <v/>
      </c>
      <c r="K33">
        <f>T3*(0+10*0.3638323/10+10*0.353848875/10+10*0.353848212/10+15*0.36225725/15+15*0.33525725/15)</f>
        <v/>
      </c>
      <c r="M33" t="inlineStr">
        <is>
          <t>BTU</t>
        </is>
      </c>
      <c r="N33" t="inlineStr">
        <is>
          <t>USD</t>
        </is>
      </c>
      <c r="O33" s="1" t="inlineStr">
        <is>
          <t>0+10*7.55+10*7.875+10*7.862</t>
        </is>
      </c>
      <c r="P33" s="1" t="inlineStr">
        <is>
          <t>0+15*6.77+15*6.67</t>
        </is>
      </c>
      <c r="Q33" s="1" t="inlineStr">
        <is>
          <t>0+10*0.3638323/10+10*0.353848875/10+10*0.353848212/10+15*0.36225725/15+15*0.33525725/15</t>
        </is>
      </c>
    </row>
    <row r="34">
      <c r="C34" t="inlineStr">
        <is>
          <t>July</t>
        </is>
      </c>
      <c r="D34" t="n">
        <v>2021</v>
      </c>
      <c r="E34">
        <f>T3*(0+25*8.79+25*10.43)</f>
        <v/>
      </c>
      <c r="F34" t="inlineStr">
        <is>
          <t>June</t>
        </is>
      </c>
      <c r="G34" t="n">
        <v>2021</v>
      </c>
      <c r="H34">
        <f>T3*(0+50*7.07)</f>
        <v/>
      </c>
      <c r="K34">
        <f>T3*(0+25*0.329352975/25+25*0.329562075/25+50*0.49025725/50)</f>
        <v/>
      </c>
      <c r="M34" t="inlineStr">
        <is>
          <t>BTU</t>
        </is>
      </c>
      <c r="N34" t="inlineStr">
        <is>
          <t>USD</t>
        </is>
      </c>
      <c r="O34" s="1" t="inlineStr">
        <is>
          <t>0+25*8.79+25*10.43</t>
        </is>
      </c>
      <c r="P34" s="1" t="inlineStr">
        <is>
          <t>0+50*7.07</t>
        </is>
      </c>
      <c r="Q34" s="1" t="inlineStr">
        <is>
          <t>0+25*0.329352975/25+25*0.329562075/25+50*0.49025725/50</t>
        </is>
      </c>
    </row>
    <row r="35">
      <c r="C35" t="inlineStr">
        <is>
          <t>October</t>
        </is>
      </c>
      <c r="D35" t="n">
        <v>2021</v>
      </c>
      <c r="E35">
        <f>T3*(0+5*17.36+5*17.66)</f>
        <v/>
      </c>
      <c r="F35" t="inlineStr">
        <is>
          <t>September</t>
        </is>
      </c>
      <c r="G35" t="n">
        <v>2021</v>
      </c>
      <c r="H35">
        <f>T3*(0+10*12.71)</f>
        <v/>
      </c>
      <c r="K35">
        <f>T3*(0+5*0.35229493/5+5*0.34630258/5+10*0.34025725/10)</f>
        <v/>
      </c>
      <c r="M35" t="inlineStr">
        <is>
          <t>BTU</t>
        </is>
      </c>
      <c r="N35" t="inlineStr">
        <is>
          <t>USD</t>
        </is>
      </c>
      <c r="O35" s="1" t="inlineStr">
        <is>
          <t>0+5*17.36+5*17.66</t>
        </is>
      </c>
      <c r="P35" s="1" t="inlineStr">
        <is>
          <t>0+10*12.71</t>
        </is>
      </c>
      <c r="Q35" s="1" t="inlineStr">
        <is>
          <t>0+5*0.35229493/5+5*0.34630258/5+10*0.34025725/10</t>
        </is>
      </c>
    </row>
    <row r="36">
      <c r="C36" t="inlineStr">
        <is>
          <t>October</t>
        </is>
      </c>
      <c r="D36" t="n">
        <v>2021</v>
      </c>
      <c r="E36">
        <f>T3*(0+5*19.66)</f>
        <v/>
      </c>
      <c r="F36" t="inlineStr">
        <is>
          <t>October</t>
        </is>
      </c>
      <c r="G36" t="n">
        <v>2021</v>
      </c>
      <c r="H36">
        <f>T3*(0+5*15.78)</f>
        <v/>
      </c>
      <c r="K36">
        <f>T3*(0+5*0.34635358/5+5*0.34025725/10)</f>
        <v/>
      </c>
      <c r="M36" t="inlineStr">
        <is>
          <t>BTU</t>
        </is>
      </c>
      <c r="N36" t="inlineStr">
        <is>
          <t>USD</t>
        </is>
      </c>
      <c r="O36" s="1" t="inlineStr">
        <is>
          <t>0+5*19.66</t>
        </is>
      </c>
      <c r="P36" s="1" t="inlineStr">
        <is>
          <t>0+5*15.78</t>
        </is>
      </c>
      <c r="Q36" s="1" t="inlineStr">
        <is>
          <t>0+5*0.34635358/5+5*0.34025725/10</t>
        </is>
      </c>
    </row>
    <row r="37">
      <c r="C37" t="inlineStr">
        <is>
          <t>October</t>
        </is>
      </c>
      <c r="D37" t="n">
        <v>2021</v>
      </c>
      <c r="E37">
        <f>T3*(0+10*13.49)</f>
        <v/>
      </c>
      <c r="F37" t="inlineStr">
        <is>
          <t>April</t>
        </is>
      </c>
      <c r="G37" t="n">
        <v>2021</v>
      </c>
      <c r="H37">
        <f>T3*(0+10*26.12)</f>
        <v/>
      </c>
      <c r="K37">
        <f>T3*(0+10*0.314301029/21+10*0.36725725/10)</f>
        <v/>
      </c>
      <c r="M37" t="inlineStr">
        <is>
          <t>CGC</t>
        </is>
      </c>
      <c r="N37" t="inlineStr">
        <is>
          <t>USD</t>
        </is>
      </c>
      <c r="O37" s="1" t="inlineStr">
        <is>
          <t>0+10*13.49</t>
        </is>
      </c>
      <c r="P37" s="1" t="inlineStr">
        <is>
          <t>0+10*26.12</t>
        </is>
      </c>
      <c r="Q37" s="1" t="inlineStr">
        <is>
          <t>0+10*0.314301029/21+10*0.36725725/10</t>
        </is>
      </c>
    </row>
    <row r="38">
      <c r="C38" t="inlineStr">
        <is>
          <t>October</t>
        </is>
      </c>
      <c r="D38" t="n">
        <v>2021</v>
      </c>
      <c r="E38">
        <f>T3*(0+8*13.49)</f>
        <v/>
      </c>
      <c r="F38" t="inlineStr">
        <is>
          <t>May</t>
        </is>
      </c>
      <c r="G38" t="n">
        <v>2021</v>
      </c>
      <c r="H38">
        <f>T3*(0+8*25.66)</f>
        <v/>
      </c>
      <c r="K38">
        <f>T3*(0+8*0.314301029/21+8*0.33505725/8)</f>
        <v/>
      </c>
      <c r="M38" t="inlineStr">
        <is>
          <t>CGC</t>
        </is>
      </c>
      <c r="N38" t="inlineStr">
        <is>
          <t>USD</t>
        </is>
      </c>
      <c r="O38" s="1" t="inlineStr">
        <is>
          <t>0+8*13.49</t>
        </is>
      </c>
      <c r="P38" s="1" t="inlineStr">
        <is>
          <t>0+8*25.66</t>
        </is>
      </c>
      <c r="Q38" s="1" t="inlineStr">
        <is>
          <t>0+8*0.314301029/21+8*0.33505725/8</t>
        </is>
      </c>
    </row>
    <row r="39">
      <c r="C39" t="inlineStr">
        <is>
          <t>October</t>
        </is>
      </c>
      <c r="D39" t="n">
        <v>2021</v>
      </c>
      <c r="E39">
        <f>T3*(0+3*13.49+7*14.33)</f>
        <v/>
      </c>
      <c r="F39" t="inlineStr">
        <is>
          <t>August</t>
        </is>
      </c>
      <c r="G39" t="n">
        <v>2021</v>
      </c>
      <c r="H39">
        <f>T3*(0+10*17.06)</f>
        <v/>
      </c>
      <c r="K39">
        <f>T3*(0+3*0.314301029/21+7*0.33317808/10+10*0.33125725/10)</f>
        <v/>
      </c>
      <c r="M39" t="inlineStr">
        <is>
          <t>CGC</t>
        </is>
      </c>
      <c r="N39" t="inlineStr">
        <is>
          <t>USD</t>
        </is>
      </c>
      <c r="O39" s="1" t="inlineStr">
        <is>
          <t>0+3*13.49+7*14.33</t>
        </is>
      </c>
      <c r="P39" s="1" t="inlineStr">
        <is>
          <t>0+10*17.06</t>
        </is>
      </c>
      <c r="Q39" s="1" t="inlineStr">
        <is>
          <t>0+3*0.314301029/21+7*0.33317808/10+10*0.33125725/10</t>
        </is>
      </c>
    </row>
    <row r="40">
      <c r="C40" t="inlineStr">
        <is>
          <t>October</t>
        </is>
      </c>
      <c r="D40" t="n">
        <v>2021</v>
      </c>
      <c r="E40">
        <f>T3*(0+3*14.33)</f>
        <v/>
      </c>
      <c r="F40" t="inlineStr">
        <is>
          <t>September</t>
        </is>
      </c>
      <c r="G40" t="n">
        <v>2021</v>
      </c>
      <c r="H40">
        <f>T3*(0+3*16.66)</f>
        <v/>
      </c>
      <c r="K40">
        <f>T3*(0+3*0.33317808/10+3*0.33125725/10)</f>
        <v/>
      </c>
      <c r="M40" t="inlineStr">
        <is>
          <t>CGC</t>
        </is>
      </c>
      <c r="N40" t="inlineStr">
        <is>
          <t>USD</t>
        </is>
      </c>
      <c r="O40" s="1" t="inlineStr">
        <is>
          <t>0+3*14.33</t>
        </is>
      </c>
      <c r="P40" s="1" t="inlineStr">
        <is>
          <t>0+3*16.66</t>
        </is>
      </c>
      <c r="Q40" s="1" t="inlineStr">
        <is>
          <t>0+3*0.33317808/10+3*0.33125725/10</t>
        </is>
      </c>
    </row>
    <row r="41">
      <c r="C41" t="inlineStr">
        <is>
          <t>December</t>
        </is>
      </c>
      <c r="D41" t="n">
        <v>2021</v>
      </c>
      <c r="E41">
        <f>T3*(0+32*8.832)</f>
        <v/>
      </c>
      <c r="F41" t="inlineStr">
        <is>
          <t>September</t>
        </is>
      </c>
      <c r="G41" t="n">
        <v>2021</v>
      </c>
      <c r="H41">
        <f>T3*(0+7*16.66+25*14.06)</f>
        <v/>
      </c>
      <c r="K41">
        <f>T3*(0+32*0.361906632/32+7*0.33125725/10+25*0.30275725/25)</f>
        <v/>
      </c>
      <c r="M41" t="inlineStr">
        <is>
          <t>CGC</t>
        </is>
      </c>
      <c r="N41" t="inlineStr">
        <is>
          <t>USD</t>
        </is>
      </c>
      <c r="O41" s="1" t="inlineStr">
        <is>
          <t>0+32*8.832</t>
        </is>
      </c>
      <c r="P41" s="1" t="inlineStr">
        <is>
          <t>0+7*16.66+25*14.06</t>
        </is>
      </c>
      <c r="Q41" s="1" t="inlineStr">
        <is>
          <t>0+32*0.361906632/32+7*0.33125725/10+25*0.30275725/25</t>
        </is>
      </c>
    </row>
    <row r="42">
      <c r="C42" t="inlineStr">
        <is>
          <t>November</t>
        </is>
      </c>
      <c r="D42" t="n">
        <v>2021</v>
      </c>
      <c r="E42">
        <f>T3*(0+80*5.58)</f>
        <v/>
      </c>
      <c r="F42" t="inlineStr">
        <is>
          <t>September</t>
        </is>
      </c>
      <c r="G42" t="n">
        <v>2021</v>
      </c>
      <c r="H42">
        <f>T3*(0+30*6.99+50*6.28)</f>
        <v/>
      </c>
      <c r="K42">
        <f>T3*(0+80*0.21005389/80+30*0.29325725/30+50*0.43525725/50)</f>
        <v/>
      </c>
      <c r="M42" t="inlineStr">
        <is>
          <t>CNDT</t>
        </is>
      </c>
      <c r="N42" t="inlineStr">
        <is>
          <t>USD</t>
        </is>
      </c>
      <c r="O42" s="1" t="inlineStr">
        <is>
          <t>0+80*5.58</t>
        </is>
      </c>
      <c r="P42" s="1" t="inlineStr">
        <is>
          <t>0+30*6.99+50*6.28</t>
        </is>
      </c>
      <c r="Q42" s="1" t="inlineStr">
        <is>
          <t>0+80*0.21005389/80+30*0.29325725/30+50*0.43525725/50</t>
        </is>
      </c>
    </row>
    <row r="43">
      <c r="C43" t="inlineStr">
        <is>
          <t>June</t>
        </is>
      </c>
      <c r="D43" t="n">
        <v>2021</v>
      </c>
      <c r="E43">
        <f>T3*(0+1*239.02+1*258.92)</f>
        <v/>
      </c>
      <c r="F43" t="inlineStr">
        <is>
          <t>April</t>
        </is>
      </c>
      <c r="G43" t="n">
        <v>2021</v>
      </c>
      <c r="H43">
        <f>T3*(0+1*306.7+1*300.11)</f>
        <v/>
      </c>
      <c r="K43">
        <f>T3*(0+1*0.349695252/1+1*0.349796742/1+1*0.35195725/1+1*0.34645725/2)</f>
        <v/>
      </c>
      <c r="M43" t="inlineStr">
        <is>
          <t>COIN</t>
        </is>
      </c>
      <c r="N43" t="inlineStr">
        <is>
          <t>USD</t>
        </is>
      </c>
      <c r="O43" s="1" t="inlineStr">
        <is>
          <t>0+1*239.02+1*258.92</t>
        </is>
      </c>
      <c r="P43" s="1" t="inlineStr">
        <is>
          <t>0+1*306.7+1*300.11</t>
        </is>
      </c>
      <c r="Q43" s="1" t="inlineStr">
        <is>
          <t>0+1*0.349695252/1+1*0.349796742/1+1*0.35195725/1+1*0.34645725/2</t>
        </is>
      </c>
    </row>
    <row r="44">
      <c r="C44" t="inlineStr">
        <is>
          <t>August</t>
        </is>
      </c>
      <c r="D44" t="n">
        <v>2021</v>
      </c>
      <c r="E44">
        <f>T3*(0+1*249.98)</f>
        <v/>
      </c>
      <c r="F44" t="inlineStr">
        <is>
          <t>April</t>
        </is>
      </c>
      <c r="G44" t="n">
        <v>2021</v>
      </c>
      <c r="H44">
        <f>T3*(0+1*300.11)</f>
        <v/>
      </c>
      <c r="K44">
        <f>T3*(0+1*0.349751148/1+1*0.34645725/2)</f>
        <v/>
      </c>
      <c r="M44" t="inlineStr">
        <is>
          <t>COIN</t>
        </is>
      </c>
      <c r="N44" t="inlineStr">
        <is>
          <t>USD</t>
        </is>
      </c>
      <c r="O44" s="1" t="inlineStr">
        <is>
          <t>0+1*249.98</t>
        </is>
      </c>
      <c r="P44" s="1" t="inlineStr">
        <is>
          <t>0+1*300.11</t>
        </is>
      </c>
      <c r="Q44" s="1" t="inlineStr">
        <is>
          <t>0+1*0.349751148/1+1*0.34645725/2</t>
        </is>
      </c>
    </row>
    <row r="45">
      <c r="C45" t="inlineStr">
        <is>
          <t>September</t>
        </is>
      </c>
      <c r="D45" t="n">
        <v>2021</v>
      </c>
      <c r="E45">
        <f>T3*(0+10*19.59)</f>
        <v/>
      </c>
      <c r="F45" t="inlineStr">
        <is>
          <t>July</t>
        </is>
      </c>
      <c r="G45" t="n">
        <v>2021</v>
      </c>
      <c r="H45">
        <f>T3*(0+10*19.13)</f>
        <v/>
      </c>
      <c r="K45">
        <f>T3*(0+10*0.33444634/10+10*0.33225725/10)</f>
        <v/>
      </c>
      <c r="M45" t="inlineStr">
        <is>
          <t>CORN</t>
        </is>
      </c>
      <c r="N45" t="inlineStr">
        <is>
          <t>USD</t>
        </is>
      </c>
      <c r="O45" s="1" t="inlineStr">
        <is>
          <t>0+10*19.59</t>
        </is>
      </c>
      <c r="P45" s="1" t="inlineStr">
        <is>
          <t>0+10*19.13</t>
        </is>
      </c>
      <c r="Q45" s="1" t="inlineStr">
        <is>
          <t>0+10*0.33444634/10+10*0.33225725/10</t>
        </is>
      </c>
    </row>
    <row r="46">
      <c r="C46" t="inlineStr">
        <is>
          <t>June</t>
        </is>
      </c>
      <c r="D46" t="n">
        <v>2021</v>
      </c>
      <c r="E46">
        <f>T3*(0+3*28.33)</f>
        <v/>
      </c>
      <c r="F46" t="inlineStr">
        <is>
          <t>May</t>
        </is>
      </c>
      <c r="G46" t="n">
        <v>2021</v>
      </c>
      <c r="H46">
        <f>T3*(0+3*26.25)</f>
        <v/>
      </c>
      <c r="K46">
        <f>T3*(0+3*0.345347699/3+3*0.35875725/5)</f>
        <v/>
      </c>
      <c r="M46" t="inlineStr">
        <is>
          <t>DRIV</t>
        </is>
      </c>
      <c r="N46" t="inlineStr">
        <is>
          <t>USD</t>
        </is>
      </c>
      <c r="O46" s="1" t="inlineStr">
        <is>
          <t>0+3*28.33</t>
        </is>
      </c>
      <c r="P46" s="1" t="inlineStr">
        <is>
          <t>0+3*26.25</t>
        </is>
      </c>
      <c r="Q46" s="1" t="inlineStr">
        <is>
          <t>0+3*0.345347699/3+3*0.35875725/5</t>
        </is>
      </c>
    </row>
    <row r="47">
      <c r="C47" t="inlineStr">
        <is>
          <t>August</t>
        </is>
      </c>
      <c r="D47" t="n">
        <v>2021</v>
      </c>
      <c r="E47">
        <f>T3*(0+2*28.96)</f>
        <v/>
      </c>
      <c r="F47" t="inlineStr">
        <is>
          <t>May</t>
        </is>
      </c>
      <c r="G47" t="n">
        <v>2021</v>
      </c>
      <c r="H47">
        <f>T3*(0+2*26.25)</f>
        <v/>
      </c>
      <c r="K47">
        <f>T3*(0+2*0.346990642/2+2*0.35875725/5)</f>
        <v/>
      </c>
      <c r="M47" t="inlineStr">
        <is>
          <t>DRIV</t>
        </is>
      </c>
      <c r="N47" t="inlineStr">
        <is>
          <t>USD</t>
        </is>
      </c>
      <c r="O47" s="1" t="inlineStr">
        <is>
          <t>0+2*28.96</t>
        </is>
      </c>
      <c r="P47" s="1" t="inlineStr">
        <is>
          <t>0+2*26.25</t>
        </is>
      </c>
      <c r="Q47" s="1" t="inlineStr">
        <is>
          <t>0+2*0.346990642/2+2*0.35875725/5</t>
        </is>
      </c>
    </row>
    <row r="48">
      <c r="C48" t="inlineStr">
        <is>
          <t>September</t>
        </is>
      </c>
      <c r="D48" t="n">
        <v>2021</v>
      </c>
      <c r="E48">
        <f>T3*(0+3*119.33)</f>
        <v/>
      </c>
      <c r="F48" t="inlineStr">
        <is>
          <t>June</t>
        </is>
      </c>
      <c r="G48" t="n">
        <v>2021</v>
      </c>
      <c r="H48">
        <f>T3*(0+3*119.13)</f>
        <v/>
      </c>
      <c r="K48">
        <f>T3*(0+3*0.346739999/3+3*0.33315725/9)</f>
        <v/>
      </c>
      <c r="M48" t="inlineStr">
        <is>
          <t>DVY</t>
        </is>
      </c>
      <c r="N48" t="inlineStr">
        <is>
          <t>USD</t>
        </is>
      </c>
      <c r="O48" s="1" t="inlineStr">
        <is>
          <t>0+3*119.33</t>
        </is>
      </c>
      <c r="P48" s="1" t="inlineStr">
        <is>
          <t>0+3*119.13</t>
        </is>
      </c>
      <c r="Q48" s="1" t="inlineStr">
        <is>
          <t>0+3*0.346739999/3+3*0.33315725/9</t>
        </is>
      </c>
    </row>
    <row r="49">
      <c r="C49" t="inlineStr">
        <is>
          <t>November</t>
        </is>
      </c>
      <c r="D49" t="n">
        <v>2021</v>
      </c>
      <c r="E49">
        <f>T3*(0+6*120.04)</f>
        <v/>
      </c>
      <c r="F49" t="inlineStr">
        <is>
          <t>June</t>
        </is>
      </c>
      <c r="G49" t="n">
        <v>2021</v>
      </c>
      <c r="H49">
        <f>T3*(0+6*119.13)</f>
        <v/>
      </c>
      <c r="K49">
        <f>T3*(0+6*0.364844474/6+6*0.33315725/9)</f>
        <v/>
      </c>
      <c r="M49" t="inlineStr">
        <is>
          <t>DVY</t>
        </is>
      </c>
      <c r="N49" t="inlineStr">
        <is>
          <t>USD</t>
        </is>
      </c>
      <c r="O49" s="1" t="inlineStr">
        <is>
          <t>0+6*120.04</t>
        </is>
      </c>
      <c r="P49" s="1" t="inlineStr">
        <is>
          <t>0+6*119.13</t>
        </is>
      </c>
      <c r="Q49" s="1" t="inlineStr">
        <is>
          <t>0+6*0.364844474/6+6*0.33315725/9</t>
        </is>
      </c>
    </row>
    <row r="50">
      <c r="C50" t="inlineStr">
        <is>
          <t>August</t>
        </is>
      </c>
      <c r="D50" t="n">
        <v>2021</v>
      </c>
      <c r="E50">
        <f>T3*(0+5*41.49+5*49.86)</f>
        <v/>
      </c>
      <c r="F50" t="inlineStr">
        <is>
          <t>July</t>
        </is>
      </c>
      <c r="G50" t="n">
        <v>2021</v>
      </c>
      <c r="H50">
        <f>T3*(0+10*37.33)</f>
        <v/>
      </c>
      <c r="K50">
        <f>T3*(0+5*0.360410245/5+5*0.34262368/5+10*0.33125725/10)</f>
        <v/>
      </c>
      <c r="M50" t="inlineStr">
        <is>
          <t>EXPI</t>
        </is>
      </c>
      <c r="N50" t="inlineStr">
        <is>
          <t>USD</t>
        </is>
      </c>
      <c r="O50" s="1" t="inlineStr">
        <is>
          <t>0+5*41.49+5*49.86</t>
        </is>
      </c>
      <c r="P50" s="1" t="inlineStr">
        <is>
          <t>0+10*37.33</t>
        </is>
      </c>
      <c r="Q50" s="1" t="inlineStr">
        <is>
          <t>0+5*0.360410245/5+5*0.34262368/5+10*0.33125725/10</t>
        </is>
      </c>
    </row>
    <row r="51">
      <c r="C51" t="inlineStr">
        <is>
          <t>September</t>
        </is>
      </c>
      <c r="D51" t="n">
        <v>2021</v>
      </c>
      <c r="E51">
        <f>T3*(0+3*49.96+2*49.96)</f>
        <v/>
      </c>
      <c r="F51" t="inlineStr">
        <is>
          <t>July</t>
        </is>
      </c>
      <c r="G51" t="n">
        <v>2021</v>
      </c>
      <c r="H51">
        <f>T3*(0+5*36.03)</f>
        <v/>
      </c>
      <c r="K51">
        <f>T3*(0+3*0.345678638/3+2*0.347204842/2+5*0.34075725/5)</f>
        <v/>
      </c>
      <c r="M51" t="inlineStr">
        <is>
          <t>EXPI</t>
        </is>
      </c>
      <c r="N51" t="inlineStr">
        <is>
          <t>USD</t>
        </is>
      </c>
      <c r="O51" s="1" t="inlineStr">
        <is>
          <t>0+3*49.96+2*49.96</t>
        </is>
      </c>
      <c r="P51" s="1" t="inlineStr">
        <is>
          <t>0+5*36.03</t>
        </is>
      </c>
      <c r="Q51" s="1" t="inlineStr">
        <is>
          <t>0+3*0.345678638/3+2*0.347204842/2+5*0.34075725/5</t>
        </is>
      </c>
    </row>
    <row r="52">
      <c r="C52" t="inlineStr">
        <is>
          <t>October</t>
        </is>
      </c>
      <c r="D52" t="n">
        <v>2021</v>
      </c>
      <c r="E52">
        <f>T3*(0+3*49.66)</f>
        <v/>
      </c>
      <c r="F52" t="inlineStr">
        <is>
          <t>September</t>
        </is>
      </c>
      <c r="G52" t="n">
        <v>2021</v>
      </c>
      <c r="H52">
        <f>T3*(0+3*40.33)</f>
        <v/>
      </c>
      <c r="K52">
        <f>T3*(0+3*0.345674048/3+3*0.34455725/3)</f>
        <v/>
      </c>
      <c r="M52" t="inlineStr">
        <is>
          <t>EXPI</t>
        </is>
      </c>
      <c r="N52" t="inlineStr">
        <is>
          <t>USD</t>
        </is>
      </c>
      <c r="O52" s="1" t="inlineStr">
        <is>
          <t>0+3*49.66</t>
        </is>
      </c>
      <c r="P52" s="1" t="inlineStr">
        <is>
          <t>0+3*40.33</t>
        </is>
      </c>
      <c r="Q52" s="1" t="inlineStr">
        <is>
          <t>0+3*0.345674048/3+3*0.34455725/3</t>
        </is>
      </c>
    </row>
    <row r="53">
      <c r="C53" t="inlineStr">
        <is>
          <t>September</t>
        </is>
      </c>
      <c r="D53" t="n">
        <v>2021</v>
      </c>
      <c r="E53">
        <f>T3*(0+18*18.18)</f>
        <v/>
      </c>
      <c r="F53" t="inlineStr">
        <is>
          <t>August</t>
        </is>
      </c>
      <c r="G53" t="n">
        <v>2021</v>
      </c>
      <c r="H53">
        <f>T3*(0+3*17.81+5*18.06+10*17.06)</f>
        <v/>
      </c>
      <c r="K53">
        <f>T3*(0+18*0.321668174/18+3*0.34455725/3+5*0.34075725/5+10*0.33125725/10)</f>
        <v/>
      </c>
      <c r="M53" t="inlineStr">
        <is>
          <t>FEYE</t>
        </is>
      </c>
      <c r="N53" t="inlineStr">
        <is>
          <t>USD</t>
        </is>
      </c>
      <c r="O53" s="1" t="inlineStr">
        <is>
          <t>0+18*18.18</t>
        </is>
      </c>
      <c r="P53" s="1" t="inlineStr">
        <is>
          <t>0+3*17.81+5*18.06+10*17.06</t>
        </is>
      </c>
      <c r="Q53" s="1" t="inlineStr">
        <is>
          <t>0+18*0.321668174/18+3*0.34455725/3+5*0.34075725/5+10*0.33125725/10</t>
        </is>
      </c>
    </row>
    <row r="54">
      <c r="C54" t="inlineStr">
        <is>
          <t>May</t>
        </is>
      </c>
      <c r="D54" t="n">
        <v>2021</v>
      </c>
      <c r="E54">
        <f>T3*(0+4*22.33+8*24.16+5*24.96)</f>
        <v/>
      </c>
      <c r="F54" t="inlineStr">
        <is>
          <t>April</t>
        </is>
      </c>
      <c r="G54" t="n">
        <v>2021</v>
      </c>
      <c r="H54">
        <f>T3*(0+10*18.01+7*20.66)</f>
        <v/>
      </c>
      <c r="K54">
        <f>T3*(0+4*0.347188782/4+8*0.348194978/8+5*0.34648873/5+10*0.34025725/10+7*0.34025725/10)</f>
        <v/>
      </c>
      <c r="M54" t="inlineStr">
        <is>
          <t>FUBO</t>
        </is>
      </c>
      <c r="N54" t="inlineStr">
        <is>
          <t>USD</t>
        </is>
      </c>
      <c r="O54" s="1" t="inlineStr">
        <is>
          <t>0+4*22.33+8*24.16+5*24.96</t>
        </is>
      </c>
      <c r="P54" s="1" t="inlineStr">
        <is>
          <t>0+10*18.01+7*20.66</t>
        </is>
      </c>
      <c r="Q54" s="1" t="inlineStr">
        <is>
          <t>0+4*0.347188782/4+8*0.348194978/8+5*0.34648873/5+10*0.34025725/10+7*0.34025725/10</t>
        </is>
      </c>
    </row>
    <row r="55">
      <c r="C55" t="inlineStr">
        <is>
          <t>June</t>
        </is>
      </c>
      <c r="D55" t="n">
        <v>2021</v>
      </c>
      <c r="E55">
        <f>T3*(0+3*29.96)</f>
        <v/>
      </c>
      <c r="F55" t="inlineStr">
        <is>
          <t>April</t>
        </is>
      </c>
      <c r="G55" t="n">
        <v>2021</v>
      </c>
      <c r="H55">
        <f>T3*(0+3*20.66)</f>
        <v/>
      </c>
      <c r="K55">
        <f>T3*(0+3*0.348072638/3+3*0.34025725/10)</f>
        <v/>
      </c>
      <c r="M55" t="inlineStr">
        <is>
          <t>FUBO</t>
        </is>
      </c>
      <c r="N55" t="inlineStr">
        <is>
          <t>USD</t>
        </is>
      </c>
      <c r="O55" s="1" t="inlineStr">
        <is>
          <t>0+3*29.96</t>
        </is>
      </c>
      <c r="P55" s="1" t="inlineStr">
        <is>
          <t>0+3*20.66</t>
        </is>
      </c>
      <c r="Q55" s="1" t="inlineStr">
        <is>
          <t>0+3*0.348072638/3+3*0.34025725/10</t>
        </is>
      </c>
    </row>
    <row r="56">
      <c r="C56" t="inlineStr">
        <is>
          <t>October</t>
        </is>
      </c>
      <c r="D56" t="n">
        <v>2021</v>
      </c>
      <c r="E56">
        <f>T3*(0+10*18.41)</f>
        <v/>
      </c>
      <c r="F56" t="inlineStr">
        <is>
          <t>May</t>
        </is>
      </c>
      <c r="G56" t="n">
        <v>2021</v>
      </c>
      <c r="H56">
        <f>T3*(0+10*24.05)</f>
        <v/>
      </c>
      <c r="K56">
        <f>T3*(0+10*0.338450615/15+10*0.34025725/10)</f>
        <v/>
      </c>
      <c r="M56" t="inlineStr">
        <is>
          <t>GOLD</t>
        </is>
      </c>
      <c r="N56" t="inlineStr">
        <is>
          <t>USD</t>
        </is>
      </c>
      <c r="O56" s="1" t="inlineStr">
        <is>
          <t>0+10*18.41</t>
        </is>
      </c>
      <c r="P56" s="1" t="inlineStr">
        <is>
          <t>0+10*24.05</t>
        </is>
      </c>
      <c r="Q56" s="1" t="inlineStr">
        <is>
          <t>0+10*0.338450615/15+10*0.34025725/10</t>
        </is>
      </c>
    </row>
    <row r="57">
      <c r="C57" t="inlineStr">
        <is>
          <t>October</t>
        </is>
      </c>
      <c r="D57" t="n">
        <v>2021</v>
      </c>
      <c r="E57">
        <f>T3*(0+5*18.41+10*19.56)</f>
        <v/>
      </c>
      <c r="F57" t="inlineStr">
        <is>
          <t>June</t>
        </is>
      </c>
      <c r="G57" t="n">
        <v>2021</v>
      </c>
      <c r="H57">
        <f>T3*(0+15*21.78)</f>
        <v/>
      </c>
      <c r="K57">
        <f>T3*(0+5*0.338450615/15+10*0.32244481/10+15*0.37425725/20)</f>
        <v/>
      </c>
      <c r="M57" t="inlineStr">
        <is>
          <t>GOLD</t>
        </is>
      </c>
      <c r="N57" t="inlineStr">
        <is>
          <t>USD</t>
        </is>
      </c>
      <c r="O57" s="1" t="inlineStr">
        <is>
          <t>0+5*18.41+10*19.56</t>
        </is>
      </c>
      <c r="P57" s="1" t="inlineStr">
        <is>
          <t>0+15*21.78</t>
        </is>
      </c>
      <c r="Q57" s="1" t="inlineStr">
        <is>
          <t>0+5*0.338450615/15+10*0.32244481/10+15*0.37425725/20</t>
        </is>
      </c>
    </row>
    <row r="58">
      <c r="C58" t="inlineStr">
        <is>
          <t>November</t>
        </is>
      </c>
      <c r="D58" t="n">
        <v>2021</v>
      </c>
      <c r="E58">
        <f>T3*(0+5*20.48)</f>
        <v/>
      </c>
      <c r="F58" t="inlineStr">
        <is>
          <t>June</t>
        </is>
      </c>
      <c r="G58" t="n">
        <v>2021</v>
      </c>
      <c r="H58">
        <f>T3*(0+5*21.78)</f>
        <v/>
      </c>
      <c r="K58">
        <f>T3*(0+5*0.36449173/10+5*0.37425725/20)</f>
        <v/>
      </c>
      <c r="M58" t="inlineStr">
        <is>
          <t>GOLD</t>
        </is>
      </c>
      <c r="N58" t="inlineStr">
        <is>
          <t>USD</t>
        </is>
      </c>
      <c r="O58" s="1" t="inlineStr">
        <is>
          <t>0+5*20.48</t>
        </is>
      </c>
      <c r="P58" s="1" t="inlineStr">
        <is>
          <t>0+5*21.78</t>
        </is>
      </c>
      <c r="Q58" s="1" t="inlineStr">
        <is>
          <t>0+5*0.36449173/10+5*0.37425725/20</t>
        </is>
      </c>
    </row>
    <row r="59">
      <c r="C59" t="inlineStr">
        <is>
          <t>November</t>
        </is>
      </c>
      <c r="D59" t="n">
        <v>2021</v>
      </c>
      <c r="E59">
        <f>T3*(0+5*20.48)</f>
        <v/>
      </c>
      <c r="F59" t="inlineStr">
        <is>
          <t>July</t>
        </is>
      </c>
      <c r="G59" t="n">
        <v>2021</v>
      </c>
      <c r="H59">
        <f>T3*(0+5*20.61)</f>
        <v/>
      </c>
      <c r="K59">
        <f>T3*(0+5*0.36449173/10+5*0.34025725/10)</f>
        <v/>
      </c>
      <c r="M59" t="inlineStr">
        <is>
          <t>GOLD</t>
        </is>
      </c>
      <c r="N59" t="inlineStr">
        <is>
          <t>USD</t>
        </is>
      </c>
      <c r="O59" s="1" t="inlineStr">
        <is>
          <t>0+5*20.48</t>
        </is>
      </c>
      <c r="P59" s="1" t="inlineStr">
        <is>
          <t>0+5*20.61</t>
        </is>
      </c>
      <c r="Q59" s="1" t="inlineStr">
        <is>
          <t>0+5*0.36449173/10+5*0.34025725/10</t>
        </is>
      </c>
    </row>
    <row r="60">
      <c r="C60" t="inlineStr">
        <is>
          <t>September</t>
        </is>
      </c>
      <c r="D60" t="n">
        <v>2021</v>
      </c>
      <c r="E60">
        <f>T3*(0+100*0.7596)</f>
        <v/>
      </c>
      <c r="F60" t="inlineStr">
        <is>
          <t>July</t>
        </is>
      </c>
      <c r="G60" t="n">
        <v>2021</v>
      </c>
      <c r="H60">
        <f>T3*(0+100*0.7033)</f>
        <v/>
      </c>
      <c r="K60">
        <f>T3*(0+100*0.379544646/100+100*0.7325145/200)</f>
        <v/>
      </c>
      <c r="M60" t="inlineStr">
        <is>
          <t>GTE</t>
        </is>
      </c>
      <c r="N60" t="inlineStr">
        <is>
          <t>USD</t>
        </is>
      </c>
      <c r="O60" s="1" t="inlineStr">
        <is>
          <t>0+100*0.7596</t>
        </is>
      </c>
      <c r="P60" s="1" t="inlineStr">
        <is>
          <t>0+100*0.7033</t>
        </is>
      </c>
      <c r="Q60" s="1" t="inlineStr">
        <is>
          <t>0+100*0.379544646/100+100*0.7325145/200</t>
        </is>
      </c>
    </row>
    <row r="61">
      <c r="C61" t="inlineStr">
        <is>
          <t>October</t>
        </is>
      </c>
      <c r="D61" t="n">
        <v>2021</v>
      </c>
      <c r="E61">
        <f>T3*(0+100*0.7996)</f>
        <v/>
      </c>
      <c r="F61" t="inlineStr">
        <is>
          <t>July</t>
        </is>
      </c>
      <c r="G61" t="n">
        <v>2021</v>
      </c>
      <c r="H61">
        <f>T3*(0+100*0.7033)</f>
        <v/>
      </c>
      <c r="K61">
        <f>T3*(0+100*0.379565046/100+100*0.7325145/200)</f>
        <v/>
      </c>
      <c r="M61" t="inlineStr">
        <is>
          <t>GTE</t>
        </is>
      </c>
      <c r="N61" t="inlineStr">
        <is>
          <t>USD</t>
        </is>
      </c>
      <c r="O61" s="1" t="inlineStr">
        <is>
          <t>0+100*0.7996</t>
        </is>
      </c>
      <c r="P61" s="1" t="inlineStr">
        <is>
          <t>0+100*0.7033</t>
        </is>
      </c>
      <c r="Q61" s="1" t="inlineStr">
        <is>
          <t>0+100*0.379565046/100+100*0.7325145/200</t>
        </is>
      </c>
    </row>
    <row r="62">
      <c r="C62" t="inlineStr">
        <is>
          <t>October</t>
        </is>
      </c>
      <c r="D62" t="n">
        <v>2021</v>
      </c>
      <c r="E62">
        <f>T3*(0+100*0.8137+100*0.866+100*0.9696)</f>
        <v/>
      </c>
      <c r="F62" t="inlineStr">
        <is>
          <t>August</t>
        </is>
      </c>
      <c r="G62" t="n">
        <v>2021</v>
      </c>
      <c r="H62">
        <f>T3*(0+200*0.563+100*0.481)</f>
        <v/>
      </c>
      <c r="K62">
        <f>T3*(0+100*0.382572237/100+100*0.43259891/100+100*0.379651746/100+200*0.7345145/200+100*0.36725725/100)</f>
        <v/>
      </c>
      <c r="M62" t="inlineStr">
        <is>
          <t>GTE</t>
        </is>
      </c>
      <c r="N62" t="inlineStr">
        <is>
          <t>USD</t>
        </is>
      </c>
      <c r="O62" s="1" t="inlineStr">
        <is>
          <t>0+100*0.8137+100*0.866+100*0.9696</t>
        </is>
      </c>
      <c r="P62" s="1" t="inlineStr">
        <is>
          <t>0+200*0.563+100*0.481</t>
        </is>
      </c>
      <c r="Q62" s="1" t="inlineStr">
        <is>
          <t>0+100*0.382572237/100+100*0.43259891/100+100*0.379651746/100+200*0.7345145/200+100*0.36725725/100</t>
        </is>
      </c>
    </row>
    <row r="63">
      <c r="C63" t="inlineStr">
        <is>
          <t>October</t>
        </is>
      </c>
      <c r="D63" t="n">
        <v>2021</v>
      </c>
      <c r="E63">
        <f>T3*(0+10*15.96+15*16.09)</f>
        <v/>
      </c>
      <c r="F63" t="inlineStr">
        <is>
          <t>June</t>
        </is>
      </c>
      <c r="G63" t="n">
        <v>2021</v>
      </c>
      <c r="H63">
        <f>T3*(0+15*16.11+10*15.13)</f>
        <v/>
      </c>
      <c r="K63">
        <f>T3*(0+10*0.33326121/10+15*0.378773135/15+15*0.35325725/15+10*0.33225725/10)</f>
        <v/>
      </c>
      <c r="M63" t="inlineStr">
        <is>
          <t>HBAN</t>
        </is>
      </c>
      <c r="N63" t="inlineStr">
        <is>
          <t>USD</t>
        </is>
      </c>
      <c r="O63" s="1" t="inlineStr">
        <is>
          <t>0+10*15.96+15*16.09</t>
        </is>
      </c>
      <c r="P63" s="1" t="inlineStr">
        <is>
          <t>0+15*16.11+10*15.13</t>
        </is>
      </c>
      <c r="Q63" s="1" t="inlineStr">
        <is>
          <t>0+10*0.33326121/10+15*0.378773135/15+15*0.35325725/15+10*0.33225725/10</t>
        </is>
      </c>
    </row>
    <row r="64">
      <c r="C64" t="inlineStr">
        <is>
          <t>August</t>
        </is>
      </c>
      <c r="D64" t="n">
        <v>2021</v>
      </c>
      <c r="E64">
        <f>T3*(0+5*97.86)</f>
        <v/>
      </c>
      <c r="F64" t="inlineStr">
        <is>
          <t>May</t>
        </is>
      </c>
      <c r="G64" t="n">
        <v>2021</v>
      </c>
      <c r="H64">
        <f>T3*(0+5*97.66)</f>
        <v/>
      </c>
      <c r="K64">
        <f>T3*(0+5*0.36734768/5+5*0.35225725/10)</f>
        <v/>
      </c>
      <c r="M64" t="inlineStr">
        <is>
          <t>HDV</t>
        </is>
      </c>
      <c r="N64" t="inlineStr">
        <is>
          <t>USD</t>
        </is>
      </c>
      <c r="O64" s="1" t="inlineStr">
        <is>
          <t>0+5*97.86</t>
        </is>
      </c>
      <c r="P64" s="1" t="inlineStr">
        <is>
          <t>0+5*97.66</t>
        </is>
      </c>
      <c r="Q64" s="1" t="inlineStr">
        <is>
          <t>0+5*0.36734768/5+5*0.35225725/10</t>
        </is>
      </c>
    </row>
    <row r="65">
      <c r="C65" t="inlineStr">
        <is>
          <t>October</t>
        </is>
      </c>
      <c r="D65" t="n">
        <v>2021</v>
      </c>
      <c r="E65">
        <f>T3*(0+5*96.61)</f>
        <v/>
      </c>
      <c r="F65" t="inlineStr">
        <is>
          <t>May</t>
        </is>
      </c>
      <c r="G65" t="n">
        <v>2021</v>
      </c>
      <c r="H65">
        <f>T3*(0+5*97.66)</f>
        <v/>
      </c>
      <c r="K65">
        <f>T3*(0+5*0.33837436/10+5*0.35225725/10)</f>
        <v/>
      </c>
      <c r="M65" t="inlineStr">
        <is>
          <t>HDV</t>
        </is>
      </c>
      <c r="N65" t="inlineStr">
        <is>
          <t>USD</t>
        </is>
      </c>
      <c r="O65" s="1" t="inlineStr">
        <is>
          <t>0+5*96.61</t>
        </is>
      </c>
      <c r="P65" s="1" t="inlineStr">
        <is>
          <t>0+5*97.66</t>
        </is>
      </c>
      <c r="Q65" s="1" t="inlineStr">
        <is>
          <t>0+5*0.33837436/10+5*0.35225725/10</t>
        </is>
      </c>
    </row>
    <row r="66">
      <c r="C66" t="inlineStr">
        <is>
          <t>October</t>
        </is>
      </c>
      <c r="D66" t="n">
        <v>2021</v>
      </c>
      <c r="E66">
        <f>T3*(0+5*96.61)</f>
        <v/>
      </c>
      <c r="F66" t="inlineStr">
        <is>
          <t>June</t>
        </is>
      </c>
      <c r="G66" t="n">
        <v>2021</v>
      </c>
      <c r="H66">
        <f>T3*(0+5*97.33)</f>
        <v/>
      </c>
      <c r="K66">
        <f>T3*(0+5*0.33837436/10+5*0.34125725/5)</f>
        <v/>
      </c>
      <c r="M66" t="inlineStr">
        <is>
          <t>HDV</t>
        </is>
      </c>
      <c r="N66" t="inlineStr">
        <is>
          <t>USD</t>
        </is>
      </c>
      <c r="O66" s="1" t="inlineStr">
        <is>
          <t>0+5*96.61</t>
        </is>
      </c>
      <c r="P66" s="1" t="inlineStr">
        <is>
          <t>0+5*97.33</t>
        </is>
      </c>
      <c r="Q66" s="1" t="inlineStr">
        <is>
          <t>0+5*0.33837436/10+5*0.34125725/5</t>
        </is>
      </c>
    </row>
    <row r="67">
      <c r="C67" t="inlineStr">
        <is>
          <t>October</t>
        </is>
      </c>
      <c r="D67" t="n">
        <v>2021</v>
      </c>
      <c r="E67">
        <f>T3*(0+50*1.79)</f>
        <v/>
      </c>
      <c r="F67" t="inlineStr">
        <is>
          <t>June</t>
        </is>
      </c>
      <c r="G67" t="n">
        <v>2021</v>
      </c>
      <c r="H67">
        <f>T3*(0+50*6.01)</f>
        <v/>
      </c>
      <c r="K67">
        <f>T3*(0+50*0.259605225/150+50*0.41025725/50)</f>
        <v/>
      </c>
      <c r="M67" t="inlineStr">
        <is>
          <t>HEXO</t>
        </is>
      </c>
      <c r="N67" t="inlineStr">
        <is>
          <t>USD</t>
        </is>
      </c>
      <c r="O67" s="1" t="inlineStr">
        <is>
          <t>0+50*1.79</t>
        </is>
      </c>
      <c r="P67" s="1" t="inlineStr">
        <is>
          <t>0+50*6.01</t>
        </is>
      </c>
      <c r="Q67" s="1" t="inlineStr">
        <is>
          <t>0+50*0.259605225/150+50*0.41025725/50</t>
        </is>
      </c>
    </row>
    <row r="68">
      <c r="C68" t="inlineStr">
        <is>
          <t>October</t>
        </is>
      </c>
      <c r="D68" t="n">
        <v>2021</v>
      </c>
      <c r="E68">
        <f>T3*(0+100*1.79)</f>
        <v/>
      </c>
      <c r="F68" t="inlineStr">
        <is>
          <t>August</t>
        </is>
      </c>
      <c r="G68" t="n">
        <v>2021</v>
      </c>
      <c r="H68">
        <f>T3*(0+100*3.85)</f>
        <v/>
      </c>
      <c r="K68">
        <f>T3*(0+100*0.259605225/150+100*0.21025725/100)</f>
        <v/>
      </c>
      <c r="M68" t="inlineStr">
        <is>
          <t>HEXO</t>
        </is>
      </c>
      <c r="N68" t="inlineStr">
        <is>
          <t>USD</t>
        </is>
      </c>
      <c r="O68" s="1" t="inlineStr">
        <is>
          <t>0+100*1.79</t>
        </is>
      </c>
      <c r="P68" s="1" t="inlineStr">
        <is>
          <t>0+100*3.85</t>
        </is>
      </c>
      <c r="Q68" s="1" t="inlineStr">
        <is>
          <t>0+100*0.259605225/150+100*0.21025725/100</t>
        </is>
      </c>
    </row>
    <row r="69">
      <c r="C69" t="inlineStr">
        <is>
          <t>December</t>
        </is>
      </c>
      <c r="D69" t="n">
        <v>2021</v>
      </c>
      <c r="E69">
        <f>T3*(0+100*0.875)</f>
        <v/>
      </c>
      <c r="F69" t="inlineStr">
        <is>
          <t>August</t>
        </is>
      </c>
      <c r="G69" t="n">
        <v>2021</v>
      </c>
      <c r="H69">
        <f>T3*(0+100*3.68)</f>
        <v/>
      </c>
      <c r="K69">
        <f>T3*(0+100*1.6728105/300+100*0.25025725/100)</f>
        <v/>
      </c>
      <c r="M69" t="inlineStr">
        <is>
          <t>HEXO</t>
        </is>
      </c>
      <c r="N69" t="inlineStr">
        <is>
          <t>USD</t>
        </is>
      </c>
      <c r="O69" s="1" t="inlineStr">
        <is>
          <t>0+100*0.875</t>
        </is>
      </c>
      <c r="P69" s="1" t="inlineStr">
        <is>
          <t>0+100*3.68</t>
        </is>
      </c>
      <c r="Q69" s="1" t="inlineStr">
        <is>
          <t>0+100*1.6728105/300+100*0.25025725/100</t>
        </is>
      </c>
    </row>
    <row r="70">
      <c r="C70" t="inlineStr">
        <is>
          <t>December</t>
        </is>
      </c>
      <c r="D70" t="n">
        <v>2021</v>
      </c>
      <c r="E70">
        <f>T3*(0+200*0.875)</f>
        <v/>
      </c>
      <c r="F70" t="inlineStr">
        <is>
          <t>September</t>
        </is>
      </c>
      <c r="G70" t="n">
        <v>2021</v>
      </c>
      <c r="H70">
        <f>T3*(0+100*2.33+100*1.99)</f>
        <v/>
      </c>
      <c r="K70">
        <f>T3*(0+200*1.6728105/300+100*0.16025725/100+100*0.52025725/100)</f>
        <v/>
      </c>
      <c r="M70" t="inlineStr">
        <is>
          <t>HEXO</t>
        </is>
      </c>
      <c r="N70" t="inlineStr">
        <is>
          <t>USD</t>
        </is>
      </c>
      <c r="O70" s="1" t="inlineStr">
        <is>
          <t>0+200*0.875</t>
        </is>
      </c>
      <c r="P70" s="1" t="inlineStr">
        <is>
          <t>0+100*2.33+100*1.99</t>
        </is>
      </c>
      <c r="Q70" s="1" t="inlineStr">
        <is>
          <t>0+200*1.6728105/300+100*0.16025725/100+100*0.52025725/100</t>
        </is>
      </c>
    </row>
    <row r="71">
      <c r="C71" t="inlineStr">
        <is>
          <t>June</t>
        </is>
      </c>
      <c r="D71" t="n">
        <v>2021</v>
      </c>
      <c r="E71">
        <f>T3*(0+10*7.96)</f>
        <v/>
      </c>
      <c r="F71" t="inlineStr">
        <is>
          <t>May</t>
        </is>
      </c>
      <c r="G71" t="n">
        <v>2021</v>
      </c>
      <c r="H71">
        <f>T3*(0+10*7.23)</f>
        <v/>
      </c>
      <c r="K71">
        <f>T3*(0+10*0.33285321/10+10*0.29325725/30)</f>
        <v/>
      </c>
      <c r="M71" t="inlineStr">
        <is>
          <t>HLIT</t>
        </is>
      </c>
      <c r="N71" t="inlineStr">
        <is>
          <t>USD</t>
        </is>
      </c>
      <c r="O71" s="1" t="inlineStr">
        <is>
          <t>0+10*7.96</t>
        </is>
      </c>
      <c r="P71" s="1" t="inlineStr">
        <is>
          <t>0+10*7.23</t>
        </is>
      </c>
      <c r="Q71" s="1" t="inlineStr">
        <is>
          <t>0+10*0.33285321/10+10*0.29325725/30</t>
        </is>
      </c>
    </row>
    <row r="72">
      <c r="C72" t="inlineStr">
        <is>
          <t>July</t>
        </is>
      </c>
      <c r="D72" t="n">
        <v>2021</v>
      </c>
      <c r="E72">
        <f>T3*(0+10*7.83+10*7.96)</f>
        <v/>
      </c>
      <c r="F72" t="inlineStr">
        <is>
          <t>May</t>
        </is>
      </c>
      <c r="G72" t="n">
        <v>2021</v>
      </c>
      <c r="H72">
        <f>T3*(0+20*7.23)</f>
        <v/>
      </c>
      <c r="K72">
        <f>T3*(0+10*0.33784658/10+10*0.33285321/10+20*0.29325725/30)</f>
        <v/>
      </c>
      <c r="M72" t="inlineStr">
        <is>
          <t>HLIT</t>
        </is>
      </c>
      <c r="N72" t="inlineStr">
        <is>
          <t>USD</t>
        </is>
      </c>
      <c r="O72" s="1" t="inlineStr">
        <is>
          <t>0+10*7.83+10*7.96</t>
        </is>
      </c>
      <c r="P72" s="1" t="inlineStr">
        <is>
          <t>0+20*7.23</t>
        </is>
      </c>
      <c r="Q72" s="1" t="inlineStr">
        <is>
          <t>0+10*0.33784658/10+10*0.33285321/10+20*0.29325725/30</t>
        </is>
      </c>
    </row>
    <row r="73">
      <c r="C73" t="inlineStr">
        <is>
          <t>September</t>
        </is>
      </c>
      <c r="D73" t="n">
        <v>2021</v>
      </c>
      <c r="E73">
        <f>T3*(0+5*87.97)</f>
        <v/>
      </c>
      <c r="F73" t="inlineStr">
        <is>
          <t>August</t>
        </is>
      </c>
      <c r="G73" t="n">
        <v>2021</v>
      </c>
      <c r="H73">
        <f>T3*(0+5*87)</f>
        <v/>
      </c>
      <c r="K73">
        <f>T3*(0+5*0.357095485/5+5*0.35665725/8)</f>
        <v/>
      </c>
      <c r="M73" t="inlineStr">
        <is>
          <t>HYG</t>
        </is>
      </c>
      <c r="N73" t="inlineStr">
        <is>
          <t>USD</t>
        </is>
      </c>
      <c r="O73" s="1" t="inlineStr">
        <is>
          <t>0+5*87.97</t>
        </is>
      </c>
      <c r="P73" s="1" t="inlineStr">
        <is>
          <t>0+5*87</t>
        </is>
      </c>
      <c r="Q73" s="1" t="inlineStr">
        <is>
          <t>0+5*0.357095485/5+5*0.35665725/8</t>
        </is>
      </c>
    </row>
    <row r="74">
      <c r="C74" t="inlineStr">
        <is>
          <t>November</t>
        </is>
      </c>
      <c r="D74" t="n">
        <v>2021</v>
      </c>
      <c r="E74">
        <f>T3*(0+3*87.355)</f>
        <v/>
      </c>
      <c r="F74" t="inlineStr">
        <is>
          <t>August</t>
        </is>
      </c>
      <c r="G74" t="n">
        <v>2021</v>
      </c>
      <c r="H74">
        <f>T3*(0+3*87)</f>
        <v/>
      </c>
      <c r="K74">
        <f>T3*(0+3*0.354079802/5+3*0.35665725/8)</f>
        <v/>
      </c>
      <c r="M74" t="inlineStr">
        <is>
          <t>HYG</t>
        </is>
      </c>
      <c r="N74" t="inlineStr">
        <is>
          <t>USD</t>
        </is>
      </c>
      <c r="O74" s="1" t="inlineStr">
        <is>
          <t>0+3*87.355</t>
        </is>
      </c>
      <c r="P74" s="1" t="inlineStr">
        <is>
          <t>0+3*87</t>
        </is>
      </c>
      <c r="Q74" s="1" t="inlineStr">
        <is>
          <t>0+3*0.354079802/5+3*0.35665725/8</t>
        </is>
      </c>
    </row>
    <row r="75">
      <c r="C75" t="inlineStr">
        <is>
          <t>November</t>
        </is>
      </c>
      <c r="D75" t="n">
        <v>2021</v>
      </c>
      <c r="E75">
        <f>T3*(0+2*87.355+3*87.432)</f>
        <v/>
      </c>
      <c r="F75" t="inlineStr">
        <is>
          <t>September</t>
        </is>
      </c>
      <c r="G75" t="n">
        <v>2021</v>
      </c>
      <c r="H75">
        <f>T3*(0+5*87.81)</f>
        <v/>
      </c>
      <c r="K75">
        <f>T3*(0+2*0.354079802/5+3*0.356376476/8+5*0.34125725/5)</f>
        <v/>
      </c>
      <c r="M75" t="inlineStr">
        <is>
          <t>HYG</t>
        </is>
      </c>
      <c r="N75" t="inlineStr">
        <is>
          <t>USD</t>
        </is>
      </c>
      <c r="O75" s="1" t="inlineStr">
        <is>
          <t>0+2*87.355+3*87.432</t>
        </is>
      </c>
      <c r="P75" s="1" t="inlineStr">
        <is>
          <t>0+5*87.81</t>
        </is>
      </c>
      <c r="Q75" s="1" t="inlineStr">
        <is>
          <t>0+2*0.354079802/5+3*0.356376476/8+5*0.34125725/5</t>
        </is>
      </c>
    </row>
    <row r="76">
      <c r="C76" t="inlineStr">
        <is>
          <t>November</t>
        </is>
      </c>
      <c r="D76" t="n">
        <v>2021</v>
      </c>
      <c r="E76">
        <f>T3*(0+5*87.432)</f>
        <v/>
      </c>
      <c r="F76" t="inlineStr">
        <is>
          <t>October</t>
        </is>
      </c>
      <c r="G76" t="n">
        <v>2021</v>
      </c>
      <c r="H76">
        <f>T3*(0+5*87.08)</f>
        <v/>
      </c>
      <c r="K76">
        <f>T3*(0+5*0.356376476/8+5*0.34125725/5)</f>
        <v/>
      </c>
      <c r="M76" t="inlineStr">
        <is>
          <t>HYG</t>
        </is>
      </c>
      <c r="N76" t="inlineStr">
        <is>
          <t>USD</t>
        </is>
      </c>
      <c r="O76" s="1" t="inlineStr">
        <is>
          <t>0+5*87.432</t>
        </is>
      </c>
      <c r="P76" s="1" t="inlineStr">
        <is>
          <t>0+5*87.08</t>
        </is>
      </c>
      <c r="Q76" s="1" t="inlineStr">
        <is>
          <t>0+5*0.356376476/8+5*0.34125725/5</t>
        </is>
      </c>
    </row>
    <row r="77">
      <c r="C77" t="inlineStr">
        <is>
          <t>October</t>
        </is>
      </c>
      <c r="D77" t="n">
        <v>2021</v>
      </c>
      <c r="E77">
        <f>T3*(0+2*70.18)</f>
        <v/>
      </c>
      <c r="F77" t="inlineStr">
        <is>
          <t>May</t>
        </is>
      </c>
      <c r="G77" t="n">
        <v>2021</v>
      </c>
      <c r="H77">
        <f>T3*(0+2*70.82)</f>
        <v/>
      </c>
      <c r="K77">
        <f>T3*(0+2*0.351611086/2+2*0.34645725/2)</f>
        <v/>
      </c>
      <c r="M77" t="inlineStr">
        <is>
          <t>IBKR</t>
        </is>
      </c>
      <c r="N77" t="inlineStr">
        <is>
          <t>USD</t>
        </is>
      </c>
      <c r="O77" s="1" t="inlineStr">
        <is>
          <t>0+2*70.18</t>
        </is>
      </c>
      <c r="P77" s="1" t="inlineStr">
        <is>
          <t>0+2*70.82</t>
        </is>
      </c>
      <c r="Q77" s="1" t="inlineStr">
        <is>
          <t>0+2*0.351611086/2+2*0.34645725/2</t>
        </is>
      </c>
    </row>
    <row r="78">
      <c r="C78" t="inlineStr">
        <is>
          <t>October</t>
        </is>
      </c>
      <c r="D78" t="n">
        <v>2021</v>
      </c>
      <c r="E78">
        <f>T3*(0+2*74.96)</f>
        <v/>
      </c>
      <c r="F78" t="inlineStr">
        <is>
          <t>September</t>
        </is>
      </c>
      <c r="G78" t="n">
        <v>2021</v>
      </c>
      <c r="H78">
        <f>T3*(0+2*63.06)</f>
        <v/>
      </c>
      <c r="K78">
        <f>T3*(0+2*0.347459842/2+2*0.34455725/3)</f>
        <v/>
      </c>
      <c r="M78" t="inlineStr">
        <is>
          <t>IBKR</t>
        </is>
      </c>
      <c r="N78" t="inlineStr">
        <is>
          <t>USD</t>
        </is>
      </c>
      <c r="O78" s="1" t="inlineStr">
        <is>
          <t>0+2*74.96</t>
        </is>
      </c>
      <c r="P78" s="1" t="inlineStr">
        <is>
          <t>0+2*63.06</t>
        </is>
      </c>
      <c r="Q78" s="1" t="inlineStr">
        <is>
          <t>0+2*0.347459842/2+2*0.34455725/3</t>
        </is>
      </c>
    </row>
    <row r="79">
      <c r="C79" t="inlineStr">
        <is>
          <t>November</t>
        </is>
      </c>
      <c r="D79" t="n">
        <v>2021</v>
      </c>
      <c r="E79">
        <f>T3*(0+5*56.295)</f>
        <v/>
      </c>
      <c r="F79" t="inlineStr">
        <is>
          <t>May</t>
        </is>
      </c>
      <c r="G79" t="n">
        <v>2021</v>
      </c>
      <c r="H79">
        <f>T3*(0+5*55)</f>
        <v/>
      </c>
      <c r="K79">
        <f>T3*(0+5*0.356318295/10+5*0.35425725/5)</f>
        <v/>
      </c>
      <c r="M79" t="inlineStr">
        <is>
          <t>KBE</t>
        </is>
      </c>
      <c r="N79" t="inlineStr">
        <is>
          <t>USD</t>
        </is>
      </c>
      <c r="O79" s="1" t="inlineStr">
        <is>
          <t>0+5*56.295</t>
        </is>
      </c>
      <c r="P79" s="1" t="inlineStr">
        <is>
          <t>0+5*55</t>
        </is>
      </c>
      <c r="Q79" s="1" t="inlineStr">
        <is>
          <t>0+5*0.356318295/10+5*0.35425725/5</t>
        </is>
      </c>
    </row>
    <row r="80">
      <c r="C80" t="inlineStr">
        <is>
          <t>November</t>
        </is>
      </c>
      <c r="D80" t="n">
        <v>2021</v>
      </c>
      <c r="E80">
        <f>T3*(0+5*56.295)</f>
        <v/>
      </c>
      <c r="F80" t="inlineStr">
        <is>
          <t>September</t>
        </is>
      </c>
      <c r="G80" t="n">
        <v>2021</v>
      </c>
      <c r="H80">
        <f>T3*(0+5*50.06)</f>
        <v/>
      </c>
      <c r="K80">
        <f>T3*(0+5*0.356318295/10+5*0.34125725/5)</f>
        <v/>
      </c>
      <c r="M80" t="inlineStr">
        <is>
          <t>KBE</t>
        </is>
      </c>
      <c r="N80" t="inlineStr">
        <is>
          <t>USD</t>
        </is>
      </c>
      <c r="O80" s="1" t="inlineStr">
        <is>
          <t>0+5*56.295</t>
        </is>
      </c>
      <c r="P80" s="1" t="inlineStr">
        <is>
          <t>0+5*50.06</t>
        </is>
      </c>
      <c r="Q80" s="1" t="inlineStr">
        <is>
          <t>0+5*0.356318295/10+5*0.34125725/5</t>
        </is>
      </c>
    </row>
    <row r="81">
      <c r="C81" t="inlineStr">
        <is>
          <t>August</t>
        </is>
      </c>
      <c r="D81" t="n">
        <v>2021</v>
      </c>
      <c r="E81">
        <f>T3*(0+5*20.96+5*22.66)</f>
        <v/>
      </c>
      <c r="F81" t="inlineStr">
        <is>
          <t>July</t>
        </is>
      </c>
      <c r="G81" t="n">
        <v>2021</v>
      </c>
      <c r="H81">
        <f>T3*(0+10*20.66)</f>
        <v/>
      </c>
      <c r="K81">
        <f>T3*(0+5*0.34188673/5+5*0.34193008/5+10*0.33125725/10)</f>
        <v/>
      </c>
      <c r="M81" t="inlineStr">
        <is>
          <t>KE</t>
        </is>
      </c>
      <c r="N81" t="inlineStr">
        <is>
          <t>USD</t>
        </is>
      </c>
      <c r="O81" s="1" t="inlineStr">
        <is>
          <t>0+5*20.96+5*22.66</t>
        </is>
      </c>
      <c r="P81" s="1" t="inlineStr">
        <is>
          <t>0+10*20.66</t>
        </is>
      </c>
      <c r="Q81" s="1" t="inlineStr">
        <is>
          <t>0+5*0.34188673/5+5*0.34193008/5+10*0.33125725/10</t>
        </is>
      </c>
    </row>
    <row r="82">
      <c r="C82" t="inlineStr">
        <is>
          <t>October</t>
        </is>
      </c>
      <c r="D82" t="n">
        <v>2021</v>
      </c>
      <c r="E82">
        <f>T3*(0+40*5.96)</f>
        <v/>
      </c>
      <c r="F82" t="inlineStr">
        <is>
          <t>May</t>
        </is>
      </c>
      <c r="G82" t="n">
        <v>2021</v>
      </c>
      <c r="H82">
        <f>T3*(0+40*7.34)</f>
        <v/>
      </c>
      <c r="K82">
        <f>T3*(0+40*0.31623309/40+40*0.41025725/50)</f>
        <v/>
      </c>
      <c r="M82" t="inlineStr">
        <is>
          <t>KGC</t>
        </is>
      </c>
      <c r="N82" t="inlineStr">
        <is>
          <t>USD</t>
        </is>
      </c>
      <c r="O82" s="1" t="inlineStr">
        <is>
          <t>0+40*5.96</t>
        </is>
      </c>
      <c r="P82" s="1" t="inlineStr">
        <is>
          <t>0+40*7.34</t>
        </is>
      </c>
      <c r="Q82" s="1" t="inlineStr">
        <is>
          <t>0+40*0.31623309/40+40*0.41025725/50</t>
        </is>
      </c>
    </row>
    <row r="83">
      <c r="C83" t="inlineStr">
        <is>
          <t>August</t>
        </is>
      </c>
      <c r="D83" t="n">
        <v>2021</v>
      </c>
      <c r="E83">
        <f>T3*(0+5*61.99+5*69.86)</f>
        <v/>
      </c>
      <c r="F83" t="inlineStr">
        <is>
          <t>July</t>
        </is>
      </c>
      <c r="G83" t="n">
        <v>2021</v>
      </c>
      <c r="H83">
        <f>T3*(0+5*55.06+5*53.06)</f>
        <v/>
      </c>
      <c r="K83">
        <f>T3*(0+5*0.356432995/5+5*0.34313368/5+5*0.35125725/5+5*0.34075725/5)</f>
        <v/>
      </c>
      <c r="M83" t="inlineStr">
        <is>
          <t>KLIC</t>
        </is>
      </c>
      <c r="N83" t="inlineStr">
        <is>
          <t>USD</t>
        </is>
      </c>
      <c r="O83" s="1" t="inlineStr">
        <is>
          <t>0+5*61.99+5*69.86</t>
        </is>
      </c>
      <c r="P83" s="1" t="inlineStr">
        <is>
          <t>0+5*55.06+5*53.06</t>
        </is>
      </c>
      <c r="Q83" s="1" t="inlineStr">
        <is>
          <t>0+5*0.356432995/5+5*0.34313368/5+5*0.35125725/5+5*0.34075725/5</t>
        </is>
      </c>
    </row>
    <row r="84">
      <c r="C84" t="inlineStr">
        <is>
          <t>November</t>
        </is>
      </c>
      <c r="D84" t="n">
        <v>2021</v>
      </c>
      <c r="E84">
        <f>T3*(0+5*74.91)</f>
        <v/>
      </c>
      <c r="F84" t="inlineStr">
        <is>
          <t>May</t>
        </is>
      </c>
      <c r="G84" t="n">
        <v>2021</v>
      </c>
      <c r="H84">
        <f>T3*(0+5*68.33)</f>
        <v/>
      </c>
      <c r="K84">
        <f>T3*(0+5*0.345762455/5+5*0.36525725/5)</f>
        <v/>
      </c>
      <c r="M84" t="inlineStr">
        <is>
          <t>KRE</t>
        </is>
      </c>
      <c r="N84" t="inlineStr">
        <is>
          <t>USD</t>
        </is>
      </c>
      <c r="O84" s="1" t="inlineStr">
        <is>
          <t>0+5*74.91</t>
        </is>
      </c>
      <c r="P84" s="1" t="inlineStr">
        <is>
          <t>0+5*68.33</t>
        </is>
      </c>
      <c r="Q84" s="1" t="inlineStr">
        <is>
          <t>0+5*0.345762455/5+5*0.36525725/5</t>
        </is>
      </c>
    </row>
    <row r="85">
      <c r="C85" t="inlineStr">
        <is>
          <t>August</t>
        </is>
      </c>
      <c r="D85" t="n">
        <v>2021</v>
      </c>
      <c r="E85">
        <f>T3*(0+2*54.96+3*59.96)</f>
        <v/>
      </c>
      <c r="F85" t="inlineStr">
        <is>
          <t>June</t>
        </is>
      </c>
      <c r="G85" t="n">
        <v>2021</v>
      </c>
      <c r="H85">
        <f>T3*(0+5*54.06)</f>
        <v/>
      </c>
      <c r="K85">
        <f>T3*(0+2*0.349055842/2+3*0.348531638/3+5*0.34525725/5)</f>
        <v/>
      </c>
      <c r="M85" t="inlineStr">
        <is>
          <t>KSS</t>
        </is>
      </c>
      <c r="N85" t="inlineStr">
        <is>
          <t>USD</t>
        </is>
      </c>
      <c r="O85" s="1" t="inlineStr">
        <is>
          <t>0+2*54.96+3*59.96</t>
        </is>
      </c>
      <c r="P85" s="1" t="inlineStr">
        <is>
          <t>0+5*54.06</t>
        </is>
      </c>
      <c r="Q85" s="1" t="inlineStr">
        <is>
          <t>0+2*0.349055842/2+3*0.348531638/3+5*0.34525725/5</t>
        </is>
      </c>
    </row>
    <row r="86">
      <c r="C86" t="inlineStr">
        <is>
          <t>June</t>
        </is>
      </c>
      <c r="D86" t="n">
        <v>2021</v>
      </c>
      <c r="E86">
        <f>T3*(0+4*26.96+10*28)</f>
        <v/>
      </c>
      <c r="F86" t="inlineStr">
        <is>
          <t>May</t>
        </is>
      </c>
      <c r="G86" t="n">
        <v>2021</v>
      </c>
      <c r="H86">
        <f>T3*(0+4*24.6+10*24.41)</f>
        <v/>
      </c>
      <c r="K86">
        <f>T3*(0+4*0.343683234/4+10*0.36987525/10+4*0.34385725/4+10*0.33125725/10)</f>
        <v/>
      </c>
      <c r="M86" t="inlineStr">
        <is>
          <t>KTOS</t>
        </is>
      </c>
      <c r="N86" t="inlineStr">
        <is>
          <t>USD</t>
        </is>
      </c>
      <c r="O86" s="1" t="inlineStr">
        <is>
          <t>0+4*26.96+10*28</t>
        </is>
      </c>
      <c r="P86" s="1" t="inlineStr">
        <is>
          <t>0+4*24.6+10*24.41</t>
        </is>
      </c>
      <c r="Q86" s="1" t="inlineStr">
        <is>
          <t>0+4*0.343683234/4+10*0.36987525/10+4*0.34385725/4+10*0.33125725/10</t>
        </is>
      </c>
    </row>
    <row r="87">
      <c r="C87" t="inlineStr">
        <is>
          <t>December</t>
        </is>
      </c>
      <c r="D87" t="n">
        <v>2021</v>
      </c>
      <c r="E87">
        <f>T3*(0+1*85.33)</f>
        <v/>
      </c>
      <c r="F87" t="inlineStr">
        <is>
          <t>July</t>
        </is>
      </c>
      <c r="G87" t="n">
        <v>2021</v>
      </c>
      <c r="H87">
        <f>T3*(0+1*108.205)</f>
        <v/>
      </c>
      <c r="K87">
        <f>T3*(0+1*0.335453263/11+1*0.35045725/1)</f>
        <v/>
      </c>
      <c r="M87" t="inlineStr">
        <is>
          <t>LOGI</t>
        </is>
      </c>
      <c r="N87" t="inlineStr">
        <is>
          <t>USD</t>
        </is>
      </c>
      <c r="O87" s="1" t="inlineStr">
        <is>
          <t>0+1*85.33</t>
        </is>
      </c>
      <c r="P87" s="1" t="inlineStr">
        <is>
          <t>0+1*108.205</t>
        </is>
      </c>
      <c r="Q87" s="1" t="inlineStr">
        <is>
          <t>0+1*0.335453263/11+1*0.35045725/1</t>
        </is>
      </c>
    </row>
    <row r="88">
      <c r="C88" t="inlineStr">
        <is>
          <t>December</t>
        </is>
      </c>
      <c r="D88" t="n">
        <v>2021</v>
      </c>
      <c r="E88">
        <f>T3*(0+2*85.33)</f>
        <v/>
      </c>
      <c r="F88" t="inlineStr">
        <is>
          <t>August</t>
        </is>
      </c>
      <c r="G88" t="n">
        <v>2021</v>
      </c>
      <c r="H88">
        <f>T3*(0+2*107.06)</f>
        <v/>
      </c>
      <c r="K88">
        <f>T3*(0+2*0.335453263/11+2*0.34645725/2)</f>
        <v/>
      </c>
      <c r="M88" t="inlineStr">
        <is>
          <t>LOGI</t>
        </is>
      </c>
      <c r="N88" t="inlineStr">
        <is>
          <t>USD</t>
        </is>
      </c>
      <c r="O88" s="1" t="inlineStr">
        <is>
          <t>0+2*85.33</t>
        </is>
      </c>
      <c r="P88" s="1" t="inlineStr">
        <is>
          <t>0+2*107.06</t>
        </is>
      </c>
      <c r="Q88" s="1" t="inlineStr">
        <is>
          <t>0+2*0.335453263/11+2*0.34645725/2</t>
        </is>
      </c>
    </row>
    <row r="89">
      <c r="C89" t="inlineStr">
        <is>
          <t>December</t>
        </is>
      </c>
      <c r="D89" t="n">
        <v>2021</v>
      </c>
      <c r="E89">
        <f>T3*(0+3*85.33)</f>
        <v/>
      </c>
      <c r="F89" t="inlineStr">
        <is>
          <t>September</t>
        </is>
      </c>
      <c r="G89" t="n">
        <v>2021</v>
      </c>
      <c r="H89">
        <f>T3*(0+3*99.75)</f>
        <v/>
      </c>
      <c r="K89">
        <f>T3*(0+3*0.335453263/11+3*0.35535725/3)</f>
        <v/>
      </c>
      <c r="M89" t="inlineStr">
        <is>
          <t>LOGI</t>
        </is>
      </c>
      <c r="N89" t="inlineStr">
        <is>
          <t>USD</t>
        </is>
      </c>
      <c r="O89" s="1" t="inlineStr">
        <is>
          <t>0+3*85.33</t>
        </is>
      </c>
      <c r="P89" s="1" t="inlineStr">
        <is>
          <t>0+3*99.75</t>
        </is>
      </c>
      <c r="Q89" s="1" t="inlineStr">
        <is>
          <t>0+3*0.335453263/11+3*0.35535725/3</t>
        </is>
      </c>
    </row>
    <row r="90">
      <c r="C90" t="inlineStr">
        <is>
          <t>December</t>
        </is>
      </c>
      <c r="D90" t="n">
        <v>2021</v>
      </c>
      <c r="E90">
        <f>T3*(0+5*85.33)</f>
        <v/>
      </c>
      <c r="F90" t="inlineStr">
        <is>
          <t>October</t>
        </is>
      </c>
      <c r="G90" t="n">
        <v>2021</v>
      </c>
      <c r="H90">
        <f>T3*(0+2*86.06+3*82.54)</f>
        <v/>
      </c>
      <c r="K90">
        <f>T3*(0+5*0.335453263/11+2*0.34645725/2+3*0.35535725/3)</f>
        <v/>
      </c>
      <c r="M90" t="inlineStr">
        <is>
          <t>LOGI</t>
        </is>
      </c>
      <c r="N90" t="inlineStr">
        <is>
          <t>USD</t>
        </is>
      </c>
      <c r="O90" s="1" t="inlineStr">
        <is>
          <t>0+5*85.33</t>
        </is>
      </c>
      <c r="P90" s="1" t="inlineStr">
        <is>
          <t>0+2*86.06+3*82.54</t>
        </is>
      </c>
      <c r="Q90" s="1" t="inlineStr">
        <is>
          <t>0+5*0.335453263/11+2*0.34645725/2+3*0.35535725/3</t>
        </is>
      </c>
    </row>
    <row r="91">
      <c r="C91" t="inlineStr">
        <is>
          <t>November</t>
        </is>
      </c>
      <c r="D91" t="n">
        <v>2021</v>
      </c>
      <c r="E91">
        <f>T3*(0+3*70.97)</f>
        <v/>
      </c>
      <c r="F91" t="inlineStr">
        <is>
          <t>November</t>
        </is>
      </c>
      <c r="G91" t="n">
        <v>2021</v>
      </c>
      <c r="H91">
        <f>T3*(0+3*67.82)</f>
        <v/>
      </c>
      <c r="K91">
        <f>T3*(0+3*0.352300091/3+3*0.34725725/3)</f>
        <v/>
      </c>
      <c r="M91" t="inlineStr">
        <is>
          <t>LPX</t>
        </is>
      </c>
      <c r="N91" t="inlineStr">
        <is>
          <t>USD</t>
        </is>
      </c>
      <c r="O91" s="1" t="inlineStr">
        <is>
          <t>0+3*70.97</t>
        </is>
      </c>
      <c r="P91" s="1" t="inlineStr">
        <is>
          <t>0+3*67.82</t>
        </is>
      </c>
      <c r="Q91" s="1" t="inlineStr">
        <is>
          <t>0+3*0.352300091/3+3*0.34725725/3</t>
        </is>
      </c>
    </row>
    <row r="92">
      <c r="C92" t="inlineStr">
        <is>
          <t>September</t>
        </is>
      </c>
      <c r="D92" t="n">
        <v>2021</v>
      </c>
      <c r="E92">
        <f>T3*(0+3*135.96)</f>
        <v/>
      </c>
      <c r="F92" t="inlineStr">
        <is>
          <t>May</t>
        </is>
      </c>
      <c r="G92" t="n">
        <v>2021</v>
      </c>
      <c r="H92">
        <f>T3*(0+3*130.33)</f>
        <v/>
      </c>
      <c r="K92">
        <f>T3*(0+3*0.347294438/3+3*0.34125725/5)</f>
        <v/>
      </c>
      <c r="M92" t="inlineStr">
        <is>
          <t>LQD</t>
        </is>
      </c>
      <c r="N92" t="inlineStr">
        <is>
          <t>USD</t>
        </is>
      </c>
      <c r="O92" s="1" t="inlineStr">
        <is>
          <t>0+3*135.96</t>
        </is>
      </c>
      <c r="P92" s="1" t="inlineStr">
        <is>
          <t>0+3*130.33</t>
        </is>
      </c>
      <c r="Q92" s="1" t="inlineStr">
        <is>
          <t>0+3*0.347294438/3+3*0.34125725/5</t>
        </is>
      </c>
    </row>
    <row r="93">
      <c r="C93" t="inlineStr">
        <is>
          <t>November</t>
        </is>
      </c>
      <c r="D93" t="n">
        <v>2021</v>
      </c>
      <c r="E93">
        <f>T3*(0+2*134.485)</f>
        <v/>
      </c>
      <c r="F93" t="inlineStr">
        <is>
          <t>May</t>
        </is>
      </c>
      <c r="G93" t="n">
        <v>2021</v>
      </c>
      <c r="H93">
        <f>T3*(0+2*130.33)</f>
        <v/>
      </c>
      <c r="K93">
        <f>T3*(0+2*0.352266997/2+2*0.34125725/5)</f>
        <v/>
      </c>
      <c r="M93" t="inlineStr">
        <is>
          <t>LQD</t>
        </is>
      </c>
      <c r="N93" t="inlineStr">
        <is>
          <t>USD</t>
        </is>
      </c>
      <c r="O93" s="1" t="inlineStr">
        <is>
          <t>0+2*134.485</t>
        </is>
      </c>
      <c r="P93" s="1" t="inlineStr">
        <is>
          <t>0+2*130.33</t>
        </is>
      </c>
      <c r="Q93" s="1" t="inlineStr">
        <is>
          <t>0+2*0.352266997/2+2*0.34125725/5</t>
        </is>
      </c>
    </row>
    <row r="94">
      <c r="C94" t="inlineStr">
        <is>
          <t>November</t>
        </is>
      </c>
      <c r="D94" t="n">
        <v>2021</v>
      </c>
      <c r="E94">
        <f>T3*(0+1*349.66)</f>
        <v/>
      </c>
      <c r="F94" t="inlineStr">
        <is>
          <t>November</t>
        </is>
      </c>
      <c r="G94" t="n">
        <v>2021</v>
      </c>
      <c r="H94">
        <f>T3*(0+1*286.06)</f>
        <v/>
      </c>
      <c r="K94">
        <f>T3*(0+1*0.350259516/1+1*0.34455725/3)</f>
        <v/>
      </c>
      <c r="M94" t="inlineStr">
        <is>
          <t>MRNA</t>
        </is>
      </c>
      <c r="N94" t="inlineStr">
        <is>
          <t>USD</t>
        </is>
      </c>
      <c r="O94" s="1" t="inlineStr">
        <is>
          <t>0+1*349.66</t>
        </is>
      </c>
      <c r="P94" s="1" t="inlineStr">
        <is>
          <t>0+1*286.06</t>
        </is>
      </c>
      <c r="Q94" s="1" t="inlineStr">
        <is>
          <t>0+1*0.350259516/1+1*0.34455725/3</t>
        </is>
      </c>
    </row>
    <row r="95">
      <c r="C95" t="inlineStr">
        <is>
          <t>September</t>
        </is>
      </c>
      <c r="D95" t="n">
        <v>2021</v>
      </c>
      <c r="E95">
        <f>T3*(0+100*2.6)</f>
        <v/>
      </c>
      <c r="F95" t="inlineStr">
        <is>
          <t>August</t>
        </is>
      </c>
      <c r="G95" t="n">
        <v>2021</v>
      </c>
      <c r="H95">
        <f>T3*(0+100*2.36)</f>
        <v/>
      </c>
      <c r="K95">
        <f>T3*(0+100*0.26348325/100+100*0.25025725/100)</f>
        <v/>
      </c>
      <c r="M95" t="inlineStr">
        <is>
          <t>NAT</t>
        </is>
      </c>
      <c r="N95" t="inlineStr">
        <is>
          <t>USD</t>
        </is>
      </c>
      <c r="O95" s="1" t="inlineStr">
        <is>
          <t>0+100*2.6</t>
        </is>
      </c>
      <c r="P95" s="1" t="inlineStr">
        <is>
          <t>0+100*2.36</t>
        </is>
      </c>
      <c r="Q95" s="1" t="inlineStr">
        <is>
          <t>0+100*0.26348325/100+100*0.25025725/100</t>
        </is>
      </c>
    </row>
    <row r="96">
      <c r="C96" t="inlineStr">
        <is>
          <t>May</t>
        </is>
      </c>
      <c r="D96" t="n">
        <v>2021</v>
      </c>
      <c r="E96">
        <f>T3*(0+5*37.96+3*38.96)</f>
        <v/>
      </c>
      <c r="F96" t="inlineStr">
        <is>
          <t>April</t>
        </is>
      </c>
      <c r="G96" t="n">
        <v>2021</v>
      </c>
      <c r="H96">
        <f>T3*(0+8*40.73)</f>
        <v/>
      </c>
      <c r="K96">
        <f>T3*(0+5*0.35282023/5+3*0.34684573/5+8*0.35985725/8)</f>
        <v/>
      </c>
      <c r="M96" t="inlineStr">
        <is>
          <t>NIO</t>
        </is>
      </c>
      <c r="N96" t="inlineStr">
        <is>
          <t>USD</t>
        </is>
      </c>
      <c r="O96" s="1" t="inlineStr">
        <is>
          <t>0+5*37.96+3*38.96</t>
        </is>
      </c>
      <c r="P96" s="1" t="inlineStr">
        <is>
          <t>0+8*40.73</t>
        </is>
      </c>
      <c r="Q96" s="1" t="inlineStr">
        <is>
          <t>0+5*0.35282023/5+3*0.34684573/5+8*0.35985725/8</t>
        </is>
      </c>
    </row>
    <row r="97">
      <c r="C97" t="inlineStr">
        <is>
          <t>May</t>
        </is>
      </c>
      <c r="D97" t="n">
        <v>2021</v>
      </c>
      <c r="E97">
        <f>T3*(0+2*38.96)</f>
        <v/>
      </c>
      <c r="F97" t="inlineStr">
        <is>
          <t>May</t>
        </is>
      </c>
      <c r="G97" t="n">
        <v>2021</v>
      </c>
      <c r="H97">
        <f>T3*(0+2*36.13)</f>
        <v/>
      </c>
      <c r="K97">
        <f>T3*(0+2*0.34684573/5+2*0.34025725/10)</f>
        <v/>
      </c>
      <c r="M97" t="inlineStr">
        <is>
          <t>NIO</t>
        </is>
      </c>
      <c r="N97" t="inlineStr">
        <is>
          <t>USD</t>
        </is>
      </c>
      <c r="O97" s="1" t="inlineStr">
        <is>
          <t>0+2*38.96</t>
        </is>
      </c>
      <c r="P97" s="1" t="inlineStr">
        <is>
          <t>0+2*36.13</t>
        </is>
      </c>
      <c r="Q97" s="1" t="inlineStr">
        <is>
          <t>0+2*0.34684573/5+2*0.34025725/10</t>
        </is>
      </c>
    </row>
    <row r="98">
      <c r="C98" t="inlineStr">
        <is>
          <t>June</t>
        </is>
      </c>
      <c r="D98" t="n">
        <v>2021</v>
      </c>
      <c r="E98">
        <f>T3*(0+5*40.25+5*41.96)</f>
        <v/>
      </c>
      <c r="F98" t="inlineStr">
        <is>
          <t>May</t>
        </is>
      </c>
      <c r="G98" t="n">
        <v>2021</v>
      </c>
      <c r="H98">
        <f>T3*(0+8*36.13+2*35.66)</f>
        <v/>
      </c>
      <c r="K98">
        <f>T3*(0+5*0.357878625/5+5*0.34692223/5+8*0.34025725/10+2*0.34525725/5)</f>
        <v/>
      </c>
      <c r="M98" t="inlineStr">
        <is>
          <t>NIO</t>
        </is>
      </c>
      <c r="N98" t="inlineStr">
        <is>
          <t>USD</t>
        </is>
      </c>
      <c r="O98" s="1" t="inlineStr">
        <is>
          <t>0+5*40.25+5*41.96</t>
        </is>
      </c>
      <c r="P98" s="1" t="inlineStr">
        <is>
          <t>0+8*36.13+2*35.66</t>
        </is>
      </c>
      <c r="Q98" s="1" t="inlineStr">
        <is>
          <t>0+5*0.357878625/5+5*0.34692223/5+8*0.34025725/10+2*0.34525725/5</t>
        </is>
      </c>
    </row>
    <row r="99">
      <c r="C99" t="inlineStr">
        <is>
          <t>October</t>
        </is>
      </c>
      <c r="D99" t="n">
        <v>2021</v>
      </c>
      <c r="E99">
        <f>T3*(0+3*35.96)</f>
        <v/>
      </c>
      <c r="F99" t="inlineStr">
        <is>
          <t>May</t>
        </is>
      </c>
      <c r="G99" t="n">
        <v>2021</v>
      </c>
      <c r="H99">
        <f>T3*(0+3*35.66)</f>
        <v/>
      </c>
      <c r="K99">
        <f>T3*(0+3*0.34328121/10+3*0.34525725/5)</f>
        <v/>
      </c>
      <c r="M99" t="inlineStr">
        <is>
          <t>NIO</t>
        </is>
      </c>
      <c r="N99" t="inlineStr">
        <is>
          <t>USD</t>
        </is>
      </c>
      <c r="O99" s="1" t="inlineStr">
        <is>
          <t>0+3*35.96</t>
        </is>
      </c>
      <c r="P99" s="1" t="inlineStr">
        <is>
          <t>0+3*35.66</t>
        </is>
      </c>
      <c r="Q99" s="1" t="inlineStr">
        <is>
          <t>0+3*0.34328121/10+3*0.34525725/5</t>
        </is>
      </c>
    </row>
    <row r="100">
      <c r="C100" t="inlineStr">
        <is>
          <t>October</t>
        </is>
      </c>
      <c r="D100" t="n">
        <v>2021</v>
      </c>
      <c r="E100">
        <f>T3*(0+6*35.96)</f>
        <v/>
      </c>
      <c r="F100" t="inlineStr">
        <is>
          <t>July</t>
        </is>
      </c>
      <c r="G100" t="n">
        <v>2021</v>
      </c>
      <c r="H100">
        <f>T3*(0+6*44.06)</f>
        <v/>
      </c>
      <c r="K100">
        <f>T3*(0+6*0.34328121/10+6*0.34425725/6)</f>
        <v/>
      </c>
      <c r="M100" t="inlineStr">
        <is>
          <t>NIO</t>
        </is>
      </c>
      <c r="N100" t="inlineStr">
        <is>
          <t>USD</t>
        </is>
      </c>
      <c r="O100" s="1" t="inlineStr">
        <is>
          <t>0+6*35.96</t>
        </is>
      </c>
      <c r="P100" s="1" t="inlineStr">
        <is>
          <t>0+6*44.06</t>
        </is>
      </c>
      <c r="Q100" s="1" t="inlineStr">
        <is>
          <t>0+6*0.34328121/10+6*0.34425725/6</t>
        </is>
      </c>
    </row>
    <row r="101">
      <c r="C101" t="inlineStr">
        <is>
          <t>October</t>
        </is>
      </c>
      <c r="D101" t="n">
        <v>2021</v>
      </c>
      <c r="E101">
        <f>T3*(0+1*35.96)</f>
        <v/>
      </c>
      <c r="F101" t="inlineStr">
        <is>
          <t>August</t>
        </is>
      </c>
      <c r="G101" t="n">
        <v>2021</v>
      </c>
      <c r="H101">
        <f>T3*(0+1*39.33)</f>
        <v/>
      </c>
      <c r="K101">
        <f>T3*(0+1*0.34328121/10+1*0.34025725/10)</f>
        <v/>
      </c>
      <c r="M101" t="inlineStr">
        <is>
          <t>NIO</t>
        </is>
      </c>
      <c r="N101" t="inlineStr">
        <is>
          <t>USD</t>
        </is>
      </c>
      <c r="O101" s="1" t="inlineStr">
        <is>
          <t>0+1*35.96</t>
        </is>
      </c>
      <c r="P101" s="1" t="inlineStr">
        <is>
          <t>0+1*39.33</t>
        </is>
      </c>
      <c r="Q101" s="1" t="inlineStr">
        <is>
          <t>0+1*0.34328121/10+1*0.34025725/10</t>
        </is>
      </c>
    </row>
    <row r="102">
      <c r="C102" t="inlineStr">
        <is>
          <t>December</t>
        </is>
      </c>
      <c r="D102" t="n">
        <v>2021</v>
      </c>
      <c r="E102">
        <f>T3*(0+5*22.57)</f>
        <v/>
      </c>
      <c r="F102" t="inlineStr">
        <is>
          <t>September</t>
        </is>
      </c>
      <c r="G102" t="n">
        <v>2021</v>
      </c>
      <c r="H102">
        <f>T3*(0+5*30.66)</f>
        <v/>
      </c>
      <c r="K102">
        <f>T3*(0+5*0.325268855/15+5*0.34525725/5)</f>
        <v/>
      </c>
      <c r="M102" t="inlineStr">
        <is>
          <t>NMM</t>
        </is>
      </c>
      <c r="N102" t="inlineStr">
        <is>
          <t>USD</t>
        </is>
      </c>
      <c r="O102" s="1" t="inlineStr">
        <is>
          <t>0+5*22.57</t>
        </is>
      </c>
      <c r="P102" s="1" t="inlineStr">
        <is>
          <t>0+5*30.66</t>
        </is>
      </c>
      <c r="Q102" s="1" t="inlineStr">
        <is>
          <t>0+5*0.325268855/15+5*0.34525725/5</t>
        </is>
      </c>
    </row>
    <row r="103">
      <c r="C103" t="inlineStr">
        <is>
          <t>December</t>
        </is>
      </c>
      <c r="D103" t="n">
        <v>2021</v>
      </c>
      <c r="E103">
        <f>T3*(0+10*22.57)</f>
        <v/>
      </c>
      <c r="F103" t="inlineStr">
        <is>
          <t>November</t>
        </is>
      </c>
      <c r="G103" t="n">
        <v>2021</v>
      </c>
      <c r="H103">
        <f>T3*(0+10*26.06)</f>
        <v/>
      </c>
      <c r="K103">
        <f>T3*(0+10*0.325268855/15+10*0.34025725/10)</f>
        <v/>
      </c>
      <c r="M103" t="inlineStr">
        <is>
          <t>NMM</t>
        </is>
      </c>
      <c r="N103" t="inlineStr">
        <is>
          <t>USD</t>
        </is>
      </c>
      <c r="O103" s="1" t="inlineStr">
        <is>
          <t>0+10*22.57</t>
        </is>
      </c>
      <c r="P103" s="1" t="inlineStr">
        <is>
          <t>0+10*26.06</t>
        </is>
      </c>
      <c r="Q103" s="1" t="inlineStr">
        <is>
          <t>0+10*0.325268855/15+10*0.34025725/10</t>
        </is>
      </c>
    </row>
    <row r="104">
      <c r="C104" t="inlineStr">
        <is>
          <t>July</t>
        </is>
      </c>
      <c r="D104" t="n">
        <v>2021</v>
      </c>
      <c r="E104">
        <f>T3*(0+3*47.42)</f>
        <v/>
      </c>
      <c r="F104" t="inlineStr">
        <is>
          <t>July</t>
        </is>
      </c>
      <c r="G104" t="n">
        <v>2021</v>
      </c>
      <c r="H104">
        <f>T3*(0+2*43.81+1*42.77)</f>
        <v/>
      </c>
      <c r="K104">
        <f>T3*(0+3*0.354939776/3+2*0.34825725/2+1*0.35625725/5)</f>
        <v/>
      </c>
      <c r="M104" t="inlineStr">
        <is>
          <t>OLN</t>
        </is>
      </c>
      <c r="N104" t="inlineStr">
        <is>
          <t>USD</t>
        </is>
      </c>
      <c r="O104" s="1" t="inlineStr">
        <is>
          <t>0+3*47.42</t>
        </is>
      </c>
      <c r="P104" s="1" t="inlineStr">
        <is>
          <t>0+2*43.81+1*42.77</t>
        </is>
      </c>
      <c r="Q104" s="1" t="inlineStr">
        <is>
          <t>0+3*0.354939776/3+2*0.34825725/2+1*0.35625725/5</t>
        </is>
      </c>
    </row>
    <row r="105">
      <c r="C105" t="inlineStr">
        <is>
          <t>August</t>
        </is>
      </c>
      <c r="D105" t="n">
        <v>2021</v>
      </c>
      <c r="E105">
        <f>T3*(0+2*49.96)</f>
        <v/>
      </c>
      <c r="F105" t="inlineStr">
        <is>
          <t>July</t>
        </is>
      </c>
      <c r="G105" t="n">
        <v>2021</v>
      </c>
      <c r="H105">
        <f>T3*(0+2*42.77)</f>
        <v/>
      </c>
      <c r="K105">
        <f>T3*(0+2*0.349004842/2+2*0.35625725/5)</f>
        <v/>
      </c>
      <c r="M105" t="inlineStr">
        <is>
          <t>OLN</t>
        </is>
      </c>
      <c r="N105" t="inlineStr">
        <is>
          <t>USD</t>
        </is>
      </c>
      <c r="O105" s="1" t="inlineStr">
        <is>
          <t>0+2*49.96</t>
        </is>
      </c>
      <c r="P105" s="1" t="inlineStr">
        <is>
          <t>0+2*42.77</t>
        </is>
      </c>
      <c r="Q105" s="1" t="inlineStr">
        <is>
          <t>0+2*0.349004842/2+2*0.35625725/5</t>
        </is>
      </c>
    </row>
    <row r="106">
      <c r="C106" t="inlineStr">
        <is>
          <t>October</t>
        </is>
      </c>
      <c r="D106" t="n">
        <v>2021</v>
      </c>
      <c r="E106">
        <f>T3*(0+2*51.62)</f>
        <v/>
      </c>
      <c r="F106" t="inlineStr">
        <is>
          <t>July</t>
        </is>
      </c>
      <c r="G106" t="n">
        <v>2021</v>
      </c>
      <c r="H106">
        <f>T3*(0+2*42.77)</f>
        <v/>
      </c>
      <c r="K106">
        <f>T3*(0+2*0.349021774/2+2*0.35625725/5)</f>
        <v/>
      </c>
      <c r="M106" t="inlineStr">
        <is>
          <t>OLN</t>
        </is>
      </c>
      <c r="N106" t="inlineStr">
        <is>
          <t>USD</t>
        </is>
      </c>
      <c r="O106" s="1" t="inlineStr">
        <is>
          <t>0+2*51.62</t>
        </is>
      </c>
      <c r="P106" s="1" t="inlineStr">
        <is>
          <t>0+2*42.77</t>
        </is>
      </c>
      <c r="Q106" s="1" t="inlineStr">
        <is>
          <t>0+2*0.349021774/2+2*0.35625725/5</t>
        </is>
      </c>
    </row>
    <row r="107">
      <c r="C107" t="inlineStr">
        <is>
          <t>October</t>
        </is>
      </c>
      <c r="D107" t="n">
        <v>2021</v>
      </c>
      <c r="E107">
        <f>T3*(0+4*92.66+3*97.66)</f>
        <v/>
      </c>
      <c r="F107" t="inlineStr">
        <is>
          <t>June</t>
        </is>
      </c>
      <c r="G107" t="n">
        <v>2021</v>
      </c>
      <c r="H107">
        <f>T3*(0+5*108.85+2*98.33)</f>
        <v/>
      </c>
      <c r="K107">
        <f>T3*(0+4*0.345423514/4+3*0.346708448/3+5*0.34125725/5+2*0.34665725/2)</f>
        <v/>
      </c>
      <c r="M107" t="inlineStr">
        <is>
          <t>PPLT</t>
        </is>
      </c>
      <c r="N107" t="inlineStr">
        <is>
          <t>USD</t>
        </is>
      </c>
      <c r="O107" s="1" t="inlineStr">
        <is>
          <t>0+4*92.66+3*97.66</t>
        </is>
      </c>
      <c r="P107" s="1" t="inlineStr">
        <is>
          <t>0+5*108.85+2*98.33</t>
        </is>
      </c>
      <c r="Q107" s="1" t="inlineStr">
        <is>
          <t>0+4*0.345423514/4+3*0.346708448/3+5*0.34125725/5+2*0.34665725/2</t>
        </is>
      </c>
    </row>
    <row r="108">
      <c r="C108" t="inlineStr">
        <is>
          <t>December</t>
        </is>
      </c>
      <c r="D108" t="n">
        <v>2021</v>
      </c>
      <c r="E108">
        <f>T3*(0+20*23.78)</f>
        <v/>
      </c>
      <c r="F108" t="inlineStr">
        <is>
          <t>October</t>
        </is>
      </c>
      <c r="G108" t="n">
        <v>2021</v>
      </c>
      <c r="H108">
        <f>T3*(0+10*23.46+10*23.21)</f>
        <v/>
      </c>
      <c r="K108">
        <f>T3*(0+20*0.38906281/20+10*0.33125725/10+10*0.33125725/10)</f>
        <v/>
      </c>
      <c r="M108" t="inlineStr">
        <is>
          <t>SBLK</t>
        </is>
      </c>
      <c r="N108" t="inlineStr">
        <is>
          <t>USD</t>
        </is>
      </c>
      <c r="O108" s="1" t="inlineStr">
        <is>
          <t>0+20*23.78</t>
        </is>
      </c>
      <c r="P108" s="1" t="inlineStr">
        <is>
          <t>0+10*23.46+10*23.21</t>
        </is>
      </c>
      <c r="Q108" s="1" t="inlineStr">
        <is>
          <t>0+20*0.38906281/20+10*0.33125725/10+10*0.33125725/10</t>
        </is>
      </c>
    </row>
    <row r="109">
      <c r="C109" t="inlineStr">
        <is>
          <t>August</t>
        </is>
      </c>
      <c r="D109" t="n">
        <v>2021</v>
      </c>
      <c r="E109">
        <f>T3*(0+10*110.48)</f>
        <v/>
      </c>
      <c r="F109" t="inlineStr">
        <is>
          <t>May</t>
        </is>
      </c>
      <c r="G109" t="n">
        <v>2021</v>
      </c>
      <c r="H109">
        <f>T3*(0+10*110.51)</f>
        <v/>
      </c>
      <c r="K109">
        <f>T3*(0+10*0.37408173/10+10*0.36725725/10)</f>
        <v/>
      </c>
      <c r="M109" t="inlineStr">
        <is>
          <t>SHV</t>
        </is>
      </c>
      <c r="N109" t="inlineStr">
        <is>
          <t>USD</t>
        </is>
      </c>
      <c r="O109" s="1" t="inlineStr">
        <is>
          <t>0+10*110.48</t>
        </is>
      </c>
      <c r="P109" s="1" t="inlineStr">
        <is>
          <t>0+10*110.51</t>
        </is>
      </c>
      <c r="Q109" s="1" t="inlineStr">
        <is>
          <t>0+10*0.37408173/10+10*0.36725725/10</t>
        </is>
      </c>
    </row>
    <row r="110">
      <c r="C110" t="inlineStr">
        <is>
          <t>September</t>
        </is>
      </c>
      <c r="D110" t="n">
        <v>2021</v>
      </c>
      <c r="E110">
        <f>T3*(0+10*110.48)</f>
        <v/>
      </c>
      <c r="F110" t="inlineStr">
        <is>
          <t>June</t>
        </is>
      </c>
      <c r="G110" t="n">
        <v>2021</v>
      </c>
      <c r="H110">
        <f>T3*(0+10*110.5)</f>
        <v/>
      </c>
      <c r="K110">
        <f>T3*(0+10*0.36758173/10+10*0.36725725/10)</f>
        <v/>
      </c>
      <c r="M110" t="inlineStr">
        <is>
          <t>SHV</t>
        </is>
      </c>
      <c r="N110" t="inlineStr">
        <is>
          <t>USD</t>
        </is>
      </c>
      <c r="O110" s="1" t="inlineStr">
        <is>
          <t>0+10*110.48</t>
        </is>
      </c>
      <c r="P110" s="1" t="inlineStr">
        <is>
          <t>0+10*110.5</t>
        </is>
      </c>
      <c r="Q110" s="1" t="inlineStr">
        <is>
          <t>0+10*0.36758173/10+10*0.36725725/10</t>
        </is>
      </c>
    </row>
    <row r="111">
      <c r="C111" t="inlineStr">
        <is>
          <t>May</t>
        </is>
      </c>
      <c r="D111" t="n">
        <v>2021</v>
      </c>
      <c r="E111">
        <f>T3*(0+5*99.66)</f>
        <v/>
      </c>
      <c r="F111" t="inlineStr">
        <is>
          <t>April</t>
        </is>
      </c>
      <c r="G111" t="n">
        <v>2021</v>
      </c>
      <c r="H111">
        <f>T3*(0+2*94.03+3*98.11)</f>
        <v/>
      </c>
      <c r="K111">
        <f>T3*(0+5*0.34389358/5+2*0.35065725/2+3*0.34265725/4)</f>
        <v/>
      </c>
      <c r="M111" t="inlineStr">
        <is>
          <t>SITM</t>
        </is>
      </c>
      <c r="N111" t="inlineStr">
        <is>
          <t>USD</t>
        </is>
      </c>
      <c r="O111" s="1" t="inlineStr">
        <is>
          <t>0+5*99.66</t>
        </is>
      </c>
      <c r="P111" s="1" t="inlineStr">
        <is>
          <t>0+2*94.03+3*98.11</t>
        </is>
      </c>
      <c r="Q111" s="1" t="inlineStr">
        <is>
          <t>0+5*0.34389358/5+2*0.35065725/2+3*0.34265725/4</t>
        </is>
      </c>
    </row>
    <row r="112">
      <c r="C112" t="inlineStr">
        <is>
          <t>June</t>
        </is>
      </c>
      <c r="D112" t="n">
        <v>2021</v>
      </c>
      <c r="E112">
        <f>T3*(0+1*99.96)</f>
        <v/>
      </c>
      <c r="F112" t="inlineStr">
        <is>
          <t>April</t>
        </is>
      </c>
      <c r="G112" t="n">
        <v>2021</v>
      </c>
      <c r="H112">
        <f>T3*(0+1*98.11)</f>
        <v/>
      </c>
      <c r="K112">
        <f>T3*(0+1*0.347714842/2+1*0.34265725/4)</f>
        <v/>
      </c>
      <c r="M112" t="inlineStr">
        <is>
          <t>SITM</t>
        </is>
      </c>
      <c r="N112" t="inlineStr">
        <is>
          <t>USD</t>
        </is>
      </c>
      <c r="O112" s="1" t="inlineStr">
        <is>
          <t>0+1*99.96</t>
        </is>
      </c>
      <c r="P112" s="1" t="inlineStr">
        <is>
          <t>0+1*98.11</t>
        </is>
      </c>
      <c r="Q112" s="1" t="inlineStr">
        <is>
          <t>0+1*0.347714842/2+1*0.34265725/4</t>
        </is>
      </c>
    </row>
    <row r="113">
      <c r="C113" t="inlineStr">
        <is>
          <t>June</t>
        </is>
      </c>
      <c r="D113" t="n">
        <v>2021</v>
      </c>
      <c r="E113">
        <f>T3*(0+1*99.96+3*104.96)</f>
        <v/>
      </c>
      <c r="F113" t="inlineStr">
        <is>
          <t>May</t>
        </is>
      </c>
      <c r="G113" t="n">
        <v>2021</v>
      </c>
      <c r="H113">
        <f>T3*(0+4*81.03)</f>
        <v/>
      </c>
      <c r="K113">
        <f>T3*(0+1*0.347714842/2+3*0.346520138/3+4*0.35705725/4)</f>
        <v/>
      </c>
      <c r="M113" t="inlineStr">
        <is>
          <t>SITM</t>
        </is>
      </c>
      <c r="N113" t="inlineStr">
        <is>
          <t>USD</t>
        </is>
      </c>
      <c r="O113" s="1" t="inlineStr">
        <is>
          <t>0+1*99.96+3*104.96</t>
        </is>
      </c>
      <c r="P113" s="1" t="inlineStr">
        <is>
          <t>0+4*81.03</t>
        </is>
      </c>
      <c r="Q113" s="1" t="inlineStr">
        <is>
          <t>0+1*0.347714842/2+3*0.346520138/3+4*0.35705725/4</t>
        </is>
      </c>
    </row>
    <row r="114">
      <c r="C114" t="inlineStr">
        <is>
          <t>August</t>
        </is>
      </c>
      <c r="D114" t="n">
        <v>2021</v>
      </c>
      <c r="E114">
        <f>T3*(0+10*24.02)</f>
        <v/>
      </c>
      <c r="F114" t="inlineStr">
        <is>
          <t>June</t>
        </is>
      </c>
      <c r="G114" t="n">
        <v>2021</v>
      </c>
      <c r="H114">
        <f>T3*(0+10*24.36)</f>
        <v/>
      </c>
      <c r="K114">
        <f>T3*(0+10*0.36067227/10+10*0.36625725/20)</f>
        <v/>
      </c>
      <c r="M114" t="inlineStr">
        <is>
          <t>SLV</t>
        </is>
      </c>
      <c r="N114" t="inlineStr">
        <is>
          <t>USD</t>
        </is>
      </c>
      <c r="O114" s="1" t="inlineStr">
        <is>
          <t>0+10*24.02</t>
        </is>
      </c>
      <c r="P114" s="1" t="inlineStr">
        <is>
          <t>0+10*24.36</t>
        </is>
      </c>
      <c r="Q114" s="1" t="inlineStr">
        <is>
          <t>0+10*0.36067227/10+10*0.36625725/20</t>
        </is>
      </c>
    </row>
    <row r="115">
      <c r="C115" t="inlineStr">
        <is>
          <t>August</t>
        </is>
      </c>
      <c r="D115" t="n">
        <v>2021</v>
      </c>
      <c r="E115">
        <f>T3*(0+10*44.495)</f>
        <v/>
      </c>
      <c r="F115" t="inlineStr">
        <is>
          <t>June</t>
        </is>
      </c>
      <c r="G115" t="n">
        <v>2021</v>
      </c>
      <c r="H115">
        <f>T3*(0+10*44.93)</f>
        <v/>
      </c>
      <c r="K115">
        <f>T3*(0+10*0.355716495/10+10*0.31425725/20)</f>
        <v/>
      </c>
      <c r="M115" t="inlineStr">
        <is>
          <t>SPHD</t>
        </is>
      </c>
      <c r="N115" t="inlineStr">
        <is>
          <t>USD</t>
        </is>
      </c>
      <c r="O115" s="1" t="inlineStr">
        <is>
          <t>0+10*44.495</t>
        </is>
      </c>
      <c r="P115" s="1" t="inlineStr">
        <is>
          <t>0+10*44.93</t>
        </is>
      </c>
      <c r="Q115" s="1" t="inlineStr">
        <is>
          <t>0+10*0.355716495/10+10*0.31425725/20</t>
        </is>
      </c>
    </row>
    <row r="116">
      <c r="C116" t="inlineStr">
        <is>
          <t>September</t>
        </is>
      </c>
      <c r="D116" t="n">
        <v>2021</v>
      </c>
      <c r="E116">
        <f>T3*(0+10*43.9)</f>
        <v/>
      </c>
      <c r="F116" t="inlineStr">
        <is>
          <t>June</t>
        </is>
      </c>
      <c r="G116" t="n">
        <v>2021</v>
      </c>
      <c r="H116">
        <f>T3*(0+10*44.93)</f>
        <v/>
      </c>
      <c r="K116">
        <f>T3*(0+10*0.33568615/10+10*0.31425725/20)</f>
        <v/>
      </c>
      <c r="M116" t="inlineStr">
        <is>
          <t>SPHD</t>
        </is>
      </c>
      <c r="N116" t="inlineStr">
        <is>
          <t>USD</t>
        </is>
      </c>
      <c r="O116" s="1" t="inlineStr">
        <is>
          <t>0+10*43.9</t>
        </is>
      </c>
      <c r="P116" s="1" t="inlineStr">
        <is>
          <t>0+10*44.93</t>
        </is>
      </c>
      <c r="Q116" s="1" t="inlineStr">
        <is>
          <t>0+10*0.33568615/10+10*0.31425725/20</t>
        </is>
      </c>
    </row>
    <row r="117">
      <c r="C117" t="inlineStr">
        <is>
          <t>July</t>
        </is>
      </c>
      <c r="D117" t="n">
        <v>2021</v>
      </c>
      <c r="E117">
        <f>T3*(0+5*30.48)</f>
        <v/>
      </c>
      <c r="F117" t="inlineStr">
        <is>
          <t>May</t>
        </is>
      </c>
      <c r="G117" t="n">
        <v>2021</v>
      </c>
      <c r="H117">
        <f>T3*(0+5*34.4)</f>
        <v/>
      </c>
      <c r="K117">
        <f>T3*(0+5*0.354052834/8+5*0.36625725/5)</f>
        <v/>
      </c>
      <c r="M117" t="inlineStr">
        <is>
          <t>TRMK</t>
        </is>
      </c>
      <c r="N117" t="inlineStr">
        <is>
          <t>USD</t>
        </is>
      </c>
      <c r="O117" s="1" t="inlineStr">
        <is>
          <t>0+5*30.48</t>
        </is>
      </c>
      <c r="P117" s="1" t="inlineStr">
        <is>
          <t>0+5*34.4</t>
        </is>
      </c>
      <c r="Q117" s="1" t="inlineStr">
        <is>
          <t>0+5*0.354052834/8+5*0.36625725/5</t>
        </is>
      </c>
    </row>
    <row r="118">
      <c r="C118" t="inlineStr">
        <is>
          <t>July</t>
        </is>
      </c>
      <c r="D118" t="n">
        <v>2021</v>
      </c>
      <c r="E118">
        <f>T3*(0+3*30.48+7*30.96)</f>
        <v/>
      </c>
      <c r="F118" t="inlineStr">
        <is>
          <t>June</t>
        </is>
      </c>
      <c r="G118" t="n">
        <v>2021</v>
      </c>
      <c r="H118">
        <f>T3*(0+10*32.66)</f>
        <v/>
      </c>
      <c r="K118">
        <f>T3*(0+3*0.354052834/8+7*0.338895522/7+10*0.33125725/10)</f>
        <v/>
      </c>
      <c r="M118" t="inlineStr">
        <is>
          <t>TRMK</t>
        </is>
      </c>
      <c r="N118" t="inlineStr">
        <is>
          <t>USD</t>
        </is>
      </c>
      <c r="O118" s="1" t="inlineStr">
        <is>
          <t>0+3*30.48+7*30.96</t>
        </is>
      </c>
      <c r="P118" s="1" t="inlineStr">
        <is>
          <t>0+10*32.66</t>
        </is>
      </c>
      <c r="Q118" s="1" t="inlineStr">
        <is>
          <t>0+3*0.354052834/8+7*0.338895522/7+10*0.33125725/10</t>
        </is>
      </c>
    </row>
    <row r="119">
      <c r="C119" t="inlineStr">
        <is>
          <t>December</t>
        </is>
      </c>
      <c r="D119" t="n">
        <v>2021</v>
      </c>
      <c r="E119">
        <f>T3*(0+4*129.5)</f>
        <v/>
      </c>
      <c r="F119" t="inlineStr">
        <is>
          <t>November</t>
        </is>
      </c>
      <c r="G119" t="n">
        <v>2021</v>
      </c>
      <c r="H119">
        <f>T3*(0+1*124.9+3*124.99)</f>
        <v/>
      </c>
      <c r="K119">
        <f>T3*(0+4*0.34937505/4+1*0.34925725/1+3*0.35985725/3)</f>
        <v/>
      </c>
      <c r="M119" t="inlineStr">
        <is>
          <t>UHS</t>
        </is>
      </c>
      <c r="N119" t="inlineStr">
        <is>
          <t>USD</t>
        </is>
      </c>
      <c r="O119" s="1" t="inlineStr">
        <is>
          <t>0+4*129.5</t>
        </is>
      </c>
      <c r="P119" s="1" t="inlineStr">
        <is>
          <t>0+1*124.9+3*124.99</t>
        </is>
      </c>
      <c r="Q119" s="1" t="inlineStr">
        <is>
          <t>0+4*0.34937505/4+1*0.34925725/1+3*0.35985725/3</t>
        </is>
      </c>
    </row>
    <row r="120">
      <c r="C120" t="inlineStr">
        <is>
          <t>May</t>
        </is>
      </c>
      <c r="D120" t="n">
        <v>2021</v>
      </c>
      <c r="E120">
        <f>T3*(0+4*18.96)</f>
        <v/>
      </c>
      <c r="F120" t="inlineStr">
        <is>
          <t>April</t>
        </is>
      </c>
      <c r="G120" t="n">
        <v>2021</v>
      </c>
      <c r="H120">
        <f>T3*(0+4*17.41)</f>
        <v/>
      </c>
      <c r="K120">
        <f>T3*(0+4*0.343520034/4+4*0.33125725/10)</f>
        <v/>
      </c>
      <c r="M120" t="inlineStr">
        <is>
          <t>UMPQ</t>
        </is>
      </c>
      <c r="N120" t="inlineStr">
        <is>
          <t>USD</t>
        </is>
      </c>
      <c r="O120" s="1" t="inlineStr">
        <is>
          <t>0+4*18.96</t>
        </is>
      </c>
      <c r="P120" s="1" t="inlineStr">
        <is>
          <t>0+4*17.41</t>
        </is>
      </c>
      <c r="Q120" s="1" t="inlineStr">
        <is>
          <t>0+4*0.343520034/4+4*0.33125725/10</t>
        </is>
      </c>
    </row>
    <row r="121">
      <c r="C121" t="inlineStr">
        <is>
          <t>June</t>
        </is>
      </c>
      <c r="D121" t="n">
        <v>2021</v>
      </c>
      <c r="E121">
        <f>T3*(0+3*19.1+3*19.38)</f>
        <v/>
      </c>
      <c r="F121" t="inlineStr">
        <is>
          <t>April</t>
        </is>
      </c>
      <c r="G121" t="n">
        <v>2021</v>
      </c>
      <c r="H121">
        <f>T3*(0+6*17.41)</f>
        <v/>
      </c>
      <c r="K121">
        <f>T3*(0+3*0.34520648/3+3*0.345210764/3+6*0.33125725/10)</f>
        <v/>
      </c>
      <c r="M121" t="inlineStr">
        <is>
          <t>UMPQ</t>
        </is>
      </c>
      <c r="N121" t="inlineStr">
        <is>
          <t>USD</t>
        </is>
      </c>
      <c r="O121" s="1" t="inlineStr">
        <is>
          <t>0+3*19.1+3*19.38</t>
        </is>
      </c>
      <c r="P121" s="1" t="inlineStr">
        <is>
          <t>0+6*17.41</t>
        </is>
      </c>
      <c r="Q121" s="1" t="inlineStr">
        <is>
          <t>0+3*0.34520648/3+3*0.345210764/3+6*0.33125725/10</t>
        </is>
      </c>
    </row>
    <row r="122">
      <c r="C122" t="inlineStr">
        <is>
          <t>September</t>
        </is>
      </c>
      <c r="D122" t="n">
        <v>2021</v>
      </c>
      <c r="E122">
        <f>T3*(0+10*22.96+10*23.96+5*24.96+5*28.21)</f>
        <v/>
      </c>
      <c r="F122" t="inlineStr">
        <is>
          <t>June</t>
        </is>
      </c>
      <c r="G122" t="n">
        <v>2021</v>
      </c>
      <c r="H122">
        <f>T3*(0+30*20.66)</f>
        <v/>
      </c>
      <c r="K122">
        <f>T3*(0+10*0.33461821/10+10*0.33466921/10+5*0.34248873/5+5*0.327200315/15+30*0.29625725/30)</f>
        <v/>
      </c>
      <c r="M122" t="inlineStr">
        <is>
          <t>URA</t>
        </is>
      </c>
      <c r="N122" t="inlineStr">
        <is>
          <t>USD</t>
        </is>
      </c>
      <c r="O122" s="1" t="inlineStr">
        <is>
          <t>0+10*22.96+10*23.96+5*24.96+5*28.21</t>
        </is>
      </c>
      <c r="P122" s="1" t="inlineStr">
        <is>
          <t>0+30*20.66</t>
        </is>
      </c>
      <c r="Q122" s="1" t="inlineStr">
        <is>
          <t>0+10*0.33461821/10+10*0.33466921/10+5*0.34248873/5+5*0.327200315/15+30*0.29625725/30</t>
        </is>
      </c>
    </row>
    <row r="123">
      <c r="C123" t="inlineStr">
        <is>
          <t>September</t>
        </is>
      </c>
      <c r="D123" t="n">
        <v>2021</v>
      </c>
      <c r="E123">
        <f>T3*(0+10*28.21)</f>
        <v/>
      </c>
      <c r="F123" t="inlineStr">
        <is>
          <t>August</t>
        </is>
      </c>
      <c r="G123" t="n">
        <v>2021</v>
      </c>
      <c r="H123">
        <f>T3*(0+10*18.66)</f>
        <v/>
      </c>
      <c r="K123">
        <f>T3*(0+10*0.327200315/15+10*0.33225725/10)</f>
        <v/>
      </c>
      <c r="M123" t="inlineStr">
        <is>
          <t>URA</t>
        </is>
      </c>
      <c r="N123" t="inlineStr">
        <is>
          <t>USD</t>
        </is>
      </c>
      <c r="O123" s="1" t="inlineStr">
        <is>
          <t>0+10*28.21</t>
        </is>
      </c>
      <c r="P123" s="1" t="inlineStr">
        <is>
          <t>0+10*18.66</t>
        </is>
      </c>
      <c r="Q123" s="1" t="inlineStr">
        <is>
          <t>0+10*0.327200315/15+10*0.33225725/10</t>
        </is>
      </c>
    </row>
    <row r="124">
      <c r="C124" t="inlineStr">
        <is>
          <t>September</t>
        </is>
      </c>
      <c r="D124" t="n">
        <v>2021</v>
      </c>
      <c r="E124">
        <f>T3*(0+5*59.97)</f>
        <v/>
      </c>
      <c r="F124" t="inlineStr">
        <is>
          <t>September</t>
        </is>
      </c>
      <c r="G124" t="n">
        <v>2021</v>
      </c>
      <c r="H124">
        <f>T3*(0+5*55.06)</f>
        <v/>
      </c>
      <c r="K124">
        <f>T3*(0+5*0.347381485/5+5*0.34525725/5)</f>
        <v/>
      </c>
      <c r="M124" t="inlineStr">
        <is>
          <t>USB</t>
        </is>
      </c>
      <c r="N124" t="inlineStr">
        <is>
          <t>USD</t>
        </is>
      </c>
      <c r="O124" s="1" t="inlineStr">
        <is>
          <t>0+5*59.97</t>
        </is>
      </c>
      <c r="P124" s="1" t="inlineStr">
        <is>
          <t>0+5*55.06</t>
        </is>
      </c>
      <c r="Q124" s="1" t="inlineStr">
        <is>
          <t>0+5*0.347381485/5+5*0.34525725/5</t>
        </is>
      </c>
    </row>
    <row r="125">
      <c r="C125" t="inlineStr">
        <is>
          <t>December</t>
        </is>
      </c>
      <c r="D125" t="n">
        <v>2021</v>
      </c>
      <c r="E125">
        <f>T3*(0+35*12.88+35*13.92)</f>
        <v/>
      </c>
      <c r="F125" t="inlineStr">
        <is>
          <t>November</t>
        </is>
      </c>
      <c r="G125" t="n">
        <v>2021</v>
      </c>
      <c r="H125">
        <f>T3*(0+50*11.8+20*11.8)</f>
        <v/>
      </c>
      <c r="K125">
        <f>T3*(0+35*0.32172133/35+35*0.39890697/35+50*0.36025725/50+20*0.30025725/50)</f>
        <v/>
      </c>
      <c r="M125" t="inlineStr">
        <is>
          <t>VALE</t>
        </is>
      </c>
      <c r="N125" t="inlineStr">
        <is>
          <t>USD</t>
        </is>
      </c>
      <c r="O125" s="1" t="inlineStr">
        <is>
          <t>0+35*12.88+35*13.92</t>
        </is>
      </c>
      <c r="P125" s="1" t="inlineStr">
        <is>
          <t>0+50*11.8+20*11.8</t>
        </is>
      </c>
      <c r="Q125" s="1" t="inlineStr">
        <is>
          <t>0+35*0.32172133/35+35*0.39890697/35+50*0.36025725/50+20*0.30025725/50</t>
        </is>
      </c>
    </row>
    <row r="126">
      <c r="C126" t="inlineStr">
        <is>
          <t>November</t>
        </is>
      </c>
      <c r="D126" t="n">
        <v>2021</v>
      </c>
      <c r="E126">
        <f>T3*(0+5*101.91)</f>
        <v/>
      </c>
      <c r="F126" t="inlineStr">
        <is>
          <t>November</t>
        </is>
      </c>
      <c r="G126" t="n">
        <v>2021</v>
      </c>
      <c r="H126">
        <f>T3*(0+5*98.4)</f>
        <v/>
      </c>
      <c r="K126">
        <f>T3*(0+5*0.348450955/5+5*0.34525725/5)</f>
        <v/>
      </c>
      <c r="M126" t="inlineStr">
        <is>
          <t>WLK</t>
        </is>
      </c>
      <c r="N126" t="inlineStr">
        <is>
          <t>USD</t>
        </is>
      </c>
      <c r="O126" s="1" t="inlineStr">
        <is>
          <t>0+5*101.91</t>
        </is>
      </c>
      <c r="P126" s="1" t="inlineStr">
        <is>
          <t>0+5*98.4</t>
        </is>
      </c>
      <c r="Q126" s="1" t="inlineStr">
        <is>
          <t>0+5*0.348450955/5+5*0.34525725/5</t>
        </is>
      </c>
    </row>
    <row r="127">
      <c r="C127" t="inlineStr">
        <is>
          <t>September</t>
        </is>
      </c>
      <c r="D127" t="n">
        <v>2021</v>
      </c>
      <c r="E127">
        <f>T3*(0+3*49.96+3*54.96+3*54.33)</f>
        <v/>
      </c>
      <c r="F127" t="inlineStr">
        <is>
          <t>August</t>
        </is>
      </c>
      <c r="G127" t="n">
        <v>2021</v>
      </c>
      <c r="H127">
        <f>T3*(0+3*44.33+6*43.01)</f>
        <v/>
      </c>
      <c r="K127">
        <f>T3*(0+3*0.348378638/3+3*0.348455138/3+3*0.348445499/3+3*0.34725725/3+6*0.35745725/6)</f>
        <v/>
      </c>
      <c r="M127" t="inlineStr">
        <is>
          <t>WLL</t>
        </is>
      </c>
      <c r="N127" t="inlineStr">
        <is>
          <t>USD</t>
        </is>
      </c>
      <c r="O127" s="1" t="inlineStr">
        <is>
          <t>0+3*49.96+3*54.96+3*54.33</t>
        </is>
      </c>
      <c r="P127" s="1" t="inlineStr">
        <is>
          <t>0+3*44.33+6*43.01</t>
        </is>
      </c>
      <c r="Q127" s="1" t="inlineStr">
        <is>
          <t>0+3*0.348378638/3+3*0.348455138/3+3*0.348445499/3+3*0.34725725/3+6*0.35745725/6</t>
        </is>
      </c>
    </row>
    <row r="128">
      <c r="C128" t="inlineStr">
        <is>
          <t>April</t>
        </is>
      </c>
      <c r="D128" t="n">
        <v>2021</v>
      </c>
      <c r="E128">
        <f>T3*(0+5*24.96)</f>
        <v/>
      </c>
      <c r="F128" t="inlineStr">
        <is>
          <t>April</t>
        </is>
      </c>
      <c r="G128" t="n">
        <v>2021</v>
      </c>
      <c r="H128">
        <f>T3*(0+5*21.07)</f>
        <v/>
      </c>
      <c r="K128">
        <f>T3*(0+5*0.34648873/5+5*0.36225725/10)</f>
        <v/>
      </c>
      <c r="M128" t="inlineStr">
        <is>
          <t>X</t>
        </is>
      </c>
      <c r="N128" t="inlineStr">
        <is>
          <t>USD</t>
        </is>
      </c>
      <c r="O128" s="1" t="inlineStr">
        <is>
          <t>0+5*24.96</t>
        </is>
      </c>
      <c r="P128" s="1" t="inlineStr">
        <is>
          <t>0+5*21.07</t>
        </is>
      </c>
      <c r="Q128" s="1" t="inlineStr">
        <is>
          <t>0+5*0.34648873/5+5*0.36225725/10</t>
        </is>
      </c>
    </row>
    <row r="129">
      <c r="C129" t="inlineStr">
        <is>
          <t>May</t>
        </is>
      </c>
      <c r="D129" t="n">
        <v>2021</v>
      </c>
      <c r="E129">
        <f>T3*(0+5*29.96)</f>
        <v/>
      </c>
      <c r="F129" t="inlineStr">
        <is>
          <t>April</t>
        </is>
      </c>
      <c r="G129" t="n">
        <v>2021</v>
      </c>
      <c r="H129">
        <f>T3*(0+5*21.07)</f>
        <v/>
      </c>
      <c r="K129">
        <f>T3*(0+5*0.34661623/5+5*0.36225725/10)</f>
        <v/>
      </c>
      <c r="M129" t="inlineStr">
        <is>
          <t>X</t>
        </is>
      </c>
      <c r="N129" t="inlineStr">
        <is>
          <t>USD</t>
        </is>
      </c>
      <c r="O129" s="1" t="inlineStr">
        <is>
          <t>0+5*29.96</t>
        </is>
      </c>
      <c r="P129" s="1" t="inlineStr">
        <is>
          <t>0+5*21.07</t>
        </is>
      </c>
      <c r="Q129" s="1" t="inlineStr">
        <is>
          <t>0+5*0.34661623/5+5*0.36225725/10</t>
        </is>
      </c>
    </row>
    <row r="130">
      <c r="C130" t="inlineStr">
        <is>
          <t>October</t>
        </is>
      </c>
      <c r="D130" t="n">
        <v>2021</v>
      </c>
      <c r="E130">
        <f>T3*(0+7*24.66+3*26.66)</f>
        <v/>
      </c>
      <c r="F130" t="inlineStr">
        <is>
          <t>October</t>
        </is>
      </c>
      <c r="G130" t="n">
        <v>2021</v>
      </c>
      <c r="H130">
        <f>T3*(0+10*21.45)</f>
        <v/>
      </c>
      <c r="K130">
        <f>T3*(0+7*0.344970612/7+3*0.348022148/3+10*0.36225725/10)</f>
        <v/>
      </c>
      <c r="M130" t="inlineStr">
        <is>
          <t>X</t>
        </is>
      </c>
      <c r="N130" t="inlineStr">
        <is>
          <t>USD</t>
        </is>
      </c>
      <c r="O130" s="1" t="inlineStr">
        <is>
          <t>0+7*24.66+3*26.66</t>
        </is>
      </c>
      <c r="P130" s="1" t="inlineStr">
        <is>
          <t>0+10*21.45</t>
        </is>
      </c>
      <c r="Q130" s="1" t="inlineStr">
        <is>
          <t>0+7*0.344970612/7+3*0.348022148/3+10*0.36225725/10</t>
        </is>
      </c>
    </row>
    <row r="131">
      <c r="C131" t="inlineStr">
        <is>
          <t>November</t>
        </is>
      </c>
      <c r="D131" t="n">
        <v>2021</v>
      </c>
      <c r="E131">
        <f>T3*(0+5*26.66)</f>
        <v/>
      </c>
      <c r="F131" t="inlineStr">
        <is>
          <t>October</t>
        </is>
      </c>
      <c r="G131" t="n">
        <v>2021</v>
      </c>
      <c r="H131">
        <f>T3*(0+5*20.585)</f>
        <v/>
      </c>
      <c r="K131">
        <f>T3*(0+5*0.34653208/5+5*0.35225725/10)</f>
        <v/>
      </c>
      <c r="M131" t="inlineStr">
        <is>
          <t>X</t>
        </is>
      </c>
      <c r="N131" t="inlineStr">
        <is>
          <t>USD</t>
        </is>
      </c>
      <c r="O131" s="1" t="inlineStr">
        <is>
          <t>0+5*26.66</t>
        </is>
      </c>
      <c r="P131" s="1" t="inlineStr">
        <is>
          <t>0+5*20.585</t>
        </is>
      </c>
      <c r="Q131" s="1" t="inlineStr">
        <is>
          <t>0+5*0.34653208/5+5*0.35225725/10</t>
        </is>
      </c>
    </row>
    <row r="132">
      <c r="C132" t="inlineStr">
        <is>
          <t>May</t>
        </is>
      </c>
      <c r="D132" t="n">
        <v>2021</v>
      </c>
      <c r="E132">
        <f>T3*(0+8*46.88+4*46.96)</f>
        <v/>
      </c>
      <c r="F132" t="inlineStr">
        <is>
          <t>May</t>
        </is>
      </c>
      <c r="G132" t="n">
        <v>2021</v>
      </c>
      <c r="H132">
        <f>T3*(0+12*38.03)</f>
        <v/>
      </c>
      <c r="K132">
        <f>T3*(0+8*0.345121954/8+4*0.347691234/4+12*0.33525725/15)</f>
        <v/>
      </c>
      <c r="M132" t="inlineStr">
        <is>
          <t>ZIM</t>
        </is>
      </c>
      <c r="N132" t="inlineStr">
        <is>
          <t>USD</t>
        </is>
      </c>
      <c r="O132" s="1" t="inlineStr">
        <is>
          <t>0+8*46.88+4*46.96</t>
        </is>
      </c>
      <c r="P132" s="1" t="inlineStr">
        <is>
          <t>0+12*38.03</t>
        </is>
      </c>
      <c r="Q132" s="1" t="inlineStr">
        <is>
          <t>0+8*0.345121954/8+4*0.347691234/4+12*0.33525725/15</t>
        </is>
      </c>
    </row>
    <row r="133">
      <c r="C133" t="inlineStr">
        <is>
          <t>August</t>
        </is>
      </c>
      <c r="D133" t="n">
        <v>2021</v>
      </c>
      <c r="E133">
        <f>T3*(0+3*48.96)</f>
        <v/>
      </c>
      <c r="F133" t="inlineStr">
        <is>
          <t>May</t>
        </is>
      </c>
      <c r="G133" t="n">
        <v>2021</v>
      </c>
      <c r="H133">
        <f>T3*(0+3*38.03)</f>
        <v/>
      </c>
      <c r="K133">
        <f>T3*(0+3*0.348363338/3+3*0.33525725/15)</f>
        <v/>
      </c>
      <c r="M133" t="inlineStr">
        <is>
          <t>ZIM</t>
        </is>
      </c>
      <c r="N133" t="inlineStr">
        <is>
          <t>USD</t>
        </is>
      </c>
      <c r="O133" s="1" t="inlineStr">
        <is>
          <t>0+3*48.96</t>
        </is>
      </c>
      <c r="P133" s="1" t="inlineStr">
        <is>
          <t>0+3*38.03</t>
        </is>
      </c>
      <c r="Q133" s="1" t="inlineStr">
        <is>
          <t>0+3*0.348363338/3+3*0.33525725/15</t>
        </is>
      </c>
    </row>
    <row r="134">
      <c r="C134" t="inlineStr">
        <is>
          <t>August</t>
        </is>
      </c>
      <c r="D134" t="n">
        <v>2021</v>
      </c>
      <c r="E134">
        <f>T3*(0+1*48.325+3*49.86)</f>
        <v/>
      </c>
      <c r="F134" t="inlineStr">
        <is>
          <t>June</t>
        </is>
      </c>
      <c r="G134" t="n">
        <v>2021</v>
      </c>
      <c r="H134">
        <f>T3*(0+4*43.66)</f>
        <v/>
      </c>
      <c r="K134">
        <f>T3*(0+1*0.350722707/1+3*0.348377108/3+4*0.34425725/6)</f>
        <v/>
      </c>
      <c r="M134" t="inlineStr">
        <is>
          <t>ZIM</t>
        </is>
      </c>
      <c r="N134" t="inlineStr">
        <is>
          <t>USD</t>
        </is>
      </c>
      <c r="O134" s="1" t="inlineStr">
        <is>
          <t>0+1*48.325+3*49.86</t>
        </is>
      </c>
      <c r="P134" s="1" t="inlineStr">
        <is>
          <t>0+4*43.66</t>
        </is>
      </c>
      <c r="Q134" s="1" t="inlineStr">
        <is>
          <t>0+1*0.350722707/1+3*0.348377108/3+4*0.34425725/6</t>
        </is>
      </c>
    </row>
    <row r="135">
      <c r="C135" t="inlineStr">
        <is>
          <t>September</t>
        </is>
      </c>
      <c r="D135" t="n">
        <v>2021</v>
      </c>
      <c r="E135">
        <f>T3*(0+2*59.94)</f>
        <v/>
      </c>
      <c r="F135" t="inlineStr">
        <is>
          <t>June</t>
        </is>
      </c>
      <c r="G135" t="n">
        <v>2021</v>
      </c>
      <c r="H135">
        <f>T3*(0+2*43.66)</f>
        <v/>
      </c>
      <c r="K135">
        <f>T3*(0+2*0.349106638/2+2*0.34425725/6)</f>
        <v/>
      </c>
      <c r="M135" t="inlineStr">
        <is>
          <t>ZIM</t>
        </is>
      </c>
      <c r="N135" t="inlineStr">
        <is>
          <t>USD</t>
        </is>
      </c>
      <c r="O135" s="1" t="inlineStr">
        <is>
          <t>0+2*59.94</t>
        </is>
      </c>
      <c r="P135" s="1" t="inlineStr">
        <is>
          <t>0+2*43.66</t>
        </is>
      </c>
      <c r="Q135" s="1" t="inlineStr">
        <is>
          <t>0+2*0.349106638/2+2*0.34425725/6</t>
        </is>
      </c>
    </row>
    <row r="136">
      <c r="C136" t="inlineStr">
        <is>
          <t>October</t>
        </is>
      </c>
      <c r="D136" t="n">
        <v>2021</v>
      </c>
      <c r="E136">
        <f>T3*(0+5*48.63+3*50.66)</f>
        <v/>
      </c>
      <c r="F136" t="inlineStr">
        <is>
          <t>September</t>
        </is>
      </c>
      <c r="G136" t="n">
        <v>2021</v>
      </c>
      <c r="H136">
        <f>T3*(0+4*55.18+3*55.06+1*52.33)</f>
        <v/>
      </c>
      <c r="K136">
        <f>T3*(0+5*0.352592315/5+3*0.348389348/3+4*0.34625725/4+3*0.34725725/3+1*0.34625725/4)</f>
        <v/>
      </c>
      <c r="M136" t="inlineStr">
        <is>
          <t>ZIM</t>
        </is>
      </c>
      <c r="N136" t="inlineStr">
        <is>
          <t>USD</t>
        </is>
      </c>
      <c r="O136" s="1" t="inlineStr">
        <is>
          <t>0+5*48.63+3*50.66</t>
        </is>
      </c>
      <c r="P136" s="1" t="inlineStr">
        <is>
          <t>0+4*55.18+3*55.06+1*52.33</t>
        </is>
      </c>
      <c r="Q136" s="1" t="inlineStr">
        <is>
          <t>0+5*0.352592315/5+3*0.348389348/3+4*0.34625725/4+3*0.34725725/3+1*0.34625725/4</t>
        </is>
      </c>
    </row>
    <row r="137">
      <c r="C137" t="inlineStr">
        <is>
          <t>November</t>
        </is>
      </c>
      <c r="D137" t="n">
        <v>2021</v>
      </c>
      <c r="E137">
        <f>T3*(0+3*55.31)</f>
        <v/>
      </c>
      <c r="F137" t="inlineStr">
        <is>
          <t>September</t>
        </is>
      </c>
      <c r="G137" t="n">
        <v>2021</v>
      </c>
      <c r="H137">
        <f>T3*(0+3*52.33)</f>
        <v/>
      </c>
      <c r="K137">
        <f>T3*(0+3*0.356661574/4+3*0.34625725/4)</f>
        <v/>
      </c>
      <c r="M137" t="inlineStr">
        <is>
          <t>ZIM</t>
        </is>
      </c>
      <c r="N137" t="inlineStr">
        <is>
          <t>USD</t>
        </is>
      </c>
      <c r="O137" s="1" t="inlineStr">
        <is>
          <t>0+3*55.31</t>
        </is>
      </c>
      <c r="P137" s="1" t="inlineStr">
        <is>
          <t>0+3*52.33</t>
        </is>
      </c>
      <c r="Q137" s="1" t="inlineStr">
        <is>
          <t>0+3*0.356661574/4+3*0.34625725/4</t>
        </is>
      </c>
    </row>
    <row r="138">
      <c r="C138" t="inlineStr">
        <is>
          <t>November</t>
        </is>
      </c>
      <c r="D138" t="n">
        <v>2021</v>
      </c>
      <c r="E138">
        <f>T3*(0+1*55.31+8*54.66)</f>
        <v/>
      </c>
      <c r="F138" t="inlineStr">
        <is>
          <t>October</t>
        </is>
      </c>
      <c r="G138" t="n">
        <v>2021</v>
      </c>
      <c r="H138">
        <f>T3*(0+9*48.33)</f>
        <v/>
      </c>
      <c r="K138">
        <f>T3*(0+1*0.356661574/4+8*0.345439378/8+9*0.34025725/10)</f>
        <v/>
      </c>
      <c r="M138" t="inlineStr">
        <is>
          <t>ZIM</t>
        </is>
      </c>
      <c r="N138" t="inlineStr">
        <is>
          <t>USD</t>
        </is>
      </c>
      <c r="O138" s="1" t="inlineStr">
        <is>
          <t>0+1*55.31+8*54.66</t>
        </is>
      </c>
      <c r="P138" s="1" t="inlineStr">
        <is>
          <t>0+9*48.33</t>
        </is>
      </c>
      <c r="Q138" s="1" t="inlineStr">
        <is>
          <t>0+1*0.356661574/4+8*0.345439378/8+9*0.34025725/10</t>
        </is>
      </c>
    </row>
    <row r="139">
      <c r="C139" t="inlineStr">
        <is>
          <t>December</t>
        </is>
      </c>
      <c r="D139" t="n">
        <v>2021</v>
      </c>
      <c r="E139">
        <f>T3*(0+6*59.86)</f>
        <v/>
      </c>
      <c r="F139" t="inlineStr">
        <is>
          <t>October</t>
        </is>
      </c>
      <c r="G139" t="n">
        <v>2021</v>
      </c>
      <c r="H139">
        <f>T3*(0+1*48.33+5*44.0573)</f>
        <v/>
      </c>
      <c r="K139">
        <f>T3*(0+6*0.346802966/6+1*0.34025725/10+5*0.35125725/5)</f>
        <v/>
      </c>
      <c r="M139" t="inlineStr">
        <is>
          <t>ZIM</t>
        </is>
      </c>
      <c r="N139" t="inlineStr">
        <is>
          <t>USD</t>
        </is>
      </c>
      <c r="O139" s="1" t="inlineStr">
        <is>
          <t>0+6*59.86</t>
        </is>
      </c>
      <c r="P139" s="1" t="inlineStr">
        <is>
          <t>0+1*48.33+5*44.0573</t>
        </is>
      </c>
      <c r="Q139" s="1" t="inlineStr">
        <is>
          <t>0+6*0.346802966/6+1*0.34025725/10+5*0.35125725/5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2022-10-22T13:39:42Z</dcterms:created>
  <dcterms:modified xsi:type="dcterms:W3CDTF">2022-10-22T13:39:42Z</dcterms:modified>
</cp:coreProperties>
</file>