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dev\pyrepo\shares-reporting\resources\test\"/>
    </mc:Choice>
  </mc:AlternateContent>
  <xr:revisionPtr revIDLastSave="0" documentId="13_ncr:1_{DE00833C-3D90-491D-8B24-A44FD27397D7}" xr6:coauthVersionLast="47" xr6:coauthVersionMax="47" xr10:uidLastSave="{00000000-0000-0000-0000-000000000000}"/>
  <bookViews>
    <workbookView xWindow="28680" yWindow="2715" windowWidth="29040" windowHeight="16440" xr2:uid="{00000000-000D-0000-FFFF-FFFF00000000}"/>
  </bookViews>
  <sheets>
    <sheet name="Repor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9" i="1" l="1"/>
  <c r="P139" i="1"/>
  <c r="O139" i="1"/>
  <c r="Q138" i="1"/>
  <c r="P138" i="1"/>
  <c r="O138" i="1"/>
  <c r="Q137" i="1"/>
  <c r="P137" i="1"/>
  <c r="O137" i="1"/>
  <c r="Q136" i="1"/>
  <c r="P136" i="1"/>
  <c r="O136" i="1"/>
  <c r="Q135" i="1"/>
  <c r="P135" i="1"/>
  <c r="O135" i="1"/>
  <c r="Q134" i="1"/>
  <c r="P134" i="1"/>
  <c r="O134" i="1"/>
  <c r="Q133" i="1"/>
  <c r="P133" i="1"/>
  <c r="O133" i="1"/>
  <c r="Q132" i="1"/>
  <c r="P132" i="1"/>
  <c r="O132" i="1"/>
  <c r="Q131" i="1"/>
  <c r="P131" i="1"/>
  <c r="O131" i="1"/>
  <c r="Q130" i="1"/>
  <c r="P130" i="1"/>
  <c r="O130" i="1"/>
  <c r="Q129" i="1"/>
  <c r="P129" i="1"/>
  <c r="O129" i="1"/>
  <c r="Q128" i="1"/>
  <c r="P128" i="1"/>
  <c r="O128" i="1"/>
  <c r="Q127" i="1"/>
  <c r="P127" i="1"/>
  <c r="O127" i="1"/>
  <c r="Q126" i="1"/>
  <c r="P126" i="1"/>
  <c r="O126" i="1"/>
  <c r="Q125" i="1"/>
  <c r="P125" i="1"/>
  <c r="O125" i="1"/>
  <c r="Q124" i="1"/>
  <c r="P124" i="1"/>
  <c r="O124" i="1"/>
  <c r="Q123" i="1"/>
  <c r="P123" i="1"/>
  <c r="O123" i="1"/>
  <c r="Q122" i="1"/>
  <c r="P122" i="1"/>
  <c r="O122" i="1"/>
  <c r="Q121" i="1"/>
  <c r="P121" i="1"/>
  <c r="O121" i="1"/>
  <c r="Q120" i="1"/>
  <c r="P120" i="1"/>
  <c r="O120" i="1"/>
  <c r="Q119" i="1"/>
  <c r="P119" i="1"/>
  <c r="O119" i="1"/>
  <c r="Q118" i="1"/>
  <c r="P118" i="1"/>
  <c r="O118" i="1"/>
  <c r="Q117" i="1"/>
  <c r="P117" i="1"/>
  <c r="O117" i="1"/>
  <c r="Q116" i="1"/>
  <c r="P116" i="1"/>
  <c r="O116" i="1"/>
  <c r="Q115" i="1"/>
  <c r="P115" i="1"/>
  <c r="O115" i="1"/>
  <c r="Q114" i="1"/>
  <c r="P114" i="1"/>
  <c r="O114" i="1"/>
  <c r="Q113" i="1"/>
  <c r="P113" i="1"/>
  <c r="O113" i="1"/>
  <c r="Q112" i="1"/>
  <c r="P112" i="1"/>
  <c r="O112" i="1"/>
  <c r="Q111" i="1"/>
  <c r="P111" i="1"/>
  <c r="O111" i="1"/>
  <c r="Q110" i="1"/>
  <c r="P110" i="1"/>
  <c r="O110" i="1"/>
  <c r="Q109" i="1"/>
  <c r="P109" i="1"/>
  <c r="O109" i="1"/>
  <c r="Q108" i="1"/>
  <c r="P108" i="1"/>
  <c r="O108" i="1"/>
  <c r="Q107" i="1"/>
  <c r="P107" i="1"/>
  <c r="O107" i="1"/>
  <c r="Q106" i="1"/>
  <c r="P106" i="1"/>
  <c r="O106" i="1"/>
  <c r="Q105" i="1"/>
  <c r="P105" i="1"/>
  <c r="O105" i="1"/>
  <c r="Q104" i="1"/>
  <c r="P104" i="1"/>
  <c r="O104" i="1"/>
  <c r="Q103" i="1"/>
  <c r="P103" i="1"/>
  <c r="O103" i="1"/>
  <c r="Q102" i="1"/>
  <c r="P102" i="1"/>
  <c r="O102" i="1"/>
  <c r="Q101" i="1"/>
  <c r="P101" i="1"/>
  <c r="O101" i="1"/>
  <c r="Q100" i="1"/>
  <c r="P100" i="1"/>
  <c r="O100" i="1"/>
  <c r="Q99" i="1"/>
  <c r="P99" i="1"/>
  <c r="O99" i="1"/>
  <c r="Q98" i="1"/>
  <c r="P98" i="1"/>
  <c r="O98" i="1"/>
  <c r="Q97" i="1"/>
  <c r="P97" i="1"/>
  <c r="O97" i="1"/>
  <c r="Q96" i="1"/>
  <c r="P96" i="1"/>
  <c r="O96" i="1"/>
  <c r="Q95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</calcChain>
</file>

<file path=xl/sharedStrings.xml><?xml version="1.0" encoding="utf-8"?>
<sst xmlns="http://schemas.openxmlformats.org/spreadsheetml/2006/main" count="567" uniqueCount="91">
  <si>
    <t>Beneficiary</t>
  </si>
  <si>
    <t>Country of Source</t>
  </si>
  <si>
    <t>SALE</t>
  </si>
  <si>
    <t>PURCHASE</t>
  </si>
  <si>
    <t>WITHOLDING TAX</t>
  </si>
  <si>
    <t>Expenses incurred with obtaining the capital gains</t>
  </si>
  <si>
    <t>Symbol</t>
  </si>
  <si>
    <t>Currency</t>
  </si>
  <si>
    <t>Sale amount</t>
  </si>
  <si>
    <t>Buy amount</t>
  </si>
  <si>
    <t>Expenses amount</t>
  </si>
  <si>
    <t xml:space="preserve">Month </t>
  </si>
  <si>
    <t>Year</t>
  </si>
  <si>
    <t>Amount</t>
  </si>
  <si>
    <t>Country</t>
  </si>
  <si>
    <t>June</t>
  </si>
  <si>
    <t>ACB</t>
  </si>
  <si>
    <t>CAD</t>
  </si>
  <si>
    <t>July</t>
  </si>
  <si>
    <t>May</t>
  </si>
  <si>
    <t>TKAd</t>
  </si>
  <si>
    <t>EUR</t>
  </si>
  <si>
    <t>AALl</t>
  </si>
  <si>
    <t>GBP</t>
  </si>
  <si>
    <t>August</t>
  </si>
  <si>
    <t>September</t>
  </si>
  <si>
    <t>EUA</t>
  </si>
  <si>
    <t>April</t>
  </si>
  <si>
    <t>FRES</t>
  </si>
  <si>
    <t>October</t>
  </si>
  <si>
    <t>November</t>
  </si>
  <si>
    <t>1099</t>
  </si>
  <si>
    <t>HKD</t>
  </si>
  <si>
    <t>CDR</t>
  </si>
  <si>
    <t>PLN</t>
  </si>
  <si>
    <t>USD</t>
  </si>
  <si>
    <t>December</t>
  </si>
  <si>
    <t>AMZN</t>
  </si>
  <si>
    <t>APEI</t>
  </si>
  <si>
    <t>ATNX</t>
  </si>
  <si>
    <t>BG</t>
  </si>
  <si>
    <t>BHP</t>
  </si>
  <si>
    <t>BTU</t>
  </si>
  <si>
    <t>CGC</t>
  </si>
  <si>
    <t>CNDT</t>
  </si>
  <si>
    <t>COIN</t>
  </si>
  <si>
    <t>CORN</t>
  </si>
  <si>
    <t>DRIV</t>
  </si>
  <si>
    <t>DVY</t>
  </si>
  <si>
    <t>EXPI</t>
  </si>
  <si>
    <t>FEYE</t>
  </si>
  <si>
    <t>FUBO</t>
  </si>
  <si>
    <t>GOLD</t>
  </si>
  <si>
    <t>GTE</t>
  </si>
  <si>
    <t>HBAN</t>
  </si>
  <si>
    <t>HDV</t>
  </si>
  <si>
    <t>HEXO</t>
  </si>
  <si>
    <t>HLIT</t>
  </si>
  <si>
    <t>HYG</t>
  </si>
  <si>
    <t>IBKR</t>
  </si>
  <si>
    <t>KBE</t>
  </si>
  <si>
    <t>KE</t>
  </si>
  <si>
    <t>KGC</t>
  </si>
  <si>
    <t>KLIC</t>
  </si>
  <si>
    <t>KRE</t>
  </si>
  <si>
    <t>KSS</t>
  </si>
  <si>
    <t>KTOS</t>
  </si>
  <si>
    <t>LOGI</t>
  </si>
  <si>
    <t>LPX</t>
  </si>
  <si>
    <t>LQD</t>
  </si>
  <si>
    <t>MRNA</t>
  </si>
  <si>
    <t>NAT</t>
  </si>
  <si>
    <t>NIO</t>
  </si>
  <si>
    <t>NMM</t>
  </si>
  <si>
    <t>OLN</t>
  </si>
  <si>
    <t>PPLT</t>
  </si>
  <si>
    <t>SBLK</t>
  </si>
  <si>
    <t>SHV</t>
  </si>
  <si>
    <t>SITM</t>
  </si>
  <si>
    <t>SLV</t>
  </si>
  <si>
    <t>SPHD</t>
  </si>
  <si>
    <t>TRMK</t>
  </si>
  <si>
    <t>UHS</t>
  </si>
  <si>
    <t>UMPQ</t>
  </si>
  <si>
    <t>URA</t>
  </si>
  <si>
    <t>USB</t>
  </si>
  <si>
    <t>VALE</t>
  </si>
  <si>
    <t>WLK</t>
  </si>
  <si>
    <t>WLL</t>
  </si>
  <si>
    <t>X</t>
  </si>
  <si>
    <t>ZIM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</si>
</sst>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9"/>
  <sheetViews>
    <sheetView tabSelected="1" workbookViewId="0">
      <selection activeCell="P3" sqref="P3"/>
    </sheetView>
  </sheetViews>
  <sheetFormatPr defaultRowHeight="14.4" x14ac:dyDescent="0.3"/>
  <cols>
    <col min="16" max="16" width="11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F1" t="s">
        <v>3</v>
      </c>
      <c r="I1" t="s">
        <v>4</v>
      </c>
      <c r="K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3">
      <c r="C2" t="s">
        <v>11</v>
      </c>
      <c r="D2" t="s">
        <v>12</v>
      </c>
      <c r="E2" t="s">
        <v>13</v>
      </c>
      <c r="F2" t="s">
        <v>11</v>
      </c>
      <c r="G2" t="s">
        <v>12</v>
      </c>
      <c r="H2" t="s">
        <v>13</v>
      </c>
      <c r="I2" t="s">
        <v>14</v>
      </c>
      <c r="J2" t="s">
        <v>13</v>
      </c>
    </row>
    <row r="3" spans="1:17" x14ac:dyDescent="0.3">
      <c r="C3" t="s">
        <v>15</v>
      </c>
      <c r="D3">
        <v>2021</v>
      </c>
      <c r="F3" t="s">
        <v>15</v>
      </c>
      <c r="G3">
        <v>2021</v>
      </c>
      <c r="M3" t="s">
        <v>16</v>
      </c>
      <c r="N3" t="s">
        <v>17</v>
      </c>
      <c r="O3" s="1">
        <f>30*11.26</f>
        <v>337.8</v>
      </c>
      <c r="P3" s="1">
        <f>30*12.1</f>
        <v>363</v>
      </c>
      <c r="Q3" s="1">
        <f>30*1.0384/30+30*1.0894/30</f>
        <v>2.1277999999999997</v>
      </c>
    </row>
    <row r="4" spans="1:17" x14ac:dyDescent="0.3">
      <c r="C4" t="s">
        <v>18</v>
      </c>
      <c r="D4">
        <v>2021</v>
      </c>
      <c r="F4" t="s">
        <v>19</v>
      </c>
      <c r="G4">
        <v>2021</v>
      </c>
      <c r="M4" t="s">
        <v>20</v>
      </c>
      <c r="N4" t="s">
        <v>21</v>
      </c>
      <c r="O4" s="1">
        <f>20*8.372+20*8.396</f>
        <v>335.36</v>
      </c>
      <c r="P4" s="1">
        <f>20*10.56+20*9.472</f>
        <v>400.64</v>
      </c>
      <c r="Q4" s="1">
        <f>20*1.25/20+20*1.8916792/20+20*1.892112/20+20*1.8918944/20</f>
        <v>6.9256856000000004</v>
      </c>
    </row>
    <row r="5" spans="1:17" x14ac:dyDescent="0.3">
      <c r="C5" t="s">
        <v>18</v>
      </c>
      <c r="D5">
        <v>2021</v>
      </c>
      <c r="F5" t="s">
        <v>19</v>
      </c>
      <c r="G5">
        <v>2021</v>
      </c>
      <c r="M5" t="s">
        <v>22</v>
      </c>
      <c r="N5" t="s">
        <v>23</v>
      </c>
      <c r="O5" s="1">
        <f>10*29.91+10*30.96</f>
        <v>608.70000000000005</v>
      </c>
      <c r="P5" s="1">
        <f>5*32.61+10*32.51+5*32.42</f>
        <v>650.25</v>
      </c>
      <c r="Q5" s="1">
        <f>10*1.17/10+10*1.17/10+5*1.98525/5+10*2.8555/10+5*1.9805/5</f>
        <v>9.161249999999999</v>
      </c>
    </row>
    <row r="6" spans="1:17" x14ac:dyDescent="0.3">
      <c r="C6" t="s">
        <v>24</v>
      </c>
      <c r="D6">
        <v>2021</v>
      </c>
      <c r="F6" t="s">
        <v>18</v>
      </c>
      <c r="G6">
        <v>2021</v>
      </c>
      <c r="M6" t="s">
        <v>22</v>
      </c>
      <c r="N6" t="s">
        <v>23</v>
      </c>
      <c r="O6" s="1">
        <f>10*33.675</f>
        <v>336.75</v>
      </c>
      <c r="P6" s="1">
        <f>10*27.33</f>
        <v>273.29999999999995</v>
      </c>
      <c r="Q6" s="1">
        <f>10*1.17/10+10*2.5365/10</f>
        <v>3.7065000000000001</v>
      </c>
    </row>
    <row r="7" spans="1:17" x14ac:dyDescent="0.3">
      <c r="C7" t="s">
        <v>25</v>
      </c>
      <c r="D7">
        <v>2021</v>
      </c>
      <c r="F7" t="s">
        <v>15</v>
      </c>
      <c r="G7">
        <v>2021</v>
      </c>
      <c r="M7" t="s">
        <v>26</v>
      </c>
      <c r="N7" t="s">
        <v>23</v>
      </c>
      <c r="O7" s="1">
        <f>500*0.242+500*0.25</f>
        <v>246</v>
      </c>
      <c r="P7" s="1">
        <f>1000*0.2126</f>
        <v>212.60000000000002</v>
      </c>
      <c r="Q7" s="1">
        <f>500*1.17/500+500*1.17/500+1000*1.17/1000</f>
        <v>3.51</v>
      </c>
    </row>
    <row r="8" spans="1:17" x14ac:dyDescent="0.3">
      <c r="C8" t="s">
        <v>25</v>
      </c>
      <c r="D8">
        <v>2021</v>
      </c>
      <c r="F8" t="s">
        <v>18</v>
      </c>
      <c r="G8">
        <v>2021</v>
      </c>
      <c r="M8" t="s">
        <v>26</v>
      </c>
      <c r="N8" t="s">
        <v>23</v>
      </c>
      <c r="O8" s="1">
        <f>1000*0.284+100*0.301+400*0.31</f>
        <v>438.1</v>
      </c>
      <c r="P8" s="1">
        <f>1500*0.2</f>
        <v>300</v>
      </c>
      <c r="Q8" s="1">
        <f>1000*1.17/1000+100*1.17/100+400*1.17/1000+1500*1.17/1500</f>
        <v>3.9779999999999998</v>
      </c>
    </row>
    <row r="9" spans="1:17" x14ac:dyDescent="0.3">
      <c r="C9" t="s">
        <v>25</v>
      </c>
      <c r="D9">
        <v>2021</v>
      </c>
      <c r="F9" t="s">
        <v>24</v>
      </c>
      <c r="G9">
        <v>2021</v>
      </c>
      <c r="M9" t="s">
        <v>26</v>
      </c>
      <c r="N9" t="s">
        <v>23</v>
      </c>
      <c r="O9" s="1">
        <f>600*0.31+1000*0.365</f>
        <v>551</v>
      </c>
      <c r="P9" s="1">
        <f>1000*0.192+600*0.171</f>
        <v>294.60000000000002</v>
      </c>
      <c r="Q9" s="1">
        <f>600*1.17/1000+1000*1.17/1000+1000*1.17/1000+600*1.17/2000</f>
        <v>3.3929999999999998</v>
      </c>
    </row>
    <row r="10" spans="1:17" x14ac:dyDescent="0.3">
      <c r="C10" t="s">
        <v>18</v>
      </c>
      <c r="D10">
        <v>2021</v>
      </c>
      <c r="F10" t="s">
        <v>27</v>
      </c>
      <c r="G10">
        <v>2021</v>
      </c>
      <c r="M10" t="s">
        <v>28</v>
      </c>
      <c r="N10" t="s">
        <v>23</v>
      </c>
      <c r="O10" s="1">
        <f>2*7.998</f>
        <v>15.996</v>
      </c>
      <c r="P10" s="1">
        <f>1*8.902+1*8.768</f>
        <v>17.670000000000002</v>
      </c>
      <c r="Q10" s="1">
        <f>2*1.17/15+1*1.21451/1+1*1.21384/1</f>
        <v>2.5843499999999997</v>
      </c>
    </row>
    <row r="11" spans="1:17" x14ac:dyDescent="0.3">
      <c r="C11" t="s">
        <v>18</v>
      </c>
      <c r="D11">
        <v>2021</v>
      </c>
      <c r="F11" t="s">
        <v>18</v>
      </c>
      <c r="G11">
        <v>2021</v>
      </c>
      <c r="M11" t="s">
        <v>28</v>
      </c>
      <c r="N11" t="s">
        <v>23</v>
      </c>
      <c r="O11" s="1">
        <f>13*7.998</f>
        <v>103.974</v>
      </c>
      <c r="P11" s="1">
        <f>13*7.954</f>
        <v>103.402</v>
      </c>
      <c r="Q11" s="1">
        <f>13*1.17/15+13*3.1585/50</f>
        <v>1.83521</v>
      </c>
    </row>
    <row r="12" spans="1:17" x14ac:dyDescent="0.3">
      <c r="C12" t="s">
        <v>25</v>
      </c>
      <c r="D12">
        <v>2021</v>
      </c>
      <c r="F12" t="s">
        <v>18</v>
      </c>
      <c r="G12">
        <v>2021</v>
      </c>
      <c r="M12" t="s">
        <v>28</v>
      </c>
      <c r="N12" t="s">
        <v>23</v>
      </c>
      <c r="O12" s="1">
        <f>10*8.548</f>
        <v>85.48</v>
      </c>
      <c r="P12" s="1">
        <f>10*7.954</f>
        <v>79.539999999999992</v>
      </c>
      <c r="Q12" s="1">
        <f>10*1.17/10+10*3.1585/50</f>
        <v>1.8016999999999999</v>
      </c>
    </row>
    <row r="13" spans="1:17" x14ac:dyDescent="0.3">
      <c r="C13" t="s">
        <v>29</v>
      </c>
      <c r="D13">
        <v>2021</v>
      </c>
      <c r="F13" t="s">
        <v>18</v>
      </c>
      <c r="G13">
        <v>2021</v>
      </c>
      <c r="M13" t="s">
        <v>28</v>
      </c>
      <c r="N13" t="s">
        <v>23</v>
      </c>
      <c r="O13" s="1">
        <f>10*8.976</f>
        <v>89.76</v>
      </c>
      <c r="P13" s="1">
        <f>10*7.954</f>
        <v>79.539999999999992</v>
      </c>
      <c r="Q13" s="1">
        <f>10*1.17/10+10*3.1585/50</f>
        <v>1.8016999999999999</v>
      </c>
    </row>
    <row r="14" spans="1:17" x14ac:dyDescent="0.3">
      <c r="C14" t="s">
        <v>30</v>
      </c>
      <c r="D14">
        <v>2021</v>
      </c>
      <c r="F14" t="s">
        <v>18</v>
      </c>
      <c r="G14">
        <v>2021</v>
      </c>
      <c r="M14" t="s">
        <v>28</v>
      </c>
      <c r="N14" t="s">
        <v>23</v>
      </c>
      <c r="O14" s="1">
        <f>17*9.196</f>
        <v>156.33199999999999</v>
      </c>
      <c r="P14" s="1">
        <f>17*7.954</f>
        <v>135.21799999999999</v>
      </c>
      <c r="Q14" s="1">
        <f>17*1.17/17+17*3.1585/50</f>
        <v>2.2438899999999999</v>
      </c>
    </row>
    <row r="15" spans="1:17" x14ac:dyDescent="0.3">
      <c r="C15" t="s">
        <v>29</v>
      </c>
      <c r="D15">
        <v>2021</v>
      </c>
      <c r="F15" t="s">
        <v>25</v>
      </c>
      <c r="G15">
        <v>2021</v>
      </c>
      <c r="M15" t="s">
        <v>31</v>
      </c>
      <c r="N15" t="s">
        <v>32</v>
      </c>
      <c r="O15" s="1">
        <f>400*20.95</f>
        <v>8380</v>
      </c>
      <c r="P15" s="1">
        <f>400*20.65</f>
        <v>8260</v>
      </c>
      <c r="Q15" s="1">
        <f>400*32.14526/400+400*32.13602/400</f>
        <v>64.28128000000001</v>
      </c>
    </row>
    <row r="16" spans="1:17" x14ac:dyDescent="0.3">
      <c r="C16" t="s">
        <v>15</v>
      </c>
      <c r="D16">
        <v>2021</v>
      </c>
      <c r="F16" t="s">
        <v>27</v>
      </c>
      <c r="G16">
        <v>2021</v>
      </c>
      <c r="M16" t="s">
        <v>33</v>
      </c>
      <c r="N16" t="s">
        <v>34</v>
      </c>
      <c r="O16" s="1">
        <f>5*169.96+5*179.88+5*191.5+5*199.66</f>
        <v>3705</v>
      </c>
      <c r="P16" s="1">
        <f>10*180.32+10*166</f>
        <v>3463.2</v>
      </c>
      <c r="Q16" s="1">
        <f>5*6.042580174/5+5*6.057740723/5+5*6.079085772/5+5*6.090917772/5+10*6.327116137/10+10*6.287274888/10</f>
        <v>36.884715466000003</v>
      </c>
    </row>
    <row r="17" spans="3:17" x14ac:dyDescent="0.3">
      <c r="C17" t="s">
        <v>15</v>
      </c>
      <c r="D17">
        <v>2021</v>
      </c>
      <c r="F17" t="s">
        <v>15</v>
      </c>
      <c r="G17">
        <v>2021</v>
      </c>
      <c r="M17" t="s">
        <v>16</v>
      </c>
      <c r="N17" t="s">
        <v>35</v>
      </c>
      <c r="O17" s="1">
        <f>10*9.96</f>
        <v>99.600000000000009</v>
      </c>
      <c r="P17" s="1">
        <f>10*9.66</f>
        <v>96.6</v>
      </c>
      <c r="Q17" s="1">
        <f>10*0.33295521/10+10*0.27425725/40</f>
        <v>0.4015195225</v>
      </c>
    </row>
    <row r="18" spans="3:17" x14ac:dyDescent="0.3">
      <c r="C18" t="s">
        <v>29</v>
      </c>
      <c r="D18">
        <v>2021</v>
      </c>
      <c r="F18" t="s">
        <v>15</v>
      </c>
      <c r="G18">
        <v>2021</v>
      </c>
      <c r="M18" t="s">
        <v>16</v>
      </c>
      <c r="N18" t="s">
        <v>35</v>
      </c>
      <c r="O18" s="1">
        <f>20*7.33</f>
        <v>146.6</v>
      </c>
      <c r="P18" s="1">
        <f>20*9.66</f>
        <v>193.2</v>
      </c>
      <c r="Q18" s="1">
        <f>20*0.31538491/20+20*0.27425725/40</f>
        <v>0.45251353500000002</v>
      </c>
    </row>
    <row r="19" spans="3:17" x14ac:dyDescent="0.3">
      <c r="C19" t="s">
        <v>30</v>
      </c>
      <c r="D19">
        <v>2021</v>
      </c>
      <c r="F19" t="s">
        <v>15</v>
      </c>
      <c r="G19">
        <v>2021</v>
      </c>
      <c r="M19" t="s">
        <v>16</v>
      </c>
      <c r="N19" t="s">
        <v>35</v>
      </c>
      <c r="O19" s="1">
        <f>10*7.96</f>
        <v>79.599999999999994</v>
      </c>
      <c r="P19" s="1">
        <f>10*9.66</f>
        <v>96.6</v>
      </c>
      <c r="Q19" s="1">
        <f>10*0.33285321/10+10*0.27425725/40</f>
        <v>0.40141752250000001</v>
      </c>
    </row>
    <row r="20" spans="3:17" x14ac:dyDescent="0.3">
      <c r="C20" t="s">
        <v>36</v>
      </c>
      <c r="D20">
        <v>2021</v>
      </c>
      <c r="F20" t="s">
        <v>25</v>
      </c>
      <c r="G20">
        <v>2021</v>
      </c>
      <c r="M20" t="s">
        <v>16</v>
      </c>
      <c r="N20" t="s">
        <v>35</v>
      </c>
      <c r="O20" s="1">
        <f>60*6.08</f>
        <v>364.8</v>
      </c>
      <c r="P20" s="1">
        <f>30*6.51+30*6.33</f>
        <v>385.2</v>
      </c>
      <c r="Q20" s="1">
        <f>60*0.24525773/60+30*0.29325725/30+30*0.29325725/30</f>
        <v>0.83177223</v>
      </c>
    </row>
    <row r="21" spans="3:17" x14ac:dyDescent="0.3">
      <c r="C21" t="s">
        <v>25</v>
      </c>
      <c r="D21">
        <v>2021</v>
      </c>
      <c r="F21" t="s">
        <v>27</v>
      </c>
      <c r="G21">
        <v>2021</v>
      </c>
      <c r="M21" t="s">
        <v>37</v>
      </c>
      <c r="N21" t="s">
        <v>35</v>
      </c>
      <c r="O21" s="1">
        <f>0.2*3521.55</f>
        <v>704.31000000000006</v>
      </c>
      <c r="P21" s="1">
        <f>0.2*3333.71</f>
        <v>666.74200000000008</v>
      </c>
      <c r="Q21" s="1">
        <f>0.2*0.353913031/0.2+0.2*0.35029725/0.2</f>
        <v>0.70421028099999994</v>
      </c>
    </row>
    <row r="22" spans="3:17" x14ac:dyDescent="0.3">
      <c r="C22" t="s">
        <v>30</v>
      </c>
      <c r="D22">
        <v>2021</v>
      </c>
      <c r="F22" t="s">
        <v>30</v>
      </c>
      <c r="G22">
        <v>2021</v>
      </c>
      <c r="M22" t="s">
        <v>38</v>
      </c>
      <c r="N22" t="s">
        <v>35</v>
      </c>
      <c r="O22" s="1">
        <f>30*18.59</f>
        <v>557.70000000000005</v>
      </c>
      <c r="P22" s="1">
        <f>10*25.5+20*25.06</f>
        <v>756.2</v>
      </c>
      <c r="Q22" s="1">
        <f>30*0.29967152/30+10*0.33125725/10+20*0.31225725/20</f>
        <v>0.94318601999999996</v>
      </c>
    </row>
    <row r="23" spans="3:17" x14ac:dyDescent="0.3">
      <c r="C23" t="s">
        <v>30</v>
      </c>
      <c r="D23">
        <v>2021</v>
      </c>
      <c r="F23" t="s">
        <v>27</v>
      </c>
      <c r="G23">
        <v>2021</v>
      </c>
      <c r="M23" t="s">
        <v>39</v>
      </c>
      <c r="N23" t="s">
        <v>35</v>
      </c>
      <c r="O23" s="1">
        <f>60*1.79</f>
        <v>107.4</v>
      </c>
      <c r="P23" s="1">
        <f>60*4.11</f>
        <v>246.60000000000002</v>
      </c>
      <c r="Q23" s="1">
        <f>60*0.505060183/370+60*0.45225725/60</f>
        <v>0.53415890129729726</v>
      </c>
    </row>
    <row r="24" spans="3:17" x14ac:dyDescent="0.3">
      <c r="C24" t="s">
        <v>30</v>
      </c>
      <c r="D24">
        <v>2021</v>
      </c>
      <c r="F24" t="s">
        <v>19</v>
      </c>
      <c r="G24">
        <v>2021</v>
      </c>
      <c r="M24" t="s">
        <v>39</v>
      </c>
      <c r="N24" t="s">
        <v>35</v>
      </c>
      <c r="O24" s="1">
        <f>80*1.79</f>
        <v>143.19999999999999</v>
      </c>
      <c r="P24" s="1">
        <f>80*3.81</f>
        <v>304.8</v>
      </c>
      <c r="Q24" s="1">
        <f>80*0.505060183/370+80*0.19825725/80</f>
        <v>0.30745945172972972</v>
      </c>
    </row>
    <row r="25" spans="3:17" x14ac:dyDescent="0.3">
      <c r="C25" t="s">
        <v>30</v>
      </c>
      <c r="D25">
        <v>2021</v>
      </c>
      <c r="F25" t="s">
        <v>18</v>
      </c>
      <c r="G25">
        <v>2021</v>
      </c>
      <c r="M25" t="s">
        <v>39</v>
      </c>
      <c r="N25" t="s">
        <v>35</v>
      </c>
      <c r="O25" s="1">
        <f>50*1.79</f>
        <v>89.5</v>
      </c>
      <c r="P25" s="1">
        <f>50*4.13</f>
        <v>206.5</v>
      </c>
      <c r="Q25" s="1">
        <f>50*0.505060183/370+50*0.25525725/50</f>
        <v>0.32350862608108111</v>
      </c>
    </row>
    <row r="26" spans="3:17" x14ac:dyDescent="0.3">
      <c r="C26" t="s">
        <v>30</v>
      </c>
      <c r="D26">
        <v>2021</v>
      </c>
      <c r="F26" t="s">
        <v>24</v>
      </c>
      <c r="G26">
        <v>2021</v>
      </c>
      <c r="M26" t="s">
        <v>39</v>
      </c>
      <c r="N26" t="s">
        <v>35</v>
      </c>
      <c r="O26" s="1">
        <f>30*1.79</f>
        <v>53.7</v>
      </c>
      <c r="P26" s="1">
        <f>30*3.41</f>
        <v>102.30000000000001</v>
      </c>
      <c r="Q26" s="1">
        <f>30*0.505060183/370+30*0.29325725/30</f>
        <v>0.33420807564864868</v>
      </c>
    </row>
    <row r="27" spans="3:17" x14ac:dyDescent="0.3">
      <c r="C27" t="s">
        <v>30</v>
      </c>
      <c r="D27">
        <v>2021</v>
      </c>
      <c r="F27" t="s">
        <v>25</v>
      </c>
      <c r="G27">
        <v>2021</v>
      </c>
      <c r="M27" t="s">
        <v>39</v>
      </c>
      <c r="N27" t="s">
        <v>35</v>
      </c>
      <c r="O27" s="1">
        <f>50*1.79</f>
        <v>89.5</v>
      </c>
      <c r="P27" s="1">
        <f>50*3.21</f>
        <v>160.5</v>
      </c>
      <c r="Q27" s="1">
        <f>50*0.505060183/370+50*0.25525725/50</f>
        <v>0.32350862608108111</v>
      </c>
    </row>
    <row r="28" spans="3:17" x14ac:dyDescent="0.3">
      <c r="C28" t="s">
        <v>30</v>
      </c>
      <c r="D28">
        <v>2021</v>
      </c>
      <c r="F28" t="s">
        <v>29</v>
      </c>
      <c r="G28">
        <v>2021</v>
      </c>
      <c r="M28" t="s">
        <v>39</v>
      </c>
      <c r="N28" t="s">
        <v>35</v>
      </c>
      <c r="O28" s="1">
        <f>100*1.79</f>
        <v>179</v>
      </c>
      <c r="P28" s="1">
        <f>50*2.66+50*2.66</f>
        <v>266</v>
      </c>
      <c r="Q28" s="1">
        <f>100*0.505060183/370+50*0.25525725/50+50*0.25525725/50</f>
        <v>0.64701725216216222</v>
      </c>
    </row>
    <row r="29" spans="3:17" x14ac:dyDescent="0.3">
      <c r="C29" t="s">
        <v>15</v>
      </c>
      <c r="D29">
        <v>2021</v>
      </c>
      <c r="F29" t="s">
        <v>19</v>
      </c>
      <c r="G29">
        <v>2021</v>
      </c>
      <c r="M29" t="s">
        <v>40</v>
      </c>
      <c r="N29" t="s">
        <v>35</v>
      </c>
      <c r="O29" s="1">
        <f>1*89.66</f>
        <v>89.66</v>
      </c>
      <c r="P29" s="1">
        <f>1*88.66</f>
        <v>88.66</v>
      </c>
      <c r="Q29" s="1">
        <f>1*0.349833516/1+1*0.34825725/2</f>
        <v>0.52396214100000005</v>
      </c>
    </row>
    <row r="30" spans="3:17" x14ac:dyDescent="0.3">
      <c r="C30" t="s">
        <v>18</v>
      </c>
      <c r="D30">
        <v>2021</v>
      </c>
      <c r="F30" t="s">
        <v>19</v>
      </c>
      <c r="G30">
        <v>2021</v>
      </c>
      <c r="M30" t="s">
        <v>40</v>
      </c>
      <c r="N30" t="s">
        <v>35</v>
      </c>
      <c r="O30" s="1">
        <f>1*77.91</f>
        <v>77.91</v>
      </c>
      <c r="P30" s="1">
        <f>1*88.66</f>
        <v>88.66</v>
      </c>
      <c r="Q30" s="1">
        <f>1*0.355406273/3+1*0.34825725/2</f>
        <v>0.29259738266666668</v>
      </c>
    </row>
    <row r="31" spans="3:17" x14ac:dyDescent="0.3">
      <c r="C31" t="s">
        <v>18</v>
      </c>
      <c r="D31">
        <v>2021</v>
      </c>
      <c r="F31" t="s">
        <v>15</v>
      </c>
      <c r="G31">
        <v>2021</v>
      </c>
      <c r="M31" t="s">
        <v>40</v>
      </c>
      <c r="N31" t="s">
        <v>35</v>
      </c>
      <c r="O31" s="1">
        <f>2*77.91</f>
        <v>155.82</v>
      </c>
      <c r="P31" s="1">
        <f>2*75.61</f>
        <v>151.22</v>
      </c>
      <c r="Q31" s="1">
        <f>2*0.355406273/3+2*0.35065725/2</f>
        <v>0.58759476533333332</v>
      </c>
    </row>
    <row r="32" spans="3:17" x14ac:dyDescent="0.3">
      <c r="C32" t="s">
        <v>29</v>
      </c>
      <c r="D32">
        <v>2021</v>
      </c>
      <c r="F32" t="s">
        <v>29</v>
      </c>
      <c r="G32">
        <v>2021</v>
      </c>
      <c r="M32" t="s">
        <v>41</v>
      </c>
      <c r="N32" t="s">
        <v>35</v>
      </c>
      <c r="O32" s="1">
        <f>2*58</f>
        <v>116</v>
      </c>
      <c r="P32" s="1">
        <f>2*53.06</f>
        <v>106.12</v>
      </c>
      <c r="Q32" s="1">
        <f>2*0.35348685/2+2*0.34525725/5</f>
        <v>0.49158975000000005</v>
      </c>
    </row>
    <row r="33" spans="3:17" x14ac:dyDescent="0.3">
      <c r="C33" t="s">
        <v>15</v>
      </c>
      <c r="D33">
        <v>2021</v>
      </c>
      <c r="F33" t="s">
        <v>19</v>
      </c>
      <c r="G33">
        <v>2021</v>
      </c>
      <c r="M33" t="s">
        <v>42</v>
      </c>
      <c r="N33" t="s">
        <v>35</v>
      </c>
      <c r="O33" s="1">
        <f>10*7.55+10*7.875+10*7.862</f>
        <v>232.87</v>
      </c>
      <c r="P33" s="1">
        <f>15*6.77+15*6.67</f>
        <v>201.6</v>
      </c>
      <c r="Q33" s="1">
        <f>10*0.3638323/10+10*0.353848875/10+10*0.353848212/10+15*0.36225725/15+15*0.33525725/15</f>
        <v>1.7690438869999998</v>
      </c>
    </row>
    <row r="34" spans="3:17" x14ac:dyDescent="0.3">
      <c r="C34" t="s">
        <v>18</v>
      </c>
      <c r="D34">
        <v>2021</v>
      </c>
      <c r="F34" t="s">
        <v>15</v>
      </c>
      <c r="G34">
        <v>2021</v>
      </c>
      <c r="M34" t="s">
        <v>42</v>
      </c>
      <c r="N34" t="s">
        <v>35</v>
      </c>
      <c r="O34" s="1">
        <f>25*8.79+25*10.43</f>
        <v>480.5</v>
      </c>
      <c r="P34" s="1">
        <f>50*7.07</f>
        <v>353.5</v>
      </c>
      <c r="Q34" s="1">
        <f>25*0.329352975/25+25*0.329562075/25+50*0.49025725/50</f>
        <v>1.1491722999999998</v>
      </c>
    </row>
    <row r="35" spans="3:17" x14ac:dyDescent="0.3">
      <c r="C35" t="s">
        <v>29</v>
      </c>
      <c r="D35">
        <v>2021</v>
      </c>
      <c r="F35" t="s">
        <v>25</v>
      </c>
      <c r="G35">
        <v>2021</v>
      </c>
      <c r="M35" t="s">
        <v>42</v>
      </c>
      <c r="N35" t="s">
        <v>35</v>
      </c>
      <c r="O35" s="1">
        <f>5*17.36+5*17.66</f>
        <v>175.1</v>
      </c>
      <c r="P35" s="1">
        <f>10*12.71</f>
        <v>127.10000000000001</v>
      </c>
      <c r="Q35" s="1">
        <f>5*0.35229493/5+5*0.34630258/5+10*0.34025725/10</f>
        <v>1.03885476</v>
      </c>
    </row>
    <row r="36" spans="3:17" x14ac:dyDescent="0.3">
      <c r="C36" t="s">
        <v>29</v>
      </c>
      <c r="D36">
        <v>2021</v>
      </c>
      <c r="F36" t="s">
        <v>29</v>
      </c>
      <c r="G36">
        <v>2021</v>
      </c>
      <c r="M36" t="s">
        <v>42</v>
      </c>
      <c r="N36" t="s">
        <v>35</v>
      </c>
      <c r="O36" s="1">
        <f>5*19.66</f>
        <v>98.3</v>
      </c>
      <c r="P36" s="1">
        <f>5*15.78</f>
        <v>78.899999999999991</v>
      </c>
      <c r="Q36" s="1">
        <f>5*0.34635358/5+5*0.34025725/10</f>
        <v>0.51648220499999997</v>
      </c>
    </row>
    <row r="37" spans="3:17" x14ac:dyDescent="0.3">
      <c r="C37" t="s">
        <v>29</v>
      </c>
      <c r="D37">
        <v>2021</v>
      </c>
      <c r="F37" t="s">
        <v>27</v>
      </c>
      <c r="G37">
        <v>2021</v>
      </c>
      <c r="M37" t="s">
        <v>43</v>
      </c>
      <c r="N37" t="s">
        <v>35</v>
      </c>
      <c r="O37" s="1">
        <f>10*13.49</f>
        <v>134.9</v>
      </c>
      <c r="P37" s="1">
        <f>10*26.12</f>
        <v>261.2</v>
      </c>
      <c r="Q37" s="1">
        <f>10*0.314301029/21+10*0.36725725/10</f>
        <v>0.51692440666666672</v>
      </c>
    </row>
    <row r="38" spans="3:17" x14ac:dyDescent="0.3">
      <c r="C38" t="s">
        <v>29</v>
      </c>
      <c r="D38">
        <v>2021</v>
      </c>
      <c r="F38" t="s">
        <v>19</v>
      </c>
      <c r="G38">
        <v>2021</v>
      </c>
      <c r="M38" t="s">
        <v>43</v>
      </c>
      <c r="N38" t="s">
        <v>35</v>
      </c>
      <c r="O38" s="1">
        <f>8*13.49</f>
        <v>107.92</v>
      </c>
      <c r="P38" s="1">
        <f>8*25.66</f>
        <v>205.28</v>
      </c>
      <c r="Q38" s="1">
        <f>8*0.314301029/21+8*0.33505725/8</f>
        <v>0.45479097533333329</v>
      </c>
    </row>
    <row r="39" spans="3:17" x14ac:dyDescent="0.3">
      <c r="C39" t="s">
        <v>29</v>
      </c>
      <c r="D39">
        <v>2021</v>
      </c>
      <c r="F39" t="s">
        <v>24</v>
      </c>
      <c r="G39">
        <v>2021</v>
      </c>
      <c r="M39" t="s">
        <v>43</v>
      </c>
      <c r="N39" t="s">
        <v>35</v>
      </c>
      <c r="O39" s="1">
        <f>3*13.49+7*14.33</f>
        <v>140.78</v>
      </c>
      <c r="P39" s="1">
        <f>10*17.06</f>
        <v>170.6</v>
      </c>
      <c r="Q39" s="1">
        <f>3*0.314301029/21+7*0.33317808/10+10*0.33125725/10</f>
        <v>0.60938205300000003</v>
      </c>
    </row>
    <row r="40" spans="3:17" x14ac:dyDescent="0.3">
      <c r="C40" t="s">
        <v>29</v>
      </c>
      <c r="D40">
        <v>2021</v>
      </c>
      <c r="F40" t="s">
        <v>25</v>
      </c>
      <c r="G40">
        <v>2021</v>
      </c>
      <c r="M40" t="s">
        <v>43</v>
      </c>
      <c r="N40" t="s">
        <v>35</v>
      </c>
      <c r="O40" s="1">
        <f>3*14.33</f>
        <v>42.99</v>
      </c>
      <c r="P40" s="1">
        <f>3*16.66</f>
        <v>49.980000000000004</v>
      </c>
      <c r="Q40" s="1">
        <f>3*0.33317808/10+3*0.33125725/10</f>
        <v>0.199330599</v>
      </c>
    </row>
    <row r="41" spans="3:17" x14ac:dyDescent="0.3">
      <c r="C41" t="s">
        <v>36</v>
      </c>
      <c r="D41">
        <v>2021</v>
      </c>
      <c r="F41" t="s">
        <v>25</v>
      </c>
      <c r="G41">
        <v>2021</v>
      </c>
      <c r="M41" t="s">
        <v>43</v>
      </c>
      <c r="N41" t="s">
        <v>35</v>
      </c>
      <c r="O41" s="1">
        <f>32*8.832</f>
        <v>282.62400000000002</v>
      </c>
      <c r="P41" s="1">
        <f>7*16.66+25*14.06</f>
        <v>468.12</v>
      </c>
      <c r="Q41" s="1">
        <f>32*0.361906632/32+7*0.33125725/10+25*0.30275725/25</f>
        <v>0.896543957</v>
      </c>
    </row>
    <row r="42" spans="3:17" x14ac:dyDescent="0.3">
      <c r="C42" t="s">
        <v>30</v>
      </c>
      <c r="D42">
        <v>2021</v>
      </c>
      <c r="F42" t="s">
        <v>25</v>
      </c>
      <c r="G42">
        <v>2021</v>
      </c>
      <c r="M42" t="s">
        <v>44</v>
      </c>
      <c r="N42" t="s">
        <v>35</v>
      </c>
      <c r="O42" s="1">
        <f>80*5.58</f>
        <v>446.4</v>
      </c>
      <c r="P42" s="1">
        <f>30*6.99+50*6.28</f>
        <v>523.70000000000005</v>
      </c>
      <c r="Q42" s="1">
        <f>80*0.21005389/80+30*0.29325725/30+50*0.43525725/50</f>
        <v>0.93856839000000014</v>
      </c>
    </row>
    <row r="43" spans="3:17" x14ac:dyDescent="0.3">
      <c r="C43" t="s">
        <v>15</v>
      </c>
      <c r="D43">
        <v>2021</v>
      </c>
      <c r="F43" t="s">
        <v>27</v>
      </c>
      <c r="G43">
        <v>2021</v>
      </c>
      <c r="M43" t="s">
        <v>45</v>
      </c>
      <c r="N43" t="s">
        <v>35</v>
      </c>
      <c r="O43" s="1">
        <f>1*239.02+1*258.92</f>
        <v>497.94000000000005</v>
      </c>
      <c r="P43" s="1">
        <f>1*306.7+1*300.11</f>
        <v>606.80999999999995</v>
      </c>
      <c r="Q43" s="1">
        <f>1*0.349695252/1+1*0.349796742/1+1*0.35195725/1+1*0.34645725/2</f>
        <v>1.224677869</v>
      </c>
    </row>
    <row r="44" spans="3:17" x14ac:dyDescent="0.3">
      <c r="C44" t="s">
        <v>24</v>
      </c>
      <c r="D44">
        <v>2021</v>
      </c>
      <c r="F44" t="s">
        <v>27</v>
      </c>
      <c r="G44">
        <v>2021</v>
      </c>
      <c r="M44" t="s">
        <v>45</v>
      </c>
      <c r="N44" t="s">
        <v>35</v>
      </c>
      <c r="O44" s="1">
        <f>1*249.98</f>
        <v>249.98</v>
      </c>
      <c r="P44" s="1">
        <f>1*300.11</f>
        <v>300.11</v>
      </c>
      <c r="Q44" s="1">
        <f>1*0.349751148/1+1*0.34645725/2</f>
        <v>0.52297977299999998</v>
      </c>
    </row>
    <row r="45" spans="3:17" x14ac:dyDescent="0.3">
      <c r="C45" t="s">
        <v>25</v>
      </c>
      <c r="D45">
        <v>2021</v>
      </c>
      <c r="F45" t="s">
        <v>18</v>
      </c>
      <c r="G45">
        <v>2021</v>
      </c>
      <c r="M45" t="s">
        <v>46</v>
      </c>
      <c r="N45" t="s">
        <v>35</v>
      </c>
      <c r="O45" s="1">
        <f>10*19.59</f>
        <v>195.9</v>
      </c>
      <c r="P45" s="1">
        <f>10*19.13</f>
        <v>191.29999999999998</v>
      </c>
      <c r="Q45" s="1">
        <f>10*0.33444634/10+10*0.33225725/10</f>
        <v>0.66670359000000001</v>
      </c>
    </row>
    <row r="46" spans="3:17" x14ac:dyDescent="0.3">
      <c r="C46" t="s">
        <v>15</v>
      </c>
      <c r="D46">
        <v>2021</v>
      </c>
      <c r="F46" t="s">
        <v>19</v>
      </c>
      <c r="G46">
        <v>2021</v>
      </c>
      <c r="M46" t="s">
        <v>47</v>
      </c>
      <c r="N46" t="s">
        <v>35</v>
      </c>
      <c r="O46" s="1">
        <f>3*28.33</f>
        <v>84.99</v>
      </c>
      <c r="P46" s="1">
        <f>3*26.25</f>
        <v>78.75</v>
      </c>
      <c r="Q46" s="1">
        <f>3*0.345347699/3+3*0.35875725/5</f>
        <v>0.56060204899999999</v>
      </c>
    </row>
    <row r="47" spans="3:17" x14ac:dyDescent="0.3">
      <c r="C47" t="s">
        <v>24</v>
      </c>
      <c r="D47">
        <v>2021</v>
      </c>
      <c r="F47" t="s">
        <v>19</v>
      </c>
      <c r="G47">
        <v>2021</v>
      </c>
      <c r="M47" t="s">
        <v>47</v>
      </c>
      <c r="N47" t="s">
        <v>35</v>
      </c>
      <c r="O47" s="1">
        <f>2*28.96</f>
        <v>57.92</v>
      </c>
      <c r="P47" s="1">
        <f>2*26.25</f>
        <v>52.5</v>
      </c>
      <c r="Q47" s="1">
        <f>2*0.346990642/2+2*0.35875725/5</f>
        <v>0.49049354200000006</v>
      </c>
    </row>
    <row r="48" spans="3:17" x14ac:dyDescent="0.3">
      <c r="C48" t="s">
        <v>25</v>
      </c>
      <c r="D48">
        <v>2021</v>
      </c>
      <c r="F48" t="s">
        <v>15</v>
      </c>
      <c r="G48">
        <v>2021</v>
      </c>
      <c r="M48" t="s">
        <v>48</v>
      </c>
      <c r="N48" t="s">
        <v>35</v>
      </c>
      <c r="O48" s="1">
        <f>3*119.33</f>
        <v>357.99</v>
      </c>
      <c r="P48" s="1">
        <f>3*119.13</f>
        <v>357.39</v>
      </c>
      <c r="Q48" s="1">
        <f>3*0.346739999/3+3*0.33315725/9</f>
        <v>0.45779241566666673</v>
      </c>
    </row>
    <row r="49" spans="3:17" x14ac:dyDescent="0.3">
      <c r="C49" t="s">
        <v>30</v>
      </c>
      <c r="D49">
        <v>2021</v>
      </c>
      <c r="F49" t="s">
        <v>15</v>
      </c>
      <c r="G49">
        <v>2021</v>
      </c>
      <c r="M49" t="s">
        <v>48</v>
      </c>
      <c r="N49" t="s">
        <v>35</v>
      </c>
      <c r="O49" s="1">
        <f>6*120.04</f>
        <v>720.24</v>
      </c>
      <c r="P49" s="1">
        <f>6*119.13</f>
        <v>714.78</v>
      </c>
      <c r="Q49" s="1">
        <f>6*0.364844474/6+6*0.33315725/9</f>
        <v>0.58694930733333339</v>
      </c>
    </row>
    <row r="50" spans="3:17" x14ac:dyDescent="0.3">
      <c r="C50" t="s">
        <v>24</v>
      </c>
      <c r="D50">
        <v>2021</v>
      </c>
      <c r="F50" t="s">
        <v>18</v>
      </c>
      <c r="G50">
        <v>2021</v>
      </c>
      <c r="M50" t="s">
        <v>49</v>
      </c>
      <c r="N50" t="s">
        <v>35</v>
      </c>
      <c r="O50" s="1">
        <f>5*41.49+5*49.86</f>
        <v>456.75</v>
      </c>
      <c r="P50" s="1">
        <f>10*37.33</f>
        <v>373.29999999999995</v>
      </c>
      <c r="Q50" s="1">
        <f>5*0.360410245/5+5*0.34262368/5+10*0.33125725/10</f>
        <v>1.0342911749999999</v>
      </c>
    </row>
    <row r="51" spans="3:17" x14ac:dyDescent="0.3">
      <c r="C51" t="s">
        <v>25</v>
      </c>
      <c r="D51">
        <v>2021</v>
      </c>
      <c r="F51" t="s">
        <v>18</v>
      </c>
      <c r="G51">
        <v>2021</v>
      </c>
      <c r="M51" t="s">
        <v>49</v>
      </c>
      <c r="N51" t="s">
        <v>35</v>
      </c>
      <c r="O51" s="1">
        <f>3*49.96+2*49.96</f>
        <v>249.8</v>
      </c>
      <c r="P51" s="1">
        <f>5*36.03</f>
        <v>180.15</v>
      </c>
      <c r="Q51" s="1">
        <f>3*0.345678638/3+2*0.347204842/2+5*0.34075725/5</f>
        <v>1.0336407300000001</v>
      </c>
    </row>
    <row r="52" spans="3:17" x14ac:dyDescent="0.3">
      <c r="C52" t="s">
        <v>29</v>
      </c>
      <c r="D52">
        <v>2021</v>
      </c>
      <c r="F52" t="s">
        <v>25</v>
      </c>
      <c r="G52">
        <v>2021</v>
      </c>
      <c r="M52" t="s">
        <v>49</v>
      </c>
      <c r="N52" t="s">
        <v>35</v>
      </c>
      <c r="O52" s="1">
        <f>3*49.66</f>
        <v>148.97999999999999</v>
      </c>
      <c r="P52" s="1">
        <f>3*40.33</f>
        <v>120.99</v>
      </c>
      <c r="Q52" s="1">
        <f>3*0.345674048/3+3*0.34455725/3</f>
        <v>0.69023129800000005</v>
      </c>
    </row>
    <row r="53" spans="3:17" x14ac:dyDescent="0.3">
      <c r="C53" t="s">
        <v>25</v>
      </c>
      <c r="D53">
        <v>2021</v>
      </c>
      <c r="F53" t="s">
        <v>24</v>
      </c>
      <c r="G53">
        <v>2021</v>
      </c>
      <c r="M53" t="s">
        <v>50</v>
      </c>
      <c r="N53" t="s">
        <v>35</v>
      </c>
      <c r="O53" s="1">
        <f>18*18.18</f>
        <v>327.24</v>
      </c>
      <c r="P53" s="1">
        <f>3*17.81+5*18.06+10*17.06</f>
        <v>314.33</v>
      </c>
      <c r="Q53" s="1">
        <f>18*0.321668174/18+3*0.34455725/3+5*0.34075725/5+10*0.33125725/10</f>
        <v>1.338239924</v>
      </c>
    </row>
    <row r="54" spans="3:17" x14ac:dyDescent="0.3">
      <c r="C54" t="s">
        <v>19</v>
      </c>
      <c r="D54">
        <v>2021</v>
      </c>
      <c r="F54" t="s">
        <v>27</v>
      </c>
      <c r="G54">
        <v>2021</v>
      </c>
      <c r="M54" t="s">
        <v>51</v>
      </c>
      <c r="N54" t="s">
        <v>35</v>
      </c>
      <c r="O54" s="1">
        <f>4*22.33+8*24.16+5*24.96</f>
        <v>407.40000000000003</v>
      </c>
      <c r="P54" s="1">
        <f>10*18.01+7*20.66</f>
        <v>324.72000000000003</v>
      </c>
      <c r="Q54" s="1">
        <f>4*0.347188782/4+8*0.348194978/8+5*0.34648873/5+10*0.34025725/10+7*0.34025725/10</f>
        <v>1.6203098149999999</v>
      </c>
    </row>
    <row r="55" spans="3:17" x14ac:dyDescent="0.3">
      <c r="C55" t="s">
        <v>15</v>
      </c>
      <c r="D55">
        <v>2021</v>
      </c>
      <c r="F55" t="s">
        <v>27</v>
      </c>
      <c r="G55">
        <v>2021</v>
      </c>
      <c r="M55" t="s">
        <v>51</v>
      </c>
      <c r="N55" t="s">
        <v>35</v>
      </c>
      <c r="O55" s="1">
        <f>3*29.96</f>
        <v>89.88</v>
      </c>
      <c r="P55" s="1">
        <f>3*20.66</f>
        <v>61.980000000000004</v>
      </c>
      <c r="Q55" s="1">
        <f>3*0.348072638/3+3*0.34025725/10</f>
        <v>0.4501498129999999</v>
      </c>
    </row>
    <row r="56" spans="3:17" x14ac:dyDescent="0.3">
      <c r="C56" t="s">
        <v>29</v>
      </c>
      <c r="D56">
        <v>2021</v>
      </c>
      <c r="F56" t="s">
        <v>19</v>
      </c>
      <c r="G56">
        <v>2021</v>
      </c>
      <c r="M56" t="s">
        <v>52</v>
      </c>
      <c r="N56" t="s">
        <v>35</v>
      </c>
      <c r="O56" s="1">
        <f>10*18.41</f>
        <v>184.1</v>
      </c>
      <c r="P56" s="1">
        <f>10*24.05</f>
        <v>240.5</v>
      </c>
      <c r="Q56" s="1">
        <f>10*0.338450615/15+10*0.34025725/10</f>
        <v>0.56589099333333337</v>
      </c>
    </row>
    <row r="57" spans="3:17" x14ac:dyDescent="0.3">
      <c r="C57" t="s">
        <v>29</v>
      </c>
      <c r="D57">
        <v>2021</v>
      </c>
      <c r="F57" t="s">
        <v>15</v>
      </c>
      <c r="G57">
        <v>2021</v>
      </c>
      <c r="M57" t="s">
        <v>52</v>
      </c>
      <c r="N57" t="s">
        <v>35</v>
      </c>
      <c r="O57" s="1">
        <f>5*18.41+10*19.56</f>
        <v>287.64999999999998</v>
      </c>
      <c r="P57" s="1">
        <f>15*21.78</f>
        <v>326.70000000000005</v>
      </c>
      <c r="Q57" s="1">
        <f>5*0.338450615/15+10*0.32244481/10+15*0.37425725/20</f>
        <v>0.71595461916666658</v>
      </c>
    </row>
    <row r="58" spans="3:17" x14ac:dyDescent="0.3">
      <c r="C58" t="s">
        <v>30</v>
      </c>
      <c r="D58">
        <v>2021</v>
      </c>
      <c r="F58" t="s">
        <v>15</v>
      </c>
      <c r="G58">
        <v>2021</v>
      </c>
      <c r="M58" t="s">
        <v>52</v>
      </c>
      <c r="N58" t="s">
        <v>35</v>
      </c>
      <c r="O58" s="1">
        <f>5*20.48</f>
        <v>102.4</v>
      </c>
      <c r="P58" s="1">
        <f>5*21.78</f>
        <v>108.9</v>
      </c>
      <c r="Q58" s="1">
        <f>5*0.36449173/10+5*0.37425725/20</f>
        <v>0.27581017750000003</v>
      </c>
    </row>
    <row r="59" spans="3:17" x14ac:dyDescent="0.3">
      <c r="C59" t="s">
        <v>30</v>
      </c>
      <c r="D59">
        <v>2021</v>
      </c>
      <c r="F59" t="s">
        <v>18</v>
      </c>
      <c r="G59">
        <v>2021</v>
      </c>
      <c r="M59" t="s">
        <v>52</v>
      </c>
      <c r="N59" t="s">
        <v>35</v>
      </c>
      <c r="O59" s="1">
        <f>5*20.48</f>
        <v>102.4</v>
      </c>
      <c r="P59" s="1">
        <f>5*20.61</f>
        <v>103.05</v>
      </c>
      <c r="Q59" s="1">
        <f>5*0.36449173/10+5*0.34025725/10</f>
        <v>0.35237448999999998</v>
      </c>
    </row>
    <row r="60" spans="3:17" x14ac:dyDescent="0.3">
      <c r="C60" t="s">
        <v>25</v>
      </c>
      <c r="D60">
        <v>2021</v>
      </c>
      <c r="F60" t="s">
        <v>18</v>
      </c>
      <c r="G60">
        <v>2021</v>
      </c>
      <c r="M60" t="s">
        <v>53</v>
      </c>
      <c r="N60" t="s">
        <v>35</v>
      </c>
      <c r="O60" s="1">
        <f>100*0.7596</f>
        <v>75.960000000000008</v>
      </c>
      <c r="P60" s="1">
        <f>100*0.7033</f>
        <v>70.33</v>
      </c>
      <c r="Q60" s="1">
        <f>100*0.379544646/100+100*0.7325145/200</f>
        <v>0.74580189600000002</v>
      </c>
    </row>
    <row r="61" spans="3:17" x14ac:dyDescent="0.3">
      <c r="C61" t="s">
        <v>29</v>
      </c>
      <c r="D61">
        <v>2021</v>
      </c>
      <c r="F61" t="s">
        <v>18</v>
      </c>
      <c r="G61">
        <v>2021</v>
      </c>
      <c r="M61" t="s">
        <v>53</v>
      </c>
      <c r="N61" t="s">
        <v>35</v>
      </c>
      <c r="O61" s="1">
        <f>100*0.7996</f>
        <v>79.959999999999994</v>
      </c>
      <c r="P61" s="1">
        <f>100*0.7033</f>
        <v>70.33</v>
      </c>
      <c r="Q61" s="1">
        <f>100*0.379565046/100+100*0.7325145/200</f>
        <v>0.74582229600000005</v>
      </c>
    </row>
    <row r="62" spans="3:17" x14ac:dyDescent="0.3">
      <c r="C62" t="s">
        <v>29</v>
      </c>
      <c r="D62">
        <v>2021</v>
      </c>
      <c r="F62" t="s">
        <v>24</v>
      </c>
      <c r="G62">
        <v>2021</v>
      </c>
      <c r="M62" t="s">
        <v>53</v>
      </c>
      <c r="N62" t="s">
        <v>35</v>
      </c>
      <c r="O62" s="1">
        <f>100*0.8137+100*0.866+100*0.9696</f>
        <v>264.93</v>
      </c>
      <c r="P62" s="1">
        <f>200*0.563+100*0.481</f>
        <v>160.69999999999999</v>
      </c>
      <c r="Q62" s="1">
        <f>100*0.382572237/100+100*0.43259891/100+100*0.379651746/100+200*0.7345145/200+100*0.36725725/100</f>
        <v>2.2965946429999997</v>
      </c>
    </row>
    <row r="63" spans="3:17" x14ac:dyDescent="0.3">
      <c r="C63" t="s">
        <v>29</v>
      </c>
      <c r="D63">
        <v>2021</v>
      </c>
      <c r="F63" t="s">
        <v>15</v>
      </c>
      <c r="G63">
        <v>2021</v>
      </c>
      <c r="M63" t="s">
        <v>54</v>
      </c>
      <c r="N63" t="s">
        <v>35</v>
      </c>
      <c r="O63" s="1">
        <f>10*15.96+15*16.09</f>
        <v>400.95000000000005</v>
      </c>
      <c r="P63" s="1">
        <f>15*16.11+10*15.13</f>
        <v>392.95</v>
      </c>
      <c r="Q63" s="1">
        <f>10*0.33326121/10+15*0.378773135/15+15*0.35325725/15+10*0.33225725/10</f>
        <v>1.397548845</v>
      </c>
    </row>
    <row r="64" spans="3:17" x14ac:dyDescent="0.3">
      <c r="C64" t="s">
        <v>24</v>
      </c>
      <c r="D64">
        <v>2021</v>
      </c>
      <c r="F64" t="s">
        <v>19</v>
      </c>
      <c r="G64">
        <v>2021</v>
      </c>
      <c r="M64" t="s">
        <v>55</v>
      </c>
      <c r="N64" t="s">
        <v>35</v>
      </c>
      <c r="O64" s="1">
        <f>5*97.86</f>
        <v>489.3</v>
      </c>
      <c r="P64" s="1">
        <f>5*97.66</f>
        <v>488.29999999999995</v>
      </c>
      <c r="Q64" s="1">
        <f>5*0.36734768/5+5*0.35225725/10</f>
        <v>0.54347630499999999</v>
      </c>
    </row>
    <row r="65" spans="3:17" x14ac:dyDescent="0.3">
      <c r="C65" t="s">
        <v>29</v>
      </c>
      <c r="D65">
        <v>2021</v>
      </c>
      <c r="F65" t="s">
        <v>19</v>
      </c>
      <c r="G65">
        <v>2021</v>
      </c>
      <c r="M65" t="s">
        <v>55</v>
      </c>
      <c r="N65" t="s">
        <v>35</v>
      </c>
      <c r="O65" s="1">
        <f>5*96.61</f>
        <v>483.05</v>
      </c>
      <c r="P65" s="1">
        <f>5*97.66</f>
        <v>488.29999999999995</v>
      </c>
      <c r="Q65" s="1">
        <f>5*0.33837436/10+5*0.35225725/10</f>
        <v>0.34531580500000003</v>
      </c>
    </row>
    <row r="66" spans="3:17" x14ac:dyDescent="0.3">
      <c r="C66" t="s">
        <v>29</v>
      </c>
      <c r="D66">
        <v>2021</v>
      </c>
      <c r="F66" t="s">
        <v>15</v>
      </c>
      <c r="G66">
        <v>2021</v>
      </c>
      <c r="M66" t="s">
        <v>55</v>
      </c>
      <c r="N66" t="s">
        <v>35</v>
      </c>
      <c r="O66" s="1">
        <f>5*96.61</f>
        <v>483.05</v>
      </c>
      <c r="P66" s="1">
        <f>5*97.33</f>
        <v>486.65</v>
      </c>
      <c r="Q66" s="1">
        <f>5*0.33837436/10+5*0.34125725/5</f>
        <v>0.51044442999999995</v>
      </c>
    </row>
    <row r="67" spans="3:17" x14ac:dyDescent="0.3">
      <c r="C67" t="s">
        <v>29</v>
      </c>
      <c r="D67">
        <v>2021</v>
      </c>
      <c r="F67" t="s">
        <v>15</v>
      </c>
      <c r="G67">
        <v>2021</v>
      </c>
      <c r="M67" t="s">
        <v>56</v>
      </c>
      <c r="N67" t="s">
        <v>35</v>
      </c>
      <c r="O67" s="1">
        <f>50*1.79</f>
        <v>89.5</v>
      </c>
      <c r="P67" s="1">
        <f>50*6.01</f>
        <v>300.5</v>
      </c>
      <c r="Q67" s="1">
        <f>50*0.259605225/150+50*0.41025725/50</f>
        <v>0.49679232500000003</v>
      </c>
    </row>
    <row r="68" spans="3:17" x14ac:dyDescent="0.3">
      <c r="C68" t="s">
        <v>29</v>
      </c>
      <c r="D68">
        <v>2021</v>
      </c>
      <c r="F68" t="s">
        <v>24</v>
      </c>
      <c r="G68">
        <v>2021</v>
      </c>
      <c r="M68" t="s">
        <v>56</v>
      </c>
      <c r="N68" t="s">
        <v>35</v>
      </c>
      <c r="O68" s="1">
        <f>100*1.79</f>
        <v>179</v>
      </c>
      <c r="P68" s="1">
        <f>100*3.85</f>
        <v>385</v>
      </c>
      <c r="Q68" s="1">
        <f>100*0.259605225/150+100*0.21025725/100</f>
        <v>0.38332739999999998</v>
      </c>
    </row>
    <row r="69" spans="3:17" x14ac:dyDescent="0.3">
      <c r="C69" t="s">
        <v>36</v>
      </c>
      <c r="D69">
        <v>2021</v>
      </c>
      <c r="F69" t="s">
        <v>24</v>
      </c>
      <c r="G69">
        <v>2021</v>
      </c>
      <c r="M69" t="s">
        <v>56</v>
      </c>
      <c r="N69" t="s">
        <v>35</v>
      </c>
      <c r="O69" s="1">
        <f>100*0.875</f>
        <v>87.5</v>
      </c>
      <c r="P69" s="1">
        <f>100*3.68</f>
        <v>368</v>
      </c>
      <c r="Q69" s="1">
        <f>100*1.6728105/300+100*0.25025725/100</f>
        <v>0.80786075000000002</v>
      </c>
    </row>
    <row r="70" spans="3:17" x14ac:dyDescent="0.3">
      <c r="C70" t="s">
        <v>36</v>
      </c>
      <c r="D70">
        <v>2021</v>
      </c>
      <c r="F70" t="s">
        <v>25</v>
      </c>
      <c r="G70">
        <v>2021</v>
      </c>
      <c r="M70" t="s">
        <v>56</v>
      </c>
      <c r="N70" t="s">
        <v>35</v>
      </c>
      <c r="O70" s="1">
        <f>200*0.875</f>
        <v>175</v>
      </c>
      <c r="P70" s="1">
        <f>100*2.33+100*1.99</f>
        <v>432</v>
      </c>
      <c r="Q70" s="1">
        <f>200*1.6728105/300+100*0.16025725/100+100*0.52025725/100</f>
        <v>1.7957215</v>
      </c>
    </row>
    <row r="71" spans="3:17" x14ac:dyDescent="0.3">
      <c r="C71" t="s">
        <v>15</v>
      </c>
      <c r="D71">
        <v>2021</v>
      </c>
      <c r="F71" t="s">
        <v>19</v>
      </c>
      <c r="G71">
        <v>2021</v>
      </c>
      <c r="M71" t="s">
        <v>57</v>
      </c>
      <c r="N71" t="s">
        <v>35</v>
      </c>
      <c r="O71" s="1">
        <f>10*7.96</f>
        <v>79.599999999999994</v>
      </c>
      <c r="P71" s="1">
        <f>10*7.23</f>
        <v>72.300000000000011</v>
      </c>
      <c r="Q71" s="1">
        <f>10*0.33285321/10+10*0.29325725/30</f>
        <v>0.43060562666666669</v>
      </c>
    </row>
    <row r="72" spans="3:17" x14ac:dyDescent="0.3">
      <c r="C72" t="s">
        <v>18</v>
      </c>
      <c r="D72">
        <v>2021</v>
      </c>
      <c r="F72" t="s">
        <v>19</v>
      </c>
      <c r="G72">
        <v>2021</v>
      </c>
      <c r="M72" t="s">
        <v>57</v>
      </c>
      <c r="N72" t="s">
        <v>35</v>
      </c>
      <c r="O72" s="1">
        <f>10*7.83+10*7.96</f>
        <v>157.89999999999998</v>
      </c>
      <c r="P72" s="1">
        <f>20*7.23</f>
        <v>144.60000000000002</v>
      </c>
      <c r="Q72" s="1">
        <f>10*0.33784658/10+10*0.33285321/10+20*0.29325725/30</f>
        <v>0.86620462333333337</v>
      </c>
    </row>
    <row r="73" spans="3:17" x14ac:dyDescent="0.3">
      <c r="C73" t="s">
        <v>25</v>
      </c>
      <c r="D73">
        <v>2021</v>
      </c>
      <c r="F73" t="s">
        <v>24</v>
      </c>
      <c r="G73">
        <v>2021</v>
      </c>
      <c r="M73" t="s">
        <v>58</v>
      </c>
      <c r="N73" t="s">
        <v>35</v>
      </c>
      <c r="O73" s="1">
        <f>5*87.97</f>
        <v>439.85</v>
      </c>
      <c r="P73" s="1">
        <f>5*87</f>
        <v>435</v>
      </c>
      <c r="Q73" s="1">
        <f>5*0.357095485/5+5*0.35665725/8</f>
        <v>0.58000626624999996</v>
      </c>
    </row>
    <row r="74" spans="3:17" x14ac:dyDescent="0.3">
      <c r="C74" t="s">
        <v>30</v>
      </c>
      <c r="D74">
        <v>2021</v>
      </c>
      <c r="F74" t="s">
        <v>24</v>
      </c>
      <c r="G74">
        <v>2021</v>
      </c>
      <c r="M74" t="s">
        <v>58</v>
      </c>
      <c r="N74" t="s">
        <v>35</v>
      </c>
      <c r="O74" s="1">
        <f>3*87.355</f>
        <v>262.065</v>
      </c>
      <c r="P74" s="1">
        <f>3*87</f>
        <v>261</v>
      </c>
      <c r="Q74" s="1">
        <f>3*0.354079802/5+3*0.35665725/8</f>
        <v>0.34619434994999998</v>
      </c>
    </row>
    <row r="75" spans="3:17" x14ac:dyDescent="0.3">
      <c r="C75" t="s">
        <v>30</v>
      </c>
      <c r="D75">
        <v>2021</v>
      </c>
      <c r="F75" t="s">
        <v>25</v>
      </c>
      <c r="G75">
        <v>2021</v>
      </c>
      <c r="M75" t="s">
        <v>58</v>
      </c>
      <c r="N75" t="s">
        <v>35</v>
      </c>
      <c r="O75" s="1">
        <f>2*87.355+3*87.432</f>
        <v>437.00599999999997</v>
      </c>
      <c r="P75" s="1">
        <f>5*87.81</f>
        <v>439.05</v>
      </c>
      <c r="Q75" s="1">
        <f>2*0.354079802/5+3*0.356376476/8+5*0.34125725/5</f>
        <v>0.61653034930000006</v>
      </c>
    </row>
    <row r="76" spans="3:17" x14ac:dyDescent="0.3">
      <c r="C76" t="s">
        <v>30</v>
      </c>
      <c r="D76">
        <v>2021</v>
      </c>
      <c r="F76" t="s">
        <v>29</v>
      </c>
      <c r="G76">
        <v>2021</v>
      </c>
      <c r="M76" t="s">
        <v>58</v>
      </c>
      <c r="N76" t="s">
        <v>35</v>
      </c>
      <c r="O76" s="1">
        <f>5*87.432</f>
        <v>437.16</v>
      </c>
      <c r="P76" s="1">
        <f>5*87.08</f>
        <v>435.4</v>
      </c>
      <c r="Q76" s="1">
        <f>5*0.356376476/8+5*0.34125725/5</f>
        <v>0.56399254750000005</v>
      </c>
    </row>
    <row r="77" spans="3:17" x14ac:dyDescent="0.3">
      <c r="C77" t="s">
        <v>29</v>
      </c>
      <c r="D77">
        <v>2021</v>
      </c>
      <c r="F77" t="s">
        <v>19</v>
      </c>
      <c r="G77">
        <v>2021</v>
      </c>
      <c r="M77" t="s">
        <v>59</v>
      </c>
      <c r="N77" t="s">
        <v>35</v>
      </c>
      <c r="O77" s="1">
        <f>2*70.18</f>
        <v>140.36000000000001</v>
      </c>
      <c r="P77" s="1">
        <f>2*70.82</f>
        <v>141.63999999999999</v>
      </c>
      <c r="Q77" s="1">
        <f>2*0.351611086/2+2*0.34645725/2</f>
        <v>0.69806833599999996</v>
      </c>
    </row>
    <row r="78" spans="3:17" x14ac:dyDescent="0.3">
      <c r="C78" t="s">
        <v>29</v>
      </c>
      <c r="D78">
        <v>2021</v>
      </c>
      <c r="F78" t="s">
        <v>25</v>
      </c>
      <c r="G78">
        <v>2021</v>
      </c>
      <c r="M78" t="s">
        <v>59</v>
      </c>
      <c r="N78" t="s">
        <v>35</v>
      </c>
      <c r="O78" s="1">
        <f>2*74.96</f>
        <v>149.91999999999999</v>
      </c>
      <c r="P78" s="1">
        <f>2*63.06</f>
        <v>126.12</v>
      </c>
      <c r="Q78" s="1">
        <f>2*0.347459842/2+2*0.34455725/3</f>
        <v>0.57716467533333338</v>
      </c>
    </row>
    <row r="79" spans="3:17" x14ac:dyDescent="0.3">
      <c r="C79" t="s">
        <v>30</v>
      </c>
      <c r="D79">
        <v>2021</v>
      </c>
      <c r="F79" t="s">
        <v>19</v>
      </c>
      <c r="G79">
        <v>2021</v>
      </c>
      <c r="M79" t="s">
        <v>60</v>
      </c>
      <c r="N79" t="s">
        <v>35</v>
      </c>
      <c r="O79" s="1">
        <f>5*56.295</f>
        <v>281.47500000000002</v>
      </c>
      <c r="P79" s="1">
        <f>5*55</f>
        <v>275</v>
      </c>
      <c r="Q79" s="1">
        <f>5*0.356318295/10+5*0.35425725/5</f>
        <v>0.53241639750000003</v>
      </c>
    </row>
    <row r="80" spans="3:17" x14ac:dyDescent="0.3">
      <c r="C80" t="s">
        <v>30</v>
      </c>
      <c r="D80">
        <v>2021</v>
      </c>
      <c r="F80" t="s">
        <v>25</v>
      </c>
      <c r="G80">
        <v>2021</v>
      </c>
      <c r="M80" t="s">
        <v>60</v>
      </c>
      <c r="N80" t="s">
        <v>35</v>
      </c>
      <c r="O80" s="1">
        <f>5*56.295</f>
        <v>281.47500000000002</v>
      </c>
      <c r="P80" s="1">
        <f>5*50.06</f>
        <v>250.3</v>
      </c>
      <c r="Q80" s="1">
        <f>5*0.356318295/10+5*0.34125725/5</f>
        <v>0.51941639750000002</v>
      </c>
    </row>
    <row r="81" spans="3:17" x14ac:dyDescent="0.3">
      <c r="C81" t="s">
        <v>24</v>
      </c>
      <c r="D81">
        <v>2021</v>
      </c>
      <c r="F81" t="s">
        <v>18</v>
      </c>
      <c r="G81">
        <v>2021</v>
      </c>
      <c r="M81" t="s">
        <v>61</v>
      </c>
      <c r="N81" t="s">
        <v>35</v>
      </c>
      <c r="O81" s="1">
        <f>5*20.96+5*22.66</f>
        <v>218.10000000000002</v>
      </c>
      <c r="P81" s="1">
        <f>10*20.66</f>
        <v>206.6</v>
      </c>
      <c r="Q81" s="1">
        <f>5*0.34188673/5+5*0.34193008/5+10*0.33125725/10</f>
        <v>1.0150740600000001</v>
      </c>
    </row>
    <row r="82" spans="3:17" x14ac:dyDescent="0.3">
      <c r="C82" t="s">
        <v>29</v>
      </c>
      <c r="D82">
        <v>2021</v>
      </c>
      <c r="F82" t="s">
        <v>19</v>
      </c>
      <c r="G82">
        <v>2021</v>
      </c>
      <c r="M82" t="s">
        <v>62</v>
      </c>
      <c r="N82" t="s">
        <v>35</v>
      </c>
      <c r="O82" s="1">
        <f>40*5.96</f>
        <v>238.4</v>
      </c>
      <c r="P82" s="1">
        <f>40*7.34</f>
        <v>293.60000000000002</v>
      </c>
      <c r="Q82" s="1">
        <f>40*0.31623309/40+40*0.41025725/50</f>
        <v>0.64443888999999999</v>
      </c>
    </row>
    <row r="83" spans="3:17" x14ac:dyDescent="0.3">
      <c r="C83" t="s">
        <v>24</v>
      </c>
      <c r="D83">
        <v>2021</v>
      </c>
      <c r="F83" t="s">
        <v>18</v>
      </c>
      <c r="G83">
        <v>2021</v>
      </c>
      <c r="M83" t="s">
        <v>63</v>
      </c>
      <c r="N83" t="s">
        <v>35</v>
      </c>
      <c r="O83" s="1">
        <f>5*61.99+5*69.86</f>
        <v>659.25</v>
      </c>
      <c r="P83" s="1">
        <f>5*55.06+5*53.06</f>
        <v>540.6</v>
      </c>
      <c r="Q83" s="1">
        <f>5*0.356432995/5+5*0.34313368/5+5*0.35125725/5+5*0.34075725/5</f>
        <v>1.391581175</v>
      </c>
    </row>
    <row r="84" spans="3:17" x14ac:dyDescent="0.3">
      <c r="C84" t="s">
        <v>30</v>
      </c>
      <c r="D84">
        <v>2021</v>
      </c>
      <c r="F84" t="s">
        <v>19</v>
      </c>
      <c r="G84">
        <v>2021</v>
      </c>
      <c r="M84" t="s">
        <v>64</v>
      </c>
      <c r="N84" t="s">
        <v>35</v>
      </c>
      <c r="O84" s="1">
        <f>5*74.91</f>
        <v>374.54999999999995</v>
      </c>
      <c r="P84" s="1">
        <f>5*68.33</f>
        <v>341.65</v>
      </c>
      <c r="Q84" s="1">
        <f>5*0.345762455/5+5*0.36525725/5</f>
        <v>0.711019705</v>
      </c>
    </row>
    <row r="85" spans="3:17" x14ac:dyDescent="0.3">
      <c r="C85" t="s">
        <v>24</v>
      </c>
      <c r="D85">
        <v>2021</v>
      </c>
      <c r="F85" t="s">
        <v>15</v>
      </c>
      <c r="G85">
        <v>2021</v>
      </c>
      <c r="M85" t="s">
        <v>65</v>
      </c>
      <c r="N85" t="s">
        <v>35</v>
      </c>
      <c r="O85" s="1">
        <f>2*54.96+3*59.96</f>
        <v>289.8</v>
      </c>
      <c r="P85" s="1">
        <f>5*54.06</f>
        <v>270.3</v>
      </c>
      <c r="Q85" s="1">
        <f>2*0.349055842/2+3*0.348531638/3+5*0.34525725/5</f>
        <v>1.0428447300000001</v>
      </c>
    </row>
    <row r="86" spans="3:17" x14ac:dyDescent="0.3">
      <c r="C86" t="s">
        <v>15</v>
      </c>
      <c r="D86">
        <v>2021</v>
      </c>
      <c r="F86" t="s">
        <v>19</v>
      </c>
      <c r="G86">
        <v>2021</v>
      </c>
      <c r="M86" t="s">
        <v>66</v>
      </c>
      <c r="N86" t="s">
        <v>35</v>
      </c>
      <c r="O86" s="1">
        <f>4*26.96+10*28</f>
        <v>387.84000000000003</v>
      </c>
      <c r="P86" s="1">
        <f>4*24.6+10*24.41</f>
        <v>342.5</v>
      </c>
      <c r="Q86" s="1">
        <f>4*0.343683234/4+10*0.36987525/10+4*0.34385725/4+10*0.33125725/10</f>
        <v>1.3886729840000001</v>
      </c>
    </row>
    <row r="87" spans="3:17" x14ac:dyDescent="0.3">
      <c r="C87" t="s">
        <v>36</v>
      </c>
      <c r="D87">
        <v>2021</v>
      </c>
      <c r="F87" t="s">
        <v>18</v>
      </c>
      <c r="G87">
        <v>2021</v>
      </c>
      <c r="M87" t="s">
        <v>67</v>
      </c>
      <c r="N87" t="s">
        <v>35</v>
      </c>
      <c r="O87" s="1">
        <f>1*85.33</f>
        <v>85.33</v>
      </c>
      <c r="P87" s="1">
        <f>1*108.205</f>
        <v>108.205</v>
      </c>
      <c r="Q87" s="1">
        <f>1*0.335453263/11+1*0.35045725/1</f>
        <v>0.38095300118181818</v>
      </c>
    </row>
    <row r="88" spans="3:17" x14ac:dyDescent="0.3">
      <c r="C88" t="s">
        <v>36</v>
      </c>
      <c r="D88">
        <v>2021</v>
      </c>
      <c r="F88" t="s">
        <v>24</v>
      </c>
      <c r="G88">
        <v>2021</v>
      </c>
      <c r="M88" t="s">
        <v>67</v>
      </c>
      <c r="N88" t="s">
        <v>35</v>
      </c>
      <c r="O88" s="1">
        <f>2*85.33</f>
        <v>170.66</v>
      </c>
      <c r="P88" s="1">
        <f>2*107.06</f>
        <v>214.12</v>
      </c>
      <c r="Q88" s="1">
        <f>2*0.335453263/11+2*0.34645725/2</f>
        <v>0.40744875236363637</v>
      </c>
    </row>
    <row r="89" spans="3:17" x14ac:dyDescent="0.3">
      <c r="C89" t="s">
        <v>36</v>
      </c>
      <c r="D89">
        <v>2021</v>
      </c>
      <c r="F89" t="s">
        <v>25</v>
      </c>
      <c r="G89">
        <v>2021</v>
      </c>
      <c r="M89" t="s">
        <v>67</v>
      </c>
      <c r="N89" t="s">
        <v>35</v>
      </c>
      <c r="O89" s="1">
        <f>3*85.33</f>
        <v>255.99</v>
      </c>
      <c r="P89" s="1">
        <f>3*99.75</f>
        <v>299.25</v>
      </c>
      <c r="Q89" s="1">
        <f>3*0.335453263/11+3*0.35535725/3</f>
        <v>0.44684450354545457</v>
      </c>
    </row>
    <row r="90" spans="3:17" x14ac:dyDescent="0.3">
      <c r="C90" t="s">
        <v>36</v>
      </c>
      <c r="D90">
        <v>2021</v>
      </c>
      <c r="F90" t="s">
        <v>29</v>
      </c>
      <c r="G90">
        <v>2021</v>
      </c>
      <c r="M90" t="s">
        <v>67</v>
      </c>
      <c r="N90" t="s">
        <v>35</v>
      </c>
      <c r="O90" s="1">
        <f>5*85.33</f>
        <v>426.65</v>
      </c>
      <c r="P90" s="1">
        <f>2*86.06+3*82.54</f>
        <v>419.74</v>
      </c>
      <c r="Q90" s="1">
        <f>5*0.335453263/11+2*0.34645725/2+3*0.35535725/3</f>
        <v>0.854293255909091</v>
      </c>
    </row>
    <row r="91" spans="3:17" x14ac:dyDescent="0.3">
      <c r="C91" t="s">
        <v>30</v>
      </c>
      <c r="D91">
        <v>2021</v>
      </c>
      <c r="F91" t="s">
        <v>30</v>
      </c>
      <c r="G91">
        <v>2021</v>
      </c>
      <c r="M91" t="s">
        <v>68</v>
      </c>
      <c r="N91" t="s">
        <v>35</v>
      </c>
      <c r="O91" s="1">
        <f>3*70.97</f>
        <v>212.91</v>
      </c>
      <c r="P91" s="1">
        <f>3*67.82</f>
        <v>203.45999999999998</v>
      </c>
      <c r="Q91" s="1">
        <f>3*0.352300091/3+3*0.34725725/3</f>
        <v>0.699557341</v>
      </c>
    </row>
    <row r="92" spans="3:17" x14ac:dyDescent="0.3">
      <c r="C92" t="s">
        <v>25</v>
      </c>
      <c r="D92">
        <v>2021</v>
      </c>
      <c r="F92" t="s">
        <v>19</v>
      </c>
      <c r="G92">
        <v>2021</v>
      </c>
      <c r="M92" t="s">
        <v>69</v>
      </c>
      <c r="N92" t="s">
        <v>35</v>
      </c>
      <c r="O92" s="1">
        <f>3*135.96</f>
        <v>407.88</v>
      </c>
      <c r="P92" s="1">
        <f>3*130.33</f>
        <v>390.99</v>
      </c>
      <c r="Q92" s="1">
        <f>3*0.347294438/3+3*0.34125725/5</f>
        <v>0.55204878800000001</v>
      </c>
    </row>
    <row r="93" spans="3:17" x14ac:dyDescent="0.3">
      <c r="C93" t="s">
        <v>30</v>
      </c>
      <c r="D93">
        <v>2021</v>
      </c>
      <c r="F93" t="s">
        <v>19</v>
      </c>
      <c r="G93">
        <v>2021</v>
      </c>
      <c r="M93" t="s">
        <v>69</v>
      </c>
      <c r="N93" t="s">
        <v>35</v>
      </c>
      <c r="O93" s="1">
        <f>2*134.485</f>
        <v>268.97000000000003</v>
      </c>
      <c r="P93" s="1">
        <f>2*130.33</f>
        <v>260.66000000000003</v>
      </c>
      <c r="Q93" s="1">
        <f>2*0.352266997/2+2*0.34125725/5</f>
        <v>0.48876989700000006</v>
      </c>
    </row>
    <row r="94" spans="3:17" x14ac:dyDescent="0.3">
      <c r="C94" t="s">
        <v>30</v>
      </c>
      <c r="D94">
        <v>2021</v>
      </c>
      <c r="F94" t="s">
        <v>30</v>
      </c>
      <c r="G94">
        <v>2021</v>
      </c>
      <c r="M94" t="s">
        <v>70</v>
      </c>
      <c r="N94" t="s">
        <v>35</v>
      </c>
      <c r="O94" s="1">
        <f>1*349.66</f>
        <v>349.66</v>
      </c>
      <c r="P94" s="1">
        <f>1*286.06</f>
        <v>286.06</v>
      </c>
      <c r="Q94" s="1">
        <f>1*0.350259516/1+1*0.34455725/3</f>
        <v>0.46511193266666667</v>
      </c>
    </row>
    <row r="95" spans="3:17" x14ac:dyDescent="0.3">
      <c r="C95" t="s">
        <v>25</v>
      </c>
      <c r="D95">
        <v>2021</v>
      </c>
      <c r="F95" t="s">
        <v>24</v>
      </c>
      <c r="G95">
        <v>2021</v>
      </c>
      <c r="M95" t="s">
        <v>71</v>
      </c>
      <c r="N95" t="s">
        <v>35</v>
      </c>
      <c r="O95" s="1">
        <f>100*2.6</f>
        <v>260</v>
      </c>
      <c r="P95" s="1">
        <f>100*2.36</f>
        <v>236</v>
      </c>
      <c r="Q95" s="1">
        <f>100*0.26348325/100+100*0.25025725/100</f>
        <v>0.51374049999999993</v>
      </c>
    </row>
    <row r="96" spans="3:17" x14ac:dyDescent="0.3">
      <c r="C96" t="s">
        <v>19</v>
      </c>
      <c r="D96">
        <v>2021</v>
      </c>
      <c r="F96" t="s">
        <v>27</v>
      </c>
      <c r="G96">
        <v>2021</v>
      </c>
      <c r="M96" t="s">
        <v>72</v>
      </c>
      <c r="N96" t="s">
        <v>35</v>
      </c>
      <c r="O96" s="1">
        <f>5*37.96+3*38.96</f>
        <v>306.68</v>
      </c>
      <c r="P96" s="1">
        <f>8*40.73</f>
        <v>325.83999999999997</v>
      </c>
      <c r="Q96" s="1">
        <f>5*0.35282023/5+3*0.34684573/5+8*0.35985725/8</f>
        <v>0.92078491800000006</v>
      </c>
    </row>
    <row r="97" spans="3:17" x14ac:dyDescent="0.3">
      <c r="C97" t="s">
        <v>19</v>
      </c>
      <c r="D97">
        <v>2021</v>
      </c>
      <c r="F97" t="s">
        <v>19</v>
      </c>
      <c r="G97">
        <v>2021</v>
      </c>
      <c r="M97" t="s">
        <v>72</v>
      </c>
      <c r="N97" t="s">
        <v>35</v>
      </c>
      <c r="O97" s="1">
        <f>2*38.96</f>
        <v>77.92</v>
      </c>
      <c r="P97" s="1">
        <f>2*36.13</f>
        <v>72.260000000000005</v>
      </c>
      <c r="Q97" s="1">
        <f>2*0.34684573/5+2*0.34025725/10</f>
        <v>0.206789742</v>
      </c>
    </row>
    <row r="98" spans="3:17" x14ac:dyDescent="0.3">
      <c r="C98" t="s">
        <v>15</v>
      </c>
      <c r="D98">
        <v>2021</v>
      </c>
      <c r="F98" t="s">
        <v>19</v>
      </c>
      <c r="G98">
        <v>2021</v>
      </c>
      <c r="M98" t="s">
        <v>72</v>
      </c>
      <c r="N98" t="s">
        <v>35</v>
      </c>
      <c r="O98" s="1">
        <f>5*40.25+5*41.96</f>
        <v>411.05</v>
      </c>
      <c r="P98" s="1">
        <f>8*36.13+2*35.66</f>
        <v>360.36</v>
      </c>
      <c r="Q98" s="1">
        <f>5*0.357878625/5+5*0.34692223/5+8*0.34025725/10+2*0.34525725/5</f>
        <v>1.1151095550000001</v>
      </c>
    </row>
    <row r="99" spans="3:17" x14ac:dyDescent="0.3">
      <c r="C99" t="s">
        <v>29</v>
      </c>
      <c r="D99">
        <v>2021</v>
      </c>
      <c r="F99" t="s">
        <v>19</v>
      </c>
      <c r="G99">
        <v>2021</v>
      </c>
      <c r="M99" t="s">
        <v>72</v>
      </c>
      <c r="N99" t="s">
        <v>35</v>
      </c>
      <c r="O99" s="1">
        <f>3*35.96</f>
        <v>107.88</v>
      </c>
      <c r="P99" s="1">
        <f>3*35.66</f>
        <v>106.97999999999999</v>
      </c>
      <c r="Q99" s="1">
        <f>3*0.34328121/10+3*0.34525725/5</f>
        <v>0.31013871300000001</v>
      </c>
    </row>
    <row r="100" spans="3:17" x14ac:dyDescent="0.3">
      <c r="C100" t="s">
        <v>29</v>
      </c>
      <c r="D100">
        <v>2021</v>
      </c>
      <c r="F100" t="s">
        <v>18</v>
      </c>
      <c r="G100">
        <v>2021</v>
      </c>
      <c r="M100" t="s">
        <v>72</v>
      </c>
      <c r="N100" t="s">
        <v>35</v>
      </c>
      <c r="O100" s="1">
        <f>6*35.96</f>
        <v>215.76</v>
      </c>
      <c r="P100" s="1">
        <f>6*44.06</f>
        <v>264.36</v>
      </c>
      <c r="Q100" s="1">
        <f>6*0.34328121/10+6*0.34425725/6</f>
        <v>0.55022597600000001</v>
      </c>
    </row>
    <row r="101" spans="3:17" x14ac:dyDescent="0.3">
      <c r="C101" t="s">
        <v>29</v>
      </c>
      <c r="D101">
        <v>2021</v>
      </c>
      <c r="F101" t="s">
        <v>24</v>
      </c>
      <c r="G101">
        <v>2021</v>
      </c>
      <c r="M101" t="s">
        <v>72</v>
      </c>
      <c r="N101" t="s">
        <v>35</v>
      </c>
      <c r="O101" s="1">
        <f>1*35.96</f>
        <v>35.96</v>
      </c>
      <c r="P101" s="1">
        <f>1*39.33</f>
        <v>39.33</v>
      </c>
      <c r="Q101" s="1">
        <f>1*0.34328121/10+1*0.34025725/10</f>
        <v>6.8353845999999996E-2</v>
      </c>
    </row>
    <row r="102" spans="3:17" x14ac:dyDescent="0.3">
      <c r="C102" t="s">
        <v>36</v>
      </c>
      <c r="D102">
        <v>2021</v>
      </c>
      <c r="F102" t="s">
        <v>25</v>
      </c>
      <c r="G102">
        <v>2021</v>
      </c>
      <c r="M102" t="s">
        <v>73</v>
      </c>
      <c r="N102" t="s">
        <v>35</v>
      </c>
      <c r="O102" s="1">
        <f>5*22.57</f>
        <v>112.85</v>
      </c>
      <c r="P102" s="1">
        <f>5*30.66</f>
        <v>153.30000000000001</v>
      </c>
      <c r="Q102" s="1">
        <f>5*0.325268855/15+5*0.34525725/5</f>
        <v>0.45368020166666667</v>
      </c>
    </row>
    <row r="103" spans="3:17" x14ac:dyDescent="0.3">
      <c r="C103" t="s">
        <v>36</v>
      </c>
      <c r="D103">
        <v>2021</v>
      </c>
      <c r="F103" t="s">
        <v>30</v>
      </c>
      <c r="G103">
        <v>2021</v>
      </c>
      <c r="M103" t="s">
        <v>73</v>
      </c>
      <c r="N103" t="s">
        <v>35</v>
      </c>
      <c r="O103" s="1">
        <f>10*22.57</f>
        <v>225.7</v>
      </c>
      <c r="P103" s="1">
        <f>10*26.06</f>
        <v>260.59999999999997</v>
      </c>
      <c r="Q103" s="1">
        <f>10*0.325268855/15+10*0.34025725/10</f>
        <v>0.55710315333333338</v>
      </c>
    </row>
    <row r="104" spans="3:17" x14ac:dyDescent="0.3">
      <c r="C104" t="s">
        <v>18</v>
      </c>
      <c r="D104">
        <v>2021</v>
      </c>
      <c r="F104" t="s">
        <v>18</v>
      </c>
      <c r="G104">
        <v>2021</v>
      </c>
      <c r="M104" t="s">
        <v>74</v>
      </c>
      <c r="N104" t="s">
        <v>35</v>
      </c>
      <c r="O104" s="1">
        <f>3*47.42</f>
        <v>142.26</v>
      </c>
      <c r="P104" s="1">
        <f>2*43.81+1*42.77</f>
        <v>130.39000000000001</v>
      </c>
      <c r="Q104" s="1">
        <f>3*0.354939776/3+2*0.34825725/2+1*0.35625725/5</f>
        <v>0.774448476</v>
      </c>
    </row>
    <row r="105" spans="3:17" x14ac:dyDescent="0.3">
      <c r="C105" t="s">
        <v>24</v>
      </c>
      <c r="D105">
        <v>2021</v>
      </c>
      <c r="F105" t="s">
        <v>18</v>
      </c>
      <c r="G105">
        <v>2021</v>
      </c>
      <c r="M105" t="s">
        <v>74</v>
      </c>
      <c r="N105" t="s">
        <v>35</v>
      </c>
      <c r="O105" s="1">
        <f>2*49.96</f>
        <v>99.92</v>
      </c>
      <c r="P105" s="1">
        <f>2*42.77</f>
        <v>85.54</v>
      </c>
      <c r="Q105" s="1">
        <f>2*0.349004842/2+2*0.35625725/5</f>
        <v>0.49150774200000003</v>
      </c>
    </row>
    <row r="106" spans="3:17" x14ac:dyDescent="0.3">
      <c r="C106" t="s">
        <v>29</v>
      </c>
      <c r="D106">
        <v>2021</v>
      </c>
      <c r="F106" t="s">
        <v>18</v>
      </c>
      <c r="G106">
        <v>2021</v>
      </c>
      <c r="M106" t="s">
        <v>74</v>
      </c>
      <c r="N106" t="s">
        <v>35</v>
      </c>
      <c r="O106" s="1">
        <f>2*51.62</f>
        <v>103.24</v>
      </c>
      <c r="P106" s="1">
        <f>2*42.77</f>
        <v>85.54</v>
      </c>
      <c r="Q106" s="1">
        <f>2*0.349021774/2+2*0.35625725/5</f>
        <v>0.49152467399999999</v>
      </c>
    </row>
    <row r="107" spans="3:17" x14ac:dyDescent="0.3">
      <c r="C107" t="s">
        <v>29</v>
      </c>
      <c r="D107">
        <v>2021</v>
      </c>
      <c r="F107" t="s">
        <v>15</v>
      </c>
      <c r="G107">
        <v>2021</v>
      </c>
      <c r="M107" t="s">
        <v>75</v>
      </c>
      <c r="N107" t="s">
        <v>35</v>
      </c>
      <c r="O107" s="1">
        <f>4*92.66+3*97.66</f>
        <v>663.62</v>
      </c>
      <c r="P107" s="1">
        <f>5*108.85+2*98.33</f>
        <v>740.91</v>
      </c>
      <c r="Q107" s="1">
        <f>4*0.345423514/4+3*0.346708448/3+5*0.34125725/5+2*0.34665725/2</f>
        <v>1.3800464619999999</v>
      </c>
    </row>
    <row r="108" spans="3:17" x14ac:dyDescent="0.3">
      <c r="C108" t="s">
        <v>36</v>
      </c>
      <c r="D108">
        <v>2021</v>
      </c>
      <c r="F108" t="s">
        <v>29</v>
      </c>
      <c r="G108">
        <v>2021</v>
      </c>
      <c r="M108" t="s">
        <v>76</v>
      </c>
      <c r="N108" t="s">
        <v>35</v>
      </c>
      <c r="O108" s="1">
        <f>20*23.78</f>
        <v>475.6</v>
      </c>
      <c r="P108" s="1">
        <f>10*23.46+10*23.21</f>
        <v>466.70000000000005</v>
      </c>
      <c r="Q108" s="1">
        <f>20*0.38906281/20+10*0.33125725/10+10*0.33125725/10</f>
        <v>1.0515773099999999</v>
      </c>
    </row>
    <row r="109" spans="3:17" x14ac:dyDescent="0.3">
      <c r="C109" t="s">
        <v>24</v>
      </c>
      <c r="D109">
        <v>2021</v>
      </c>
      <c r="F109" t="s">
        <v>19</v>
      </c>
      <c r="G109">
        <v>2021</v>
      </c>
      <c r="M109" t="s">
        <v>77</v>
      </c>
      <c r="N109" t="s">
        <v>35</v>
      </c>
      <c r="O109" s="1">
        <f>10*110.48</f>
        <v>1104.8</v>
      </c>
      <c r="P109" s="1">
        <f>10*110.51</f>
        <v>1105.1000000000001</v>
      </c>
      <c r="Q109" s="1">
        <f>10*0.37408173/10+10*0.36725725/10</f>
        <v>0.74133897999999998</v>
      </c>
    </row>
    <row r="110" spans="3:17" x14ac:dyDescent="0.3">
      <c r="C110" t="s">
        <v>25</v>
      </c>
      <c r="D110">
        <v>2021</v>
      </c>
      <c r="F110" t="s">
        <v>15</v>
      </c>
      <c r="G110">
        <v>2021</v>
      </c>
      <c r="M110" t="s">
        <v>77</v>
      </c>
      <c r="N110" t="s">
        <v>35</v>
      </c>
      <c r="O110" s="1">
        <f>10*110.48</f>
        <v>1104.8</v>
      </c>
      <c r="P110" s="1">
        <f>10*110.5</f>
        <v>1105</v>
      </c>
      <c r="Q110" s="1">
        <f>10*0.36758173/10+10*0.36725725/10</f>
        <v>0.73483897999999992</v>
      </c>
    </row>
    <row r="111" spans="3:17" x14ac:dyDescent="0.3">
      <c r="C111" t="s">
        <v>19</v>
      </c>
      <c r="D111">
        <v>2021</v>
      </c>
      <c r="F111" t="s">
        <v>27</v>
      </c>
      <c r="G111">
        <v>2021</v>
      </c>
      <c r="M111" t="s">
        <v>78</v>
      </c>
      <c r="N111" t="s">
        <v>35</v>
      </c>
      <c r="O111" s="1">
        <f>5*99.66</f>
        <v>498.29999999999995</v>
      </c>
      <c r="P111" s="1">
        <f>2*94.03+3*98.11</f>
        <v>482.39</v>
      </c>
      <c r="Q111" s="1">
        <f>5*0.34389358/5+2*0.35065725/2+3*0.34265725/4</f>
        <v>0.95154376750000003</v>
      </c>
    </row>
    <row r="112" spans="3:17" x14ac:dyDescent="0.3">
      <c r="C112" t="s">
        <v>15</v>
      </c>
      <c r="D112">
        <v>2021</v>
      </c>
      <c r="F112" t="s">
        <v>27</v>
      </c>
      <c r="G112">
        <v>2021</v>
      </c>
      <c r="M112" t="s">
        <v>78</v>
      </c>
      <c r="N112" t="s">
        <v>35</v>
      </c>
      <c r="O112" s="1">
        <f>1*99.96</f>
        <v>99.96</v>
      </c>
      <c r="P112" s="1">
        <f>1*98.11</f>
        <v>98.11</v>
      </c>
      <c r="Q112" s="1">
        <f>1*0.347714842/2+1*0.34265725/4</f>
        <v>0.25952173350000002</v>
      </c>
    </row>
    <row r="113" spans="3:17" x14ac:dyDescent="0.3">
      <c r="C113" t="s">
        <v>15</v>
      </c>
      <c r="D113">
        <v>2021</v>
      </c>
      <c r="F113" t="s">
        <v>19</v>
      </c>
      <c r="G113">
        <v>2021</v>
      </c>
      <c r="M113" t="s">
        <v>78</v>
      </c>
      <c r="N113" t="s">
        <v>35</v>
      </c>
      <c r="O113" s="1">
        <f>1*99.96+3*104.96</f>
        <v>414.84</v>
      </c>
      <c r="P113" s="1">
        <f>4*81.03</f>
        <v>324.12</v>
      </c>
      <c r="Q113" s="1">
        <f>1*0.347714842/2+3*0.346520138/3+4*0.35705725/4</f>
        <v>0.87743480899999993</v>
      </c>
    </row>
    <row r="114" spans="3:17" x14ac:dyDescent="0.3">
      <c r="C114" t="s">
        <v>24</v>
      </c>
      <c r="D114">
        <v>2021</v>
      </c>
      <c r="F114" t="s">
        <v>15</v>
      </c>
      <c r="G114">
        <v>2021</v>
      </c>
      <c r="M114" t="s">
        <v>79</v>
      </c>
      <c r="N114" t="s">
        <v>35</v>
      </c>
      <c r="O114" s="1">
        <f>10*24.02</f>
        <v>240.2</v>
      </c>
      <c r="P114" s="1">
        <f>10*24.36</f>
        <v>243.6</v>
      </c>
      <c r="Q114" s="1">
        <f>10*0.36067227/10+10*0.36625725/20</f>
        <v>0.54380089499999995</v>
      </c>
    </row>
    <row r="115" spans="3:17" x14ac:dyDescent="0.3">
      <c r="C115" t="s">
        <v>24</v>
      </c>
      <c r="D115">
        <v>2021</v>
      </c>
      <c r="F115" t="s">
        <v>15</v>
      </c>
      <c r="G115">
        <v>2021</v>
      </c>
      <c r="M115" t="s">
        <v>80</v>
      </c>
      <c r="N115" t="s">
        <v>35</v>
      </c>
      <c r="O115" s="1">
        <f>10*44.495</f>
        <v>444.95</v>
      </c>
      <c r="P115" s="1">
        <f>10*44.93</f>
        <v>449.3</v>
      </c>
      <c r="Q115" s="1">
        <f>10*0.355716495/10+10*0.31425725/20</f>
        <v>0.51284512000000004</v>
      </c>
    </row>
    <row r="116" spans="3:17" x14ac:dyDescent="0.3">
      <c r="C116" t="s">
        <v>25</v>
      </c>
      <c r="D116">
        <v>2021</v>
      </c>
      <c r="F116" t="s">
        <v>15</v>
      </c>
      <c r="G116">
        <v>2021</v>
      </c>
      <c r="M116" t="s">
        <v>80</v>
      </c>
      <c r="N116" t="s">
        <v>35</v>
      </c>
      <c r="O116" s="1">
        <f>10*43.9</f>
        <v>439</v>
      </c>
      <c r="P116" s="1">
        <f>10*44.93</f>
        <v>449.3</v>
      </c>
      <c r="Q116" s="1">
        <f>10*0.33568615/10+10*0.31425725/20</f>
        <v>0.49281477500000004</v>
      </c>
    </row>
    <row r="117" spans="3:17" x14ac:dyDescent="0.3">
      <c r="C117" t="s">
        <v>18</v>
      </c>
      <c r="D117">
        <v>2021</v>
      </c>
      <c r="F117" t="s">
        <v>19</v>
      </c>
      <c r="G117">
        <v>2021</v>
      </c>
      <c r="M117" t="s">
        <v>81</v>
      </c>
      <c r="N117" t="s">
        <v>35</v>
      </c>
      <c r="O117" s="1">
        <f>5*30.48</f>
        <v>152.4</v>
      </c>
      <c r="P117" s="1">
        <f>5*34.4</f>
        <v>172</v>
      </c>
      <c r="Q117" s="1">
        <f>5*0.354052834/8+5*0.36625725/5</f>
        <v>0.58754027124999997</v>
      </c>
    </row>
    <row r="118" spans="3:17" x14ac:dyDescent="0.3">
      <c r="C118" t="s">
        <v>18</v>
      </c>
      <c r="D118">
        <v>2021</v>
      </c>
      <c r="F118" t="s">
        <v>15</v>
      </c>
      <c r="G118">
        <v>2021</v>
      </c>
      <c r="M118" t="s">
        <v>81</v>
      </c>
      <c r="N118" t="s">
        <v>35</v>
      </c>
      <c r="O118" s="1">
        <f>3*30.48+7*30.96</f>
        <v>308.15999999999997</v>
      </c>
      <c r="P118" s="1">
        <f>10*32.66</f>
        <v>326.59999999999997</v>
      </c>
      <c r="Q118" s="1">
        <f>3*0.354052834/8+7*0.338895522/7+10*0.33125725/10</f>
        <v>0.80292258475</v>
      </c>
    </row>
    <row r="119" spans="3:17" x14ac:dyDescent="0.3">
      <c r="C119" t="s">
        <v>36</v>
      </c>
      <c r="D119">
        <v>2021</v>
      </c>
      <c r="F119" t="s">
        <v>30</v>
      </c>
      <c r="G119">
        <v>2021</v>
      </c>
      <c r="M119" t="s">
        <v>82</v>
      </c>
      <c r="N119" t="s">
        <v>35</v>
      </c>
      <c r="O119" s="1">
        <f>4*129.5</f>
        <v>518</v>
      </c>
      <c r="P119" s="1">
        <f>1*124.9+3*124.99</f>
        <v>499.87</v>
      </c>
      <c r="Q119" s="1">
        <f>4*0.34937505/4+1*0.34925725/1+3*0.35985725/3</f>
        <v>1.05848955</v>
      </c>
    </row>
    <row r="120" spans="3:17" x14ac:dyDescent="0.3">
      <c r="C120" t="s">
        <v>19</v>
      </c>
      <c r="D120">
        <v>2021</v>
      </c>
      <c r="F120" t="s">
        <v>27</v>
      </c>
      <c r="G120">
        <v>2021</v>
      </c>
      <c r="M120" t="s">
        <v>83</v>
      </c>
      <c r="N120" t="s">
        <v>35</v>
      </c>
      <c r="O120" s="1">
        <f>4*18.96</f>
        <v>75.84</v>
      </c>
      <c r="P120" s="1">
        <f>4*17.41</f>
        <v>69.64</v>
      </c>
      <c r="Q120" s="1">
        <f>4*0.343520034/4+4*0.33125725/10</f>
        <v>0.47602293399999995</v>
      </c>
    </row>
    <row r="121" spans="3:17" x14ac:dyDescent="0.3">
      <c r="C121" t="s">
        <v>15</v>
      </c>
      <c r="D121">
        <v>2021</v>
      </c>
      <c r="F121" t="s">
        <v>27</v>
      </c>
      <c r="G121">
        <v>2021</v>
      </c>
      <c r="M121" t="s">
        <v>83</v>
      </c>
      <c r="N121" t="s">
        <v>35</v>
      </c>
      <c r="O121" s="1">
        <f>3*19.1+3*19.38</f>
        <v>115.44</v>
      </c>
      <c r="P121" s="1">
        <f>6*17.41</f>
        <v>104.46000000000001</v>
      </c>
      <c r="Q121" s="1">
        <f>3*0.34520648/3+3*0.345210764/3+6*0.33125725/10</f>
        <v>0.88917159400000001</v>
      </c>
    </row>
    <row r="122" spans="3:17" x14ac:dyDescent="0.3">
      <c r="C122" t="s">
        <v>25</v>
      </c>
      <c r="D122">
        <v>2021</v>
      </c>
      <c r="F122" t="s">
        <v>15</v>
      </c>
      <c r="G122">
        <v>2021</v>
      </c>
      <c r="M122" t="s">
        <v>84</v>
      </c>
      <c r="N122" t="s">
        <v>35</v>
      </c>
      <c r="O122" s="1">
        <f>10*22.96+10*23.96+5*24.96+5*28.21</f>
        <v>735.05</v>
      </c>
      <c r="P122" s="1">
        <f>30*20.66</f>
        <v>619.79999999999995</v>
      </c>
      <c r="Q122" s="1">
        <f>10*0.33461821/10+10*0.33466921/10+5*0.34248873/5+5*0.327200315/15+30*0.29625725/30</f>
        <v>1.4171001716666669</v>
      </c>
    </row>
    <row r="123" spans="3:17" x14ac:dyDescent="0.3">
      <c r="C123" t="s">
        <v>25</v>
      </c>
      <c r="D123">
        <v>2021</v>
      </c>
      <c r="F123" t="s">
        <v>24</v>
      </c>
      <c r="G123">
        <v>2021</v>
      </c>
      <c r="M123" t="s">
        <v>84</v>
      </c>
      <c r="N123" t="s">
        <v>35</v>
      </c>
      <c r="O123" s="1">
        <f>10*28.21</f>
        <v>282.10000000000002</v>
      </c>
      <c r="P123" s="1">
        <f>10*18.66</f>
        <v>186.6</v>
      </c>
      <c r="Q123" s="1">
        <f>10*0.327200315/15+10*0.33225725/10</f>
        <v>0.55039079333333341</v>
      </c>
    </row>
    <row r="124" spans="3:17" x14ac:dyDescent="0.3">
      <c r="C124" t="s">
        <v>25</v>
      </c>
      <c r="D124">
        <v>2021</v>
      </c>
      <c r="F124" t="s">
        <v>25</v>
      </c>
      <c r="G124">
        <v>2021</v>
      </c>
      <c r="M124" t="s">
        <v>85</v>
      </c>
      <c r="N124" t="s">
        <v>35</v>
      </c>
      <c r="O124" s="1">
        <f>5*59.97</f>
        <v>299.85000000000002</v>
      </c>
      <c r="P124" s="1">
        <f>5*55.06</f>
        <v>275.3</v>
      </c>
      <c r="Q124" s="1">
        <f>5*0.347381485/5+5*0.34525725/5</f>
        <v>0.69263873500000006</v>
      </c>
    </row>
    <row r="125" spans="3:17" x14ac:dyDescent="0.3">
      <c r="C125" t="s">
        <v>36</v>
      </c>
      <c r="D125">
        <v>2021</v>
      </c>
      <c r="F125" t="s">
        <v>30</v>
      </c>
      <c r="G125">
        <v>2021</v>
      </c>
      <c r="M125" t="s">
        <v>86</v>
      </c>
      <c r="N125" t="s">
        <v>35</v>
      </c>
      <c r="O125" s="1">
        <f>35*12.88+35*13.92</f>
        <v>938</v>
      </c>
      <c r="P125" s="1">
        <f>50*11.8+20*11.8</f>
        <v>826</v>
      </c>
      <c r="Q125" s="1">
        <f>35*0.32172133/35+35*0.39890697/35+50*0.36025725/50+20*0.30025725/50</f>
        <v>1.2009884499999999</v>
      </c>
    </row>
    <row r="126" spans="3:17" x14ac:dyDescent="0.3">
      <c r="C126" t="s">
        <v>30</v>
      </c>
      <c r="D126">
        <v>2021</v>
      </c>
      <c r="F126" t="s">
        <v>30</v>
      </c>
      <c r="G126">
        <v>2021</v>
      </c>
      <c r="M126" t="s">
        <v>87</v>
      </c>
      <c r="N126" t="s">
        <v>35</v>
      </c>
      <c r="O126" s="1">
        <f>5*101.91</f>
        <v>509.54999999999995</v>
      </c>
      <c r="P126" s="1">
        <f>5*98.4</f>
        <v>492</v>
      </c>
      <c r="Q126" s="1">
        <f>5*0.348450955/5+5*0.34525725/5</f>
        <v>0.69370820500000008</v>
      </c>
    </row>
    <row r="127" spans="3:17" x14ac:dyDescent="0.3">
      <c r="C127" t="s">
        <v>25</v>
      </c>
      <c r="D127">
        <v>2021</v>
      </c>
      <c r="F127" t="s">
        <v>24</v>
      </c>
      <c r="G127">
        <v>2021</v>
      </c>
      <c r="M127" t="s">
        <v>88</v>
      </c>
      <c r="N127" t="s">
        <v>35</v>
      </c>
      <c r="O127" s="1">
        <f>3*49.96+3*54.96+3*54.33</f>
        <v>477.75</v>
      </c>
      <c r="P127" s="1">
        <f>3*44.33+6*43.01</f>
        <v>391.05</v>
      </c>
      <c r="Q127" s="1">
        <f>3*0.348378638/3+3*0.348455138/3+3*0.348445499/3+3*0.34725725/3+6*0.35745725/6</f>
        <v>1.7499937750000001</v>
      </c>
    </row>
    <row r="128" spans="3:17" x14ac:dyDescent="0.3">
      <c r="C128" t="s">
        <v>27</v>
      </c>
      <c r="D128">
        <v>2021</v>
      </c>
      <c r="F128" t="s">
        <v>27</v>
      </c>
      <c r="G128">
        <v>2021</v>
      </c>
      <c r="M128" t="s">
        <v>89</v>
      </c>
      <c r="N128" t="s">
        <v>35</v>
      </c>
      <c r="O128" s="1">
        <f>5*24.96</f>
        <v>124.80000000000001</v>
      </c>
      <c r="P128" s="1">
        <f>5*21.07</f>
        <v>105.35</v>
      </c>
      <c r="Q128" s="1">
        <f>5*0.34648873/5+5*0.36225725/10</f>
        <v>0.52761735500000007</v>
      </c>
    </row>
    <row r="129" spans="3:17" x14ac:dyDescent="0.3">
      <c r="C129" t="s">
        <v>19</v>
      </c>
      <c r="D129">
        <v>2021</v>
      </c>
      <c r="F129" t="s">
        <v>27</v>
      </c>
      <c r="G129">
        <v>2021</v>
      </c>
      <c r="M129" t="s">
        <v>89</v>
      </c>
      <c r="N129" t="s">
        <v>35</v>
      </c>
      <c r="O129" s="1">
        <f>5*29.96</f>
        <v>149.80000000000001</v>
      </c>
      <c r="P129" s="1">
        <f>5*21.07</f>
        <v>105.35</v>
      </c>
      <c r="Q129" s="1">
        <f>5*0.34661623/5+5*0.36225725/10</f>
        <v>0.52774485500000001</v>
      </c>
    </row>
    <row r="130" spans="3:17" x14ac:dyDescent="0.3">
      <c r="C130" t="s">
        <v>29</v>
      </c>
      <c r="D130">
        <v>2021</v>
      </c>
      <c r="F130" t="s">
        <v>29</v>
      </c>
      <c r="G130">
        <v>2021</v>
      </c>
      <c r="M130" t="s">
        <v>89</v>
      </c>
      <c r="N130" t="s">
        <v>35</v>
      </c>
      <c r="O130" s="1">
        <f>7*24.66+3*26.66</f>
        <v>252.60000000000002</v>
      </c>
      <c r="P130" s="1">
        <f>10*21.45</f>
        <v>214.5</v>
      </c>
      <c r="Q130" s="1">
        <f>7*0.344970612/7+3*0.348022148/3+10*0.36225725/10</f>
        <v>1.05525001</v>
      </c>
    </row>
    <row r="131" spans="3:17" x14ac:dyDescent="0.3">
      <c r="C131" t="s">
        <v>30</v>
      </c>
      <c r="D131">
        <v>2021</v>
      </c>
      <c r="F131" t="s">
        <v>29</v>
      </c>
      <c r="G131">
        <v>2021</v>
      </c>
      <c r="M131" t="s">
        <v>89</v>
      </c>
      <c r="N131" t="s">
        <v>35</v>
      </c>
      <c r="O131" s="1">
        <f>5*26.66</f>
        <v>133.30000000000001</v>
      </c>
      <c r="P131" s="1">
        <f>5*20.585</f>
        <v>102.92500000000001</v>
      </c>
      <c r="Q131" s="1">
        <f>5*0.34653208/5+5*0.35225725/10</f>
        <v>0.52266070500000006</v>
      </c>
    </row>
    <row r="132" spans="3:17" x14ac:dyDescent="0.3">
      <c r="C132" t="s">
        <v>19</v>
      </c>
      <c r="D132">
        <v>2021</v>
      </c>
      <c r="F132" t="s">
        <v>19</v>
      </c>
      <c r="G132">
        <v>2021</v>
      </c>
      <c r="M132" t="s">
        <v>90</v>
      </c>
      <c r="N132" t="s">
        <v>35</v>
      </c>
      <c r="O132" s="1">
        <f>8*46.88+4*46.96</f>
        <v>562.88</v>
      </c>
      <c r="P132" s="1">
        <f>12*38.03</f>
        <v>456.36</v>
      </c>
      <c r="Q132" s="1">
        <f>8*0.345121954/8+4*0.347691234/4+12*0.33525725/15</f>
        <v>0.96101898799999996</v>
      </c>
    </row>
    <row r="133" spans="3:17" x14ac:dyDescent="0.3">
      <c r="C133" t="s">
        <v>24</v>
      </c>
      <c r="D133">
        <v>2021</v>
      </c>
      <c r="F133" t="s">
        <v>19</v>
      </c>
      <c r="G133">
        <v>2021</v>
      </c>
      <c r="M133" t="s">
        <v>90</v>
      </c>
      <c r="N133" t="s">
        <v>35</v>
      </c>
      <c r="O133" s="1">
        <f>3*48.96</f>
        <v>146.88</v>
      </c>
      <c r="P133" s="1">
        <f>3*38.03</f>
        <v>114.09</v>
      </c>
      <c r="Q133" s="1">
        <f>3*0.348363338/3+3*0.33525725/15</f>
        <v>0.41541478800000003</v>
      </c>
    </row>
    <row r="134" spans="3:17" x14ac:dyDescent="0.3">
      <c r="C134" t="s">
        <v>24</v>
      </c>
      <c r="D134">
        <v>2021</v>
      </c>
      <c r="F134" t="s">
        <v>15</v>
      </c>
      <c r="G134">
        <v>2021</v>
      </c>
      <c r="M134" t="s">
        <v>90</v>
      </c>
      <c r="N134" t="s">
        <v>35</v>
      </c>
      <c r="O134" s="1">
        <f>1*48.325+3*49.86</f>
        <v>197.90499999999997</v>
      </c>
      <c r="P134" s="1">
        <f>4*43.66</f>
        <v>174.64</v>
      </c>
      <c r="Q134" s="1">
        <f>1*0.350722707/1+3*0.348377108/3+4*0.34425725/6</f>
        <v>0.92860464833333345</v>
      </c>
    </row>
    <row r="135" spans="3:17" x14ac:dyDescent="0.3">
      <c r="C135" t="s">
        <v>25</v>
      </c>
      <c r="D135">
        <v>2021</v>
      </c>
      <c r="F135" t="s">
        <v>15</v>
      </c>
      <c r="G135">
        <v>2021</v>
      </c>
      <c r="M135" t="s">
        <v>90</v>
      </c>
      <c r="N135" t="s">
        <v>35</v>
      </c>
      <c r="O135" s="1">
        <f>2*59.94</f>
        <v>119.88</v>
      </c>
      <c r="P135" s="1">
        <f>2*43.66</f>
        <v>87.32</v>
      </c>
      <c r="Q135" s="1">
        <f>2*0.349106638/2+2*0.34425725/6</f>
        <v>0.46385905466666671</v>
      </c>
    </row>
    <row r="136" spans="3:17" x14ac:dyDescent="0.3">
      <c r="C136" t="s">
        <v>29</v>
      </c>
      <c r="D136">
        <v>2021</v>
      </c>
      <c r="F136" t="s">
        <v>25</v>
      </c>
      <c r="G136">
        <v>2021</v>
      </c>
      <c r="M136" t="s">
        <v>90</v>
      </c>
      <c r="N136" t="s">
        <v>35</v>
      </c>
      <c r="O136" s="1">
        <f>5*48.63+3*50.66</f>
        <v>395.13</v>
      </c>
      <c r="P136" s="1">
        <f>4*55.18+3*55.06+1*52.33</f>
        <v>438.22999999999996</v>
      </c>
      <c r="Q136" s="1">
        <f>5*0.352592315/5+3*0.348389348/3+4*0.34625725/4+3*0.34725725/3+1*0.34625725/4</f>
        <v>1.4810604754999999</v>
      </c>
    </row>
    <row r="137" spans="3:17" x14ac:dyDescent="0.3">
      <c r="C137" t="s">
        <v>30</v>
      </c>
      <c r="D137">
        <v>2021</v>
      </c>
      <c r="F137" t="s">
        <v>25</v>
      </c>
      <c r="G137">
        <v>2021</v>
      </c>
      <c r="M137" t="s">
        <v>90</v>
      </c>
      <c r="N137" t="s">
        <v>35</v>
      </c>
      <c r="O137" s="1">
        <f>3*55.31</f>
        <v>165.93</v>
      </c>
      <c r="P137" s="1">
        <f>3*52.33</f>
        <v>156.99</v>
      </c>
      <c r="Q137" s="1">
        <f>3*0.356661574/4+3*0.34625725/4</f>
        <v>0.52718911800000001</v>
      </c>
    </row>
    <row r="138" spans="3:17" x14ac:dyDescent="0.3">
      <c r="C138" t="s">
        <v>30</v>
      </c>
      <c r="D138">
        <v>2021</v>
      </c>
      <c r="F138" t="s">
        <v>29</v>
      </c>
      <c r="G138">
        <v>2021</v>
      </c>
      <c r="M138" t="s">
        <v>90</v>
      </c>
      <c r="N138" t="s">
        <v>35</v>
      </c>
      <c r="O138" s="1">
        <f>1*55.31+8*54.66</f>
        <v>492.59</v>
      </c>
      <c r="P138" s="1">
        <f>9*48.33</f>
        <v>434.96999999999997</v>
      </c>
      <c r="Q138" s="1">
        <f>1*0.356661574/4+8*0.345439378/8+9*0.34025725/10</f>
        <v>0.74083629649999994</v>
      </c>
    </row>
    <row r="139" spans="3:17" x14ac:dyDescent="0.3">
      <c r="C139" t="s">
        <v>36</v>
      </c>
      <c r="D139">
        <v>2021</v>
      </c>
      <c r="F139" t="s">
        <v>29</v>
      </c>
      <c r="G139">
        <v>2021</v>
      </c>
      <c r="M139" t="s">
        <v>90</v>
      </c>
      <c r="N139" t="s">
        <v>35</v>
      </c>
      <c r="O139" s="1">
        <f>6*59.86</f>
        <v>359.15999999999997</v>
      </c>
      <c r="P139" s="1">
        <f>1*48.33+5*44.0573</f>
        <v>268.61649999999997</v>
      </c>
      <c r="Q139" s="1">
        <f>6*0.346802966/6+1*0.34025725/10+5*0.35125725/5</f>
        <v>0.73208594100000002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Relax</cp:lastModifiedBy>
  <dcterms:created xsi:type="dcterms:W3CDTF">2022-05-30T10:23:01Z</dcterms:created>
  <dcterms:modified xsi:type="dcterms:W3CDTF">2022-05-30T10:23:18Z</dcterms:modified>
</cp:coreProperties>
</file>