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7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21" customWidth="1" min="5" max="5"/>
    <col width="11" customWidth="1" min="6" max="6"/>
    <col width="6" customWidth="1" min="7" max="7"/>
    <col width="62" customWidth="1" min="8" max="8"/>
    <col width="16" customWidth="1" min="9" max="9"/>
    <col width="8" customWidth="1" min="10" max="10"/>
    <col width="127" customWidth="1" min="11" max="11"/>
    <col width="6" customWidth="1" min="12" max="12"/>
    <col width="8" customWidth="1" min="13" max="13"/>
    <col width="10" customWidth="1" min="14" max="14"/>
    <col width="15" customWidth="1" min="15" max="15"/>
    <col width="56" customWidth="1" min="16" max="16"/>
    <col width="121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0.69252</t>
        </is>
      </c>
    </row>
    <row r="3">
      <c r="C3" t="inlineStr">
        <is>
          <t>September</t>
        </is>
      </c>
      <c r="D3" t="n">
        <v>2022</v>
      </c>
      <c r="E3">
        <f>T4*(0+1400*0.0507)</f>
        <v/>
      </c>
      <c r="F3" t="inlineStr">
        <is>
          <t>August</t>
        </is>
      </c>
      <c r="G3" t="n">
        <v>2021</v>
      </c>
      <c r="H3">
        <f>T4*(0+1400*0.171)</f>
        <v/>
      </c>
      <c r="K3">
        <f>T4*(0+1400*3/1400+1400*1.17/1400)</f>
        <v/>
      </c>
      <c r="M3" t="inlineStr">
        <is>
          <t>EUA</t>
        </is>
      </c>
      <c r="N3" t="inlineStr">
        <is>
          <t>GBP</t>
        </is>
      </c>
      <c r="O3" s="1" t="inlineStr">
        <is>
          <t>0+1400*0.0507</t>
        </is>
      </c>
      <c r="P3" s="1" t="inlineStr">
        <is>
          <t>0+1400*0.171</t>
        </is>
      </c>
      <c r="Q3" s="1" t="inlineStr">
        <is>
          <t>0+1400*3/1400+1400*1.17/1400</t>
        </is>
      </c>
      <c r="S3" t="inlineStr">
        <is>
          <t>EUR/USD</t>
        </is>
      </c>
      <c r="T3" t="inlineStr">
        <is>
          <t>0.93756</t>
        </is>
      </c>
    </row>
    <row r="4">
      <c r="C4" t="inlineStr">
        <is>
          <t>February</t>
        </is>
      </c>
      <c r="D4" t="n">
        <v>2022</v>
      </c>
      <c r="E4">
        <f>T5*(0+1000*4.91)</f>
        <v/>
      </c>
      <c r="F4" t="inlineStr">
        <is>
          <t>September</t>
        </is>
      </c>
      <c r="G4" t="n">
        <v>2021</v>
      </c>
      <c r="H4">
        <f>T5*(0+1000*4.42)</f>
        <v/>
      </c>
      <c r="K4">
        <f>T5*(0+1000*27.885435/1000+1000*26.84034/1000)</f>
        <v/>
      </c>
      <c r="M4" t="inlineStr">
        <is>
          <t>1398</t>
        </is>
      </c>
      <c r="N4" t="inlineStr">
        <is>
          <t>HKD</t>
        </is>
      </c>
      <c r="O4" s="1" t="inlineStr">
        <is>
          <t>0+1000*4.91</t>
        </is>
      </c>
      <c r="P4" s="1" t="inlineStr">
        <is>
          <t>0+1000*4.42</t>
        </is>
      </c>
      <c r="Q4" s="1" t="inlineStr">
        <is>
          <t>0+1000*27.885435/1000+1000*26.84034/1000</t>
        </is>
      </c>
      <c r="S4" t="inlineStr">
        <is>
          <t>EUR/GBP</t>
        </is>
      </c>
      <c r="T4" t="inlineStr">
        <is>
          <t>1.12748</t>
        </is>
      </c>
    </row>
    <row r="5">
      <c r="C5" t="inlineStr">
        <is>
          <t>February</t>
        </is>
      </c>
      <c r="D5" t="n">
        <v>2022</v>
      </c>
      <c r="E5">
        <f>T5*(0+1000*4.58)</f>
        <v/>
      </c>
      <c r="F5" t="inlineStr">
        <is>
          <t>November</t>
        </is>
      </c>
      <c r="G5" t="n">
        <v>2021</v>
      </c>
      <c r="H5">
        <f>T5*(0+1000*4.21)</f>
        <v/>
      </c>
      <c r="K5">
        <f>T5*(0+1000*26.85953/1000+1000*26.82417/1000)</f>
        <v/>
      </c>
      <c r="M5" t="inlineStr">
        <is>
          <t>1398</t>
        </is>
      </c>
      <c r="N5" t="inlineStr">
        <is>
          <t>HKD</t>
        </is>
      </c>
      <c r="O5" s="1" t="inlineStr">
        <is>
          <t>0+1000*4.58</t>
        </is>
      </c>
      <c r="P5" s="1" t="inlineStr">
        <is>
          <t>0+1000*4.21</t>
        </is>
      </c>
      <c r="Q5" s="1" t="inlineStr">
        <is>
          <t>0+1000*26.85953/1000+1000*26.82417/1000</t>
        </is>
      </c>
      <c r="S5" t="inlineStr">
        <is>
          <t>EUR/HKD</t>
        </is>
      </c>
      <c r="T5" t="inlineStr">
        <is>
          <t>0.12025</t>
        </is>
      </c>
    </row>
    <row r="6">
      <c r="C6" t="inlineStr">
        <is>
          <t>January</t>
        </is>
      </c>
      <c r="D6" t="n">
        <v>2022</v>
      </c>
      <c r="E6">
        <f>T3*(0+4*86.68)</f>
        <v/>
      </c>
      <c r="F6" t="inlineStr">
        <is>
          <t>November</t>
        </is>
      </c>
      <c r="G6" t="n">
        <v>2021</v>
      </c>
      <c r="H6">
        <f>T3*(0+4*67.795)</f>
        <v/>
      </c>
      <c r="K6">
        <f>T3*(0+4*0.359345522/4+4*0.35105725/4)</f>
        <v/>
      </c>
      <c r="M6" t="inlineStr">
        <is>
          <t>ATVI</t>
        </is>
      </c>
      <c r="N6" t="inlineStr">
        <is>
          <t>USD</t>
        </is>
      </c>
      <c r="O6" s="1" t="inlineStr">
        <is>
          <t>0+4*86.68</t>
        </is>
      </c>
      <c r="P6" s="1" t="inlineStr">
        <is>
          <t>0+4*67.795</t>
        </is>
      </c>
      <c r="Q6" s="1" t="inlineStr">
        <is>
          <t>0+4*0.359345522/4+4*0.35105725/4</t>
        </is>
      </c>
      <c r="S6" t="inlineStr">
        <is>
          <t>EUR/PLN</t>
        </is>
      </c>
      <c r="T6" t="inlineStr">
        <is>
          <t>0.21364</t>
        </is>
      </c>
    </row>
    <row r="7">
      <c r="C7" t="inlineStr">
        <is>
          <t>June</t>
        </is>
      </c>
      <c r="D7" t="n">
        <v>2022</v>
      </c>
      <c r="E7">
        <f>T3*(0+4*77.96)</f>
        <v/>
      </c>
      <c r="F7" t="inlineStr">
        <is>
          <t>November</t>
        </is>
      </c>
      <c r="G7" t="n">
        <v>2021</v>
      </c>
      <c r="H7">
        <f>T3*(0+4*65.66)</f>
        <v/>
      </c>
      <c r="K7">
        <f>T3*(0+4*1.007661136/4+4*0.34265725/4)</f>
        <v/>
      </c>
      <c r="M7" t="inlineStr">
        <is>
          <t>ATVI</t>
        </is>
      </c>
      <c r="N7" t="inlineStr">
        <is>
          <t>USD</t>
        </is>
      </c>
      <c r="O7" s="1" t="inlineStr">
        <is>
          <t>0+4*77.96</t>
        </is>
      </c>
      <c r="P7" s="1" t="inlineStr">
        <is>
          <t>0+4*65.66</t>
        </is>
      </c>
      <c r="Q7" s="1" t="inlineStr">
        <is>
          <t>0+4*1.007661136/4+4*0.34265725/4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February</t>
        </is>
      </c>
      <c r="D8" t="n">
        <v>2022</v>
      </c>
      <c r="E8">
        <f>T3*(0+8*69.75)</f>
        <v/>
      </c>
      <c r="F8" t="inlineStr">
        <is>
          <t>October</t>
        </is>
      </c>
      <c r="G8" t="n">
        <v>2021</v>
      </c>
      <c r="H8">
        <f>T3*(0+3*53.06+5*52.66)</f>
        <v/>
      </c>
      <c r="K8">
        <f>T3*(0+8*0.36374305/8+3*0.34525725/3+5*0.34525725/5)</f>
        <v/>
      </c>
      <c r="M8" t="inlineStr">
        <is>
          <t>BHP</t>
        </is>
      </c>
      <c r="N8" t="inlineStr">
        <is>
          <t>USD</t>
        </is>
      </c>
      <c r="O8" s="1" t="inlineStr">
        <is>
          <t>0+8*69.75</t>
        </is>
      </c>
      <c r="P8" s="1" t="inlineStr">
        <is>
          <t>0+3*53.06+5*52.66</t>
        </is>
      </c>
      <c r="Q8" s="1" t="inlineStr">
        <is>
          <t>0+8*0.36374305/8+3*0.34525725/3+5*0.34525725/5</t>
        </is>
      </c>
    </row>
    <row r="9">
      <c r="C9" t="inlineStr">
        <is>
          <t>February</t>
        </is>
      </c>
      <c r="D9" t="n">
        <v>2022</v>
      </c>
      <c r="E9">
        <f>T3*(0+55*13.69)</f>
        <v/>
      </c>
      <c r="F9" t="inlineStr">
        <is>
          <t>October</t>
        </is>
      </c>
      <c r="G9" t="n">
        <v>2021</v>
      </c>
      <c r="H9">
        <f>T3*(0+5*15.78+10*14.07+10*13.91+10*13.82+10*13.33+10*12.06)</f>
        <v/>
      </c>
      <c r="K9">
        <f>T3*(0+55*0.262247295/55+5*0.34025725/5+10*0.33125725/10+10*0.35225725/10+10*0.34025725/10+10*0.34025725/10+10*0.34025725/10)</f>
        <v/>
      </c>
      <c r="M9" t="inlineStr">
        <is>
          <t>BTU</t>
        </is>
      </c>
      <c r="N9" t="inlineStr">
        <is>
          <t>USD</t>
        </is>
      </c>
      <c r="O9" s="1" t="inlineStr">
        <is>
          <t>0+55*13.69</t>
        </is>
      </c>
      <c r="P9" s="1" t="inlineStr">
        <is>
          <t>0+5*15.78+10*14.07+10*13.91+10*13.82+10*13.33+10*12.06</t>
        </is>
      </c>
      <c r="Q9" s="1" t="inlineStr">
        <is>
          <t>0+55*0.262247295/55+5*0.34025725/5+10*0.33125725/10+10*0.35225725/10+10*0.34025725/10+10*0.34025725/10+10*0.34025725/10</t>
        </is>
      </c>
    </row>
    <row r="10">
      <c r="C10" t="inlineStr">
        <is>
          <t>January</t>
        </is>
      </c>
      <c r="D10" t="n">
        <v>2022</v>
      </c>
      <c r="E10">
        <f>T3*(0+15*21.3335)</f>
        <v/>
      </c>
      <c r="F10" t="inlineStr">
        <is>
          <t>December</t>
        </is>
      </c>
      <c r="G10" t="n">
        <v>2021</v>
      </c>
      <c r="H10">
        <f>T3*(0+15*35.06)</f>
        <v/>
      </c>
      <c r="K10">
        <f>T3*(0+15*0.362982475/29+15*0.33525725/15)</f>
        <v/>
      </c>
      <c r="M10" t="inlineStr">
        <is>
          <t>FTCH</t>
        </is>
      </c>
      <c r="N10" t="inlineStr">
        <is>
          <t>USD</t>
        </is>
      </c>
      <c r="O10" s="1" t="inlineStr">
        <is>
          <t>0+15*21.3335</t>
        </is>
      </c>
      <c r="P10" s="1" t="inlineStr">
        <is>
          <t>0+15*35.06</t>
        </is>
      </c>
      <c r="Q10" s="1" t="inlineStr">
        <is>
          <t>0+15*0.362982475/29+15*0.33525725/15</t>
        </is>
      </c>
    </row>
    <row r="11">
      <c r="C11" t="inlineStr">
        <is>
          <t>January</t>
        </is>
      </c>
      <c r="D11" t="n">
        <v>2022</v>
      </c>
      <c r="E11">
        <f>T3*(0+14*21.3335)</f>
        <v/>
      </c>
      <c r="F11" t="inlineStr">
        <is>
          <t>January</t>
        </is>
      </c>
      <c r="G11" t="n">
        <v>2022</v>
      </c>
      <c r="H11">
        <f>T3*(0+14*32.66)</f>
        <v/>
      </c>
      <c r="K11">
        <f>T3*(0+14*0.362982475/29+14*0.33625725/14)</f>
        <v/>
      </c>
      <c r="M11" t="inlineStr">
        <is>
          <t>FTCH</t>
        </is>
      </c>
      <c r="N11" t="inlineStr">
        <is>
          <t>USD</t>
        </is>
      </c>
      <c r="O11" s="1" t="inlineStr">
        <is>
          <t>0+14*21.3335</t>
        </is>
      </c>
      <c r="P11" s="1" t="inlineStr">
        <is>
          <t>0+14*32.66</t>
        </is>
      </c>
      <c r="Q11" s="1" t="inlineStr">
        <is>
          <t>0+14*0.362982475/29+14*0.33625725/14</t>
        </is>
      </c>
    </row>
    <row r="12">
      <c r="C12" t="inlineStr">
        <is>
          <t>January</t>
        </is>
      </c>
      <c r="D12" t="n">
        <v>2022</v>
      </c>
      <c r="E12">
        <f>T3*(0+5*19.012)</f>
        <v/>
      </c>
      <c r="F12" t="inlineStr">
        <is>
          <t>July</t>
        </is>
      </c>
      <c r="G12" t="n">
        <v>2021</v>
      </c>
      <c r="H12">
        <f>T3*(0+5*20.61)</f>
        <v/>
      </c>
      <c r="K12">
        <f>T3*(0+5*0.36093128/25+5*0.34025725/5)</f>
        <v/>
      </c>
      <c r="M12" t="inlineStr">
        <is>
          <t>GOLD</t>
        </is>
      </c>
      <c r="N12" t="inlineStr">
        <is>
          <t>USD</t>
        </is>
      </c>
      <c r="O12" s="1" t="inlineStr">
        <is>
          <t>0+5*19.012</t>
        </is>
      </c>
      <c r="P12" s="1" t="inlineStr">
        <is>
          <t>0+5*20.61</t>
        </is>
      </c>
      <c r="Q12" s="1" t="inlineStr">
        <is>
          <t>0+5*0.36093128/25+5*0.34025725/5</t>
        </is>
      </c>
    </row>
    <row r="13">
      <c r="C13" t="inlineStr">
        <is>
          <t>January</t>
        </is>
      </c>
      <c r="D13" t="n">
        <v>2022</v>
      </c>
      <c r="E13">
        <f>T3*(0+10*19.012)</f>
        <v/>
      </c>
      <c r="F13" t="inlineStr">
        <is>
          <t>August</t>
        </is>
      </c>
      <c r="G13" t="n">
        <v>2021</v>
      </c>
      <c r="H13">
        <f>T3*(0+10*20.66)</f>
        <v/>
      </c>
      <c r="K13">
        <f>T3*(0+10*0.36093128/25+10*0.34025725/10)</f>
        <v/>
      </c>
      <c r="M13" t="inlineStr">
        <is>
          <t>GOLD</t>
        </is>
      </c>
      <c r="N13" t="inlineStr">
        <is>
          <t>USD</t>
        </is>
      </c>
      <c r="O13" s="1" t="inlineStr">
        <is>
          <t>0+10*19.012</t>
        </is>
      </c>
      <c r="P13" s="1" t="inlineStr">
        <is>
          <t>0+10*20.66</t>
        </is>
      </c>
      <c r="Q13" s="1" t="inlineStr">
        <is>
          <t>0+10*0.36093128/25+10*0.34025725/10</t>
        </is>
      </c>
    </row>
    <row r="14">
      <c r="C14" t="inlineStr">
        <is>
          <t>January</t>
        </is>
      </c>
      <c r="D14" t="n">
        <v>2022</v>
      </c>
      <c r="E14">
        <f>T3*(0+10*19.012)</f>
        <v/>
      </c>
      <c r="F14" t="inlineStr">
        <is>
          <t>September</t>
        </is>
      </c>
      <c r="G14" t="n">
        <v>2021</v>
      </c>
      <c r="H14">
        <f>T3*(0+10*19.3)</f>
        <v/>
      </c>
      <c r="K14">
        <f>T3*(0+10*0.36093128/25+10*0.38625725/30)</f>
        <v/>
      </c>
      <c r="M14" t="inlineStr">
        <is>
          <t>GOLD</t>
        </is>
      </c>
      <c r="N14" t="inlineStr">
        <is>
          <t>USD</t>
        </is>
      </c>
      <c r="O14" s="1" t="inlineStr">
        <is>
          <t>0+10*19.012</t>
        </is>
      </c>
      <c r="P14" s="1" t="inlineStr">
        <is>
          <t>0+10*19.3</t>
        </is>
      </c>
      <c r="Q14" s="1" t="inlineStr">
        <is>
          <t>0+10*0.36093128/25+10*0.38625725/30</t>
        </is>
      </c>
    </row>
    <row r="15">
      <c r="C15" t="inlineStr">
        <is>
          <t>February</t>
        </is>
      </c>
      <c r="D15" t="n">
        <v>2022</v>
      </c>
      <c r="E15">
        <f>T3*(0+20*20.63)</f>
        <v/>
      </c>
      <c r="F15" t="inlineStr">
        <is>
          <t>September</t>
        </is>
      </c>
      <c r="G15" t="n">
        <v>2021</v>
      </c>
      <c r="H15">
        <f>T3*(0+20*19.3)</f>
        <v/>
      </c>
      <c r="K15">
        <f>T3*(0+20*0.33496151/20+20*0.38625725/30)</f>
        <v/>
      </c>
      <c r="M15" t="inlineStr">
        <is>
          <t>GOLD</t>
        </is>
      </c>
      <c r="N15" t="inlineStr">
        <is>
          <t>USD</t>
        </is>
      </c>
      <c r="O15" s="1" t="inlineStr">
        <is>
          <t>0+20*20.63</t>
        </is>
      </c>
      <c r="P15" s="1" t="inlineStr">
        <is>
          <t>0+20*19.3</t>
        </is>
      </c>
      <c r="Q15" s="1" t="inlineStr">
        <is>
          <t>0+20*0.33496151/20+20*0.38625725/30</t>
        </is>
      </c>
    </row>
    <row r="16">
      <c r="C16" t="inlineStr">
        <is>
          <t>October</t>
        </is>
      </c>
      <c r="D16" t="n">
        <v>2022</v>
      </c>
      <c r="E16">
        <f>T3*(0+1*350.86)</f>
        <v/>
      </c>
      <c r="F16" t="inlineStr">
        <is>
          <t>December</t>
        </is>
      </c>
      <c r="G16" t="n">
        <v>2021</v>
      </c>
      <c r="H16">
        <f>T3*(0+1*603.33)</f>
        <v/>
      </c>
      <c r="K16">
        <f>T3*(0+1*1.008164694/1+1*0.34835725/1)</f>
        <v/>
      </c>
      <c r="M16" t="inlineStr">
        <is>
          <t>IDXX</t>
        </is>
      </c>
      <c r="N16" t="inlineStr">
        <is>
          <t>USD</t>
        </is>
      </c>
      <c r="O16" s="1" t="inlineStr">
        <is>
          <t>0+1*350.86</t>
        </is>
      </c>
      <c r="P16" s="1" t="inlineStr">
        <is>
          <t>0+1*603.33</t>
        </is>
      </c>
      <c r="Q16" s="1" t="inlineStr">
        <is>
          <t>0+1*1.008164694/1+1*0.34835725/1</t>
        </is>
      </c>
    </row>
    <row r="17">
      <c r="C17" t="inlineStr">
        <is>
          <t>November</t>
        </is>
      </c>
      <c r="D17" t="n">
        <v>2022</v>
      </c>
      <c r="E17">
        <f>T3*(0+1*396.66)</f>
        <v/>
      </c>
      <c r="F17" t="inlineStr">
        <is>
          <t>January</t>
        </is>
      </c>
      <c r="G17" t="n">
        <v>2022</v>
      </c>
      <c r="H17">
        <f>T3*(0+1*477.33)</f>
        <v/>
      </c>
      <c r="K17">
        <f>T3*(0+1*1.009213514/1+1*0.34835725/1)</f>
        <v/>
      </c>
      <c r="M17" t="inlineStr">
        <is>
          <t>IDXX</t>
        </is>
      </c>
      <c r="N17" t="inlineStr">
        <is>
          <t>USD</t>
        </is>
      </c>
      <c r="O17" s="1" t="inlineStr">
        <is>
          <t>0+1*396.66</t>
        </is>
      </c>
      <c r="P17" s="1" t="inlineStr">
        <is>
          <t>0+1*477.33</t>
        </is>
      </c>
      <c r="Q17" s="1" t="inlineStr">
        <is>
          <t>0+1*1.009213514/1+1*0.34835725/1</t>
        </is>
      </c>
    </row>
    <row r="18">
      <c r="C18" t="inlineStr">
        <is>
          <t>February</t>
        </is>
      </c>
      <c r="D18" t="n">
        <v>2022</v>
      </c>
      <c r="E18">
        <f>T3*(0+10*5.96)</f>
        <v/>
      </c>
      <c r="F18" t="inlineStr">
        <is>
          <t>May</t>
        </is>
      </c>
      <c r="G18" t="n">
        <v>2021</v>
      </c>
      <c r="H18">
        <f>T3*(0+10*7.34)</f>
        <v/>
      </c>
      <c r="K18">
        <f>T3*(0+10*0.28308893/80+10*0.41025725/10)</f>
        <v/>
      </c>
      <c r="M18" t="inlineStr">
        <is>
          <t>KGC</t>
        </is>
      </c>
      <c r="N18" t="inlineStr">
        <is>
          <t>USD</t>
        </is>
      </c>
      <c r="O18" s="1" t="inlineStr">
        <is>
          <t>0+10*5.96</t>
        </is>
      </c>
      <c r="P18" s="1" t="inlineStr">
        <is>
          <t>0+10*7.34</t>
        </is>
      </c>
      <c r="Q18" s="1" t="inlineStr">
        <is>
          <t>0+10*0.28308893/80+10*0.41025725/10</t>
        </is>
      </c>
    </row>
    <row r="19">
      <c r="C19" t="inlineStr">
        <is>
          <t>February</t>
        </is>
      </c>
      <c r="D19" t="n">
        <v>2022</v>
      </c>
      <c r="E19">
        <f>T3*(0+70*5.96)</f>
        <v/>
      </c>
      <c r="F19" t="inlineStr">
        <is>
          <t>June</t>
        </is>
      </c>
      <c r="G19" t="n">
        <v>2021</v>
      </c>
      <c r="H19">
        <f>T3*(0+50*7.41+20*6.648)</f>
        <v/>
      </c>
      <c r="K19">
        <f>T3*(0+70*0.28308893/80+50*0.30025725/50+20*0.35425725/20)</f>
        <v/>
      </c>
      <c r="M19" t="inlineStr">
        <is>
          <t>KGC</t>
        </is>
      </c>
      <c r="N19" t="inlineStr">
        <is>
          <t>USD</t>
        </is>
      </c>
      <c r="O19" s="1" t="inlineStr">
        <is>
          <t>0+70*5.96</t>
        </is>
      </c>
      <c r="P19" s="1" t="inlineStr">
        <is>
          <t>0+50*7.41+20*6.648</t>
        </is>
      </c>
      <c r="Q19" s="1" t="inlineStr">
        <is>
          <t>0+70*0.28308893/80+50*0.30025725/50+20*0.35425725/20</t>
        </is>
      </c>
    </row>
    <row r="20">
      <c r="C20" t="inlineStr">
        <is>
          <t>November</t>
        </is>
      </c>
      <c r="D20" t="n">
        <v>2022</v>
      </c>
      <c r="E20">
        <f>T3*(0+50*4.06)</f>
        <v/>
      </c>
      <c r="F20" t="inlineStr">
        <is>
          <t>September</t>
        </is>
      </c>
      <c r="G20" t="n">
        <v>2021</v>
      </c>
      <c r="H20">
        <f>T3*(0+50*5.72)</f>
        <v/>
      </c>
      <c r="K20">
        <f>T3*(0+50*1.0222974/100+50*0.30025725/50)</f>
        <v/>
      </c>
      <c r="M20" t="inlineStr">
        <is>
          <t>KGC</t>
        </is>
      </c>
      <c r="N20" t="inlineStr">
        <is>
          <t>USD</t>
        </is>
      </c>
      <c r="O20" s="1" t="inlineStr">
        <is>
          <t>0+50*4.06</t>
        </is>
      </c>
      <c r="P20" s="1" t="inlineStr">
        <is>
          <t>0+50*5.72</t>
        </is>
      </c>
      <c r="Q20" s="1" t="inlineStr">
        <is>
          <t>0+50*1.0222974/100+50*0.30025725/50</t>
        </is>
      </c>
    </row>
    <row r="21">
      <c r="C21" t="inlineStr">
        <is>
          <t>November</t>
        </is>
      </c>
      <c r="D21" t="n">
        <v>2022</v>
      </c>
      <c r="E21">
        <f>T3*(0+50*4.06)</f>
        <v/>
      </c>
      <c r="F21" t="inlineStr">
        <is>
          <t>December</t>
        </is>
      </c>
      <c r="G21" t="n">
        <v>2021</v>
      </c>
      <c r="H21">
        <f>T3*(0+50*5.29)</f>
        <v/>
      </c>
      <c r="K21">
        <f>T3*(0+50*1.0222974/100+50*0.27025725/80)</f>
        <v/>
      </c>
      <c r="M21" t="inlineStr">
        <is>
          <t>KGC</t>
        </is>
      </c>
      <c r="N21" t="inlineStr">
        <is>
          <t>USD</t>
        </is>
      </c>
      <c r="O21" s="1" t="inlineStr">
        <is>
          <t>0+50*4.06</t>
        </is>
      </c>
      <c r="P21" s="1" t="inlineStr">
        <is>
          <t>0+50*5.29</t>
        </is>
      </c>
      <c r="Q21" s="1" t="inlineStr">
        <is>
          <t>0+50*1.0222974/100+50*0.27025725/80</t>
        </is>
      </c>
    </row>
    <row r="22">
      <c r="C22" t="inlineStr">
        <is>
          <t>February</t>
        </is>
      </c>
      <c r="D22" t="n">
        <v>2022</v>
      </c>
      <c r="E22">
        <f>T3*(0+8*20.44)</f>
        <v/>
      </c>
      <c r="F22" t="inlineStr">
        <is>
          <t>August</t>
        </is>
      </c>
      <c r="G22" t="n">
        <v>2021</v>
      </c>
      <c r="H22">
        <f>T3*(0+3*24.88+5*21.88)</f>
        <v/>
      </c>
      <c r="K22">
        <f>T3*(0+8*0.311944862/23+3*0.34455725/3+5*0.34075725/5)</f>
        <v/>
      </c>
      <c r="M22" t="inlineStr">
        <is>
          <t>KTOS</t>
        </is>
      </c>
      <c r="N22" t="inlineStr">
        <is>
          <t>USD</t>
        </is>
      </c>
      <c r="O22" s="1" t="inlineStr">
        <is>
          <t>0+8*20.44</t>
        </is>
      </c>
      <c r="P22" s="1" t="inlineStr">
        <is>
          <t>0+3*24.88+5*21.88</t>
        </is>
      </c>
      <c r="Q22" s="1" t="inlineStr">
        <is>
          <t>0+8*0.311944862/23+3*0.34455725/3+5*0.34075725/5</t>
        </is>
      </c>
    </row>
    <row r="23">
      <c r="C23" t="inlineStr">
        <is>
          <t>February</t>
        </is>
      </c>
      <c r="D23" t="n">
        <v>2022</v>
      </c>
      <c r="E23">
        <f>T3*(0+10*20.44)</f>
        <v/>
      </c>
      <c r="F23" t="inlineStr">
        <is>
          <t>September</t>
        </is>
      </c>
      <c r="G23" t="n">
        <v>2021</v>
      </c>
      <c r="H23">
        <f>T3*(0+10*22.06)</f>
        <v/>
      </c>
      <c r="K23">
        <f>T3*(0+10*0.311944862/23+10*0.33125725/10)</f>
        <v/>
      </c>
      <c r="M23" t="inlineStr">
        <is>
          <t>KTOS</t>
        </is>
      </c>
      <c r="N23" t="inlineStr">
        <is>
          <t>USD</t>
        </is>
      </c>
      <c r="O23" s="1" t="inlineStr">
        <is>
          <t>0+10*20.44</t>
        </is>
      </c>
      <c r="P23" s="1" t="inlineStr">
        <is>
          <t>0+10*22.06</t>
        </is>
      </c>
      <c r="Q23" s="1" t="inlineStr">
        <is>
          <t>0+10*0.311944862/23+10*0.33125725/10</t>
        </is>
      </c>
    </row>
    <row r="24">
      <c r="C24" t="inlineStr">
        <is>
          <t>February</t>
        </is>
      </c>
      <c r="D24" t="n">
        <v>2022</v>
      </c>
      <c r="E24">
        <f>T3*(0+5*20.44)</f>
        <v/>
      </c>
      <c r="F24" t="inlineStr">
        <is>
          <t>October</t>
        </is>
      </c>
      <c r="G24" t="n">
        <v>2021</v>
      </c>
      <c r="H24">
        <f>T3*(0+5*22.06)</f>
        <v/>
      </c>
      <c r="K24">
        <f>T3*(0+5*0.311944862/23+5*0.33125725/10)</f>
        <v/>
      </c>
      <c r="M24" t="inlineStr">
        <is>
          <t>KTOS</t>
        </is>
      </c>
      <c r="N24" t="inlineStr">
        <is>
          <t>USD</t>
        </is>
      </c>
      <c r="O24" s="1" t="inlineStr">
        <is>
          <t>0+5*20.44</t>
        </is>
      </c>
      <c r="P24" s="1" t="inlineStr">
        <is>
          <t>0+5*22.06</t>
        </is>
      </c>
      <c r="Q24" s="1" t="inlineStr">
        <is>
          <t>0+5*0.311944862/23+5*0.33125725/10</t>
        </is>
      </c>
    </row>
    <row r="25">
      <c r="C25" t="inlineStr">
        <is>
          <t>March</t>
        </is>
      </c>
      <c r="D25" t="n">
        <v>2022</v>
      </c>
      <c r="E25">
        <f>T3*(0+5*104.33)</f>
        <v/>
      </c>
      <c r="F25" t="inlineStr">
        <is>
          <t>December</t>
        </is>
      </c>
      <c r="G25" t="n">
        <v>2021</v>
      </c>
      <c r="H25">
        <f>T3*(0+5*89.33)</f>
        <v/>
      </c>
      <c r="K25">
        <f>T3*(0+5*0.348567665/5+5*0.34525725/5)</f>
        <v/>
      </c>
      <c r="M25" t="inlineStr">
        <is>
          <t>LDOS</t>
        </is>
      </c>
      <c r="N25" t="inlineStr">
        <is>
          <t>USD</t>
        </is>
      </c>
      <c r="O25" s="1" t="inlineStr">
        <is>
          <t>0+5*104.33</t>
        </is>
      </c>
      <c r="P25" s="1" t="inlineStr">
        <is>
          <t>0+5*89.33</t>
        </is>
      </c>
      <c r="Q25" s="1" t="inlineStr">
        <is>
          <t>0+5*0.348567665/5+5*0.34525725/5</t>
        </is>
      </c>
    </row>
    <row r="26">
      <c r="C26" t="inlineStr">
        <is>
          <t>August</t>
        </is>
      </c>
      <c r="D26" t="n">
        <v>2022</v>
      </c>
      <c r="E26">
        <f>T3*(0+2*179.66)</f>
        <v/>
      </c>
      <c r="F26" t="inlineStr">
        <is>
          <t>November</t>
        </is>
      </c>
      <c r="G26" t="n">
        <v>2021</v>
      </c>
      <c r="H26">
        <f>T3*(0+2*286.06)</f>
        <v/>
      </c>
      <c r="K26">
        <f>T3*(0+2*1.012732642/3+2*0.34455725/2)</f>
        <v/>
      </c>
      <c r="M26" t="inlineStr">
        <is>
          <t>MRNA</t>
        </is>
      </c>
      <c r="N26" t="inlineStr">
        <is>
          <t>USD</t>
        </is>
      </c>
      <c r="O26" s="1" t="inlineStr">
        <is>
          <t>0+2*179.66</t>
        </is>
      </c>
      <c r="P26" s="1" t="inlineStr">
        <is>
          <t>0+2*286.06</t>
        </is>
      </c>
      <c r="Q26" s="1" t="inlineStr">
        <is>
          <t>0+2*1.012732642/3+2*0.34455725/2</t>
        </is>
      </c>
    </row>
    <row r="27">
      <c r="C27" t="inlineStr">
        <is>
          <t>August</t>
        </is>
      </c>
      <c r="D27" t="n">
        <v>2022</v>
      </c>
      <c r="E27">
        <f>T3*(0+1*179.66)</f>
        <v/>
      </c>
      <c r="F27" t="inlineStr">
        <is>
          <t>January</t>
        </is>
      </c>
      <c r="G27" t="n">
        <v>2022</v>
      </c>
      <c r="H27">
        <f>T3*(0+1*222.33)</f>
        <v/>
      </c>
      <c r="K27">
        <f>T3*(0+1*1.012732642/3+1*0.34645725/2)</f>
        <v/>
      </c>
      <c r="M27" t="inlineStr">
        <is>
          <t>MRNA</t>
        </is>
      </c>
      <c r="N27" t="inlineStr">
        <is>
          <t>USD</t>
        </is>
      </c>
      <c r="O27" s="1" t="inlineStr">
        <is>
          <t>0+1*179.66</t>
        </is>
      </c>
      <c r="P27" s="1" t="inlineStr">
        <is>
          <t>0+1*222.33</t>
        </is>
      </c>
      <c r="Q27" s="1" t="inlineStr">
        <is>
          <t>0+1*1.012732642/3+1*0.34645725/2</t>
        </is>
      </c>
    </row>
    <row r="28">
      <c r="C28" t="inlineStr">
        <is>
          <t>December</t>
        </is>
      </c>
      <c r="D28" t="n">
        <v>2022</v>
      </c>
      <c r="E28">
        <f>T3*(0+1*184.66)</f>
        <v/>
      </c>
      <c r="F28" t="inlineStr">
        <is>
          <t>January</t>
        </is>
      </c>
      <c r="G28" t="n">
        <v>2022</v>
      </c>
      <c r="H28">
        <f>T3*(0+1*222.33)</f>
        <v/>
      </c>
      <c r="K28">
        <f>T3*(0+1*1.013076142/3+1*0.34645725/2)</f>
        <v/>
      </c>
      <c r="M28" t="inlineStr">
        <is>
          <t>MRNA</t>
        </is>
      </c>
      <c r="N28" t="inlineStr">
        <is>
          <t>USD</t>
        </is>
      </c>
      <c r="O28" s="1" t="inlineStr">
        <is>
          <t>0+1*184.66</t>
        </is>
      </c>
      <c r="P28" s="1" t="inlineStr">
        <is>
          <t>0+1*222.33</t>
        </is>
      </c>
      <c r="Q28" s="1" t="inlineStr">
        <is>
          <t>0+1*1.013076142/3+1*0.34645725/2</t>
        </is>
      </c>
    </row>
    <row r="29">
      <c r="C29" t="inlineStr">
        <is>
          <t>December</t>
        </is>
      </c>
      <c r="D29" t="n">
        <v>2022</v>
      </c>
      <c r="E29">
        <f>T3*(0+2*184.66)</f>
        <v/>
      </c>
      <c r="F29" t="inlineStr">
        <is>
          <t>February</t>
        </is>
      </c>
      <c r="G29" t="n">
        <v>2022</v>
      </c>
      <c r="H29">
        <f>T3*(0+2*147.66)</f>
        <v/>
      </c>
      <c r="K29">
        <f>T3*(0+2*1.013076142/3+2*0.34645725/2)</f>
        <v/>
      </c>
      <c r="M29" t="inlineStr">
        <is>
          <t>MRNA</t>
        </is>
      </c>
      <c r="N29" t="inlineStr">
        <is>
          <t>USD</t>
        </is>
      </c>
      <c r="O29" s="1" t="inlineStr">
        <is>
          <t>0+2*184.66</t>
        </is>
      </c>
      <c r="P29" s="1" t="inlineStr">
        <is>
          <t>0+2*147.66</t>
        </is>
      </c>
      <c r="Q29" s="1" t="inlineStr">
        <is>
          <t>0+2*1.013076142/3+2*0.34645725/2</t>
        </is>
      </c>
    </row>
    <row r="30">
      <c r="C30" t="inlineStr">
        <is>
          <t>April</t>
        </is>
      </c>
      <c r="D30" t="n">
        <v>2022</v>
      </c>
      <c r="E30">
        <f>T3*(0+100*2.87)</f>
        <v/>
      </c>
      <c r="F30" t="inlineStr">
        <is>
          <t>August</t>
        </is>
      </c>
      <c r="G30" t="n">
        <v>2021</v>
      </c>
      <c r="H30">
        <f>T3*(0+100*2.31)</f>
        <v/>
      </c>
      <c r="K30">
        <f>T3*(0+100*1.95496206/380+100*0.25025725/100)</f>
        <v/>
      </c>
      <c r="M30" t="inlineStr">
        <is>
          <t>NAT</t>
        </is>
      </c>
      <c r="N30" t="inlineStr">
        <is>
          <t>USD</t>
        </is>
      </c>
      <c r="O30" s="1" t="inlineStr">
        <is>
          <t>0+100*2.87</t>
        </is>
      </c>
      <c r="P30" s="1" t="inlineStr">
        <is>
          <t>0+100*2.31</t>
        </is>
      </c>
      <c r="Q30" s="1" t="inlineStr">
        <is>
          <t>0+100*1.95496206/380+100*0.25025725/100</t>
        </is>
      </c>
    </row>
    <row r="31">
      <c r="C31" t="inlineStr">
        <is>
          <t>April</t>
        </is>
      </c>
      <c r="D31" t="n">
        <v>2022</v>
      </c>
      <c r="E31">
        <f>T3*(0+280*2.87)</f>
        <v/>
      </c>
      <c r="F31" t="inlineStr">
        <is>
          <t>December</t>
        </is>
      </c>
      <c r="G31" t="n">
        <v>2021</v>
      </c>
      <c r="H31">
        <f>T3*(0+280*1.68)</f>
        <v/>
      </c>
      <c r="K31">
        <f>T3*(0+280*1.95496206/380+280*0.7007203/280)</f>
        <v/>
      </c>
      <c r="M31" t="inlineStr">
        <is>
          <t>NAT</t>
        </is>
      </c>
      <c r="N31" t="inlineStr">
        <is>
          <t>USD</t>
        </is>
      </c>
      <c r="O31" s="1" t="inlineStr">
        <is>
          <t>0+280*2.87</t>
        </is>
      </c>
      <c r="P31" s="1" t="inlineStr">
        <is>
          <t>0+280*1.68</t>
        </is>
      </c>
      <c r="Q31" s="1" t="inlineStr">
        <is>
          <t>0+280*1.95496206/380+280*0.7007203/280</t>
        </is>
      </c>
    </row>
    <row r="32">
      <c r="C32" t="inlineStr">
        <is>
          <t>February</t>
        </is>
      </c>
      <c r="D32" t="n">
        <v>2022</v>
      </c>
      <c r="E32">
        <f>T3*(0+6*90.09)</f>
        <v/>
      </c>
      <c r="F32" t="inlineStr">
        <is>
          <t>November</t>
        </is>
      </c>
      <c r="G32" t="n">
        <v>2021</v>
      </c>
      <c r="H32">
        <f>T3*(0+6*66.66)</f>
        <v/>
      </c>
      <c r="K32">
        <f>T3*(0+6*0.360994004/6+6*0.34425725/6)</f>
        <v/>
      </c>
      <c r="M32" t="inlineStr">
        <is>
          <t>OMC</t>
        </is>
      </c>
      <c r="N32" t="inlineStr">
        <is>
          <t>USD</t>
        </is>
      </c>
      <c r="O32" s="1" t="inlineStr">
        <is>
          <t>0+6*90.09</t>
        </is>
      </c>
      <c r="P32" s="1" t="inlineStr">
        <is>
          <t>0+6*66.66</t>
        </is>
      </c>
      <c r="Q32" s="1" t="inlineStr">
        <is>
          <t>0+6*0.360994004/6+6*0.34425725/6</t>
        </is>
      </c>
    </row>
    <row r="33">
      <c r="C33" t="inlineStr">
        <is>
          <t>February</t>
        </is>
      </c>
      <c r="D33" t="n">
        <v>2022</v>
      </c>
      <c r="E33">
        <f>T3*(0+8*66.52)</f>
        <v/>
      </c>
      <c r="F33" t="inlineStr">
        <is>
          <t>October</t>
        </is>
      </c>
      <c r="G33" t="n">
        <v>2021</v>
      </c>
      <c r="H33">
        <f>T3*(0+3*67.14+5*66.33)</f>
        <v/>
      </c>
      <c r="K33">
        <f>T3*(0+8*0.346011266/8+3*0.34725725/3+5*0.34525725/5)</f>
        <v/>
      </c>
      <c r="M33" t="inlineStr">
        <is>
          <t>PNW</t>
        </is>
      </c>
      <c r="N33" t="inlineStr">
        <is>
          <t>USD</t>
        </is>
      </c>
      <c r="O33" s="1" t="inlineStr">
        <is>
          <t>0+8*66.52</t>
        </is>
      </c>
      <c r="P33" s="1" t="inlineStr">
        <is>
          <t>0+3*67.14+5*66.33</t>
        </is>
      </c>
      <c r="Q33" s="1" t="inlineStr">
        <is>
          <t>0+8*0.346011266/8+3*0.34725725/3+5*0.34525725/5</t>
        </is>
      </c>
    </row>
    <row r="34">
      <c r="C34" t="inlineStr">
        <is>
          <t>February</t>
        </is>
      </c>
      <c r="D34" t="n">
        <v>2022</v>
      </c>
      <c r="E34">
        <f>T3*(0+2*98.96)</f>
        <v/>
      </c>
      <c r="F34" t="inlineStr">
        <is>
          <t>July</t>
        </is>
      </c>
      <c r="G34" t="n">
        <v>2021</v>
      </c>
      <c r="H34">
        <f>T3*(0+2*97.66)</f>
        <v/>
      </c>
      <c r="K34">
        <f>T3*(0+2*0.34443073/5+2*0.34665725/2)</f>
        <v/>
      </c>
      <c r="M34" t="inlineStr">
        <is>
          <t>PPLT</t>
        </is>
      </c>
      <c r="N34" t="inlineStr">
        <is>
          <t>USD</t>
        </is>
      </c>
      <c r="O34" s="1" t="inlineStr">
        <is>
          <t>0+2*98.96</t>
        </is>
      </c>
      <c r="P34" s="1" t="inlineStr">
        <is>
          <t>0+2*97.66</t>
        </is>
      </c>
      <c r="Q34" s="1" t="inlineStr">
        <is>
          <t>0+2*0.34443073/5+2*0.34665725/2</t>
        </is>
      </c>
    </row>
    <row r="35">
      <c r="C35" t="inlineStr">
        <is>
          <t>February</t>
        </is>
      </c>
      <c r="D35" t="n">
        <v>2022</v>
      </c>
      <c r="E35">
        <f>T3*(0+2*98.96)</f>
        <v/>
      </c>
      <c r="F35" t="inlineStr">
        <is>
          <t>August</t>
        </is>
      </c>
      <c r="G35" t="n">
        <v>2021</v>
      </c>
      <c r="H35">
        <f>T3*(0+2*93.02)</f>
        <v/>
      </c>
      <c r="K35">
        <f>T3*(0+2*0.34443073/5+2*0.35185725/2)</f>
        <v/>
      </c>
      <c r="M35" t="inlineStr">
        <is>
          <t>PPLT</t>
        </is>
      </c>
      <c r="N35" t="inlineStr">
        <is>
          <t>USD</t>
        </is>
      </c>
      <c r="O35" s="1" t="inlineStr">
        <is>
          <t>0+2*98.96</t>
        </is>
      </c>
      <c r="P35" s="1" t="inlineStr">
        <is>
          <t>0+2*93.02</t>
        </is>
      </c>
      <c r="Q35" s="1" t="inlineStr">
        <is>
          <t>0+2*0.34443073/5+2*0.35185725/2</t>
        </is>
      </c>
    </row>
    <row r="36">
      <c r="C36" t="inlineStr">
        <is>
          <t>February</t>
        </is>
      </c>
      <c r="D36" t="n">
        <v>2022</v>
      </c>
      <c r="E36">
        <f>T3*(0+1*98.96)</f>
        <v/>
      </c>
      <c r="F36" t="inlineStr">
        <is>
          <t>September</t>
        </is>
      </c>
      <c r="G36" t="n">
        <v>2021</v>
      </c>
      <c r="H36">
        <f>T3*(0+1*91.33)</f>
        <v/>
      </c>
      <c r="K36">
        <f>T3*(0+1*0.34443073/5+1*0.34125725/5)</f>
        <v/>
      </c>
      <c r="M36" t="inlineStr">
        <is>
          <t>PPLT</t>
        </is>
      </c>
      <c r="N36" t="inlineStr">
        <is>
          <t>USD</t>
        </is>
      </c>
      <c r="O36" s="1" t="inlineStr">
        <is>
          <t>0+1*98.96</t>
        </is>
      </c>
      <c r="P36" s="1" t="inlineStr">
        <is>
          <t>0+1*91.33</t>
        </is>
      </c>
      <c r="Q36" s="1" t="inlineStr">
        <is>
          <t>0+1*0.34443073/5+1*0.34125725/5</t>
        </is>
      </c>
    </row>
    <row r="37">
      <c r="C37" t="inlineStr">
        <is>
          <t>December</t>
        </is>
      </c>
      <c r="D37" t="n">
        <v>2022</v>
      </c>
      <c r="E37">
        <f>T3*(0+4*97.33)</f>
        <v/>
      </c>
      <c r="F37" t="inlineStr">
        <is>
          <t>September</t>
        </is>
      </c>
      <c r="G37" t="n">
        <v>2021</v>
      </c>
      <c r="H37">
        <f>T3*(0+4*91.33)</f>
        <v/>
      </c>
      <c r="K37">
        <f>T3*(0+4*1.009435428/4+4*0.34125725/5)</f>
        <v/>
      </c>
      <c r="M37" t="inlineStr">
        <is>
          <t>PPLT</t>
        </is>
      </c>
      <c r="N37" t="inlineStr">
        <is>
          <t>USD</t>
        </is>
      </c>
      <c r="O37" s="1" t="inlineStr">
        <is>
          <t>0+4*97.33</t>
        </is>
      </c>
      <c r="P37" s="1" t="inlineStr">
        <is>
          <t>0+4*91.33</t>
        </is>
      </c>
      <c r="Q37" s="1" t="inlineStr">
        <is>
          <t>0+4*1.009435428/4+4*0.34125725/5</t>
        </is>
      </c>
    </row>
    <row r="38">
      <c r="C38" t="inlineStr">
        <is>
          <t>January</t>
        </is>
      </c>
      <c r="D38" t="n">
        <v>2022</v>
      </c>
      <c r="E38">
        <f>T3*(0+150*3.59)</f>
        <v/>
      </c>
      <c r="F38" t="inlineStr">
        <is>
          <t>November</t>
        </is>
      </c>
      <c r="G38" t="n">
        <v>2021</v>
      </c>
      <c r="H38">
        <f>T3*(0+150*3)</f>
        <v/>
      </c>
      <c r="K38">
        <f>T3*(0+150*0.727632225/150+150*0.705385875/150)</f>
        <v/>
      </c>
      <c r="M38" t="inlineStr">
        <is>
          <t>RIG</t>
        </is>
      </c>
      <c r="N38" t="inlineStr">
        <is>
          <t>USD</t>
        </is>
      </c>
      <c r="O38" s="1" t="inlineStr">
        <is>
          <t>0+150*3.59</t>
        </is>
      </c>
      <c r="P38" s="1" t="inlineStr">
        <is>
          <t>0+150*3</t>
        </is>
      </c>
      <c r="Q38" s="1" t="inlineStr">
        <is>
          <t>0+150*0.727632225/150+150*0.705385875/150</t>
        </is>
      </c>
    </row>
    <row r="39">
      <c r="C39" t="inlineStr">
        <is>
          <t>January</t>
        </is>
      </c>
      <c r="D39" t="n">
        <v>2022</v>
      </c>
      <c r="E39">
        <f>T3*(0+10*23.86)</f>
        <v/>
      </c>
      <c r="F39" t="inlineStr">
        <is>
          <t>October</t>
        </is>
      </c>
      <c r="G39" t="n">
        <v>2021</v>
      </c>
      <c r="H39">
        <f>T3*(0+10*22.61)</f>
        <v/>
      </c>
      <c r="K39">
        <f>T3*(0+10*0.313752342/22+10*0.33125725/10)</f>
        <v/>
      </c>
      <c r="M39" t="inlineStr">
        <is>
          <t>SBLK</t>
        </is>
      </c>
      <c r="N39" t="inlineStr">
        <is>
          <t>USD</t>
        </is>
      </c>
      <c r="O39" s="1" t="inlineStr">
        <is>
          <t>0+10*23.86</t>
        </is>
      </c>
      <c r="P39" s="1" t="inlineStr">
        <is>
          <t>0+10*22.61</t>
        </is>
      </c>
      <c r="Q39" s="1" t="inlineStr">
        <is>
          <t>0+10*0.313752342/22+10*0.33125725/10</t>
        </is>
      </c>
    </row>
    <row r="40">
      <c r="C40" t="inlineStr">
        <is>
          <t>January</t>
        </is>
      </c>
      <c r="D40" t="n">
        <v>2022</v>
      </c>
      <c r="E40">
        <f>T3*(0+12*23.86)</f>
        <v/>
      </c>
      <c r="F40" t="inlineStr">
        <is>
          <t>November</t>
        </is>
      </c>
      <c r="G40" t="n">
        <v>2021</v>
      </c>
      <c r="H40">
        <f>T3*(0+5*18.615+7*18.33)</f>
        <v/>
      </c>
      <c r="K40">
        <f>T3*(0+12*0.313752342/22+5*0.35125725/5+7*0.30275725/25)</f>
        <v/>
      </c>
      <c r="M40" t="inlineStr">
        <is>
          <t>SBLK</t>
        </is>
      </c>
      <c r="N40" t="inlineStr">
        <is>
          <t>USD</t>
        </is>
      </c>
      <c r="O40" s="1" t="inlineStr">
        <is>
          <t>0+12*23.86</t>
        </is>
      </c>
      <c r="P40" s="1" t="inlineStr">
        <is>
          <t>0+5*18.615+7*18.33</t>
        </is>
      </c>
      <c r="Q40" s="1" t="inlineStr">
        <is>
          <t>0+12*0.313752342/22+5*0.35125725/5+7*0.30275725/25</t>
        </is>
      </c>
    </row>
    <row r="41">
      <c r="C41" t="inlineStr">
        <is>
          <t>February</t>
        </is>
      </c>
      <c r="D41" t="n">
        <v>2022</v>
      </c>
      <c r="E41">
        <f>T3*(0+18*25.715)</f>
        <v/>
      </c>
      <c r="F41" t="inlineStr">
        <is>
          <t>November</t>
        </is>
      </c>
      <c r="G41" t="n">
        <v>2021</v>
      </c>
      <c r="H41">
        <f>T3*(0+18*18.33)</f>
        <v/>
      </c>
      <c r="K41">
        <f>T3*(0+18*0.358557887/18+18*0.30275725/25)</f>
        <v/>
      </c>
      <c r="M41" t="inlineStr">
        <is>
          <t>SBLK</t>
        </is>
      </c>
      <c r="N41" t="inlineStr">
        <is>
          <t>USD</t>
        </is>
      </c>
      <c r="O41" s="1" t="inlineStr">
        <is>
          <t>0+18*25.715</t>
        </is>
      </c>
      <c r="P41" s="1" t="inlineStr">
        <is>
          <t>0+18*18.33</t>
        </is>
      </c>
      <c r="Q41" s="1" t="inlineStr">
        <is>
          <t>0+18*0.358557887/18+18*0.30275725/25</t>
        </is>
      </c>
    </row>
    <row r="42">
      <c r="C42" t="inlineStr">
        <is>
          <t>November</t>
        </is>
      </c>
      <c r="D42" t="n">
        <v>2022</v>
      </c>
      <c r="E42">
        <f>T3*(0+10*19.56)</f>
        <v/>
      </c>
      <c r="F42" t="inlineStr">
        <is>
          <t>June</t>
        </is>
      </c>
      <c r="G42" t="n">
        <v>2021</v>
      </c>
      <c r="H42">
        <f>T3*(0+10*24.36)</f>
        <v/>
      </c>
      <c r="K42">
        <f>T3*(0+10*1.0144481/25+10*0.36625725/10)</f>
        <v/>
      </c>
      <c r="M42" t="inlineStr">
        <is>
          <t>SLV</t>
        </is>
      </c>
      <c r="N42" t="inlineStr">
        <is>
          <t>USD</t>
        </is>
      </c>
      <c r="O42" s="1" t="inlineStr">
        <is>
          <t>0+10*19.56</t>
        </is>
      </c>
      <c r="P42" s="1" t="inlineStr">
        <is>
          <t>0+10*24.36</t>
        </is>
      </c>
      <c r="Q42" s="1" t="inlineStr">
        <is>
          <t>0+10*1.0144481/25+10*0.36625725/10</t>
        </is>
      </c>
    </row>
    <row r="43">
      <c r="C43" t="inlineStr">
        <is>
          <t>November</t>
        </is>
      </c>
      <c r="D43" t="n">
        <v>2022</v>
      </c>
      <c r="E43">
        <f>T3*(0+15*19.56)</f>
        <v/>
      </c>
      <c r="F43" t="inlineStr">
        <is>
          <t>August</t>
        </is>
      </c>
      <c r="G43" t="n">
        <v>2021</v>
      </c>
      <c r="H43">
        <f>T3*(0+10*22.66+5*21.6)</f>
        <v/>
      </c>
      <c r="K43">
        <f>T3*(0+15*1.0144481/25+10*0.33225725/10+5*0.35425725/5)</f>
        <v/>
      </c>
      <c r="M43" t="inlineStr">
        <is>
          <t>SLV</t>
        </is>
      </c>
      <c r="N43" t="inlineStr">
        <is>
          <t>USD</t>
        </is>
      </c>
      <c r="O43" s="1" t="inlineStr">
        <is>
          <t>0+15*19.56</t>
        </is>
      </c>
      <c r="P43" s="1" t="inlineStr">
        <is>
          <t>0+10*22.66+5*21.6</t>
        </is>
      </c>
      <c r="Q43" s="1" t="inlineStr">
        <is>
          <t>0+15*1.0144481/25+10*0.33225725/10+5*0.35425725/5</t>
        </is>
      </c>
    </row>
    <row r="44">
      <c r="C44" t="inlineStr">
        <is>
          <t>July</t>
        </is>
      </c>
      <c r="D44" t="n">
        <v>2022</v>
      </c>
      <c r="E44">
        <f>T3*(0+30*16.21)</f>
        <v/>
      </c>
      <c r="F44" t="inlineStr">
        <is>
          <t>October</t>
        </is>
      </c>
      <c r="G44" t="n">
        <v>2021</v>
      </c>
      <c r="H44">
        <f>T3*(0+10*16.03+20*15.92)</f>
        <v/>
      </c>
      <c r="K44">
        <f>T3*(0+30*1.01503627/30+10*0.36225725/10+20*0.33025725/20)</f>
        <v/>
      </c>
      <c r="M44" t="inlineStr">
        <is>
          <t>SPH</t>
        </is>
      </c>
      <c r="N44" t="inlineStr">
        <is>
          <t>USD</t>
        </is>
      </c>
      <c r="O44" s="1" t="inlineStr">
        <is>
          <t>0+30*16.21</t>
        </is>
      </c>
      <c r="P44" s="1" t="inlineStr">
        <is>
          <t>0+10*16.03+20*15.92</t>
        </is>
      </c>
      <c r="Q44" s="1" t="inlineStr">
        <is>
          <t>0+30*1.01503627/30+10*0.36225725/10+20*0.33025725/20</t>
        </is>
      </c>
    </row>
    <row r="45">
      <c r="C45" t="inlineStr">
        <is>
          <t>January</t>
        </is>
      </c>
      <c r="D45" t="n">
        <v>2022</v>
      </c>
      <c r="E45">
        <f>T3*(0+35*16.415)</f>
        <v/>
      </c>
      <c r="F45" t="inlineStr">
        <is>
          <t>December</t>
        </is>
      </c>
      <c r="G45" t="n">
        <v>2021</v>
      </c>
      <c r="H45">
        <f>T3*(0+35*14.4)</f>
        <v/>
      </c>
      <c r="K45">
        <f>T3*(0+35*0.364737327/35+35*0.37825725/35)</f>
        <v/>
      </c>
      <c r="M45" t="inlineStr">
        <is>
          <t>UNG</t>
        </is>
      </c>
      <c r="N45" t="inlineStr">
        <is>
          <t>USD</t>
        </is>
      </c>
      <c r="O45" s="1" t="inlineStr">
        <is>
          <t>0+35*16.415</t>
        </is>
      </c>
      <c r="P45" s="1" t="inlineStr">
        <is>
          <t>0+35*14.4</t>
        </is>
      </c>
      <c r="Q45" s="1" t="inlineStr">
        <is>
          <t>0+35*0.364737327/35+35*0.37825725/35</t>
        </is>
      </c>
    </row>
    <row r="46">
      <c r="C46" t="inlineStr">
        <is>
          <t>February</t>
        </is>
      </c>
      <c r="D46" t="n">
        <v>2022</v>
      </c>
      <c r="E46">
        <f>T3*(0+30*15.96)</f>
        <v/>
      </c>
      <c r="F46" t="inlineStr">
        <is>
          <t>November</t>
        </is>
      </c>
      <c r="G46" t="n">
        <v>2021</v>
      </c>
      <c r="H46">
        <f>T3*(0+30*11.8)</f>
        <v/>
      </c>
      <c r="K46">
        <f>T3*(0+30*0.32659913/30+30*0.30025725/30)</f>
        <v/>
      </c>
      <c r="M46" t="inlineStr">
        <is>
          <t>VALE</t>
        </is>
      </c>
      <c r="N46" t="inlineStr">
        <is>
          <t>USD</t>
        </is>
      </c>
      <c r="O46" s="1" t="inlineStr">
        <is>
          <t>0+30*15.96</t>
        </is>
      </c>
      <c r="P46" s="1" t="inlineStr">
        <is>
          <t>0+30*11.8</t>
        </is>
      </c>
      <c r="Q46" s="1" t="inlineStr">
        <is>
          <t>0+30*0.32659913/30+30*0.30025725/30</t>
        </is>
      </c>
    </row>
    <row r="47">
      <c r="C47" t="inlineStr">
        <is>
          <t>January</t>
        </is>
      </c>
      <c r="D47" t="n">
        <v>2022</v>
      </c>
      <c r="E47">
        <f>T3*(0+15*25.65)</f>
        <v/>
      </c>
      <c r="F47" t="inlineStr">
        <is>
          <t>October</t>
        </is>
      </c>
      <c r="G47" t="n">
        <v>2021</v>
      </c>
      <c r="H47">
        <f>T3*(0+5*20.585+10*20.51)</f>
        <v/>
      </c>
      <c r="K47">
        <f>T3*(0+15*0.339169475/15+5*0.35225725/5+10*0.34025725/10)</f>
        <v/>
      </c>
      <c r="M47" t="inlineStr">
        <is>
          <t>X</t>
        </is>
      </c>
      <c r="N47" t="inlineStr">
        <is>
          <t>USD</t>
        </is>
      </c>
      <c r="O47" s="1" t="inlineStr">
        <is>
          <t>0+15*25.65</t>
        </is>
      </c>
      <c r="P47" s="1" t="inlineStr">
        <is>
          <t>0+5*20.585+10*20.51</t>
        </is>
      </c>
      <c r="Q47" s="1" t="inlineStr">
        <is>
          <t>0+15*0.339169475/15+5*0.35225725/5+10*0.34025725/10</t>
        </is>
      </c>
    </row>
    <row r="48">
      <c r="C48" t="inlineStr">
        <is>
          <t>June</t>
        </is>
      </c>
      <c r="D48" t="n">
        <v>2022</v>
      </c>
      <c r="E48">
        <f>T3*(0+15*25.66)</f>
        <v/>
      </c>
      <c r="F48" t="inlineStr">
        <is>
          <t>February</t>
        </is>
      </c>
      <c r="G48" t="n">
        <v>2022</v>
      </c>
      <c r="H48">
        <f>T3*(0+15*30.33)</f>
        <v/>
      </c>
      <c r="K48">
        <f>T3*(0+15*1.01076421/15+15*0.33525725/15)</f>
        <v/>
      </c>
      <c r="M48" t="inlineStr">
        <is>
          <t>BGS</t>
        </is>
      </c>
      <c r="N48" t="inlineStr">
        <is>
          <t>USD</t>
        </is>
      </c>
      <c r="O48" s="1" t="inlineStr">
        <is>
          <t>0+15*25.66</t>
        </is>
      </c>
      <c r="P48" s="1" t="inlineStr">
        <is>
          <t>0+15*30.33</t>
        </is>
      </c>
      <c r="Q48" s="1" t="inlineStr">
        <is>
          <t>0+15*1.01076421/15+15*0.33525725/15</t>
        </is>
      </c>
    </row>
    <row r="49">
      <c r="C49" t="inlineStr">
        <is>
          <t>March</t>
        </is>
      </c>
      <c r="D49" t="n">
        <v>2022</v>
      </c>
      <c r="E49">
        <f>T3*(0+140*4.21)</f>
        <v/>
      </c>
      <c r="F49" t="inlineStr">
        <is>
          <t>January</t>
        </is>
      </c>
      <c r="G49" t="n">
        <v>2022</v>
      </c>
      <c r="H49">
        <f>T3*(0+140*3.53)</f>
        <v/>
      </c>
      <c r="K49">
        <f>T3*(0+140*0.25956609/140+140*0.23836015/140)</f>
        <v/>
      </c>
      <c r="M49" t="inlineStr">
        <is>
          <t>BTG</t>
        </is>
      </c>
      <c r="N49" t="inlineStr">
        <is>
          <t>USD</t>
        </is>
      </c>
      <c r="O49" s="1" t="inlineStr">
        <is>
          <t>0+140*4.21</t>
        </is>
      </c>
      <c r="P49" s="1" t="inlineStr">
        <is>
          <t>0+140*3.53</t>
        </is>
      </c>
      <c r="Q49" s="1" t="inlineStr">
        <is>
          <t>0+140*0.25956609/140+140*0.23836015/140</t>
        </is>
      </c>
    </row>
    <row r="50">
      <c r="C50" t="inlineStr">
        <is>
          <t>November</t>
        </is>
      </c>
      <c r="D50" t="n">
        <v>2022</v>
      </c>
      <c r="E50">
        <f>T3*(0+100*3.45)</f>
        <v/>
      </c>
      <c r="F50" t="inlineStr">
        <is>
          <t>March</t>
        </is>
      </c>
      <c r="G50" t="n">
        <v>2022</v>
      </c>
      <c r="H50">
        <f>T3*(0+100*4.535)</f>
        <v/>
      </c>
      <c r="K50">
        <f>T3*(0+100*1.03135075/150+100*0.37025725/100)</f>
        <v/>
      </c>
      <c r="M50" t="inlineStr">
        <is>
          <t>BTG</t>
        </is>
      </c>
      <c r="N50" t="inlineStr">
        <is>
          <t>USD</t>
        </is>
      </c>
      <c r="O50" s="1" t="inlineStr">
        <is>
          <t>0+100*3.45</t>
        </is>
      </c>
      <c r="P50" s="1" t="inlineStr">
        <is>
          <t>0+100*4.535</t>
        </is>
      </c>
      <c r="Q50" s="1" t="inlineStr">
        <is>
          <t>0+100*1.03135075/150+100*0.37025725/100</t>
        </is>
      </c>
    </row>
    <row r="51">
      <c r="C51" t="inlineStr">
        <is>
          <t>November</t>
        </is>
      </c>
      <c r="D51" t="n">
        <v>2022</v>
      </c>
      <c r="E51">
        <f>T3*(0+50*3.45)</f>
        <v/>
      </c>
      <c r="F51" t="inlineStr">
        <is>
          <t>August</t>
        </is>
      </c>
      <c r="G51" t="n">
        <v>2022</v>
      </c>
      <c r="H51">
        <f>T3*(0+50*3.11)</f>
        <v/>
      </c>
      <c r="K51">
        <f>T3*(0+50*1.03135075/150+50*1/50)</f>
        <v/>
      </c>
      <c r="M51" t="inlineStr">
        <is>
          <t>BTG</t>
        </is>
      </c>
      <c r="N51" t="inlineStr">
        <is>
          <t>USD</t>
        </is>
      </c>
      <c r="O51" s="1" t="inlineStr">
        <is>
          <t>0+50*3.45</t>
        </is>
      </c>
      <c r="P51" s="1" t="inlineStr">
        <is>
          <t>0+50*3.11</t>
        </is>
      </c>
      <c r="Q51" s="1" t="inlineStr">
        <is>
          <t>0+50*1.03135075/150+50*1/50</t>
        </is>
      </c>
    </row>
    <row r="52">
      <c r="C52" t="inlineStr">
        <is>
          <t>February</t>
        </is>
      </c>
      <c r="D52" t="n">
        <v>2022</v>
      </c>
      <c r="E52">
        <f>T3*(0+10*33.7)</f>
        <v/>
      </c>
      <c r="F52" t="inlineStr">
        <is>
          <t>February</t>
        </is>
      </c>
      <c r="G52" t="n">
        <v>2022</v>
      </c>
      <c r="H52">
        <f>T3*(0+10*33.97)</f>
        <v/>
      </c>
      <c r="K52">
        <f>T3*(0+10*0.34327595/10+10*0.35225725/10)</f>
        <v/>
      </c>
      <c r="M52" t="inlineStr">
        <is>
          <t>NMM</t>
        </is>
      </c>
      <c r="N52" t="inlineStr">
        <is>
          <t>USD</t>
        </is>
      </c>
      <c r="O52" s="1" t="inlineStr">
        <is>
          <t>0+10*33.7</t>
        </is>
      </c>
      <c r="P52" s="1" t="inlineStr">
        <is>
          <t>0+10*33.97</t>
        </is>
      </c>
      <c r="Q52" s="1" t="inlineStr">
        <is>
          <t>0+10*0.34327595/10+10*0.35225725/10</t>
        </is>
      </c>
    </row>
    <row r="53">
      <c r="C53" t="inlineStr">
        <is>
          <t>August</t>
        </is>
      </c>
      <c r="D53" t="n">
        <v>2022</v>
      </c>
      <c r="E53">
        <f>T3*(0+53*8.35)</f>
        <v/>
      </c>
      <c r="F53" t="inlineStr">
        <is>
          <t>January</t>
        </is>
      </c>
      <c r="G53" t="n">
        <v>2022</v>
      </c>
      <c r="H53">
        <f>T3*(0+23*8.13+30*7.91)</f>
        <v/>
      </c>
      <c r="K53">
        <f>T3*(0+53*1.017024395/53+23*0.37785725/23+30*0.32025725/30)</f>
        <v/>
      </c>
      <c r="M53" t="inlineStr">
        <is>
          <t>SPCE</t>
        </is>
      </c>
      <c r="N53" t="inlineStr">
        <is>
          <t>USD</t>
        </is>
      </c>
      <c r="O53" s="1" t="inlineStr">
        <is>
          <t>0+53*8.35</t>
        </is>
      </c>
      <c r="P53" s="1" t="inlineStr">
        <is>
          <t>0+23*8.13+30*7.91</t>
        </is>
      </c>
      <c r="Q53" s="1" t="inlineStr">
        <is>
          <t>0+53*1.017024395/53+23*0.37785725/23+30*0.32025725/30</t>
        </is>
      </c>
    </row>
    <row r="54">
      <c r="C54" t="inlineStr">
        <is>
          <t>August</t>
        </is>
      </c>
      <c r="D54" t="n">
        <v>2022</v>
      </c>
      <c r="E54">
        <f>T3*(0+150*3.11)</f>
        <v/>
      </c>
      <c r="F54" t="inlineStr">
        <is>
          <t>July</t>
        </is>
      </c>
      <c r="G54" t="n">
        <v>2022</v>
      </c>
      <c r="H54">
        <f>T3*(0+100*1.69+50*1.82)</f>
        <v/>
      </c>
      <c r="K54">
        <f>T3*(0+150*1.03018285/150+100*1/100+50*1/100)</f>
        <v/>
      </c>
      <c r="M54" t="inlineStr">
        <is>
          <t>CORZ</t>
        </is>
      </c>
      <c r="N54" t="inlineStr">
        <is>
          <t>USD</t>
        </is>
      </c>
      <c r="O54" s="1" t="inlineStr">
        <is>
          <t>0+150*3.11</t>
        </is>
      </c>
      <c r="P54" s="1" t="inlineStr">
        <is>
          <t>0+100*1.69+50*1.82</t>
        </is>
      </c>
      <c r="Q54" s="1" t="inlineStr">
        <is>
          <t>0+150*1.03018285/150+100*1/100+50*1/100</t>
        </is>
      </c>
    </row>
    <row r="55">
      <c r="C55" t="inlineStr">
        <is>
          <t>July</t>
        </is>
      </c>
      <c r="D55" t="n">
        <v>2022</v>
      </c>
      <c r="E55">
        <f>T3*(0+80*8.66)</f>
        <v/>
      </c>
      <c r="F55" t="inlineStr">
        <is>
          <t>June</t>
        </is>
      </c>
      <c r="G55" t="n">
        <v>2022</v>
      </c>
      <c r="H55">
        <f>T3*(0+60*5.8075+20*5.8084)</f>
        <v/>
      </c>
      <c r="K55">
        <f>T3*(0+80*1.02626512/80+60*1/60+20*1/20)</f>
        <v/>
      </c>
      <c r="M55" t="inlineStr">
        <is>
          <t>MARA</t>
        </is>
      </c>
      <c r="N55" t="inlineStr">
        <is>
          <t>USD</t>
        </is>
      </c>
      <c r="O55" s="1" t="inlineStr">
        <is>
          <t>0+80*8.66</t>
        </is>
      </c>
      <c r="P55" s="1" t="inlineStr">
        <is>
          <t>0+60*5.8075+20*5.8084</t>
        </is>
      </c>
      <c r="Q55" s="1" t="inlineStr">
        <is>
          <t>0+80*1.02626512/80+60*1/60+20*1/20</t>
        </is>
      </c>
    </row>
    <row r="56">
      <c r="C56" t="inlineStr">
        <is>
          <t>July</t>
        </is>
      </c>
      <c r="D56" t="n">
        <v>2022</v>
      </c>
      <c r="E56">
        <f>T3*(0+40*12.66)</f>
        <v/>
      </c>
      <c r="F56" t="inlineStr">
        <is>
          <t>July</t>
        </is>
      </c>
      <c r="G56" t="n">
        <v>2022</v>
      </c>
      <c r="H56">
        <f>T3*(0+20*7.51+20*7.51)</f>
        <v/>
      </c>
      <c r="K56">
        <f>T3*(0+40*1.01679656/40+20*1/20+20*1/50)</f>
        <v/>
      </c>
      <c r="M56" t="inlineStr">
        <is>
          <t>MARA</t>
        </is>
      </c>
      <c r="N56" t="inlineStr">
        <is>
          <t>USD</t>
        </is>
      </c>
      <c r="O56" s="1" t="inlineStr">
        <is>
          <t>0+40*12.66</t>
        </is>
      </c>
      <c r="P56" s="1" t="inlineStr">
        <is>
          <t>0+20*7.51+20*7.51</t>
        </is>
      </c>
      <c r="Q56" s="1" t="inlineStr">
        <is>
          <t>0+40*1.01679656/40+20*1/20+20*1/50</t>
        </is>
      </c>
    </row>
    <row r="57">
      <c r="C57" t="inlineStr">
        <is>
          <t>November</t>
        </is>
      </c>
      <c r="D57" t="n">
        <v>2022</v>
      </c>
      <c r="E57">
        <f>T3*(0+3*136.26)</f>
        <v/>
      </c>
      <c r="F57" t="inlineStr">
        <is>
          <t>September</t>
        </is>
      </c>
      <c r="G57" t="n">
        <v>2022</v>
      </c>
      <c r="H57">
        <f>T3*(0+3*100.66)</f>
        <v/>
      </c>
      <c r="K57">
        <f>T3*(0+3*1.009751062/3+3*1/3)</f>
        <v/>
      </c>
      <c r="M57" t="inlineStr">
        <is>
          <t>VLO</t>
        </is>
      </c>
      <c r="N57" t="inlineStr">
        <is>
          <t>USD</t>
        </is>
      </c>
      <c r="O57" s="1" t="inlineStr">
        <is>
          <t>0+3*136.26</t>
        </is>
      </c>
      <c r="P57" s="1" t="inlineStr">
        <is>
          <t>0+3*100.66</t>
        </is>
      </c>
      <c r="Q57" s="1" t="inlineStr">
        <is>
          <t>0+3*1.009751062/3+3*1/3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2023-10-08T11:19:44Z</dcterms:created>
  <dcterms:modified xsi:type="dcterms:W3CDTF">2023-10-08T11:19:44Z</dcterms:modified>
</cp:coreProperties>
</file>