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أصول2016 (4)" sheetId="3" r:id="rId1"/>
    <sheet name="أصول2016 (5)" sheetId="4" r:id="rId2"/>
  </sheets>
  <externalReferences>
    <externalReference r:id="rId3"/>
  </externalReferences>
  <definedNames>
    <definedName name="_xlnm.Print_Area" localSheetId="0">'أصول2016 (4)'!$A$1:$WYI$156</definedName>
    <definedName name="_xlnm.Print_Area" localSheetId="1">'أصول2016 (5)'!$A$1:$WYM$156</definedName>
    <definedName name="الإدارة">[1]معلومات!$E$5:$E$17</definedName>
    <definedName name="المستخدم">[1]معلومات!$F$5:$F$17</definedName>
    <definedName name="المشروع">[1]معلومات!$C$5:$C$17</definedName>
    <definedName name="مجموعة_الاصول">[1]معلومات!$B$5:$B$17</definedName>
    <definedName name="نوع_المعدة" localSheetId="0">[1]!Table4[نوع المعدة]</definedName>
    <definedName name="نوع_المعدة" localSheetId="1">[1]!Table4[نوع المعدة]</definedName>
    <definedName name="نوع_المعدة">[1]!Table4[نوع المعدة]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K156" i="4" l="1"/>
  <c r="K155" i="3"/>
  <c r="O155" i="3"/>
  <c r="O156" i="4"/>
  <c r="T2" i="4" l="1"/>
  <c r="K25" i="4"/>
  <c r="K26" i="4"/>
  <c r="K27" i="4"/>
  <c r="K28" i="4"/>
  <c r="A153" i="4" l="1"/>
  <c r="A152" i="4"/>
  <c r="A151" i="4"/>
  <c r="A150" i="4"/>
  <c r="A149" i="4"/>
  <c r="A148" i="4"/>
  <c r="A147" i="4"/>
  <c r="A146" i="4"/>
  <c r="A145" i="4"/>
  <c r="A144" i="4"/>
  <c r="A128" i="4"/>
  <c r="A30" i="4"/>
  <c r="A154" i="4"/>
  <c r="P156" i="4"/>
  <c r="U156" i="4"/>
  <c r="A156" i="4"/>
  <c r="P155" i="4"/>
  <c r="U155" i="4" s="1"/>
  <c r="A155" i="4"/>
  <c r="A153" i="3"/>
  <c r="A152" i="3"/>
  <c r="A151" i="3"/>
  <c r="A150" i="3"/>
  <c r="A149" i="3"/>
  <c r="A148" i="3"/>
  <c r="A147" i="3"/>
  <c r="A146" i="3"/>
  <c r="A145" i="3"/>
  <c r="A144" i="3"/>
  <c r="A128" i="3"/>
  <c r="A30" i="3"/>
  <c r="A154" i="3"/>
  <c r="A155" i="3"/>
  <c r="P155" i="3"/>
  <c r="T155" i="3" s="1"/>
  <c r="U155" i="3" s="1"/>
  <c r="P154" i="3"/>
  <c r="T154" i="3" s="1"/>
  <c r="U154" i="3" s="1"/>
  <c r="W155" i="4" l="1"/>
  <c r="W156" i="4"/>
  <c r="V156" i="4"/>
  <c r="X156" i="4" s="1"/>
  <c r="Y156" i="4" s="1"/>
  <c r="V155" i="4"/>
  <c r="X155" i="4" s="1"/>
  <c r="Y155" i="4" s="1"/>
  <c r="P154" i="4"/>
  <c r="U154" i="4" s="1"/>
  <c r="Y154" i="4" l="1"/>
  <c r="X154" i="4"/>
  <c r="W154" i="4"/>
  <c r="V154" i="4"/>
  <c r="P153" i="4"/>
  <c r="U153" i="4" s="1"/>
  <c r="P152" i="4"/>
  <c r="U152" i="4" s="1"/>
  <c r="P151" i="4"/>
  <c r="U151" i="4" s="1"/>
  <c r="P150" i="4"/>
  <c r="U150" i="4" s="1"/>
  <c r="P149" i="4"/>
  <c r="K149" i="4"/>
  <c r="P148" i="4"/>
  <c r="K148" i="4"/>
  <c r="P147" i="4"/>
  <c r="K147" i="4"/>
  <c r="M146" i="4"/>
  <c r="P146" i="4" s="1"/>
  <c r="K146" i="4"/>
  <c r="O145" i="4"/>
  <c r="P145" i="4" s="1"/>
  <c r="U145" i="4" s="1"/>
  <c r="P144" i="4"/>
  <c r="K144" i="4"/>
  <c r="P143" i="4"/>
  <c r="U143" i="4" s="1"/>
  <c r="A143" i="4"/>
  <c r="P142" i="4"/>
  <c r="U142" i="4" s="1"/>
  <c r="A142" i="4"/>
  <c r="O141" i="4"/>
  <c r="P141" i="4" s="1"/>
  <c r="U141" i="4" s="1"/>
  <c r="A141" i="4"/>
  <c r="P140" i="4"/>
  <c r="U140" i="4" s="1"/>
  <c r="A140" i="4"/>
  <c r="P139" i="4"/>
  <c r="U139" i="4" s="1"/>
  <c r="A139" i="4"/>
  <c r="P138" i="4"/>
  <c r="U138" i="4" s="1"/>
  <c r="A138" i="4"/>
  <c r="P137" i="4"/>
  <c r="U137" i="4" s="1"/>
  <c r="A137" i="4"/>
  <c r="P136" i="4"/>
  <c r="U136" i="4" s="1"/>
  <c r="A136" i="4"/>
  <c r="P135" i="4"/>
  <c r="U135" i="4" s="1"/>
  <c r="A135" i="4"/>
  <c r="P134" i="4"/>
  <c r="U134" i="4" s="1"/>
  <c r="A134" i="4"/>
  <c r="P133" i="4"/>
  <c r="U133" i="4" s="1"/>
  <c r="A133" i="4"/>
  <c r="P132" i="4"/>
  <c r="U132" i="4" s="1"/>
  <c r="A132" i="4"/>
  <c r="P131" i="4"/>
  <c r="U131" i="4" s="1"/>
  <c r="A131" i="4"/>
  <c r="P130" i="4"/>
  <c r="U130" i="4" s="1"/>
  <c r="A130" i="4"/>
  <c r="P129" i="4"/>
  <c r="U129" i="4" s="1"/>
  <c r="A129" i="4"/>
  <c r="P128" i="4"/>
  <c r="U128" i="4" s="1"/>
  <c r="P127" i="4"/>
  <c r="U127" i="4" s="1"/>
  <c r="A127" i="4"/>
  <c r="P126" i="4"/>
  <c r="U126" i="4" s="1"/>
  <c r="A126" i="4"/>
  <c r="P125" i="4"/>
  <c r="U125" i="4" s="1"/>
  <c r="A125" i="4"/>
  <c r="P124" i="4"/>
  <c r="U124" i="4" s="1"/>
  <c r="A124" i="4"/>
  <c r="P123" i="4"/>
  <c r="U123" i="4" s="1"/>
  <c r="A123" i="4"/>
  <c r="P122" i="4"/>
  <c r="U122" i="4" s="1"/>
  <c r="A122" i="4"/>
  <c r="P121" i="4"/>
  <c r="U121" i="4" s="1"/>
  <c r="A121" i="4"/>
  <c r="P120" i="4"/>
  <c r="U120" i="4" s="1"/>
  <c r="A120" i="4"/>
  <c r="P119" i="4"/>
  <c r="U119" i="4" s="1"/>
  <c r="A119" i="4"/>
  <c r="P118" i="4"/>
  <c r="U118" i="4" s="1"/>
  <c r="A118" i="4"/>
  <c r="P117" i="4"/>
  <c r="U117" i="4" s="1"/>
  <c r="A117" i="4"/>
  <c r="P116" i="4"/>
  <c r="U116" i="4" s="1"/>
  <c r="A116" i="4"/>
  <c r="P115" i="4"/>
  <c r="U115" i="4" s="1"/>
  <c r="A115" i="4"/>
  <c r="P114" i="4"/>
  <c r="U114" i="4" s="1"/>
  <c r="A114" i="4"/>
  <c r="P113" i="4"/>
  <c r="U113" i="4" s="1"/>
  <c r="A113" i="4"/>
  <c r="P112" i="4"/>
  <c r="U112" i="4" s="1"/>
  <c r="A112" i="4"/>
  <c r="P111" i="4"/>
  <c r="U111" i="4" s="1"/>
  <c r="A111" i="4"/>
  <c r="P110" i="4"/>
  <c r="U110" i="4" s="1"/>
  <c r="A110" i="4"/>
  <c r="P109" i="4"/>
  <c r="U109" i="4" s="1"/>
  <c r="A109" i="4"/>
  <c r="P108" i="4"/>
  <c r="U108" i="4" s="1"/>
  <c r="A108" i="4"/>
  <c r="P107" i="4"/>
  <c r="U107" i="4" s="1"/>
  <c r="A107" i="4"/>
  <c r="P106" i="4"/>
  <c r="U106" i="4" s="1"/>
  <c r="A106" i="4"/>
  <c r="P105" i="4"/>
  <c r="U105" i="4" s="1"/>
  <c r="A105" i="4"/>
  <c r="P104" i="4"/>
  <c r="U104" i="4" s="1"/>
  <c r="A104" i="4"/>
  <c r="P103" i="4"/>
  <c r="U103" i="4" s="1"/>
  <c r="A103" i="4"/>
  <c r="O102" i="4"/>
  <c r="P102" i="4" s="1"/>
  <c r="U102" i="4" s="1"/>
  <c r="A102" i="4"/>
  <c r="P101" i="4"/>
  <c r="U101" i="4" s="1"/>
  <c r="A101" i="4"/>
  <c r="P100" i="4"/>
  <c r="U100" i="4" s="1"/>
  <c r="A100" i="4"/>
  <c r="P99" i="4"/>
  <c r="U99" i="4" s="1"/>
  <c r="A99" i="4"/>
  <c r="P98" i="4"/>
  <c r="K98" i="4"/>
  <c r="A98" i="4"/>
  <c r="O97" i="4"/>
  <c r="P97" i="4" s="1"/>
  <c r="U97" i="4" s="1"/>
  <c r="A97" i="4"/>
  <c r="P96" i="4"/>
  <c r="U96" i="4" s="1"/>
  <c r="A96" i="4"/>
  <c r="P95" i="4"/>
  <c r="U95" i="4" s="1"/>
  <c r="A95" i="4"/>
  <c r="P94" i="4"/>
  <c r="U94" i="4" s="1"/>
  <c r="A94" i="4"/>
  <c r="P93" i="4"/>
  <c r="U93" i="4" s="1"/>
  <c r="A93" i="4"/>
  <c r="P92" i="4"/>
  <c r="U92" i="4" s="1"/>
  <c r="A92" i="4"/>
  <c r="P91" i="4"/>
  <c r="U91" i="4" s="1"/>
  <c r="A91" i="4"/>
  <c r="P90" i="4"/>
  <c r="U90" i="4" s="1"/>
  <c r="A90" i="4"/>
  <c r="P89" i="4"/>
  <c r="U89" i="4" s="1"/>
  <c r="A89" i="4"/>
  <c r="P88" i="4"/>
  <c r="U88" i="4" s="1"/>
  <c r="A88" i="4"/>
  <c r="P87" i="4"/>
  <c r="U87" i="4" s="1"/>
  <c r="A87" i="4"/>
  <c r="P86" i="4"/>
  <c r="U86" i="4" s="1"/>
  <c r="A86" i="4"/>
  <c r="P85" i="4"/>
  <c r="U85" i="4" s="1"/>
  <c r="A85" i="4"/>
  <c r="P84" i="4"/>
  <c r="U84" i="4" s="1"/>
  <c r="A84" i="4"/>
  <c r="P83" i="4"/>
  <c r="U83" i="4" s="1"/>
  <c r="A83" i="4"/>
  <c r="P82" i="4"/>
  <c r="U82" i="4" s="1"/>
  <c r="A82" i="4"/>
  <c r="P81" i="4"/>
  <c r="U81" i="4" s="1"/>
  <c r="A81" i="4"/>
  <c r="P80" i="4"/>
  <c r="U80" i="4" s="1"/>
  <c r="A80" i="4"/>
  <c r="P79" i="4"/>
  <c r="U79" i="4" s="1"/>
  <c r="A79" i="4"/>
  <c r="P78" i="4"/>
  <c r="U78" i="4" s="1"/>
  <c r="A78" i="4"/>
  <c r="P77" i="4"/>
  <c r="U77" i="4" s="1"/>
  <c r="A77" i="4"/>
  <c r="P76" i="4"/>
  <c r="U76" i="4" s="1"/>
  <c r="A76" i="4"/>
  <c r="P75" i="4"/>
  <c r="U75" i="4" s="1"/>
  <c r="A75" i="4"/>
  <c r="P74" i="4"/>
  <c r="U74" i="4" s="1"/>
  <c r="A74" i="4"/>
  <c r="P73" i="4"/>
  <c r="U73" i="4" s="1"/>
  <c r="A73" i="4"/>
  <c r="P72" i="4"/>
  <c r="U72" i="4" s="1"/>
  <c r="A72" i="4"/>
  <c r="P71" i="4"/>
  <c r="U71" i="4" s="1"/>
  <c r="A71" i="4"/>
  <c r="P70" i="4"/>
  <c r="U70" i="4" s="1"/>
  <c r="A70" i="4"/>
  <c r="P69" i="4"/>
  <c r="U69" i="4" s="1"/>
  <c r="A69" i="4"/>
  <c r="P68" i="4"/>
  <c r="U68" i="4" s="1"/>
  <c r="A68" i="4"/>
  <c r="P67" i="4"/>
  <c r="U67" i="4" s="1"/>
  <c r="A67" i="4"/>
  <c r="P66" i="4"/>
  <c r="U66" i="4" s="1"/>
  <c r="A66" i="4"/>
  <c r="P65" i="4"/>
  <c r="U65" i="4" s="1"/>
  <c r="A65" i="4"/>
  <c r="P64" i="4"/>
  <c r="U64" i="4" s="1"/>
  <c r="A64" i="4"/>
  <c r="P63" i="4"/>
  <c r="U63" i="4" s="1"/>
  <c r="A63" i="4"/>
  <c r="P62" i="4"/>
  <c r="U62" i="4" s="1"/>
  <c r="A62" i="4"/>
  <c r="P61" i="4"/>
  <c r="U61" i="4" s="1"/>
  <c r="A61" i="4"/>
  <c r="P60" i="4"/>
  <c r="U60" i="4" s="1"/>
  <c r="A60" i="4"/>
  <c r="P59" i="4"/>
  <c r="U59" i="4" s="1"/>
  <c r="A59" i="4"/>
  <c r="P58" i="4"/>
  <c r="U58" i="4" s="1"/>
  <c r="A58" i="4"/>
  <c r="P57" i="4"/>
  <c r="U57" i="4" s="1"/>
  <c r="A57" i="4"/>
  <c r="P56" i="4"/>
  <c r="U56" i="4" s="1"/>
  <c r="A56" i="4"/>
  <c r="P55" i="4"/>
  <c r="U55" i="4" s="1"/>
  <c r="A55" i="4"/>
  <c r="P54" i="4"/>
  <c r="U54" i="4" s="1"/>
  <c r="A54" i="4"/>
  <c r="P53" i="4"/>
  <c r="U53" i="4" s="1"/>
  <c r="A53" i="4"/>
  <c r="P52" i="4"/>
  <c r="U52" i="4" s="1"/>
  <c r="A52" i="4"/>
  <c r="P51" i="4"/>
  <c r="U51" i="4" s="1"/>
  <c r="A51" i="4"/>
  <c r="P50" i="4"/>
  <c r="U50" i="4" s="1"/>
  <c r="A50" i="4"/>
  <c r="P49" i="4"/>
  <c r="U49" i="4" s="1"/>
  <c r="A49" i="4"/>
  <c r="P48" i="4"/>
  <c r="U48" i="4" s="1"/>
  <c r="A48" i="4"/>
  <c r="P47" i="4"/>
  <c r="U47" i="4" s="1"/>
  <c r="A47" i="4"/>
  <c r="P46" i="4"/>
  <c r="U46" i="4" s="1"/>
  <c r="A46" i="4"/>
  <c r="P45" i="4"/>
  <c r="U45" i="4" s="1"/>
  <c r="A45" i="4"/>
  <c r="P44" i="4"/>
  <c r="U44" i="4" s="1"/>
  <c r="A44" i="4"/>
  <c r="P43" i="4"/>
  <c r="U43" i="4" s="1"/>
  <c r="A43" i="4"/>
  <c r="P42" i="4"/>
  <c r="U42" i="4" s="1"/>
  <c r="A42" i="4"/>
  <c r="P41" i="4"/>
  <c r="U41" i="4" s="1"/>
  <c r="A41" i="4"/>
  <c r="P40" i="4"/>
  <c r="U40" i="4" s="1"/>
  <c r="A40" i="4"/>
  <c r="P39" i="4"/>
  <c r="U39" i="4" s="1"/>
  <c r="A39" i="4"/>
  <c r="P38" i="4"/>
  <c r="U38" i="4" s="1"/>
  <c r="A38" i="4"/>
  <c r="P37" i="4"/>
  <c r="U37" i="4" s="1"/>
  <c r="A37" i="4"/>
  <c r="P36" i="4"/>
  <c r="U36" i="4" s="1"/>
  <c r="A36" i="4"/>
  <c r="P35" i="4"/>
  <c r="U35" i="4" s="1"/>
  <c r="A35" i="4"/>
  <c r="P34" i="4"/>
  <c r="U34" i="4" s="1"/>
  <c r="A34" i="4"/>
  <c r="P33" i="4"/>
  <c r="U33" i="4" s="1"/>
  <c r="A33" i="4"/>
  <c r="P32" i="4"/>
  <c r="U32" i="4" s="1"/>
  <c r="A32" i="4"/>
  <c r="P31" i="4"/>
  <c r="U31" i="4" s="1"/>
  <c r="A31" i="4"/>
  <c r="P30" i="4"/>
  <c r="U30" i="4" s="1"/>
  <c r="P29" i="4"/>
  <c r="U29" i="4" s="1"/>
  <c r="A29" i="4"/>
  <c r="P28" i="4"/>
  <c r="U28" i="4" s="1"/>
  <c r="A28" i="4"/>
  <c r="P27" i="4"/>
  <c r="U27" i="4" s="1"/>
  <c r="A27" i="4"/>
  <c r="P26" i="4"/>
  <c r="U26" i="4" s="1"/>
  <c r="A26" i="4"/>
  <c r="P25" i="4"/>
  <c r="U25" i="4" s="1"/>
  <c r="A25" i="4"/>
  <c r="P24" i="4"/>
  <c r="U24" i="4" s="1"/>
  <c r="A24" i="4"/>
  <c r="P23" i="4"/>
  <c r="U23" i="4" s="1"/>
  <c r="A23" i="4"/>
  <c r="P22" i="4"/>
  <c r="U22" i="4" s="1"/>
  <c r="A22" i="4"/>
  <c r="P21" i="4"/>
  <c r="U21" i="4" s="1"/>
  <c r="A21" i="4"/>
  <c r="P20" i="4"/>
  <c r="U20" i="4" s="1"/>
  <c r="A20" i="4"/>
  <c r="P19" i="4"/>
  <c r="U19" i="4" s="1"/>
  <c r="A19" i="4"/>
  <c r="P18" i="4"/>
  <c r="U18" i="4" s="1"/>
  <c r="A18" i="4"/>
  <c r="P17" i="4"/>
  <c r="U17" i="4" s="1"/>
  <c r="A17" i="4"/>
  <c r="P16" i="4"/>
  <c r="U16" i="4" s="1"/>
  <c r="A16" i="4"/>
  <c r="P15" i="4"/>
  <c r="U15" i="4" s="1"/>
  <c r="A15" i="4"/>
  <c r="P14" i="4"/>
  <c r="U14" i="4" s="1"/>
  <c r="A14" i="4"/>
  <c r="P13" i="4"/>
  <c r="U13" i="4" s="1"/>
  <c r="A13" i="4"/>
  <c r="P12" i="4"/>
  <c r="U12" i="4" s="1"/>
  <c r="A12" i="4"/>
  <c r="P11" i="4"/>
  <c r="U11" i="4" s="1"/>
  <c r="A11" i="4"/>
  <c r="P10" i="4"/>
  <c r="U10" i="4" s="1"/>
  <c r="A10" i="4"/>
  <c r="P9" i="4"/>
  <c r="U9" i="4" s="1"/>
  <c r="A9" i="4"/>
  <c r="P8" i="4"/>
  <c r="U8" i="4" s="1"/>
  <c r="A8" i="4"/>
  <c r="P7" i="4"/>
  <c r="U7" i="4" s="1"/>
  <c r="A7" i="4"/>
  <c r="P6" i="4"/>
  <c r="U6" i="4" s="1"/>
  <c r="A6" i="4"/>
  <c r="P5" i="4"/>
  <c r="U5" i="4" s="1"/>
  <c r="A5" i="4"/>
  <c r="P153" i="3"/>
  <c r="P152" i="3"/>
  <c r="T152" i="3" s="1"/>
  <c r="P151" i="3"/>
  <c r="T151" i="3" s="1"/>
  <c r="P150" i="3"/>
  <c r="T150" i="3" s="1"/>
  <c r="P149" i="3"/>
  <c r="K149" i="3"/>
  <c r="P148" i="3"/>
  <c r="K148" i="3"/>
  <c r="P147" i="3"/>
  <c r="K147" i="3"/>
  <c r="M146" i="3"/>
  <c r="P146" i="3" s="1"/>
  <c r="K146" i="3"/>
  <c r="P145" i="3"/>
  <c r="O145" i="3"/>
  <c r="P144" i="3"/>
  <c r="K144" i="3"/>
  <c r="P143" i="3"/>
  <c r="A143" i="3"/>
  <c r="P142" i="3"/>
  <c r="A142" i="3"/>
  <c r="P141" i="3"/>
  <c r="O141" i="3"/>
  <c r="A141" i="3"/>
  <c r="P140" i="3"/>
  <c r="T140" i="3" s="1"/>
  <c r="A140" i="3"/>
  <c r="P139" i="3"/>
  <c r="T139" i="3" s="1"/>
  <c r="A139" i="3"/>
  <c r="P138" i="3"/>
  <c r="T138" i="3" s="1"/>
  <c r="A138" i="3"/>
  <c r="P137" i="3"/>
  <c r="T137" i="3" s="1"/>
  <c r="A137" i="3"/>
  <c r="P136" i="3"/>
  <c r="T136" i="3" s="1"/>
  <c r="A136" i="3"/>
  <c r="P135" i="3"/>
  <c r="T135" i="3" s="1"/>
  <c r="A135" i="3"/>
  <c r="P134" i="3"/>
  <c r="T134" i="3" s="1"/>
  <c r="A134" i="3"/>
  <c r="P133" i="3"/>
  <c r="T133" i="3" s="1"/>
  <c r="A133" i="3"/>
  <c r="P132" i="3"/>
  <c r="T132" i="3" s="1"/>
  <c r="A132" i="3"/>
  <c r="P131" i="3"/>
  <c r="T131" i="3" s="1"/>
  <c r="A131" i="3"/>
  <c r="P130" i="3"/>
  <c r="T130" i="3" s="1"/>
  <c r="A130" i="3"/>
  <c r="P129" i="3"/>
  <c r="T129" i="3" s="1"/>
  <c r="A129" i="3"/>
  <c r="P128" i="3"/>
  <c r="T128" i="3" s="1"/>
  <c r="P127" i="3"/>
  <c r="T127" i="3" s="1"/>
  <c r="A127" i="3"/>
  <c r="P126" i="3"/>
  <c r="A126" i="3"/>
  <c r="P125" i="3"/>
  <c r="A125" i="3"/>
  <c r="P124" i="3"/>
  <c r="A124" i="3"/>
  <c r="P123" i="3"/>
  <c r="A123" i="3"/>
  <c r="P122" i="3"/>
  <c r="A122" i="3"/>
  <c r="P121" i="3"/>
  <c r="A121" i="3"/>
  <c r="P120" i="3"/>
  <c r="A120" i="3"/>
  <c r="P119" i="3"/>
  <c r="A119" i="3"/>
  <c r="P118" i="3"/>
  <c r="A118" i="3"/>
  <c r="P117" i="3"/>
  <c r="A117" i="3"/>
  <c r="P116" i="3"/>
  <c r="A116" i="3"/>
  <c r="P115" i="3"/>
  <c r="A115" i="3"/>
  <c r="P114" i="3"/>
  <c r="A114" i="3"/>
  <c r="P113" i="3"/>
  <c r="A113" i="3"/>
  <c r="P112" i="3"/>
  <c r="A112" i="3"/>
  <c r="P111" i="3"/>
  <c r="A111" i="3"/>
  <c r="P110" i="3"/>
  <c r="A110" i="3"/>
  <c r="P109" i="3"/>
  <c r="A109" i="3"/>
  <c r="P108" i="3"/>
  <c r="A108" i="3"/>
  <c r="P107" i="3"/>
  <c r="A107" i="3"/>
  <c r="P106" i="3"/>
  <c r="A106" i="3"/>
  <c r="P105" i="3"/>
  <c r="U105" i="3" s="1"/>
  <c r="A105" i="3"/>
  <c r="P104" i="3"/>
  <c r="A104" i="3"/>
  <c r="P103" i="3"/>
  <c r="A103" i="3"/>
  <c r="O102" i="3"/>
  <c r="P102" i="3" s="1"/>
  <c r="A102" i="3"/>
  <c r="P101" i="3"/>
  <c r="T101" i="3" s="1"/>
  <c r="A101" i="3"/>
  <c r="P100" i="3"/>
  <c r="T100" i="3" s="1"/>
  <c r="A100" i="3"/>
  <c r="P99" i="3"/>
  <c r="T99" i="3" s="1"/>
  <c r="A99" i="3"/>
  <c r="P98" i="3"/>
  <c r="K98" i="3"/>
  <c r="A98" i="3"/>
  <c r="O97" i="3"/>
  <c r="P97" i="3" s="1"/>
  <c r="A97" i="3"/>
  <c r="P96" i="3"/>
  <c r="A96" i="3"/>
  <c r="P95" i="3"/>
  <c r="A95" i="3"/>
  <c r="P94" i="3"/>
  <c r="A94" i="3"/>
  <c r="P93" i="3"/>
  <c r="A93" i="3"/>
  <c r="P92" i="3"/>
  <c r="A92" i="3"/>
  <c r="P91" i="3"/>
  <c r="A91" i="3"/>
  <c r="P90" i="3"/>
  <c r="A90" i="3"/>
  <c r="P89" i="3"/>
  <c r="A89" i="3"/>
  <c r="P88" i="3"/>
  <c r="A88" i="3"/>
  <c r="P87" i="3"/>
  <c r="A87" i="3"/>
  <c r="P86" i="3"/>
  <c r="A86" i="3"/>
  <c r="P85" i="3"/>
  <c r="A85" i="3"/>
  <c r="P84" i="3"/>
  <c r="A84" i="3"/>
  <c r="P83" i="3"/>
  <c r="A83" i="3"/>
  <c r="P82" i="3"/>
  <c r="A82" i="3"/>
  <c r="P81" i="3"/>
  <c r="A81" i="3"/>
  <c r="P80" i="3"/>
  <c r="A80" i="3"/>
  <c r="P79" i="3"/>
  <c r="A79" i="3"/>
  <c r="P78" i="3"/>
  <c r="A78" i="3"/>
  <c r="P77" i="3"/>
  <c r="A77" i="3"/>
  <c r="P76" i="3"/>
  <c r="T76" i="3" s="1"/>
  <c r="A76" i="3"/>
  <c r="P75" i="3"/>
  <c r="T75" i="3" s="1"/>
  <c r="A75" i="3"/>
  <c r="P74" i="3"/>
  <c r="T74" i="3" s="1"/>
  <c r="A74" i="3"/>
  <c r="P73" i="3"/>
  <c r="T73" i="3" s="1"/>
  <c r="A73" i="3"/>
  <c r="P72" i="3"/>
  <c r="T72" i="3" s="1"/>
  <c r="A72" i="3"/>
  <c r="P71" i="3"/>
  <c r="T71" i="3" s="1"/>
  <c r="A71" i="3"/>
  <c r="P70" i="3"/>
  <c r="T70" i="3" s="1"/>
  <c r="A70" i="3"/>
  <c r="P69" i="3"/>
  <c r="T69" i="3" s="1"/>
  <c r="A69" i="3"/>
  <c r="P68" i="3"/>
  <c r="T68" i="3" s="1"/>
  <c r="A68" i="3"/>
  <c r="P67" i="3"/>
  <c r="T67" i="3" s="1"/>
  <c r="A67" i="3"/>
  <c r="P66" i="3"/>
  <c r="T66" i="3" s="1"/>
  <c r="A66" i="3"/>
  <c r="P65" i="3"/>
  <c r="T65" i="3" s="1"/>
  <c r="A65" i="3"/>
  <c r="P64" i="3"/>
  <c r="T64" i="3" s="1"/>
  <c r="A64" i="3"/>
  <c r="P63" i="3"/>
  <c r="T63" i="3" s="1"/>
  <c r="A63" i="3"/>
  <c r="P62" i="3"/>
  <c r="T62" i="3" s="1"/>
  <c r="A62" i="3"/>
  <c r="P61" i="3"/>
  <c r="T61" i="3" s="1"/>
  <c r="A61" i="3"/>
  <c r="P60" i="3"/>
  <c r="T60" i="3" s="1"/>
  <c r="A60" i="3"/>
  <c r="P59" i="3"/>
  <c r="T59" i="3" s="1"/>
  <c r="A59" i="3"/>
  <c r="P58" i="3"/>
  <c r="T58" i="3" s="1"/>
  <c r="A58" i="3"/>
  <c r="P57" i="3"/>
  <c r="T57" i="3" s="1"/>
  <c r="A57" i="3"/>
  <c r="P56" i="3"/>
  <c r="T56" i="3" s="1"/>
  <c r="A56" i="3"/>
  <c r="P55" i="3"/>
  <c r="T55" i="3" s="1"/>
  <c r="A55" i="3"/>
  <c r="P54" i="3"/>
  <c r="T54" i="3" s="1"/>
  <c r="A54" i="3"/>
  <c r="P53" i="3"/>
  <c r="T53" i="3" s="1"/>
  <c r="A53" i="3"/>
  <c r="P52" i="3"/>
  <c r="T52" i="3" s="1"/>
  <c r="A52" i="3"/>
  <c r="P51" i="3"/>
  <c r="T51" i="3" s="1"/>
  <c r="A51" i="3"/>
  <c r="P50" i="3"/>
  <c r="T50" i="3" s="1"/>
  <c r="A50" i="3"/>
  <c r="P49" i="3"/>
  <c r="T49" i="3" s="1"/>
  <c r="A49" i="3"/>
  <c r="P48" i="3"/>
  <c r="T48" i="3" s="1"/>
  <c r="A48" i="3"/>
  <c r="P47" i="3"/>
  <c r="T47" i="3" s="1"/>
  <c r="A47" i="3"/>
  <c r="P46" i="3"/>
  <c r="T46" i="3" s="1"/>
  <c r="A46" i="3"/>
  <c r="P45" i="3"/>
  <c r="T45" i="3" s="1"/>
  <c r="A45" i="3"/>
  <c r="P44" i="3"/>
  <c r="T44" i="3" s="1"/>
  <c r="A44" i="3"/>
  <c r="P43" i="3"/>
  <c r="T43" i="3" s="1"/>
  <c r="A43" i="3"/>
  <c r="P42" i="3"/>
  <c r="T42" i="3" s="1"/>
  <c r="A42" i="3"/>
  <c r="P41" i="3"/>
  <c r="T41" i="3" s="1"/>
  <c r="A41" i="3"/>
  <c r="P40" i="3"/>
  <c r="T40" i="3" s="1"/>
  <c r="A40" i="3"/>
  <c r="P39" i="3"/>
  <c r="T39" i="3" s="1"/>
  <c r="A39" i="3"/>
  <c r="P38" i="3"/>
  <c r="T38" i="3" s="1"/>
  <c r="A38" i="3"/>
  <c r="P37" i="3"/>
  <c r="T37" i="3" s="1"/>
  <c r="A37" i="3"/>
  <c r="P36" i="3"/>
  <c r="T36" i="3" s="1"/>
  <c r="A36" i="3"/>
  <c r="P35" i="3"/>
  <c r="T35" i="3" s="1"/>
  <c r="A35" i="3"/>
  <c r="P34" i="3"/>
  <c r="T34" i="3" s="1"/>
  <c r="A34" i="3"/>
  <c r="P33" i="3"/>
  <c r="T33" i="3" s="1"/>
  <c r="A33" i="3"/>
  <c r="P32" i="3"/>
  <c r="T32" i="3" s="1"/>
  <c r="A32" i="3"/>
  <c r="P31" i="3"/>
  <c r="T31" i="3" s="1"/>
  <c r="A31" i="3"/>
  <c r="P30" i="3"/>
  <c r="T30" i="3" s="1"/>
  <c r="P29" i="3"/>
  <c r="T29" i="3" s="1"/>
  <c r="A29" i="3"/>
  <c r="P28" i="3"/>
  <c r="K28" i="3"/>
  <c r="A28" i="3"/>
  <c r="P27" i="3"/>
  <c r="K27" i="3"/>
  <c r="A27" i="3"/>
  <c r="P26" i="3"/>
  <c r="K26" i="3"/>
  <c r="A26" i="3"/>
  <c r="P25" i="3"/>
  <c r="U25" i="3" s="1"/>
  <c r="K25" i="3"/>
  <c r="A25" i="3"/>
  <c r="P24" i="3"/>
  <c r="T24" i="3" s="1"/>
  <c r="A24" i="3"/>
  <c r="P23" i="3"/>
  <c r="T23" i="3" s="1"/>
  <c r="A23" i="3"/>
  <c r="P22" i="3"/>
  <c r="T22" i="3" s="1"/>
  <c r="A22" i="3"/>
  <c r="P21" i="3"/>
  <c r="T21" i="3" s="1"/>
  <c r="A21" i="3"/>
  <c r="P20" i="3"/>
  <c r="T20" i="3" s="1"/>
  <c r="A20" i="3"/>
  <c r="P19" i="3"/>
  <c r="T19" i="3" s="1"/>
  <c r="A19" i="3"/>
  <c r="P18" i="3"/>
  <c r="T18" i="3" s="1"/>
  <c r="A18" i="3"/>
  <c r="P17" i="3"/>
  <c r="T17" i="3" s="1"/>
  <c r="A17" i="3"/>
  <c r="P16" i="3"/>
  <c r="T16" i="3" s="1"/>
  <c r="A16" i="3"/>
  <c r="P15" i="3"/>
  <c r="T15" i="3" s="1"/>
  <c r="A15" i="3"/>
  <c r="P14" i="3"/>
  <c r="A14" i="3"/>
  <c r="P13" i="3"/>
  <c r="A13" i="3"/>
  <c r="P12" i="3"/>
  <c r="A12" i="3"/>
  <c r="P11" i="3"/>
  <c r="A11" i="3"/>
  <c r="P10" i="3"/>
  <c r="T10" i="3" s="1"/>
  <c r="A10" i="3"/>
  <c r="P9" i="3"/>
  <c r="T9" i="3" s="1"/>
  <c r="A9" i="3"/>
  <c r="P8" i="3"/>
  <c r="T8" i="3" s="1"/>
  <c r="A8" i="3"/>
  <c r="P7" i="3"/>
  <c r="T7" i="3" s="1"/>
  <c r="A7" i="3"/>
  <c r="P6" i="3"/>
  <c r="T6" i="3" s="1"/>
  <c r="A6" i="3"/>
  <c r="P5" i="3"/>
  <c r="T5" i="3" s="1"/>
  <c r="A5" i="3"/>
  <c r="O2" i="3"/>
  <c r="M2" i="3"/>
  <c r="U147" i="4" l="1"/>
  <c r="U98" i="4"/>
  <c r="U148" i="4"/>
  <c r="U149" i="4"/>
  <c r="U144" i="4"/>
  <c r="U146" i="4"/>
  <c r="U27" i="3"/>
  <c r="I2" i="4"/>
  <c r="I2" i="3"/>
  <c r="H2" i="4"/>
  <c r="P2" i="4"/>
  <c r="V6" i="4"/>
  <c r="V8" i="4"/>
  <c r="W8" i="4"/>
  <c r="V10" i="4"/>
  <c r="W10" i="4"/>
  <c r="V12" i="4"/>
  <c r="W12" i="4"/>
  <c r="V14" i="4"/>
  <c r="W14" i="4"/>
  <c r="V16" i="4"/>
  <c r="W16" i="4"/>
  <c r="V18" i="4"/>
  <c r="W18" i="4"/>
  <c r="V20" i="4"/>
  <c r="W20" i="4"/>
  <c r="V22" i="4"/>
  <c r="W22" i="4"/>
  <c r="V24" i="4"/>
  <c r="W24" i="4"/>
  <c r="V30" i="4"/>
  <c r="V32" i="4"/>
  <c r="W41" i="4"/>
  <c r="W45" i="4"/>
  <c r="V49" i="4"/>
  <c r="V83" i="4"/>
  <c r="V91" i="4"/>
  <c r="W47" i="4"/>
  <c r="V104" i="4"/>
  <c r="W104" i="4"/>
  <c r="V106" i="4"/>
  <c r="V108" i="4"/>
  <c r="V99" i="4"/>
  <c r="X99" i="4" s="1"/>
  <c r="Y99" i="4" s="1"/>
  <c r="V100" i="4"/>
  <c r="X100" i="4" s="1"/>
  <c r="Y100" i="4" s="1"/>
  <c r="V101" i="4"/>
  <c r="X101" i="4" s="1"/>
  <c r="Y101" i="4" s="1"/>
  <c r="V113" i="4"/>
  <c r="X113" i="4" s="1"/>
  <c r="Y113" i="4" s="1"/>
  <c r="V114" i="4"/>
  <c r="X114" i="4" s="1"/>
  <c r="Y114" i="4" s="1"/>
  <c r="W115" i="4"/>
  <c r="V116" i="4"/>
  <c r="X116" i="4" s="1"/>
  <c r="Y116" i="4" s="1"/>
  <c r="V117" i="4"/>
  <c r="X117" i="4" s="1"/>
  <c r="Y117" i="4" s="1"/>
  <c r="V118" i="4"/>
  <c r="X118" i="4" s="1"/>
  <c r="Y118" i="4" s="1"/>
  <c r="W119" i="4"/>
  <c r="V120" i="4"/>
  <c r="X120" i="4" s="1"/>
  <c r="Y120" i="4" s="1"/>
  <c r="V121" i="4"/>
  <c r="X121" i="4" s="1"/>
  <c r="Y121" i="4" s="1"/>
  <c r="V122" i="4"/>
  <c r="X122" i="4" s="1"/>
  <c r="Y122" i="4" s="1"/>
  <c r="W123" i="4"/>
  <c r="V124" i="4"/>
  <c r="X124" i="4" s="1"/>
  <c r="Y124" i="4" s="1"/>
  <c r="V125" i="4"/>
  <c r="X125" i="4" s="1"/>
  <c r="Y125" i="4" s="1"/>
  <c r="W128" i="4"/>
  <c r="W129" i="4"/>
  <c r="W131" i="4"/>
  <c r="W133" i="4"/>
  <c r="W135" i="4"/>
  <c r="W137" i="4"/>
  <c r="W139" i="4"/>
  <c r="W151" i="4"/>
  <c r="W153" i="4"/>
  <c r="H2" i="3"/>
  <c r="P2" i="3"/>
  <c r="U5" i="3"/>
  <c r="U6" i="3"/>
  <c r="U7" i="3"/>
  <c r="U8" i="3"/>
  <c r="U9" i="3"/>
  <c r="U10" i="3"/>
  <c r="U11" i="3"/>
  <c r="U12" i="3"/>
  <c r="U13" i="3"/>
  <c r="U14" i="3"/>
  <c r="U26" i="3"/>
  <c r="T26" i="3"/>
  <c r="U28" i="3"/>
  <c r="T28" i="3"/>
  <c r="T11" i="3"/>
  <c r="T12" i="3"/>
  <c r="T13" i="3"/>
  <c r="T14" i="3"/>
  <c r="U15" i="3"/>
  <c r="U16" i="3"/>
  <c r="U17" i="3"/>
  <c r="U18" i="3"/>
  <c r="U19" i="3"/>
  <c r="U20" i="3"/>
  <c r="U21" i="3"/>
  <c r="U22" i="3"/>
  <c r="U23" i="3"/>
  <c r="U24" i="3"/>
  <c r="T25" i="3"/>
  <c r="T27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T77" i="3"/>
  <c r="U77" i="3" s="1"/>
  <c r="T78" i="3"/>
  <c r="U78" i="3" s="1"/>
  <c r="T79" i="3"/>
  <c r="U79" i="3" s="1"/>
  <c r="T80" i="3"/>
  <c r="U80" i="3" s="1"/>
  <c r="T81" i="3"/>
  <c r="U81" i="3" s="1"/>
  <c r="T82" i="3"/>
  <c r="U82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89" i="3"/>
  <c r="U89" i="3" s="1"/>
  <c r="T90" i="3"/>
  <c r="U90" i="3" s="1"/>
  <c r="T91" i="3"/>
  <c r="U91" i="3" s="1"/>
  <c r="T92" i="3"/>
  <c r="U92" i="3" s="1"/>
  <c r="T93" i="3"/>
  <c r="U94" i="3"/>
  <c r="T95" i="3"/>
  <c r="U95" i="3" s="1"/>
  <c r="T97" i="3"/>
  <c r="U97" i="3" s="1"/>
  <c r="T103" i="3"/>
  <c r="U103" i="3" s="1"/>
  <c r="U104" i="3"/>
  <c r="T105" i="3"/>
  <c r="U106" i="3"/>
  <c r="T107" i="3"/>
  <c r="U107" i="3" s="1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93" i="3"/>
  <c r="T94" i="3"/>
  <c r="U96" i="3"/>
  <c r="T98" i="3"/>
  <c r="U98" i="3" s="1"/>
  <c r="T102" i="3"/>
  <c r="U102" i="3" s="1"/>
  <c r="T104" i="3"/>
  <c r="T106" i="3"/>
  <c r="U111" i="3"/>
  <c r="U112" i="3"/>
  <c r="U123" i="3"/>
  <c r="U124" i="3"/>
  <c r="U125" i="3"/>
  <c r="U126" i="3"/>
  <c r="U99" i="3"/>
  <c r="U100" i="3"/>
  <c r="U101" i="3"/>
  <c r="T108" i="3"/>
  <c r="T109" i="3"/>
  <c r="U109" i="3" s="1"/>
  <c r="T110" i="3"/>
  <c r="T111" i="3"/>
  <c r="T112" i="3"/>
  <c r="T113" i="3"/>
  <c r="U113" i="3" s="1"/>
  <c r="T114" i="3"/>
  <c r="T115" i="3"/>
  <c r="U115" i="3" s="1"/>
  <c r="T116" i="3"/>
  <c r="T117" i="3"/>
  <c r="U117" i="3" s="1"/>
  <c r="T118" i="3"/>
  <c r="T119" i="3"/>
  <c r="U119" i="3" s="1"/>
  <c r="T120" i="3"/>
  <c r="T121" i="3"/>
  <c r="U121" i="3" s="1"/>
  <c r="T122" i="3"/>
  <c r="T123" i="3"/>
  <c r="T124" i="3"/>
  <c r="T125" i="3"/>
  <c r="T126" i="3"/>
  <c r="U141" i="3"/>
  <c r="U142" i="3"/>
  <c r="T144" i="3"/>
  <c r="T147" i="3"/>
  <c r="U147" i="3" s="1"/>
  <c r="T149" i="3"/>
  <c r="T153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T141" i="3"/>
  <c r="T142" i="3"/>
  <c r="T143" i="3"/>
  <c r="T145" i="3"/>
  <c r="T146" i="3"/>
  <c r="T148" i="3"/>
  <c r="U148" i="3" s="1"/>
  <c r="U150" i="3"/>
  <c r="U151" i="3"/>
  <c r="U152" i="3"/>
  <c r="J2" i="4" l="1"/>
  <c r="W99" i="4"/>
  <c r="W108" i="4"/>
  <c r="W101" i="4"/>
  <c r="W100" i="4"/>
  <c r="W32" i="4"/>
  <c r="W43" i="4"/>
  <c r="W27" i="4"/>
  <c r="W25" i="4"/>
  <c r="V23" i="4"/>
  <c r="X23" i="4" s="1"/>
  <c r="Y23" i="4" s="1"/>
  <c r="V19" i="4"/>
  <c r="X19" i="4" s="1"/>
  <c r="Y19" i="4" s="1"/>
  <c r="V15" i="4"/>
  <c r="X15" i="4" s="1"/>
  <c r="Y15" i="4" s="1"/>
  <c r="V11" i="4"/>
  <c r="X11" i="4" s="1"/>
  <c r="Y11" i="4" s="1"/>
  <c r="W91" i="4"/>
  <c r="W83" i="4"/>
  <c r="V123" i="4"/>
  <c r="X123" i="4" s="1"/>
  <c r="Y123" i="4" s="1"/>
  <c r="V119" i="4"/>
  <c r="X119" i="4" s="1"/>
  <c r="Y119" i="4" s="1"/>
  <c r="V115" i="4"/>
  <c r="X115" i="4" s="1"/>
  <c r="Y115" i="4" s="1"/>
  <c r="W109" i="4"/>
  <c r="X83" i="4"/>
  <c r="Y83" i="4" s="1"/>
  <c r="W34" i="4"/>
  <c r="V34" i="4"/>
  <c r="X34" i="4" s="1"/>
  <c r="Y34" i="4" s="1"/>
  <c r="W30" i="4"/>
  <c r="V27" i="4"/>
  <c r="X27" i="4" s="1"/>
  <c r="Y27" i="4" s="1"/>
  <c r="X24" i="4"/>
  <c r="Y24" i="4" s="1"/>
  <c r="X22" i="4"/>
  <c r="Y22" i="4" s="1"/>
  <c r="X20" i="4"/>
  <c r="Y20" i="4" s="1"/>
  <c r="X18" i="4"/>
  <c r="Y18" i="4" s="1"/>
  <c r="X16" i="4"/>
  <c r="Y16" i="4" s="1"/>
  <c r="X14" i="4"/>
  <c r="Y14" i="4" s="1"/>
  <c r="X12" i="4"/>
  <c r="Y12" i="4" s="1"/>
  <c r="X10" i="4"/>
  <c r="Y10" i="4" s="1"/>
  <c r="X8" i="4"/>
  <c r="Y8" i="4" s="1"/>
  <c r="W6" i="4"/>
  <c r="V29" i="4"/>
  <c r="X29" i="4" s="1"/>
  <c r="Y29" i="4" s="1"/>
  <c r="V25" i="4"/>
  <c r="X25" i="4" s="1"/>
  <c r="Y25" i="4" s="1"/>
  <c r="V21" i="4"/>
  <c r="V17" i="4"/>
  <c r="X17" i="4" s="1"/>
  <c r="Y17" i="4" s="1"/>
  <c r="V13" i="4"/>
  <c r="V9" i="4"/>
  <c r="X9" i="4" s="1"/>
  <c r="Y9" i="4" s="1"/>
  <c r="V5" i="4"/>
  <c r="X5" i="4" s="1"/>
  <c r="W142" i="4"/>
  <c r="V142" i="4"/>
  <c r="X142" i="4" s="1"/>
  <c r="Y142" i="4" s="1"/>
  <c r="W125" i="4"/>
  <c r="W124" i="4"/>
  <c r="W122" i="4"/>
  <c r="W121" i="4"/>
  <c r="W120" i="4"/>
  <c r="W118" i="4"/>
  <c r="W117" i="4"/>
  <c r="W116" i="4"/>
  <c r="W114" i="4"/>
  <c r="W113" i="4"/>
  <c r="V145" i="4"/>
  <c r="X145" i="4" s="1"/>
  <c r="Y145" i="4" s="1"/>
  <c r="W110" i="4"/>
  <c r="V110" i="4"/>
  <c r="X110" i="4" s="1"/>
  <c r="Y110" i="4" s="1"/>
  <c r="W106" i="4"/>
  <c r="X104" i="4"/>
  <c r="Y104" i="4" s="1"/>
  <c r="W102" i="4"/>
  <c r="V102" i="4"/>
  <c r="X102" i="4" s="1"/>
  <c r="Y102" i="4" s="1"/>
  <c r="W149" i="4"/>
  <c r="W147" i="4"/>
  <c r="X30" i="4"/>
  <c r="Y30" i="4" s="1"/>
  <c r="X6" i="4"/>
  <c r="Y6" i="4" s="1"/>
  <c r="J2" i="3"/>
  <c r="V148" i="4"/>
  <c r="X148" i="4" s="1"/>
  <c r="Y148" i="4" s="1"/>
  <c r="V126" i="4"/>
  <c r="X126" i="4" s="1"/>
  <c r="Y126" i="4" s="1"/>
  <c r="W126" i="4"/>
  <c r="V141" i="4"/>
  <c r="X141" i="4" s="1"/>
  <c r="Y141" i="4" s="1"/>
  <c r="W141" i="4"/>
  <c r="V139" i="4"/>
  <c r="X139" i="4" s="1"/>
  <c r="Y139" i="4" s="1"/>
  <c r="V135" i="4"/>
  <c r="X135" i="4" s="1"/>
  <c r="Y135" i="4" s="1"/>
  <c r="V131" i="4"/>
  <c r="X131" i="4" s="1"/>
  <c r="Y131" i="4" s="1"/>
  <c r="V128" i="4"/>
  <c r="X128" i="4" s="1"/>
  <c r="Y128" i="4" s="1"/>
  <c r="V112" i="4"/>
  <c r="W112" i="4"/>
  <c r="V96" i="4"/>
  <c r="X96" i="4" s="1"/>
  <c r="Y96" i="4" s="1"/>
  <c r="W96" i="4"/>
  <c r="V94" i="4"/>
  <c r="W94" i="4"/>
  <c r="V92" i="4"/>
  <c r="X92" i="4" s="1"/>
  <c r="Y92" i="4" s="1"/>
  <c r="V90" i="4"/>
  <c r="X90" i="4" s="1"/>
  <c r="Y90" i="4" s="1"/>
  <c r="V88" i="4"/>
  <c r="X88" i="4" s="1"/>
  <c r="Y88" i="4" s="1"/>
  <c r="V86" i="4"/>
  <c r="X86" i="4" s="1"/>
  <c r="Y86" i="4" s="1"/>
  <c r="V84" i="4"/>
  <c r="X84" i="4" s="1"/>
  <c r="Y84" i="4" s="1"/>
  <c r="V82" i="4"/>
  <c r="X82" i="4" s="1"/>
  <c r="Y82" i="4" s="1"/>
  <c r="V80" i="4"/>
  <c r="X80" i="4" s="1"/>
  <c r="Y80" i="4" s="1"/>
  <c r="V78" i="4"/>
  <c r="X78" i="4" s="1"/>
  <c r="Y78" i="4" s="1"/>
  <c r="V76" i="4"/>
  <c r="X76" i="4" s="1"/>
  <c r="Y76" i="4" s="1"/>
  <c r="W75" i="4"/>
  <c r="V75" i="4"/>
  <c r="X75" i="4" s="1"/>
  <c r="Y75" i="4" s="1"/>
  <c r="V74" i="4"/>
  <c r="X74" i="4" s="1"/>
  <c r="Y74" i="4" s="1"/>
  <c r="W74" i="4"/>
  <c r="V72" i="4"/>
  <c r="X72" i="4" s="1"/>
  <c r="Y72" i="4" s="1"/>
  <c r="W72" i="4"/>
  <c r="V70" i="4"/>
  <c r="X70" i="4" s="1"/>
  <c r="Y70" i="4" s="1"/>
  <c r="W70" i="4"/>
  <c r="V68" i="4"/>
  <c r="X68" i="4" s="1"/>
  <c r="Y68" i="4" s="1"/>
  <c r="W68" i="4"/>
  <c r="V66" i="4"/>
  <c r="X66" i="4" s="1"/>
  <c r="Y66" i="4" s="1"/>
  <c r="W66" i="4"/>
  <c r="V64" i="4"/>
  <c r="X64" i="4" s="1"/>
  <c r="Y64" i="4" s="1"/>
  <c r="W64" i="4"/>
  <c r="V62" i="4"/>
  <c r="X62" i="4" s="1"/>
  <c r="Y62" i="4" s="1"/>
  <c r="W62" i="4"/>
  <c r="V60" i="4"/>
  <c r="X60" i="4" s="1"/>
  <c r="Y60" i="4" s="1"/>
  <c r="W60" i="4"/>
  <c r="V58" i="4"/>
  <c r="X58" i="4" s="1"/>
  <c r="Y58" i="4" s="1"/>
  <c r="W58" i="4"/>
  <c r="V56" i="4"/>
  <c r="X56" i="4" s="1"/>
  <c r="Y56" i="4" s="1"/>
  <c r="W56" i="4"/>
  <c r="V54" i="4"/>
  <c r="X54" i="4" s="1"/>
  <c r="Y54" i="4" s="1"/>
  <c r="W54" i="4"/>
  <c r="V52" i="4"/>
  <c r="X52" i="4" s="1"/>
  <c r="Y52" i="4" s="1"/>
  <c r="W52" i="4"/>
  <c r="V50" i="4"/>
  <c r="X50" i="4" s="1"/>
  <c r="Y50" i="4" s="1"/>
  <c r="W50" i="4"/>
  <c r="V151" i="4"/>
  <c r="X151" i="4" s="1"/>
  <c r="Y151" i="4" s="1"/>
  <c r="W48" i="4"/>
  <c r="V48" i="4"/>
  <c r="X48" i="4" s="1"/>
  <c r="Y48" i="4" s="1"/>
  <c r="W46" i="4"/>
  <c r="V46" i="4"/>
  <c r="X46" i="4" s="1"/>
  <c r="Y46" i="4" s="1"/>
  <c r="W44" i="4"/>
  <c r="V44" i="4"/>
  <c r="X44" i="4" s="1"/>
  <c r="Y44" i="4" s="1"/>
  <c r="W42" i="4"/>
  <c r="V42" i="4"/>
  <c r="X42" i="4" s="1"/>
  <c r="Y42" i="4" s="1"/>
  <c r="W40" i="4"/>
  <c r="V40" i="4"/>
  <c r="X40" i="4" s="1"/>
  <c r="Y40" i="4" s="1"/>
  <c r="W36" i="4"/>
  <c r="V36" i="4"/>
  <c r="X36" i="4" s="1"/>
  <c r="Y36" i="4" s="1"/>
  <c r="W28" i="4"/>
  <c r="V28" i="4"/>
  <c r="X28" i="4" s="1"/>
  <c r="Y28" i="4" s="1"/>
  <c r="V105" i="4"/>
  <c r="X105" i="4" s="1"/>
  <c r="Y105" i="4" s="1"/>
  <c r="W105" i="4"/>
  <c r="V38" i="4"/>
  <c r="X38" i="4" s="1"/>
  <c r="Y38" i="4" s="1"/>
  <c r="V152" i="4"/>
  <c r="X152" i="4" s="1"/>
  <c r="Y152" i="4" s="1"/>
  <c r="W152" i="4"/>
  <c r="V150" i="4"/>
  <c r="X150" i="4" s="1"/>
  <c r="Y150" i="4" s="1"/>
  <c r="W150" i="4"/>
  <c r="V140" i="4"/>
  <c r="X140" i="4" s="1"/>
  <c r="Y140" i="4" s="1"/>
  <c r="W140" i="4"/>
  <c r="V138" i="4"/>
  <c r="X138" i="4" s="1"/>
  <c r="Y138" i="4" s="1"/>
  <c r="W138" i="4"/>
  <c r="V136" i="4"/>
  <c r="X136" i="4" s="1"/>
  <c r="Y136" i="4" s="1"/>
  <c r="W136" i="4"/>
  <c r="V134" i="4"/>
  <c r="X134" i="4" s="1"/>
  <c r="Y134" i="4" s="1"/>
  <c r="W134" i="4"/>
  <c r="V132" i="4"/>
  <c r="X132" i="4" s="1"/>
  <c r="Y132" i="4" s="1"/>
  <c r="W132" i="4"/>
  <c r="V130" i="4"/>
  <c r="X130" i="4" s="1"/>
  <c r="Y130" i="4" s="1"/>
  <c r="W130" i="4"/>
  <c r="V127" i="4"/>
  <c r="X127" i="4" s="1"/>
  <c r="Y127" i="4" s="1"/>
  <c r="W127" i="4"/>
  <c r="V146" i="4"/>
  <c r="X146" i="4" s="1"/>
  <c r="Y146" i="4" s="1"/>
  <c r="W144" i="4"/>
  <c r="V143" i="4"/>
  <c r="X143" i="4" s="1"/>
  <c r="Y143" i="4" s="1"/>
  <c r="V137" i="4"/>
  <c r="X137" i="4" s="1"/>
  <c r="Y137" i="4" s="1"/>
  <c r="V133" i="4"/>
  <c r="X133" i="4" s="1"/>
  <c r="Y133" i="4" s="1"/>
  <c r="V129" i="4"/>
  <c r="X129" i="4" s="1"/>
  <c r="Y129" i="4" s="1"/>
  <c r="X112" i="4"/>
  <c r="Y112" i="4" s="1"/>
  <c r="X106" i="4"/>
  <c r="Y106" i="4" s="1"/>
  <c r="X94" i="4"/>
  <c r="Y94" i="4" s="1"/>
  <c r="W73" i="4"/>
  <c r="V73" i="4"/>
  <c r="X73" i="4" s="1"/>
  <c r="Y73" i="4" s="1"/>
  <c r="V71" i="4"/>
  <c r="X71" i="4" s="1"/>
  <c r="Y71" i="4" s="1"/>
  <c r="W71" i="4"/>
  <c r="W69" i="4"/>
  <c r="V69" i="4"/>
  <c r="X69" i="4" s="1"/>
  <c r="Y69" i="4" s="1"/>
  <c r="V67" i="4"/>
  <c r="X67" i="4" s="1"/>
  <c r="Y67" i="4" s="1"/>
  <c r="W67" i="4"/>
  <c r="W65" i="4"/>
  <c r="V65" i="4"/>
  <c r="X65" i="4" s="1"/>
  <c r="Y65" i="4" s="1"/>
  <c r="V63" i="4"/>
  <c r="X63" i="4" s="1"/>
  <c r="Y63" i="4" s="1"/>
  <c r="W63" i="4"/>
  <c r="W61" i="4"/>
  <c r="V61" i="4"/>
  <c r="X61" i="4" s="1"/>
  <c r="Y61" i="4" s="1"/>
  <c r="V59" i="4"/>
  <c r="X59" i="4" s="1"/>
  <c r="Y59" i="4" s="1"/>
  <c r="W59" i="4"/>
  <c r="W57" i="4"/>
  <c r="V57" i="4"/>
  <c r="X57" i="4" s="1"/>
  <c r="Y57" i="4" s="1"/>
  <c r="V55" i="4"/>
  <c r="X55" i="4" s="1"/>
  <c r="Y55" i="4" s="1"/>
  <c r="W55" i="4"/>
  <c r="W53" i="4"/>
  <c r="V53" i="4"/>
  <c r="X53" i="4" s="1"/>
  <c r="Y53" i="4" s="1"/>
  <c r="V51" i="4"/>
  <c r="X51" i="4" s="1"/>
  <c r="Y51" i="4" s="1"/>
  <c r="W51" i="4"/>
  <c r="V153" i="4"/>
  <c r="X153" i="4" s="1"/>
  <c r="Y153" i="4" s="1"/>
  <c r="W111" i="4"/>
  <c r="V111" i="4"/>
  <c r="X111" i="4" s="1"/>
  <c r="Y111" i="4" s="1"/>
  <c r="W107" i="4"/>
  <c r="V107" i="4"/>
  <c r="X107" i="4" s="1"/>
  <c r="Y107" i="4" s="1"/>
  <c r="W103" i="4"/>
  <c r="W97" i="4"/>
  <c r="W93" i="4"/>
  <c r="V93" i="4"/>
  <c r="X93" i="4" s="1"/>
  <c r="Y93" i="4" s="1"/>
  <c r="W89" i="4"/>
  <c r="V89" i="4"/>
  <c r="X89" i="4" s="1"/>
  <c r="Y89" i="4" s="1"/>
  <c r="W85" i="4"/>
  <c r="W81" i="4"/>
  <c r="W77" i="4"/>
  <c r="V77" i="4"/>
  <c r="X77" i="4" s="1"/>
  <c r="Y77" i="4" s="1"/>
  <c r="V47" i="4"/>
  <c r="X47" i="4" s="1"/>
  <c r="Y47" i="4" s="1"/>
  <c r="V45" i="4"/>
  <c r="X45" i="4" s="1"/>
  <c r="Y45" i="4" s="1"/>
  <c r="V43" i="4"/>
  <c r="X43" i="4" s="1"/>
  <c r="Y43" i="4" s="1"/>
  <c r="V41" i="4"/>
  <c r="X41" i="4" s="1"/>
  <c r="Y41" i="4" s="1"/>
  <c r="W39" i="4"/>
  <c r="V37" i="4"/>
  <c r="X37" i="4" s="1"/>
  <c r="Y37" i="4" s="1"/>
  <c r="V35" i="4"/>
  <c r="X35" i="4" s="1"/>
  <c r="Y35" i="4" s="1"/>
  <c r="V26" i="4"/>
  <c r="X26" i="4" s="1"/>
  <c r="Y26" i="4" s="1"/>
  <c r="W26" i="4"/>
  <c r="V95" i="4"/>
  <c r="X95" i="4" s="1"/>
  <c r="Y95" i="4" s="1"/>
  <c r="W95" i="4"/>
  <c r="X91" i="4"/>
  <c r="Y91" i="4" s="1"/>
  <c r="V87" i="4"/>
  <c r="X87" i="4" s="1"/>
  <c r="Y87" i="4" s="1"/>
  <c r="V79" i="4"/>
  <c r="X79" i="4" s="1"/>
  <c r="Y79" i="4" s="1"/>
  <c r="W79" i="4"/>
  <c r="X49" i="4"/>
  <c r="Y49" i="4" s="1"/>
  <c r="W49" i="4"/>
  <c r="W37" i="4"/>
  <c r="X21" i="4"/>
  <c r="Y21" i="4" s="1"/>
  <c r="X13" i="4"/>
  <c r="Y13" i="4" s="1"/>
  <c r="X108" i="4"/>
  <c r="Y108" i="4" s="1"/>
  <c r="V98" i="4"/>
  <c r="X98" i="4" s="1"/>
  <c r="Y98" i="4" s="1"/>
  <c r="W98" i="4"/>
  <c r="V149" i="4"/>
  <c r="X149" i="4" s="1"/>
  <c r="Y149" i="4" s="1"/>
  <c r="V147" i="4"/>
  <c r="X147" i="4" s="1"/>
  <c r="Y147" i="4" s="1"/>
  <c r="X32" i="4"/>
  <c r="Y32" i="4" s="1"/>
  <c r="V31" i="4"/>
  <c r="X31" i="4" s="1"/>
  <c r="Y31" i="4" s="1"/>
  <c r="V7" i="4"/>
  <c r="X7" i="4" s="1"/>
  <c r="Y7" i="4" s="1"/>
  <c r="V33" i="4"/>
  <c r="X33" i="4" s="1"/>
  <c r="W29" i="4"/>
  <c r="W23" i="4"/>
  <c r="W21" i="4"/>
  <c r="W19" i="4"/>
  <c r="W17" i="4"/>
  <c r="W15" i="4"/>
  <c r="W13" i="4"/>
  <c r="W11" i="4"/>
  <c r="W9" i="4"/>
  <c r="W5" i="4"/>
  <c r="U146" i="3"/>
  <c r="U153" i="3"/>
  <c r="U149" i="3"/>
  <c r="U144" i="3"/>
  <c r="U122" i="3"/>
  <c r="U120" i="3"/>
  <c r="U118" i="3"/>
  <c r="U116" i="3"/>
  <c r="U114" i="3"/>
  <c r="U110" i="3"/>
  <c r="U108" i="3"/>
  <c r="T2" i="3"/>
  <c r="U145" i="3"/>
  <c r="U143" i="3"/>
  <c r="Y5" i="4" l="1"/>
  <c r="W7" i="4"/>
  <c r="W92" i="4"/>
  <c r="W76" i="4"/>
  <c r="W84" i="4"/>
  <c r="W145" i="4"/>
  <c r="W146" i="4"/>
  <c r="W78" i="4"/>
  <c r="W80" i="4"/>
  <c r="W86" i="4"/>
  <c r="W88" i="4"/>
  <c r="W148" i="4"/>
  <c r="W31" i="4"/>
  <c r="W35" i="4"/>
  <c r="W38" i="4"/>
  <c r="V85" i="4"/>
  <c r="X85" i="4" s="1"/>
  <c r="Y85" i="4" s="1"/>
  <c r="V103" i="4"/>
  <c r="X103" i="4" s="1"/>
  <c r="Y103" i="4" s="1"/>
  <c r="W82" i="4"/>
  <c r="W90" i="4"/>
  <c r="V109" i="4"/>
  <c r="X109" i="4" s="1"/>
  <c r="Y109" i="4" s="1"/>
  <c r="W87" i="4"/>
  <c r="V81" i="4"/>
  <c r="X81" i="4" s="1"/>
  <c r="Y81" i="4" s="1"/>
  <c r="V97" i="4"/>
  <c r="X97" i="4" s="1"/>
  <c r="Y97" i="4" s="1"/>
  <c r="Y33" i="4"/>
  <c r="W143" i="4"/>
  <c r="W33" i="4"/>
  <c r="V39" i="4"/>
  <c r="X39" i="4" s="1"/>
  <c r="Y39" i="4" s="1"/>
  <c r="V144" i="4"/>
  <c r="X144" i="4" s="1"/>
  <c r="Y144" i="4" s="1"/>
  <c r="X2" i="4" l="1"/>
  <c r="Y2" i="4"/>
  <c r="W2" i="4"/>
  <c r="V2" i="4"/>
</calcChain>
</file>

<file path=xl/comments1.xml><?xml version="1.0" encoding="utf-8"?>
<comments xmlns="http://schemas.openxmlformats.org/spreadsheetml/2006/main">
  <authors>
    <author xml:space="preserve">Mohammed Ahmed Mahdi </author>
  </authors>
  <commentList>
    <comment ref="M44" authorId="0">
      <text>
        <r>
          <rPr>
            <b/>
            <sz val="9"/>
            <color indexed="81"/>
            <rFont val="Tahoma"/>
            <family val="2"/>
          </rPr>
          <t>Mohammed Ahmed Mahdi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48"/>
            <color indexed="81"/>
            <rFont val="Akhbar MT"/>
            <charset val="178"/>
          </rPr>
          <t>لم يتم أستلام الا عدد ((2)) مكبس أرضي فقط</t>
        </r>
      </text>
    </comment>
  </commentList>
</comments>
</file>

<file path=xl/comments2.xml><?xml version="1.0" encoding="utf-8"?>
<comments xmlns="http://schemas.openxmlformats.org/spreadsheetml/2006/main">
  <authors>
    <author xml:space="preserve">Mohammed Ahmed Mahdi </author>
  </authors>
  <commentList>
    <comment ref="M44" authorId="0">
      <text>
        <r>
          <rPr>
            <b/>
            <sz val="9"/>
            <color indexed="81"/>
            <rFont val="Tahoma"/>
            <family val="2"/>
          </rPr>
          <t>Mohammed Ahmed Mahdi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48"/>
            <color indexed="81"/>
            <rFont val="Akhbar MT"/>
            <charset val="178"/>
          </rPr>
          <t>لم يتم أستلام الا عدد ((2)) مكبس أرضي فقط</t>
        </r>
      </text>
    </comment>
  </commentList>
</comments>
</file>

<file path=xl/sharedStrings.xml><?xml version="1.0" encoding="utf-8"?>
<sst xmlns="http://schemas.openxmlformats.org/spreadsheetml/2006/main" count="2296" uniqueCount="231">
  <si>
    <t>إضافات 2016</t>
  </si>
  <si>
    <t>م</t>
  </si>
  <si>
    <t>رقم القيد</t>
  </si>
  <si>
    <t>الأصل</t>
  </si>
  <si>
    <t>المالك</t>
  </si>
  <si>
    <t>مجموعة الاصول</t>
  </si>
  <si>
    <t>المشروع</t>
  </si>
  <si>
    <t>القطاع</t>
  </si>
  <si>
    <t>الإدارة</t>
  </si>
  <si>
    <t>المستخدم</t>
  </si>
  <si>
    <t>plate</t>
  </si>
  <si>
    <t>تاريخ الشراء-الاستلام</t>
  </si>
  <si>
    <t>المورد</t>
  </si>
  <si>
    <t>الكمية</t>
  </si>
  <si>
    <t>رقم الفاتورة</t>
  </si>
  <si>
    <t>سعر/الحبة</t>
  </si>
  <si>
    <t>الإجمالي</t>
  </si>
  <si>
    <t>العمر الافتراضي</t>
  </si>
  <si>
    <t>كود الاصل</t>
  </si>
  <si>
    <t>حالة الاصل</t>
  </si>
  <si>
    <t>مجمع الاهلاك 
في 01-01-2016</t>
  </si>
  <si>
    <t>القيمة الدفترية 
في 01-01-2016</t>
  </si>
  <si>
    <t>مصروف الاهلاك 2016</t>
  </si>
  <si>
    <t xml:space="preserve">مصروف الاهلاك 2017 </t>
  </si>
  <si>
    <t>مجمع الاهلاك
في 31-12-2016</t>
  </si>
  <si>
    <t>القيمة الدفترية 
في 31-12-2016</t>
  </si>
  <si>
    <t>خزنة</t>
  </si>
  <si>
    <t>مؤسسة الرسين للصيانة</t>
  </si>
  <si>
    <t>أثاث و مفروشات</t>
  </si>
  <si>
    <t>الرياض</t>
  </si>
  <si>
    <t xml:space="preserve">الحسابات </t>
  </si>
  <si>
    <t>محمد مهدي</t>
  </si>
  <si>
    <t>في التشغيل</t>
  </si>
  <si>
    <t>41-12-2016</t>
  </si>
  <si>
    <t>حاويات 02 ياردة</t>
  </si>
  <si>
    <t>حاويات نفايات</t>
  </si>
  <si>
    <t>الدرب</t>
  </si>
  <si>
    <t>التشغيل</t>
  </si>
  <si>
    <t>مصنع الفهاد</t>
  </si>
  <si>
    <t>10223-10228</t>
  </si>
  <si>
    <t>مكيف LG 1800</t>
  </si>
  <si>
    <t>محولات مكابس أرضية</t>
  </si>
  <si>
    <t>مدارس الرواد</t>
  </si>
  <si>
    <t xml:space="preserve">مؤسسة الرمال </t>
  </si>
  <si>
    <t>مكتب خشبي</t>
  </si>
  <si>
    <t>الإدارية</t>
  </si>
  <si>
    <t>أحمد الشاعر</t>
  </si>
  <si>
    <t>رموز المستقبل للتجارة</t>
  </si>
  <si>
    <t>طابعة</t>
  </si>
  <si>
    <t>إكسترا</t>
  </si>
  <si>
    <t xml:space="preserve">سيارة أكسنت </t>
  </si>
  <si>
    <t>سيارات سيدان</t>
  </si>
  <si>
    <t>ياسر صبري</t>
  </si>
  <si>
    <t xml:space="preserve">شركة تركي عبد العزيز الحميضي </t>
  </si>
  <si>
    <t>شاحنة هينو</t>
  </si>
  <si>
    <t>سيارات التشغيل</t>
  </si>
  <si>
    <t>نفايات</t>
  </si>
  <si>
    <t>ب.ح.ك
6835</t>
  </si>
  <si>
    <t>جمجوم للسيارات و المعدات</t>
  </si>
  <si>
    <t>ب.ح.ك
6836</t>
  </si>
  <si>
    <t>ب.ح.ك
6838</t>
  </si>
  <si>
    <t>ب.ح.ك
6840</t>
  </si>
  <si>
    <t>ب.ح.ك
6842</t>
  </si>
  <si>
    <t>ب.ح.ك
6834</t>
  </si>
  <si>
    <t>ب.ح.ك
6837</t>
  </si>
  <si>
    <t>ب.ح.ك
6839</t>
  </si>
  <si>
    <t>ب.ح.ك
6841</t>
  </si>
  <si>
    <t>ب.ح.ك
6843</t>
  </si>
  <si>
    <t>ثلاجة دانسات</t>
  </si>
  <si>
    <t>المدينة</t>
  </si>
  <si>
    <t>مؤسسة غسان للتجارة</t>
  </si>
  <si>
    <t>غسالة سامسونج 50 حوضين</t>
  </si>
  <si>
    <t>جهاز بصمة موديل f18</t>
  </si>
  <si>
    <t>الحماية المتكاملة للتجارة</t>
  </si>
  <si>
    <t>المبيعات</t>
  </si>
  <si>
    <t>محمد خليل محمد خليل</t>
  </si>
  <si>
    <t>الأحساء</t>
  </si>
  <si>
    <t>محمد السعيد</t>
  </si>
  <si>
    <t>إدارية</t>
  </si>
  <si>
    <t>التحصيل</t>
  </si>
  <si>
    <t>محمد خميس</t>
  </si>
  <si>
    <t>29/09/2016
30/12/2016</t>
  </si>
  <si>
    <t>جده</t>
  </si>
  <si>
    <t>ب.ح.ص
4108</t>
  </si>
  <si>
    <t>الشقيق</t>
  </si>
  <si>
    <t>ب.ح.ص
4106</t>
  </si>
  <si>
    <t>ضاغط ميتسوبيشي</t>
  </si>
  <si>
    <t>شركة الفهاد</t>
  </si>
  <si>
    <t>أ.ي.ك
4531</t>
  </si>
  <si>
    <t>أ.ي.ك
4212</t>
  </si>
  <si>
    <t>حاويات 04 ياردة</t>
  </si>
  <si>
    <t>حاويات 06ياردة</t>
  </si>
  <si>
    <t>مكبس نفايات أرضي</t>
  </si>
  <si>
    <t>مكابس أرضية</t>
  </si>
  <si>
    <t xml:space="preserve">الساطعة الحديثة للمقاولات </t>
  </si>
  <si>
    <t xml:space="preserve">شاحنة ميتسوبيشي روول أون روول أوف </t>
  </si>
  <si>
    <t>أنقاض</t>
  </si>
  <si>
    <t>مشروع المطار الرياض</t>
  </si>
  <si>
    <t>ب.أ.ص
3453</t>
  </si>
  <si>
    <t>وايت مياه</t>
  </si>
  <si>
    <t>أ.د.ه
1215</t>
  </si>
  <si>
    <t>غمارتين</t>
  </si>
  <si>
    <t>أ.ن.م
7174</t>
  </si>
  <si>
    <t>37/12/2016</t>
  </si>
  <si>
    <t>بيت جاهز 2 شاور + 2 حمام + 2 مغاسل</t>
  </si>
  <si>
    <t>الساطعة الحديثة للمقاولات</t>
  </si>
  <si>
    <t>37-12-2016</t>
  </si>
  <si>
    <t>الساطعة الحديثة للمقاولات 
شيك 1907 من الفهاد</t>
  </si>
  <si>
    <t>المزايا الخضراء 
أعتماد 6001681</t>
  </si>
  <si>
    <t>42-12-2016</t>
  </si>
  <si>
    <t>روول أون روول أوف</t>
  </si>
  <si>
    <t>ب.ب.ن
6797</t>
  </si>
  <si>
    <t>العيسائي</t>
  </si>
  <si>
    <t>ب.ب.ن
6796</t>
  </si>
  <si>
    <t>ب.ب.ن
6795</t>
  </si>
  <si>
    <t>39-12-2016</t>
  </si>
  <si>
    <t>ربوع كلادة للتشغيل</t>
  </si>
  <si>
    <t>حاويات 06 ياردة</t>
  </si>
  <si>
    <t>حاويات مكبس 30 ياردة</t>
  </si>
  <si>
    <t>المطار</t>
  </si>
  <si>
    <t>حاويات 30 ياردة مفتوحة</t>
  </si>
  <si>
    <t>حاويات 02 ياردة بغطاء</t>
  </si>
  <si>
    <t>حاويات 04 ياردة بغطاء</t>
  </si>
  <si>
    <t>حاويات 06 ياردة بغطاء</t>
  </si>
  <si>
    <t>أغطية حاويات 06 ياردة</t>
  </si>
  <si>
    <t>أغطية حاويات 04 ياردة</t>
  </si>
  <si>
    <t xml:space="preserve">مؤسسة ألوان الشموس </t>
  </si>
  <si>
    <t>حائل</t>
  </si>
  <si>
    <t>عنيزة</t>
  </si>
  <si>
    <t xml:space="preserve">حاويات 02 ياردة </t>
  </si>
  <si>
    <t>6-3-2016
7-7-2016</t>
  </si>
  <si>
    <t>محول كهربائي</t>
  </si>
  <si>
    <t>عدد و أدوات ميكانيكية</t>
  </si>
  <si>
    <t xml:space="preserve">هيونداي أكسنت </t>
  </si>
  <si>
    <t>ح.ب.د
4859</t>
  </si>
  <si>
    <t>الوعلان</t>
  </si>
  <si>
    <t>ضاغطة هينو</t>
  </si>
  <si>
    <t>أ.ص.ح
1307</t>
  </si>
  <si>
    <t>ينبع</t>
  </si>
  <si>
    <t>أ.ع.ص
4103</t>
  </si>
  <si>
    <t>أ.ع.ص
4106</t>
  </si>
  <si>
    <t xml:space="preserve">شاحنة إيسوزو </t>
  </si>
  <si>
    <t>نفايات
الشبك</t>
  </si>
  <si>
    <t>أ.ل.ح
4502</t>
  </si>
  <si>
    <t>ضاغط إيسوزو</t>
  </si>
  <si>
    <t>تحسينات</t>
  </si>
  <si>
    <t>ارامكو</t>
  </si>
  <si>
    <t>أ.ك.ل
2262</t>
  </si>
  <si>
    <t>أ.ل.ب
9281</t>
  </si>
  <si>
    <t>ضاغط هينو</t>
  </si>
  <si>
    <t>أ.م.د
9305</t>
  </si>
  <si>
    <t>أ.م.د
9306</t>
  </si>
  <si>
    <t>أ.م.د
9308</t>
  </si>
  <si>
    <t>أ.م.د
9213</t>
  </si>
  <si>
    <t>أ.م.د
9216</t>
  </si>
  <si>
    <t>أ.م.د
9223</t>
  </si>
  <si>
    <t>أ.م.د
9220</t>
  </si>
  <si>
    <t>أ.م.ح
9602</t>
  </si>
  <si>
    <t>شاحنة</t>
  </si>
  <si>
    <t>ب.أ.ص
3889</t>
  </si>
  <si>
    <t>ب.أ.ص
5959</t>
  </si>
  <si>
    <t>متوقفة بالسكن</t>
  </si>
  <si>
    <t>ص.و.أ
142</t>
  </si>
  <si>
    <t xml:space="preserve">شفورلية تاهو </t>
  </si>
  <si>
    <t>إبراهيم عبد الله الباحوث</t>
  </si>
  <si>
    <t>ح.ل.أ
9685</t>
  </si>
  <si>
    <t>شفورولية كابريس</t>
  </si>
  <si>
    <t>أ.ي.س
7915</t>
  </si>
  <si>
    <t>أ.ي.هـ
6239</t>
  </si>
  <si>
    <t>أ.ي.هـ
6177</t>
  </si>
  <si>
    <t>أ.ي.هـ
6180</t>
  </si>
  <si>
    <t>أ.ي.هـ
6181</t>
  </si>
  <si>
    <t xml:space="preserve">تويوتا فورتشنر </t>
  </si>
  <si>
    <t>شركة الفهاد - الرسين</t>
  </si>
  <si>
    <t>ب.س.ن
4565</t>
  </si>
  <si>
    <t>تويوتا فورتشنر</t>
  </si>
  <si>
    <t>ب.س.ن
4643</t>
  </si>
  <si>
    <t>إضافات لوايت مياه</t>
  </si>
  <si>
    <t>إضافات لروول أون روول أوف</t>
  </si>
  <si>
    <t xml:space="preserve">ب.ب.ن
6797
6796
</t>
  </si>
  <si>
    <t>بوم ترك</t>
  </si>
  <si>
    <t>أ.م.م
6277</t>
  </si>
  <si>
    <t>أ.م.د
2439</t>
  </si>
  <si>
    <t>تجهيزات تانك مياه</t>
  </si>
  <si>
    <t>ضاغط 22 ياردة</t>
  </si>
  <si>
    <t>أ.ح.و
1957</t>
  </si>
  <si>
    <t>أ.ح.و
1987</t>
  </si>
  <si>
    <t>لود لوجر</t>
  </si>
  <si>
    <t>أ.ح.و
1990</t>
  </si>
  <si>
    <t>أ.ح.و
2641</t>
  </si>
  <si>
    <t>بكب وانيت</t>
  </si>
  <si>
    <t>أ.ع.س
4696</t>
  </si>
  <si>
    <t>أ.ح.و
1960</t>
  </si>
  <si>
    <t>أ.ح.و
7077</t>
  </si>
  <si>
    <t>إيسوزو غمارتين</t>
  </si>
  <si>
    <t>أ.م.ن
7091</t>
  </si>
  <si>
    <t>أ.م.د
9307</t>
  </si>
  <si>
    <t>لاب توب + طابعة</t>
  </si>
  <si>
    <t>محمد جمعة</t>
  </si>
  <si>
    <t>كارفور</t>
  </si>
  <si>
    <t>طفاية حريق</t>
  </si>
  <si>
    <t>عدد 1 مكتب + 1 دولاب + 2 كرسي</t>
  </si>
  <si>
    <t>خزان 10 الاف لتر بولي إيثلين</t>
  </si>
  <si>
    <t>خزانات الوطني المهيدب</t>
  </si>
  <si>
    <t>مكيفات للعمالة</t>
  </si>
  <si>
    <t>صالح الخريف للتجارة</t>
  </si>
  <si>
    <t>أبواب حديد</t>
  </si>
  <si>
    <t xml:space="preserve">مولد كهرباء برافو </t>
  </si>
  <si>
    <t xml:space="preserve">خزان مياه 15000 لتر </t>
  </si>
  <si>
    <t>بيت جاهز +وحدتين مطبخ +وحدتين حمام</t>
  </si>
  <si>
    <t>كونتر مستودع مقاس 20 قدم</t>
  </si>
  <si>
    <t>مولد كهرباء مستعمل مشترى من قسم الفلاتر</t>
  </si>
  <si>
    <t>ثلاجة + سلندر غاز</t>
  </si>
  <si>
    <t xml:space="preserve">تلاجة </t>
  </si>
  <si>
    <t>مدارس بن خلدون</t>
  </si>
  <si>
    <t>شرائح تتبع</t>
  </si>
  <si>
    <t>عدد و أدوات أخرى</t>
  </si>
  <si>
    <t>43-12-2016</t>
  </si>
  <si>
    <t>إضافات ميتسوبيشي روول أون و روول أوف</t>
  </si>
  <si>
    <t>44-12-2016</t>
  </si>
  <si>
    <t>الوان الشموس</t>
  </si>
  <si>
    <t>الساطعة الحديثة تحويل من الوان الشموس</t>
  </si>
  <si>
    <t>أ.ح.و
1992</t>
  </si>
  <si>
    <t>حاوية 20 ياردة</t>
  </si>
  <si>
    <t>حاويات أنقاض</t>
  </si>
  <si>
    <t>حاوية 10 ياردة</t>
  </si>
  <si>
    <t xml:space="preserve">سيارة كابريس - أ د و 9277 </t>
  </si>
  <si>
    <t>حاويات 20 ياردة</t>
  </si>
  <si>
    <t>حاويات 16 ياردة</t>
  </si>
  <si>
    <t>حاويات 10 ياردة</t>
  </si>
  <si>
    <t xml:space="preserve">مصاريف تأسيس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</si>
</sst>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[$-1010000]yyyy/mm/dd;@"/>
    <numFmt numFmtId="165" formatCode="_-* #,##0_-;_-* #,##0\-;_-* &quot;-&quot;??_-;_-@_-"/>
    <numFmt numFmtId="166" formatCode="[$-10B0000]d\ mmmm\ yyyy;@"/>
  </numFmts>
  <fonts count="3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 val="singleAccounting"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0"/>
      <name val="Microsoft Uighur"/>
    </font>
    <font>
      <b/>
      <u/>
      <sz val="14"/>
      <color theme="0"/>
      <name val="Microsoft Uighur"/>
    </font>
    <font>
      <b/>
      <u/>
      <sz val="16"/>
      <color theme="0"/>
      <name val="Akhbar MT"/>
      <charset val="178"/>
    </font>
    <font>
      <b/>
      <sz val="16"/>
      <color theme="1"/>
      <name val="Microsoft Uighur"/>
    </font>
    <font>
      <b/>
      <sz val="20"/>
      <color theme="1"/>
      <name val="Microsoft Uighu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48"/>
      <color indexed="81"/>
      <name val="Akhbar MT"/>
      <charset val="178"/>
    </font>
    <font>
      <b/>
      <u/>
      <sz val="16"/>
      <color theme="1"/>
      <name val="Arial Black"/>
      <family val="2"/>
    </font>
    <font>
      <b/>
      <sz val="16"/>
      <color theme="1"/>
      <name val="Arial Black"/>
      <family val="2"/>
    </font>
    <font>
      <b/>
      <u val="singleAccounting"/>
      <sz val="16"/>
      <color theme="1"/>
      <name val="Arial Black"/>
      <family val="2"/>
    </font>
    <font>
      <b/>
      <sz val="20"/>
      <color theme="1"/>
      <name val="Arial Black"/>
      <family val="2"/>
    </font>
    <font>
      <b/>
      <sz val="36"/>
      <color rgb="FFC00000"/>
      <name val="Arial Black"/>
      <family val="2"/>
    </font>
    <font>
      <b/>
      <u/>
      <sz val="18"/>
      <color theme="0"/>
      <name val="Microsoft Uighur"/>
    </font>
    <font>
      <b/>
      <u/>
      <sz val="18"/>
      <color theme="0"/>
      <name val="Akhbar MT"/>
      <charset val="178"/>
    </font>
    <font>
      <sz val="18"/>
      <color theme="0"/>
      <name val="Calibri"/>
      <family val="2"/>
      <charset val="178"/>
      <scheme val="minor"/>
    </font>
    <font>
      <b/>
      <sz val="22"/>
      <color theme="1"/>
      <name val="Microsoft Uighur"/>
    </font>
    <font>
      <b/>
      <sz val="24"/>
      <color theme="1"/>
      <name val="Microsoft Uighur"/>
    </font>
    <font>
      <b/>
      <sz val="26"/>
      <color theme="1"/>
      <name val="Microsoft Uighu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164" fontId="0" fillId="0" borderId="0"/>
    <xf numFmtId="43" fontId="1" fillId="0" borderId="0" applyFont="0" applyFill="0" applyBorder="0" applyAlignment="0" applyProtection="0"/>
  </cellStyleXfs>
  <cellXfs count="100">
    <xf numFmtId="164" fontId="0" fillId="0" borderId="0" xfId="0"/>
    <xf numFmtId="164" fontId="0" fillId="0" borderId="0" xfId="0" applyProtection="1">
      <protection hidden="1"/>
    </xf>
    <xf numFmtId="14" fontId="3" fillId="2" borderId="1" xfId="0" applyNumberFormat="1" applyFont="1" applyFill="1" applyBorder="1" applyAlignment="1" applyProtection="1">
      <alignment horizontal="center" vertical="center"/>
      <protection hidden="1"/>
    </xf>
    <xf numFmtId="164" fontId="3" fillId="2" borderId="2" xfId="0" applyFont="1" applyFill="1" applyBorder="1" applyAlignment="1" applyProtection="1">
      <alignment horizontal="center" vertical="center"/>
      <protection hidden="1"/>
    </xf>
    <xf numFmtId="14" fontId="3" fillId="2" borderId="3" xfId="0" applyNumberFormat="1" applyFont="1" applyFill="1" applyBorder="1" applyAlignment="1" applyProtection="1">
      <alignment horizontal="center" vertical="center"/>
      <protection hidden="1"/>
    </xf>
    <xf numFmtId="43" fontId="4" fillId="0" borderId="0" xfId="0" applyNumberFormat="1" applyFont="1" applyAlignment="1" applyProtection="1">
      <alignment horizontal="center" vertical="center"/>
      <protection hidden="1"/>
    </xf>
    <xf numFmtId="165" fontId="4" fillId="0" borderId="0" xfId="0" applyNumberFormat="1" applyFont="1" applyAlignment="1" applyProtection="1">
      <alignment horizontal="center" vertical="center"/>
      <protection hidden="1"/>
    </xf>
    <xf numFmtId="1" fontId="4" fillId="0" borderId="0" xfId="0" applyNumberFormat="1" applyFont="1" applyAlignment="1" applyProtection="1">
      <alignment horizontal="center" vertical="center"/>
      <protection hidden="1"/>
    </xf>
    <xf numFmtId="164" fontId="4" fillId="0" borderId="0" xfId="0" applyFont="1" applyAlignment="1" applyProtection="1">
      <alignment horizontal="center" vertical="center"/>
      <protection hidden="1"/>
    </xf>
    <xf numFmtId="3" fontId="5" fillId="0" borderId="4" xfId="1" applyNumberFormat="1" applyFont="1" applyBorder="1" applyAlignment="1" applyProtection="1">
      <alignment horizontal="center" vertical="center"/>
      <protection hidden="1"/>
    </xf>
    <xf numFmtId="3" fontId="5" fillId="0" borderId="5" xfId="0" applyNumberFormat="1" applyFont="1" applyBorder="1" applyAlignment="1" applyProtection="1">
      <alignment horizontal="center" vertical="center"/>
      <protection hidden="1"/>
    </xf>
    <xf numFmtId="3" fontId="5" fillId="0" borderId="6" xfId="0" applyNumberFormat="1" applyFont="1" applyBorder="1" applyAlignment="1" applyProtection="1">
      <alignment horizontal="center" vertical="center"/>
      <protection hidden="1"/>
    </xf>
    <xf numFmtId="43" fontId="4" fillId="0" borderId="0" xfId="1" applyFont="1" applyAlignment="1" applyProtection="1">
      <alignment horizontal="center" vertical="center"/>
      <protection hidden="1"/>
    </xf>
    <xf numFmtId="165" fontId="6" fillId="3" borderId="7" xfId="1" applyNumberFormat="1" applyFont="1" applyFill="1" applyBorder="1" applyAlignment="1" applyProtection="1">
      <alignment horizontal="center" vertical="center" shrinkToFit="1"/>
      <protection hidden="1"/>
    </xf>
    <xf numFmtId="165" fontId="7" fillId="0" borderId="0" xfId="1" applyNumberFormat="1" applyFont="1" applyAlignment="1" applyProtection="1">
      <alignment horizontal="center" vertical="center" shrinkToFit="1"/>
      <protection hidden="1"/>
    </xf>
    <xf numFmtId="165" fontId="7" fillId="3" borderId="8" xfId="1" applyNumberFormat="1" applyFont="1" applyFill="1" applyBorder="1" applyAlignment="1" applyProtection="1">
      <alignment horizontal="center" vertical="center" shrinkToFit="1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5" fontId="8" fillId="0" borderId="0" xfId="1" applyNumberFormat="1" applyFont="1" applyAlignment="1" applyProtection="1">
      <alignment horizontal="center" vertical="center" shrinkToFit="1"/>
      <protection hidden="1"/>
    </xf>
    <xf numFmtId="16" fontId="0" fillId="0" borderId="0" xfId="0" applyNumberFormat="1" applyProtection="1">
      <protection hidden="1"/>
    </xf>
    <xf numFmtId="164" fontId="9" fillId="0" borderId="11" xfId="0" applyFont="1" applyFill="1" applyBorder="1" applyAlignment="1" applyProtection="1">
      <alignment horizontal="center" vertical="center" wrapText="1"/>
      <protection hidden="1"/>
    </xf>
    <xf numFmtId="164" fontId="9" fillId="0" borderId="0" xfId="0" applyFont="1" applyFill="1" applyBorder="1" applyAlignment="1" applyProtection="1">
      <alignment horizontal="center" vertical="center" wrapText="1"/>
      <protection hidden="1"/>
    </xf>
    <xf numFmtId="164" fontId="9" fillId="0" borderId="12" xfId="0" applyFont="1" applyFill="1" applyBorder="1" applyAlignment="1" applyProtection="1">
      <alignment horizontal="center" vertical="center" wrapText="1"/>
      <protection hidden="1"/>
    </xf>
    <xf numFmtId="1" fontId="9" fillId="0" borderId="12" xfId="0" applyNumberFormat="1" applyFont="1" applyFill="1" applyBorder="1" applyAlignment="1" applyProtection="1">
      <alignment horizontal="center" vertical="center" wrapText="1"/>
      <protection hidden="1"/>
    </xf>
    <xf numFmtId="165" fontId="9" fillId="0" borderId="12" xfId="1" applyNumberFormat="1" applyFont="1" applyFill="1" applyBorder="1" applyAlignment="1" applyProtection="1">
      <alignment horizontal="center" vertical="center" wrapText="1"/>
      <protection hidden="1"/>
    </xf>
    <xf numFmtId="164" fontId="10" fillId="0" borderId="12" xfId="0" applyFont="1" applyFill="1" applyBorder="1" applyAlignment="1" applyProtection="1">
      <alignment horizontal="center" vertical="center" wrapText="1"/>
      <protection hidden="1"/>
    </xf>
    <xf numFmtId="165" fontId="11" fillId="0" borderId="12" xfId="1" applyNumberFormat="1" applyFont="1" applyFill="1" applyBorder="1" applyAlignment="1" applyProtection="1">
      <alignment horizontal="center" vertical="center" wrapText="1"/>
      <protection hidden="1"/>
    </xf>
    <xf numFmtId="164" fontId="2" fillId="0" borderId="0" xfId="0" applyFont="1" applyFill="1" applyProtection="1">
      <protection hidden="1"/>
    </xf>
    <xf numFmtId="164" fontId="12" fillId="0" borderId="8" xfId="0" applyFont="1" applyFill="1" applyBorder="1" applyAlignment="1" applyProtection="1">
      <alignment horizontal="center" vertical="center"/>
      <protection hidden="1"/>
    </xf>
    <xf numFmtId="14" fontId="12" fillId="0" borderId="8" xfId="0" applyNumberFormat="1" applyFont="1" applyFill="1" applyBorder="1" applyAlignment="1" applyProtection="1">
      <alignment horizontal="center" vertical="center"/>
      <protection hidden="1"/>
    </xf>
    <xf numFmtId="164" fontId="12" fillId="0" borderId="8" xfId="0" applyNumberFormat="1" applyFont="1" applyFill="1" applyBorder="1" applyAlignment="1" applyProtection="1">
      <alignment horizontal="center" vertical="center" shrinkToFit="1"/>
      <protection hidden="1"/>
    </xf>
    <xf numFmtId="1" fontId="12" fillId="0" borderId="8" xfId="0" applyNumberFormat="1" applyFont="1" applyFill="1" applyBorder="1" applyAlignment="1" applyProtection="1">
      <alignment horizontal="center" vertical="center"/>
      <protection hidden="1"/>
    </xf>
    <xf numFmtId="164" fontId="12" fillId="0" borderId="8" xfId="0" applyFont="1" applyFill="1" applyBorder="1" applyAlignment="1" applyProtection="1">
      <alignment horizontal="center" vertical="center" shrinkToFit="1"/>
      <protection hidden="1"/>
    </xf>
    <xf numFmtId="165" fontId="12" fillId="0" borderId="8" xfId="1" applyNumberFormat="1" applyFont="1" applyFill="1" applyBorder="1" applyAlignment="1" applyProtection="1">
      <alignment horizontal="center" vertical="center"/>
      <protection hidden="1"/>
    </xf>
    <xf numFmtId="10" fontId="12" fillId="0" borderId="8" xfId="0" applyNumberFormat="1" applyFont="1" applyFill="1" applyBorder="1" applyAlignment="1" applyProtection="1">
      <alignment horizontal="center" vertical="center"/>
      <protection hidden="1"/>
    </xf>
    <xf numFmtId="165" fontId="13" fillId="0" borderId="8" xfId="1" applyNumberFormat="1" applyFont="1" applyFill="1" applyBorder="1" applyAlignment="1" applyProtection="1">
      <alignment horizontal="center" vertical="center"/>
      <protection hidden="1"/>
    </xf>
    <xf numFmtId="9" fontId="12" fillId="0" borderId="8" xfId="0" applyNumberFormat="1" applyFont="1" applyFill="1" applyBorder="1" applyAlignment="1" applyProtection="1">
      <alignment horizontal="center" vertical="center"/>
      <protection hidden="1"/>
    </xf>
    <xf numFmtId="164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8" xfId="0" applyFont="1" applyFill="1" applyBorder="1" applyAlignment="1" applyProtection="1">
      <alignment horizontal="center" vertical="center"/>
      <protection hidden="1"/>
    </xf>
    <xf numFmtId="14" fontId="14" fillId="0" borderId="8" xfId="0" applyNumberFormat="1" applyFont="1" applyFill="1" applyBorder="1" applyAlignment="1" applyProtection="1">
      <alignment horizontal="center" vertical="center" wrapText="1"/>
      <protection hidden="1"/>
    </xf>
    <xf numFmtId="164" fontId="12" fillId="0" borderId="8" xfId="0" applyNumberFormat="1" applyFont="1" applyFill="1" applyBorder="1" applyAlignment="1" applyProtection="1">
      <alignment horizontal="center" vertical="center" wrapText="1" shrinkToFit="1"/>
      <protection hidden="1"/>
    </xf>
    <xf numFmtId="164" fontId="0" fillId="0" borderId="14" xfId="0" applyFont="1" applyFill="1" applyBorder="1" applyAlignment="1" applyProtection="1">
      <alignment horizontal="center" vertical="center"/>
      <protection hidden="1"/>
    </xf>
    <xf numFmtId="14" fontId="12" fillId="0" borderId="14" xfId="0" applyNumberFormat="1" applyFont="1" applyFill="1" applyBorder="1" applyAlignment="1" applyProtection="1">
      <alignment horizontal="center" vertical="center"/>
      <protection hidden="1"/>
    </xf>
    <xf numFmtId="164" fontId="12" fillId="0" borderId="14" xfId="0" applyFont="1" applyFill="1" applyBorder="1" applyAlignment="1" applyProtection="1">
      <alignment horizontal="center" vertical="center"/>
      <protection hidden="1"/>
    </xf>
    <xf numFmtId="164" fontId="12" fillId="0" borderId="14" xfId="0" applyNumberFormat="1" applyFont="1" applyFill="1" applyBorder="1" applyAlignment="1" applyProtection="1">
      <alignment horizontal="center" vertical="center" shrinkToFit="1"/>
      <protection hidden="1"/>
    </xf>
    <xf numFmtId="1" fontId="12" fillId="0" borderId="14" xfId="0" applyNumberFormat="1" applyFont="1" applyFill="1" applyBorder="1" applyAlignment="1" applyProtection="1">
      <alignment horizontal="center" vertical="center"/>
      <protection hidden="1"/>
    </xf>
    <xf numFmtId="164" fontId="12" fillId="0" borderId="14" xfId="0" applyFont="1" applyFill="1" applyBorder="1" applyAlignment="1" applyProtection="1">
      <alignment horizontal="center" vertical="center" shrinkToFit="1"/>
      <protection hidden="1"/>
    </xf>
    <xf numFmtId="165" fontId="12" fillId="0" borderId="14" xfId="1" applyNumberFormat="1" applyFont="1" applyFill="1" applyBorder="1" applyAlignment="1" applyProtection="1">
      <alignment horizontal="center" vertical="center"/>
      <protection hidden="1"/>
    </xf>
    <xf numFmtId="165" fontId="13" fillId="0" borderId="14" xfId="1" applyNumberFormat="1" applyFont="1" applyFill="1" applyBorder="1" applyAlignment="1" applyProtection="1">
      <alignment horizontal="center" vertical="center"/>
      <protection hidden="1"/>
    </xf>
    <xf numFmtId="10" fontId="12" fillId="0" borderId="14" xfId="0" applyNumberFormat="1" applyFont="1" applyFill="1" applyBorder="1" applyAlignment="1" applyProtection="1">
      <alignment horizontal="center" vertical="center"/>
      <protection hidden="1"/>
    </xf>
    <xf numFmtId="164" fontId="12" fillId="0" borderId="14" xfId="0" applyFont="1" applyFill="1" applyBorder="1" applyAlignment="1" applyProtection="1">
      <alignment horizontal="center" vertical="center" wrapText="1"/>
      <protection hidden="1"/>
    </xf>
    <xf numFmtId="166" fontId="12" fillId="0" borderId="14" xfId="0" applyNumberFormat="1" applyFont="1" applyFill="1" applyBorder="1" applyAlignment="1" applyProtection="1">
      <alignment horizontal="center" vertical="center" shrinkToFit="1"/>
      <protection hidden="1"/>
    </xf>
    <xf numFmtId="166" fontId="12" fillId="0" borderId="8" xfId="0" applyNumberFormat="1" applyFont="1" applyFill="1" applyBorder="1" applyAlignment="1" applyProtection="1">
      <alignment horizontal="center" vertical="center" shrinkToFit="1"/>
      <protection hidden="1"/>
    </xf>
    <xf numFmtId="165" fontId="6" fillId="0" borderId="0" xfId="1" applyNumberFormat="1" applyFont="1" applyFill="1" applyBorder="1" applyAlignment="1" applyProtection="1">
      <alignment horizontal="center" vertical="center" shrinkToFit="1"/>
      <protection hidden="1"/>
    </xf>
    <xf numFmtId="9" fontId="9" fillId="0" borderId="12" xfId="0" applyNumberFormat="1" applyFont="1" applyFill="1" applyBorder="1" applyAlignment="1" applyProtection="1">
      <alignment horizontal="center" vertical="center" wrapText="1"/>
      <protection hidden="1"/>
    </xf>
    <xf numFmtId="3" fontId="18" fillId="0" borderId="4" xfId="1" applyNumberFormat="1" applyFont="1" applyBorder="1" applyAlignment="1" applyProtection="1">
      <alignment horizontal="center" vertical="center" shrinkToFit="1"/>
      <protection hidden="1"/>
    </xf>
    <xf numFmtId="3" fontId="18" fillId="0" borderId="5" xfId="0" applyNumberFormat="1" applyFont="1" applyBorder="1" applyAlignment="1" applyProtection="1">
      <alignment horizontal="center" vertical="center" shrinkToFit="1"/>
      <protection hidden="1"/>
    </xf>
    <xf numFmtId="3" fontId="18" fillId="0" borderId="6" xfId="0" applyNumberFormat="1" applyFont="1" applyBorder="1" applyAlignment="1" applyProtection="1">
      <alignment horizontal="center" vertical="center" shrinkToFit="1"/>
      <protection hidden="1"/>
    </xf>
    <xf numFmtId="164" fontId="19" fillId="0" borderId="0" xfId="0" applyNumberFormat="1" applyFont="1" applyAlignment="1" applyProtection="1">
      <alignment horizontal="center" vertical="center"/>
      <protection hidden="1"/>
    </xf>
    <xf numFmtId="1" fontId="19" fillId="0" borderId="0" xfId="0" applyNumberFormat="1" applyFont="1" applyAlignment="1" applyProtection="1">
      <alignment horizontal="center" vertical="center"/>
      <protection hidden="1"/>
    </xf>
    <xf numFmtId="164" fontId="19" fillId="0" borderId="0" xfId="0" applyFont="1" applyAlignment="1" applyProtection="1">
      <alignment horizontal="center" vertical="center"/>
      <protection hidden="1"/>
    </xf>
    <xf numFmtId="165" fontId="20" fillId="3" borderId="7" xfId="1" applyNumberFormat="1" applyFont="1" applyFill="1" applyBorder="1" applyAlignment="1" applyProtection="1">
      <alignment horizontal="center" vertical="center" shrinkToFit="1"/>
      <protection hidden="1"/>
    </xf>
    <xf numFmtId="165" fontId="21" fillId="0" borderId="0" xfId="1" applyNumberFormat="1" applyFont="1" applyAlignment="1" applyProtection="1">
      <alignment horizontal="center" vertical="center" shrinkToFit="1"/>
      <protection hidden="1"/>
    </xf>
    <xf numFmtId="165" fontId="20" fillId="3" borderId="9" xfId="1" applyNumberFormat="1" applyFont="1" applyFill="1" applyBorder="1" applyAlignment="1" applyProtection="1">
      <alignment horizontal="center" vertical="center" shrinkToFit="1"/>
      <protection hidden="1"/>
    </xf>
    <xf numFmtId="165" fontId="22" fillId="3" borderId="10" xfId="1" applyNumberFormat="1" applyFont="1" applyFill="1" applyBorder="1" applyAlignment="1" applyProtection="1">
      <alignment horizontal="center" vertical="center" shrinkToFit="1"/>
      <protection hidden="1"/>
    </xf>
    <xf numFmtId="165" fontId="19" fillId="0" borderId="0" xfId="1" applyNumberFormat="1" applyFont="1" applyAlignment="1" applyProtection="1">
      <alignment horizontal="center" vertical="center" shrinkToFit="1"/>
      <protection hidden="1"/>
    </xf>
    <xf numFmtId="165" fontId="21" fillId="3" borderId="8" xfId="1" applyNumberFormat="1" applyFont="1" applyFill="1" applyBorder="1" applyAlignment="1" applyProtection="1">
      <alignment horizontal="center" vertical="center" shrinkToFit="1"/>
      <protection hidden="1"/>
    </xf>
    <xf numFmtId="164" fontId="23" fillId="0" borderId="11" xfId="0" applyFont="1" applyFill="1" applyBorder="1" applyAlignment="1" applyProtection="1">
      <alignment horizontal="center" vertical="center" wrapText="1"/>
      <protection hidden="1"/>
    </xf>
    <xf numFmtId="164" fontId="23" fillId="0" borderId="0" xfId="0" applyFont="1" applyFill="1" applyBorder="1" applyAlignment="1" applyProtection="1">
      <alignment horizontal="center" vertical="center" wrapText="1"/>
      <protection hidden="1"/>
    </xf>
    <xf numFmtId="164" fontId="23" fillId="0" borderId="12" xfId="0" applyFont="1" applyFill="1" applyBorder="1" applyAlignment="1" applyProtection="1">
      <alignment horizontal="center" vertical="center" wrapText="1"/>
      <protection hidden="1"/>
    </xf>
    <xf numFmtId="1" fontId="23" fillId="0" borderId="12" xfId="0" applyNumberFormat="1" applyFont="1" applyFill="1" applyBorder="1" applyAlignment="1" applyProtection="1">
      <alignment horizontal="center" vertical="center" wrapText="1"/>
      <protection hidden="1"/>
    </xf>
    <xf numFmtId="165" fontId="23" fillId="0" borderId="12" xfId="1" applyNumberFormat="1" applyFont="1" applyFill="1" applyBorder="1" applyAlignment="1" applyProtection="1">
      <alignment horizontal="center" vertical="center" wrapText="1"/>
      <protection hidden="1"/>
    </xf>
    <xf numFmtId="165" fontId="24" fillId="0" borderId="12" xfId="1" applyNumberFormat="1" applyFont="1" applyFill="1" applyBorder="1" applyAlignment="1" applyProtection="1">
      <alignment horizontal="center" vertical="center" wrapText="1"/>
      <protection hidden="1"/>
    </xf>
    <xf numFmtId="165" fontId="23" fillId="0" borderId="13" xfId="1" applyNumberFormat="1" applyFont="1" applyFill="1" applyBorder="1" applyAlignment="1" applyProtection="1">
      <alignment horizontal="center" vertical="center" wrapText="1"/>
      <protection hidden="1"/>
    </xf>
    <xf numFmtId="164" fontId="25" fillId="0" borderId="0" xfId="0" applyFont="1" applyFill="1" applyProtection="1">
      <protection hidden="1"/>
    </xf>
    <xf numFmtId="165" fontId="28" fillId="0" borderId="8" xfId="1" applyNumberFormat="1" applyFont="1" applyFill="1" applyBorder="1" applyAlignment="1" applyProtection="1">
      <alignment horizontal="center" vertical="center" shrinkToFit="1"/>
      <protection hidden="1"/>
    </xf>
    <xf numFmtId="165" fontId="28" fillId="0" borderId="14" xfId="1" applyNumberFormat="1" applyFont="1" applyFill="1" applyBorder="1" applyAlignment="1" applyProtection="1">
      <alignment horizontal="center" vertical="center" shrinkToFit="1"/>
      <protection hidden="1"/>
    </xf>
    <xf numFmtId="165" fontId="27" fillId="0" borderId="8" xfId="1" applyNumberFormat="1" applyFont="1" applyFill="1" applyBorder="1" applyAlignment="1" applyProtection="1">
      <alignment horizontal="center" vertical="center" shrinkToFit="1"/>
      <protection hidden="1"/>
    </xf>
    <xf numFmtId="165" fontId="27" fillId="0" borderId="14" xfId="1" applyNumberFormat="1" applyFont="1" applyFill="1" applyBorder="1" applyAlignment="1" applyProtection="1">
      <alignment horizontal="center" vertical="center" shrinkToFit="1"/>
      <protection hidden="1"/>
    </xf>
    <xf numFmtId="1" fontId="27" fillId="0" borderId="8" xfId="0" applyNumberFormat="1" applyFont="1" applyFill="1" applyBorder="1" applyAlignment="1" applyProtection="1">
      <alignment horizontal="center" vertical="center" shrinkToFit="1"/>
      <protection hidden="1"/>
    </xf>
    <xf numFmtId="1" fontId="27" fillId="0" borderId="14" xfId="0" applyNumberFormat="1" applyFont="1" applyFill="1" applyBorder="1" applyAlignment="1" applyProtection="1">
      <alignment horizontal="center" vertical="center" shrinkToFit="1"/>
      <protection hidden="1"/>
    </xf>
    <xf numFmtId="164" fontId="26" fillId="0" borderId="8" xfId="0" applyFont="1" applyFill="1" applyBorder="1" applyAlignment="1" applyProtection="1">
      <alignment horizontal="center" vertical="center"/>
      <protection hidden="1"/>
    </xf>
    <xf numFmtId="164" fontId="26" fillId="0" borderId="8" xfId="0" applyFont="1" applyFill="1" applyBorder="1" applyAlignment="1" applyProtection="1">
      <alignment horizontal="center" vertical="center" wrapText="1"/>
      <protection hidden="1"/>
    </xf>
    <xf numFmtId="164" fontId="26" fillId="0" borderId="14" xfId="0" applyFont="1" applyFill="1" applyBorder="1" applyAlignment="1" applyProtection="1">
      <alignment horizontal="center" vertical="center"/>
      <protection hidden="1"/>
    </xf>
    <xf numFmtId="164" fontId="26" fillId="0" borderId="8" xfId="0" applyFont="1" applyFill="1" applyBorder="1" applyAlignment="1" applyProtection="1">
      <alignment horizontal="center" vertical="center" shrinkToFit="1"/>
      <protection hidden="1"/>
    </xf>
    <xf numFmtId="164" fontId="26" fillId="0" borderId="8" xfId="0" applyFont="1" applyFill="1" applyBorder="1" applyAlignment="1" applyProtection="1">
      <alignment horizontal="center" vertical="center" wrapText="1" shrinkToFit="1"/>
      <protection hidden="1"/>
    </xf>
    <xf numFmtId="164" fontId="26" fillId="0" borderId="14" xfId="0" applyFont="1" applyFill="1" applyBorder="1" applyAlignment="1" applyProtection="1">
      <alignment horizontal="center" vertical="center" shrinkToFit="1"/>
      <protection hidden="1"/>
    </xf>
    <xf numFmtId="164" fontId="26" fillId="0" borderId="14" xfId="0" applyFont="1" applyFill="1" applyBorder="1" applyAlignment="1" applyProtection="1">
      <alignment horizontal="center" vertical="center" wrapText="1" shrinkToFit="1"/>
      <protection hidden="1"/>
    </xf>
    <xf numFmtId="164" fontId="27" fillId="0" borderId="8" xfId="0" applyFont="1" applyFill="1" applyBorder="1" applyAlignment="1" applyProtection="1">
      <alignment horizontal="center" vertical="center"/>
      <protection hidden="1"/>
    </xf>
    <xf numFmtId="164" fontId="27" fillId="0" borderId="8" xfId="0" applyFont="1" applyFill="1" applyBorder="1" applyAlignment="1" applyProtection="1">
      <alignment horizontal="center" vertical="center" shrinkToFit="1"/>
      <protection hidden="1"/>
    </xf>
    <xf numFmtId="164" fontId="27" fillId="0" borderId="8" xfId="0" applyFont="1" applyFill="1" applyBorder="1" applyAlignment="1" applyProtection="1">
      <alignment horizontal="center" vertical="center" wrapText="1"/>
      <protection hidden="1"/>
    </xf>
    <xf numFmtId="164" fontId="27" fillId="0" borderId="14" xfId="0" applyFont="1" applyFill="1" applyBorder="1" applyAlignment="1" applyProtection="1">
      <alignment horizontal="center" vertical="center"/>
      <protection hidden="1"/>
    </xf>
    <xf numFmtId="14" fontId="26" fillId="0" borderId="8" xfId="0" applyNumberFormat="1" applyFont="1" applyFill="1" applyBorder="1" applyAlignment="1" applyProtection="1">
      <alignment horizontal="center" vertical="center"/>
      <protection hidden="1"/>
    </xf>
    <xf numFmtId="14" fontId="26" fillId="0" borderId="8" xfId="0" applyNumberFormat="1" applyFont="1" applyFill="1" applyBorder="1" applyAlignment="1" applyProtection="1">
      <alignment horizontal="center" vertical="center" wrapText="1"/>
      <protection hidden="1"/>
    </xf>
    <xf numFmtId="14" fontId="29" fillId="0" borderId="8" xfId="0" applyNumberFormat="1" applyFont="1" applyFill="1" applyBorder="1" applyAlignment="1" applyProtection="1">
      <alignment horizontal="center" vertical="center" wrapText="1"/>
      <protection hidden="1"/>
    </xf>
    <xf numFmtId="14" fontId="26" fillId="0" borderId="14" xfId="0" applyNumberFormat="1" applyFont="1" applyFill="1" applyBorder="1" applyAlignment="1" applyProtection="1">
      <alignment horizontal="center" vertical="center"/>
      <protection hidden="1"/>
    </xf>
    <xf numFmtId="164" fontId="26" fillId="0" borderId="8" xfId="0" applyNumberFormat="1" applyFont="1" applyFill="1" applyBorder="1" applyAlignment="1" applyProtection="1">
      <alignment horizontal="center" vertical="center" shrinkToFit="1"/>
      <protection hidden="1"/>
    </xf>
    <xf numFmtId="164" fontId="26" fillId="0" borderId="14" xfId="0" applyNumberFormat="1" applyFont="1" applyFill="1" applyBorder="1" applyAlignment="1" applyProtection="1">
      <alignment horizontal="center" vertical="center" shrinkToFit="1"/>
      <protection hidden="1"/>
    </xf>
    <xf numFmtId="166" fontId="26" fillId="0" borderId="14" xfId="0" applyNumberFormat="1" applyFont="1" applyFill="1" applyBorder="1" applyAlignment="1" applyProtection="1">
      <alignment horizontal="center" vertical="center" shrinkToFit="1"/>
      <protection hidden="1"/>
    </xf>
    <xf numFmtId="166" fontId="26" fillId="0" borderId="8" xfId="0" applyNumberFormat="1" applyFont="1" applyFill="1" applyBorder="1" applyAlignment="1" applyProtection="1">
      <alignment horizontal="center" vertical="center" shrinkToFit="1"/>
      <protection hidden="1"/>
    </xf>
  </cellXfs>
  <cellStyles count="2">
    <cellStyle name="Comma" xfId="1" builtinId="3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Microsoft Uighur"/>
        <scheme val="none"/>
      </font>
      <numFmt numFmtId="166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numFmt numFmtId="166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Uighur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Microsoft Uighur"/>
        <scheme val="none"/>
      </font>
      <numFmt numFmtId="165" formatCode="_-* #,##0_-;_-* #,##0\-;_-* &quot;-&quot;??_-;_-@_-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0"/>
        <name val="Akhbar MT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numFmt numFmtId="166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numFmt numFmtId="166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Microsoft Uighur"/>
        <scheme val="none"/>
      </font>
      <numFmt numFmtId="165" formatCode="_-* #,##0_-;_-* #,##0\-;_-* &quot;-&quot;??_-;_-@_-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0"/>
        <name val="Akhbar MT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16206</xdr:col>
          <xdr:colOff>9525</xdr:colOff>
          <xdr:row>0</xdr:row>
          <xdr:rowOff>0</xdr:rowOff>
        </xdr:from>
        <xdr:to>
          <xdr:col>16206</xdr:col>
          <xdr:colOff>28575</xdr:colOff>
          <xdr:row>0</xdr:row>
          <xdr:rowOff>19050</xdr:rowOff>
        </xdr:to>
        <xdr:sp macro="" textlink="">
          <xdr:nvSpPr>
            <xdr:cNvPr id="3073" name="Image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16206</xdr:col>
          <xdr:colOff>38100</xdr:colOff>
          <xdr:row>0</xdr:row>
          <xdr:rowOff>0</xdr:rowOff>
        </xdr:from>
        <xdr:to>
          <xdr:col>16206</xdr:col>
          <xdr:colOff>57150</xdr:colOff>
          <xdr:row>0</xdr:row>
          <xdr:rowOff>9525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16205</xdr:col>
          <xdr:colOff>314325</xdr:colOff>
          <xdr:row>0</xdr:row>
          <xdr:rowOff>0</xdr:rowOff>
        </xdr:from>
        <xdr:to>
          <xdr:col>16205</xdr:col>
          <xdr:colOff>333375</xdr:colOff>
          <xdr:row>0</xdr:row>
          <xdr:rowOff>19050</xdr:rowOff>
        </xdr:to>
        <xdr:sp macro="" textlink="">
          <xdr:nvSpPr>
            <xdr:cNvPr id="3075" name="Image2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16205</xdr:col>
          <xdr:colOff>352425</xdr:colOff>
          <xdr:row>0</xdr:row>
          <xdr:rowOff>9525</xdr:rowOff>
        </xdr:from>
        <xdr:to>
          <xdr:col>16205</xdr:col>
          <xdr:colOff>361950</xdr:colOff>
          <xdr:row>0</xdr:row>
          <xdr:rowOff>19050</xdr:rowOff>
        </xdr:to>
        <xdr:sp macro="" textlink="">
          <xdr:nvSpPr>
            <xdr:cNvPr id="3076" name="CommandButton2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16205</xdr:col>
          <xdr:colOff>333375</xdr:colOff>
          <xdr:row>0</xdr:row>
          <xdr:rowOff>0</xdr:rowOff>
        </xdr:from>
        <xdr:to>
          <xdr:col>16205</xdr:col>
          <xdr:colOff>361950</xdr:colOff>
          <xdr:row>0</xdr:row>
          <xdr:rowOff>19050</xdr:rowOff>
        </xdr:to>
        <xdr:sp macro="" textlink="">
          <xdr:nvSpPr>
            <xdr:cNvPr id="3077" name="Image3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938285</xdr:colOff>
      <xdr:row>0</xdr:row>
      <xdr:rowOff>170597</xdr:rowOff>
    </xdr:from>
    <xdr:to>
      <xdr:col>4</xdr:col>
      <xdr:colOff>71082</xdr:colOff>
      <xdr:row>2</xdr:row>
      <xdr:rowOff>142164</xdr:rowOff>
    </xdr:to>
    <xdr:sp macro="" textlink="">
      <xdr:nvSpPr>
        <xdr:cNvPr id="7" name="Oval 6">
          <a:hlinkClick xmlns:r="http://schemas.openxmlformats.org/officeDocument/2006/relationships" r:id="rId1" tooltip="الرئيسية"/>
        </xdr:cNvPr>
        <xdr:cNvSpPr/>
      </xdr:nvSpPr>
      <xdr:spPr>
        <a:xfrm>
          <a:off x="10020470597" y="170597"/>
          <a:ext cx="3738917" cy="1194179"/>
        </a:xfrm>
        <a:prstGeom prst="ellipse">
          <a:avLst/>
        </a:prstGeom>
        <a:solidFill>
          <a:schemeClr val="accent2"/>
        </a:solidFill>
        <a:ln w="76200"/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5400" b="1">
              <a:cs typeface="PT Bold Heading" pitchFamily="2" charset="-78"/>
            </a:rPr>
            <a:t>الرئيسية</a:t>
          </a:r>
          <a:endParaRPr lang="en-US" sz="5400" b="1">
            <a:cs typeface="PT Bold Heading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15836</xdr:col>
          <xdr:colOff>390525</xdr:colOff>
          <xdr:row>0</xdr:row>
          <xdr:rowOff>0</xdr:rowOff>
        </xdr:from>
        <xdr:to>
          <xdr:col>15836</xdr:col>
          <xdr:colOff>447675</xdr:colOff>
          <xdr:row>0</xdr:row>
          <xdr:rowOff>47625</xdr:rowOff>
        </xdr:to>
        <xdr:sp macro="" textlink="">
          <xdr:nvSpPr>
            <xdr:cNvPr id="3078" name="Image4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15836</xdr:col>
          <xdr:colOff>571500</xdr:colOff>
          <xdr:row>0</xdr:row>
          <xdr:rowOff>9525</xdr:rowOff>
        </xdr:from>
        <xdr:to>
          <xdr:col>15837</xdr:col>
          <xdr:colOff>0</xdr:colOff>
          <xdr:row>0</xdr:row>
          <xdr:rowOff>28575</xdr:rowOff>
        </xdr:to>
        <xdr:sp macro="" textlink="">
          <xdr:nvSpPr>
            <xdr:cNvPr id="3079" name="CommandButton3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16210</xdr:col>
          <xdr:colOff>9525</xdr:colOff>
          <xdr:row>0</xdr:row>
          <xdr:rowOff>0</xdr:rowOff>
        </xdr:from>
        <xdr:to>
          <xdr:col>16210</xdr:col>
          <xdr:colOff>28575</xdr:colOff>
          <xdr:row>0</xdr:row>
          <xdr:rowOff>19050</xdr:rowOff>
        </xdr:to>
        <xdr:sp macro="" textlink="">
          <xdr:nvSpPr>
            <xdr:cNvPr id="4097" name="Image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16210</xdr:col>
          <xdr:colOff>38100</xdr:colOff>
          <xdr:row>0</xdr:row>
          <xdr:rowOff>0</xdr:rowOff>
        </xdr:from>
        <xdr:to>
          <xdr:col>16210</xdr:col>
          <xdr:colOff>57150</xdr:colOff>
          <xdr:row>0</xdr:row>
          <xdr:rowOff>9525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16209</xdr:col>
          <xdr:colOff>314325</xdr:colOff>
          <xdr:row>0</xdr:row>
          <xdr:rowOff>0</xdr:rowOff>
        </xdr:from>
        <xdr:to>
          <xdr:col>16209</xdr:col>
          <xdr:colOff>333375</xdr:colOff>
          <xdr:row>0</xdr:row>
          <xdr:rowOff>19050</xdr:rowOff>
        </xdr:to>
        <xdr:sp macro="" textlink="">
          <xdr:nvSpPr>
            <xdr:cNvPr id="4099" name="Image2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16209</xdr:col>
          <xdr:colOff>352425</xdr:colOff>
          <xdr:row>0</xdr:row>
          <xdr:rowOff>9525</xdr:rowOff>
        </xdr:from>
        <xdr:to>
          <xdr:col>16209</xdr:col>
          <xdr:colOff>361950</xdr:colOff>
          <xdr:row>0</xdr:row>
          <xdr:rowOff>19050</xdr:rowOff>
        </xdr:to>
        <xdr:sp macro="" textlink="">
          <xdr:nvSpPr>
            <xdr:cNvPr id="4100" name="CommandButton2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16209</xdr:col>
          <xdr:colOff>333375</xdr:colOff>
          <xdr:row>0</xdr:row>
          <xdr:rowOff>0</xdr:rowOff>
        </xdr:from>
        <xdr:to>
          <xdr:col>16209</xdr:col>
          <xdr:colOff>361950</xdr:colOff>
          <xdr:row>0</xdr:row>
          <xdr:rowOff>19050</xdr:rowOff>
        </xdr:to>
        <xdr:sp macro="" textlink="">
          <xdr:nvSpPr>
            <xdr:cNvPr id="4101" name="Image3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1151532</xdr:colOff>
      <xdr:row>0</xdr:row>
      <xdr:rowOff>241679</xdr:rowOff>
    </xdr:from>
    <xdr:to>
      <xdr:col>3</xdr:col>
      <xdr:colOff>1123098</xdr:colOff>
      <xdr:row>2</xdr:row>
      <xdr:rowOff>355410</xdr:rowOff>
    </xdr:to>
    <xdr:sp macro="" textlink="">
      <xdr:nvSpPr>
        <xdr:cNvPr id="7" name="Oval 6">
          <a:hlinkClick xmlns:r="http://schemas.openxmlformats.org/officeDocument/2006/relationships" r:id="rId1" tooltip="الرئيسية"/>
        </xdr:cNvPr>
        <xdr:cNvSpPr/>
      </xdr:nvSpPr>
      <xdr:spPr>
        <a:xfrm>
          <a:off x="10021053470" y="241679"/>
          <a:ext cx="3340857" cy="1336343"/>
        </a:xfrm>
        <a:prstGeom prst="ellipse">
          <a:avLst/>
        </a:prstGeom>
        <a:solidFill>
          <a:schemeClr val="accent2"/>
        </a:solidFill>
        <a:ln w="76200"/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4400" b="1" u="sng">
              <a:cs typeface="PT Bold Heading" pitchFamily="2" charset="-78"/>
            </a:rPr>
            <a:t>الرئيسية</a:t>
          </a:r>
          <a:endParaRPr lang="en-US" sz="4400" b="1" u="sng">
            <a:cs typeface="PT Bold Heading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15840</xdr:col>
          <xdr:colOff>390525</xdr:colOff>
          <xdr:row>0</xdr:row>
          <xdr:rowOff>0</xdr:rowOff>
        </xdr:from>
        <xdr:to>
          <xdr:col>15840</xdr:col>
          <xdr:colOff>447675</xdr:colOff>
          <xdr:row>0</xdr:row>
          <xdr:rowOff>47625</xdr:rowOff>
        </xdr:to>
        <xdr:sp macro="" textlink="">
          <xdr:nvSpPr>
            <xdr:cNvPr id="4102" name="Image4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15840</xdr:col>
          <xdr:colOff>571500</xdr:colOff>
          <xdr:row>0</xdr:row>
          <xdr:rowOff>9525</xdr:rowOff>
        </xdr:from>
        <xdr:to>
          <xdr:col>15841</xdr:col>
          <xdr:colOff>0</xdr:colOff>
          <xdr:row>0</xdr:row>
          <xdr:rowOff>28575</xdr:rowOff>
        </xdr:to>
        <xdr:sp macro="" textlink="">
          <xdr:nvSpPr>
            <xdr:cNvPr id="4103" name="CommandButton3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%20Raseen%202017%20(Autosaved)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أصول2016 (2)"/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جرد"/>
      <sheetName val="أصول 2016"/>
      <sheetName val="أصول2017"/>
      <sheetName val="معلومات"/>
      <sheetName val="جمجوم"/>
      <sheetName val="الحبتور"/>
      <sheetName val="Sheet1"/>
      <sheetName val="Al Raseen 2017 (Autosaved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  <cell r="F12" t="str">
            <v>مشروع المطار الرياض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  <row r="16">
          <cell r="B16" t="str">
            <v>عدد و أدوات ميكانيكية</v>
          </cell>
        </row>
        <row r="17">
          <cell r="B17" t="str">
            <v>عدد و أدوات أخرى</v>
          </cell>
        </row>
      </sheetData>
      <sheetData sheetId="12"/>
      <sheetData sheetId="13"/>
      <sheetData sheetId="14"/>
      <sheetData sheetId="15" refreshError="1"/>
    </sheetDataSet>
  </externalBook>
</externalLink>
</file>

<file path=xl/tables/table1.xml><?xml version="1.0" encoding="utf-8"?>
<table xmlns="http://schemas.openxmlformats.org/spreadsheetml/2006/main" id="3" name="Table510134" displayName="Table510134" ref="A4:U155" totalsRowShown="0" headerRowDxfId="50" dataDxfId="49" headerRowCellStyle="Comma" dataCellStyle="Comma">
  <autoFilter ref="A4:U155">
    <filterColumn colId="3">
      <filters>
        <filter val="شركة الفهاد - الرسين"/>
        <filter val="مؤسسة الرسين للصيانة"/>
      </filters>
    </filterColumn>
  </autoFilter>
  <tableColumns count="21">
    <tableColumn id="1" name="م" dataDxfId="48">
      <calculatedColumnFormula>IF(C5="","",SUBTOTAL(3,$C$5:C5))</calculatedColumnFormula>
    </tableColumn>
    <tableColumn id="13" name="رقم القيد" dataDxfId="47"/>
    <tableColumn id="2" name="الأصل" dataDxfId="46"/>
    <tableColumn id="27" name="المالك" dataDxfId="45"/>
    <tableColumn id="3" name="مجموعة الاصول" dataDxfId="44"/>
    <tableColumn id="4" name="المشروع" dataDxfId="43"/>
    <tableColumn id="21" name="القطاع" dataDxfId="42"/>
    <tableColumn id="5" name="الإدارة" dataDxfId="41"/>
    <tableColumn id="6" name="المستخدم" dataDxfId="40"/>
    <tableColumn id="7" name="plate" dataDxfId="39"/>
    <tableColumn id="8" name="تاريخ الشراء-الاستلام" dataDxfId="38"/>
    <tableColumn id="9" name="المورد" dataDxfId="37"/>
    <tableColumn id="10" name="الكمية" dataDxfId="36"/>
    <tableColumn id="26" name="رقم الفاتورة" dataDxfId="35"/>
    <tableColumn id="11" name="سعر/الحبة" dataDxfId="34" dataCellStyle="Comma"/>
    <tableColumn id="12" name="الإجمالي" dataDxfId="33" dataCellStyle="Comma">
      <calculatedColumnFormula>O5*M5</calculatedColumnFormula>
    </tableColumn>
    <tableColumn id="14" name="العمر الافتراضي" dataDxfId="32"/>
    <tableColumn id="15" name="كود الاصل" dataDxfId="31"/>
    <tableColumn id="16" name="حالة الاصل" dataDxfId="30"/>
    <tableColumn id="17" name="مجمع الاهلاك _x000a_في 01-01-2016" dataDxfId="29" dataCellStyle="Comma">
      <calculatedColumnFormula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calculatedColumnFormula>
    </tableColumn>
    <tableColumn id="18" name="القيمة الدفترية _x000a_في 01-01-2016" dataDxfId="28" dataCellStyle="Comma">
      <calculatedColumnFormula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الشراء-الاستلام]]&lt;DATE(2016,1,1),P5-T5,0))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e5101345" displayName="Table5101345" ref="A4:Y156" totalsRowShown="0" headerRowDxfId="27" dataDxfId="26" headerRowCellStyle="Comma" dataCellStyle="Comma">
  <autoFilter ref="A4:Y156">
    <filterColumn colId="3">
      <filters>
        <filter val="شركة الفهاد - الرسين"/>
        <filter val="مؤسسة الرسين للصيانة"/>
      </filters>
    </filterColumn>
    <filterColumn colId="10">
      <filters calendarType="gregorian">
        <dateGroupItem year="2016" dateTimeGrouping="year"/>
      </filters>
    </filterColumn>
  </autoFilter>
  <tableColumns count="25">
    <tableColumn id="1" name="م" dataDxfId="6">
      <calculatedColumnFormula>IF(C5="","",SUBTOTAL(3,$C$5:C5))</calculatedColumnFormula>
    </tableColumn>
    <tableColumn id="13" name="رقم القيد" dataDxfId="4"/>
    <tableColumn id="2" name="الأصل" dataDxfId="5"/>
    <tableColumn id="27" name="المالك" dataDxfId="7"/>
    <tableColumn id="3" name="مجموعة الاصول" dataDxfId="8"/>
    <tableColumn id="4" name="المشروع" dataDxfId="9"/>
    <tableColumn id="21" name="القطاع" dataDxfId="25"/>
    <tableColumn id="5" name="الإدارة" dataDxfId="24"/>
    <tableColumn id="6" name="المستخدم" dataDxfId="10"/>
    <tableColumn id="7" name="plate" dataDxfId="3"/>
    <tableColumn id="8" name="تاريخ الشراء-الاستلام" dataDxfId="1"/>
    <tableColumn id="9" name="المورد" dataDxfId="2"/>
    <tableColumn id="10" name="الكمية" dataDxfId="11"/>
    <tableColumn id="26" name="رقم الفاتورة" dataDxfId="12"/>
    <tableColumn id="11" name="سعر/الحبة" dataDxfId="14" dataCellStyle="Comma"/>
    <tableColumn id="12" name="الإجمالي" dataDxfId="13" dataCellStyle="Comma">
      <calculatedColumnFormula>O5*M5</calculatedColumnFormula>
    </tableColumn>
    <tableColumn id="14" name="العمر الافتراضي" dataDxfId="15"/>
    <tableColumn id="15" name="كود الاصل" dataDxfId="23"/>
    <tableColumn id="16" name="حالة الاصل" dataDxfId="22"/>
    <tableColumn id="17" name="مجمع الاهلاك _x000a_في 01-01-2016" dataDxfId="21" dataCellStyle="Comma"/>
    <tableColumn id="18" name="القيمة الدفترية _x000a_في 01-01-2016" dataDxfId="20" dataCellStyle="Comma">
      <calculatedColumnFormula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الشراء-الاستلام]]&lt;DATE(2016,1,1),P5-T5,0))</calculatedColumnFormula>
    </tableColumn>
    <tableColumn id="19" name="مصروف الاهلاك 2016" dataDxfId="19" dataCellStyle="Comma">
      <calculatedColumnFormula>IF(OR(Table5101345[[#This Row],[تاريخ الشراء-الاستلام]]="",Table5101345[[#This Row],[الإجمالي]]="",Table5101345[[#This Row],[العمر الافتراضي]]=""),"",IF(AND(T5&lt;P5,U5&gt;(P5*Q5),DATE(2015,12,31)&gt;K5),P5*Q5,IF(AND(T5&lt;P5,DATE(2016,12,31)&gt;K5,U5&gt;(P5*Q5)),(DATE(2016,12,31)-K5)/((100%/Q5)*365)*P5,IF(AND(T5&lt;P5,DATE(2016,12,31)&gt;K5,U5=0),(DATE(2016,12,31)-K5)/((100%/Q5)*365)*P5,IF(AND(T5&lt;P5,DATE(2016,12,31)&gt;K5,U5&lt;(P5*Q5)),U5,0)))))</calculatedColumnFormula>
    </tableColumn>
    <tableColumn id="20" name="مصروف الاهلاك 2017 " dataDxfId="18" dataCellStyle="Comma">
      <calculatedColumnFormula>IF(OR(Table5101345[[#This Row],[تاريخ الشراء-الاستلام]]="",Table5101345[[#This Row],[الإجمالي]]="",Table5101345[[#This Row],[العمر الافتراضي]]=""),"",IF(AND(T5&lt;P5,U5&gt;(P5*Q5),DATE(2016,12,31)&gt;K5),P5*Q5,IF(AND(T5&lt;P5,DATE(2017,12,31)&gt;K5,U5&gt;(P5*Q5)),(DATE(2017,12,31)-K5)/((100%/Q5)*360)*P5,IF(Table5101345[[#This Row],[القيمة الدفترية 
في 01-01-2016]]&lt;Table5101345[[#This Row],[الإجمالي]]/Table5101345[[#This Row],[العمر الافتراضي]],Table5101345[[#This Row],[القيمة الدفترية 
في 01-01-2016]]))))</calculatedColumnFormula>
    </tableColumn>
    <tableColumn id="24" name="مجمع الاهلاك_x000a_في 31-12-2016" dataDxfId="17" dataCellStyle="Comma">
      <calculatedColumnFormula>IF(OR(Table5101345[[#This Row],[تاريخ الشراء-الاستلام]]="",Table5101345[[#This Row],[الإجمالي]]="",Table5101345[[#This Row],[العمر الافتراضي]]=""),"",T5+V5)</calculatedColumnFormula>
    </tableColumn>
    <tableColumn id="25" name="القيمة الدفترية _x000a_في 31-12-2016" dataDxfId="16" dataCellStyle="Comma">
      <calculatedColumnFormula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الشراء-الاستلام]]&gt;DATE(2016,12,31),0,P5-X5))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17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control" Target="../activeX/activeX7.xml"/><Relationship Id="rId10" Type="http://schemas.openxmlformats.org/officeDocument/2006/relationships/image" Target="../media/image3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image" Target="../media/image5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13" Type="http://schemas.openxmlformats.org/officeDocument/2006/relationships/control" Target="../activeX/activeX13.xml"/><Relationship Id="rId1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17" Type="http://schemas.openxmlformats.org/officeDocument/2006/relationships/table" Target="../tables/table2.xml"/><Relationship Id="rId2" Type="http://schemas.openxmlformats.org/officeDocument/2006/relationships/drawing" Target="../drawings/drawing2.xml"/><Relationship Id="rId16" Type="http://schemas.openxmlformats.org/officeDocument/2006/relationships/image" Target="../media/image6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9.xml"/><Relationship Id="rId11" Type="http://schemas.openxmlformats.org/officeDocument/2006/relationships/control" Target="../activeX/activeX12.xml"/><Relationship Id="rId5" Type="http://schemas.openxmlformats.org/officeDocument/2006/relationships/image" Target="../media/image1.emf"/><Relationship Id="rId15" Type="http://schemas.openxmlformats.org/officeDocument/2006/relationships/control" Target="../activeX/activeX14.xml"/><Relationship Id="rId10" Type="http://schemas.openxmlformats.org/officeDocument/2006/relationships/image" Target="../media/image3.emf"/><Relationship Id="rId4" Type="http://schemas.openxmlformats.org/officeDocument/2006/relationships/control" Target="../activeX/activeX8.xml"/><Relationship Id="rId9" Type="http://schemas.openxmlformats.org/officeDocument/2006/relationships/control" Target="../activeX/activeX11.xml"/><Relationship Id="rId14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U155"/>
  <sheetViews>
    <sheetView rightToLeft="1" tabSelected="1" view="pageBreakPreview" zoomScale="67" zoomScaleNormal="90" zoomScaleSheetLayoutView="67" workbookViewId="0">
      <pane xSplit="1" ySplit="4" topLeftCell="B123" activePane="bottomRight" state="frozen"/>
      <selection pane="topRight" activeCell="B1" sqref="B1"/>
      <selection pane="bottomLeft" activeCell="A5" sqref="A5"/>
      <selection pane="bottomRight" activeCell="X4" sqref="X4"/>
    </sheetView>
  </sheetViews>
  <sheetFormatPr defaultColWidth="9.140625" defaultRowHeight="15"/>
  <cols>
    <col min="1" max="1" width="5.42578125" style="1" customWidth="1"/>
    <col min="2" max="2" width="17.85546875" style="1" customWidth="1"/>
    <col min="3" max="3" width="32.5703125" style="1" customWidth="1"/>
    <col min="4" max="4" width="18.5703125" style="1" customWidth="1"/>
    <col min="5" max="5" width="19.140625" style="1" customWidth="1"/>
    <col min="6" max="6" width="9.42578125" style="1" customWidth="1"/>
    <col min="7" max="7" width="8.42578125" style="1" customWidth="1"/>
    <col min="8" max="8" width="17" style="1" customWidth="1"/>
    <col min="9" max="9" width="16" style="1" customWidth="1"/>
    <col min="10" max="10" width="17.42578125" style="1" customWidth="1"/>
    <col min="11" max="11" width="19.28515625" style="1" customWidth="1"/>
    <col min="12" max="12" width="35.85546875" style="1" customWidth="1"/>
    <col min="13" max="14" width="7.7109375" style="1" customWidth="1"/>
    <col min="15" max="15" width="18.42578125" style="1" customWidth="1"/>
    <col min="16" max="16" width="15.5703125" style="1" customWidth="1"/>
    <col min="17" max="17" width="15" style="1" customWidth="1"/>
    <col min="18" max="18" width="13.28515625" style="1" customWidth="1"/>
    <col min="19" max="19" width="11.85546875" style="1" customWidth="1"/>
    <col min="20" max="20" width="16.7109375" style="1" customWidth="1"/>
    <col min="21" max="21" width="17.5703125" style="1" customWidth="1"/>
    <col min="22" max="16384" width="9.140625" style="1"/>
  </cols>
  <sheetData>
    <row r="1" spans="1:21" ht="35.25" customHeight="1" thickBot="1">
      <c r="H1" s="2">
        <v>42369</v>
      </c>
      <c r="I1" s="3" t="s">
        <v>0</v>
      </c>
      <c r="J1" s="4">
        <v>42735</v>
      </c>
      <c r="L1" s="5"/>
      <c r="O1" s="6"/>
      <c r="R1" s="7"/>
    </row>
    <row r="2" spans="1:21" s="8" customFormat="1" ht="61.5" customHeight="1" thickBot="1">
      <c r="H2" s="9">
        <f ca="1">SUMPRODUCT(SUBTOTAL(109,OFFSET(Table510134[الإجمالي],ROW(Table510134[الإجمالي])-ROW(P$5),,1)),--(Table510134[تاريخ الشراء-الاستلام]&lt;DATE(2016,1,1)))</f>
        <v>5034426.739994999</v>
      </c>
      <c r="I2" s="10">
        <f ca="1">SUMPRODUCT(SUBTOTAL(109,OFFSET(Table510134[الإجمالي],ROW(Table510134[الإجمالي])-ROW(P$5),,1)),--(Table510134[تاريخ الشراء-الاستلام]&gt;=DATE(2016,1,1)))</f>
        <v>6711756.5599999996</v>
      </c>
      <c r="J2" s="11">
        <f ca="1">SUM(H2:I2)</f>
        <v>11746183.299994998</v>
      </c>
      <c r="K2" s="12"/>
      <c r="L2" s="5"/>
      <c r="M2" s="13">
        <f>SUBTOTAL(9,Table510134[الكمية])</f>
        <v>1657</v>
      </c>
      <c r="N2" s="14"/>
      <c r="O2" s="14">
        <f>SUBTOTAL(9,Table510134[سعر/الحبة])</f>
        <v>6601733.7099949988</v>
      </c>
      <c r="P2" s="15">
        <f>SUBTOTAL(9,Table510134[الإجمالي])</f>
        <v>11746183.299995</v>
      </c>
      <c r="Q2" s="16"/>
      <c r="R2" s="7"/>
      <c r="T2" s="13">
        <f>SUBTOTAL(9,Table510134[مجمع الاهلاك 
في 01-01-2016])</f>
        <v>2852961.6057569729</v>
      </c>
      <c r="U2" s="17"/>
    </row>
    <row r="3" spans="1:21" ht="45.75" customHeight="1">
      <c r="C3" s="18"/>
      <c r="D3" s="18"/>
    </row>
    <row r="4" spans="1:21" s="26" customFormat="1" ht="49.5" customHeight="1">
      <c r="A4" s="19" t="s">
        <v>1</v>
      </c>
      <c r="B4" s="20" t="s">
        <v>2</v>
      </c>
      <c r="C4" s="21" t="s">
        <v>3</v>
      </c>
      <c r="D4" s="21" t="s">
        <v>4</v>
      </c>
      <c r="E4" s="21" t="s">
        <v>5</v>
      </c>
      <c r="F4" s="21" t="s">
        <v>6</v>
      </c>
      <c r="G4" s="21" t="s">
        <v>7</v>
      </c>
      <c r="H4" s="21" t="s">
        <v>8</v>
      </c>
      <c r="I4" s="21" t="s">
        <v>9</v>
      </c>
      <c r="J4" s="21" t="s">
        <v>10</v>
      </c>
      <c r="K4" s="21" t="s">
        <v>11</v>
      </c>
      <c r="L4" s="21" t="s">
        <v>12</v>
      </c>
      <c r="M4" s="22" t="s">
        <v>13</v>
      </c>
      <c r="N4" s="21" t="s">
        <v>14</v>
      </c>
      <c r="O4" s="23" t="s">
        <v>15</v>
      </c>
      <c r="P4" s="23" t="s">
        <v>16</v>
      </c>
      <c r="Q4" s="21" t="s">
        <v>17</v>
      </c>
      <c r="R4" s="21" t="s">
        <v>18</v>
      </c>
      <c r="S4" s="21" t="s">
        <v>19</v>
      </c>
      <c r="T4" s="24" t="s">
        <v>20</v>
      </c>
      <c r="U4" s="23" t="s">
        <v>21</v>
      </c>
    </row>
    <row r="5" spans="1:21" ht="30" customHeight="1">
      <c r="A5" s="27">
        <f>IF(C5="","",SUBTOTAL(3,$C$5:C5))</f>
        <v>1</v>
      </c>
      <c r="B5" s="28">
        <v>42560</v>
      </c>
      <c r="C5" s="27" t="s">
        <v>26</v>
      </c>
      <c r="D5" s="27" t="s">
        <v>27</v>
      </c>
      <c r="E5" s="27" t="s">
        <v>28</v>
      </c>
      <c r="F5" s="27" t="s">
        <v>29</v>
      </c>
      <c r="G5" s="27"/>
      <c r="H5" s="27" t="s">
        <v>30</v>
      </c>
      <c r="I5" s="27" t="s">
        <v>31</v>
      </c>
      <c r="J5" s="27"/>
      <c r="K5" s="29">
        <v>42571</v>
      </c>
      <c r="L5" s="29"/>
      <c r="M5" s="30">
        <v>1</v>
      </c>
      <c r="N5" s="31">
        <v>4232</v>
      </c>
      <c r="O5" s="32">
        <v>1300</v>
      </c>
      <c r="P5" s="32">
        <f t="shared" ref="P5:P11" si="0">O5*M5</f>
        <v>1300</v>
      </c>
      <c r="Q5" s="33">
        <v>0.2</v>
      </c>
      <c r="R5" s="27"/>
      <c r="S5" s="27" t="s">
        <v>32</v>
      </c>
      <c r="T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الشراء-الاستلام]]&lt;DATE(2016,1,1),P5-T5,0))</f>
        <v>0</v>
      </c>
    </row>
    <row r="6" spans="1:21" ht="30" customHeight="1">
      <c r="A6" s="27">
        <f>IF(C6="","",SUBTOTAL(3,$C$5:C6))</f>
        <v>2</v>
      </c>
      <c r="B6" s="27" t="s">
        <v>33</v>
      </c>
      <c r="C6" s="27" t="s">
        <v>34</v>
      </c>
      <c r="D6" s="27" t="s">
        <v>27</v>
      </c>
      <c r="E6" s="27" t="s">
        <v>35</v>
      </c>
      <c r="F6" s="27" t="s">
        <v>36</v>
      </c>
      <c r="G6" s="27"/>
      <c r="H6" s="27" t="s">
        <v>37</v>
      </c>
      <c r="I6" s="27"/>
      <c r="J6" s="27"/>
      <c r="K6" s="29">
        <v>42603</v>
      </c>
      <c r="L6" s="29" t="s">
        <v>38</v>
      </c>
      <c r="M6" s="30">
        <v>150</v>
      </c>
      <c r="N6" s="31" t="s">
        <v>39</v>
      </c>
      <c r="O6" s="32">
        <v>700</v>
      </c>
      <c r="P6" s="32">
        <f t="shared" si="0"/>
        <v>105000</v>
      </c>
      <c r="Q6" s="33">
        <v>0.1</v>
      </c>
      <c r="R6" s="27"/>
      <c r="S6" s="27" t="s">
        <v>32</v>
      </c>
      <c r="T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الشراء-الاستلام]]&lt;DATE(2016,1,1),P6-T6,0))</f>
        <v>0</v>
      </c>
    </row>
    <row r="7" spans="1:21" ht="30" customHeight="1">
      <c r="A7" s="27">
        <f>IF(C7="","",SUBTOTAL(3,$C$5:C7))</f>
        <v>3</v>
      </c>
      <c r="B7" s="27"/>
      <c r="C7" s="27" t="s">
        <v>40</v>
      </c>
      <c r="D7" s="27" t="s">
        <v>27</v>
      </c>
      <c r="E7" s="27" t="s">
        <v>28</v>
      </c>
      <c r="F7" s="27" t="s">
        <v>29</v>
      </c>
      <c r="G7" s="27"/>
      <c r="H7" s="27"/>
      <c r="I7" s="27"/>
      <c r="J7" s="27"/>
      <c r="K7" s="29">
        <v>40756</v>
      </c>
      <c r="L7" s="29"/>
      <c r="M7" s="30">
        <v>8</v>
      </c>
      <c r="N7" s="31"/>
      <c r="O7" s="32">
        <v>1190</v>
      </c>
      <c r="P7" s="32">
        <f t="shared" si="0"/>
        <v>9520</v>
      </c>
      <c r="Q7" s="33">
        <v>0.15</v>
      </c>
      <c r="R7" s="27"/>
      <c r="S7" s="27" t="s">
        <v>32</v>
      </c>
      <c r="T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6310.5863013698627</v>
      </c>
      <c r="U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الشراء-الاستلام]]&lt;DATE(2016,1,1),P7-T7,0))</f>
        <v>3209.4136986301373</v>
      </c>
    </row>
    <row r="8" spans="1:21" ht="30">
      <c r="A8" s="27">
        <f>IF(C8="","",SUBTOTAL(3,$C$5:C8))</f>
        <v>4</v>
      </c>
      <c r="B8" s="28">
        <v>42724</v>
      </c>
      <c r="C8" s="27" t="s">
        <v>41</v>
      </c>
      <c r="D8" s="27" t="s">
        <v>27</v>
      </c>
      <c r="E8" s="27" t="s">
        <v>41</v>
      </c>
      <c r="F8" s="27" t="s">
        <v>29</v>
      </c>
      <c r="G8" s="27"/>
      <c r="H8" s="27"/>
      <c r="I8" s="27"/>
      <c r="J8" s="27" t="s">
        <v>42</v>
      </c>
      <c r="K8" s="29">
        <v>42711</v>
      </c>
      <c r="L8" s="29" t="s">
        <v>43</v>
      </c>
      <c r="M8" s="30">
        <v>4</v>
      </c>
      <c r="N8" s="31"/>
      <c r="O8" s="32">
        <v>971.25</v>
      </c>
      <c r="P8" s="32">
        <f t="shared" si="0"/>
        <v>3885</v>
      </c>
      <c r="Q8" s="33">
        <v>0.2</v>
      </c>
      <c r="R8" s="27"/>
      <c r="S8" s="27" t="s">
        <v>32</v>
      </c>
      <c r="T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الشراء-الاستلام]]&lt;DATE(2016,1,1),P8-T8,0))</f>
        <v>0</v>
      </c>
    </row>
    <row r="9" spans="1:21" ht="30" customHeight="1">
      <c r="A9" s="27">
        <f>IF(C9="","",SUBTOTAL(3,$C$5:C9))</f>
        <v>5</v>
      </c>
      <c r="B9" s="28">
        <v>42710</v>
      </c>
      <c r="C9" s="27" t="s">
        <v>44</v>
      </c>
      <c r="D9" s="27" t="s">
        <v>27</v>
      </c>
      <c r="E9" s="27" t="s">
        <v>28</v>
      </c>
      <c r="F9" s="27" t="s">
        <v>29</v>
      </c>
      <c r="G9" s="27"/>
      <c r="H9" s="27" t="s">
        <v>45</v>
      </c>
      <c r="I9" s="27" t="s">
        <v>46</v>
      </c>
      <c r="J9" s="27"/>
      <c r="K9" s="29">
        <v>42705</v>
      </c>
      <c r="L9" s="29" t="s">
        <v>47</v>
      </c>
      <c r="M9" s="30">
        <v>1</v>
      </c>
      <c r="N9" s="31"/>
      <c r="O9" s="32">
        <v>850</v>
      </c>
      <c r="P9" s="32">
        <f t="shared" si="0"/>
        <v>850</v>
      </c>
      <c r="Q9" s="33">
        <v>0.15</v>
      </c>
      <c r="R9" s="27"/>
      <c r="S9" s="27" t="s">
        <v>32</v>
      </c>
      <c r="T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الشراء-الاستلام]]&lt;DATE(2016,1,1),P9-T9,0))</f>
        <v>0</v>
      </c>
    </row>
    <row r="10" spans="1:21" ht="30" customHeight="1">
      <c r="A10" s="27">
        <f>IF(C10="","",SUBTOTAL(3,$C$5:C10))</f>
        <v>6</v>
      </c>
      <c r="B10" s="28">
        <v>42713</v>
      </c>
      <c r="C10" s="27" t="s">
        <v>48</v>
      </c>
      <c r="D10" s="27" t="s">
        <v>27</v>
      </c>
      <c r="E10" s="27" t="s">
        <v>28</v>
      </c>
      <c r="F10" s="27" t="s">
        <v>29</v>
      </c>
      <c r="G10" s="27"/>
      <c r="H10" s="27" t="s">
        <v>45</v>
      </c>
      <c r="I10" s="27" t="s">
        <v>46</v>
      </c>
      <c r="J10" s="27"/>
      <c r="K10" s="29">
        <v>42730</v>
      </c>
      <c r="L10" s="29" t="s">
        <v>49</v>
      </c>
      <c r="M10" s="30">
        <v>1</v>
      </c>
      <c r="N10" s="31"/>
      <c r="O10" s="32">
        <v>1400</v>
      </c>
      <c r="P10" s="32">
        <f t="shared" si="0"/>
        <v>1400</v>
      </c>
      <c r="Q10" s="33">
        <v>0.2</v>
      </c>
      <c r="R10" s="27"/>
      <c r="S10" s="27" t="s">
        <v>32</v>
      </c>
      <c r="T1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الشراء-الاستلام]]&lt;DATE(2016,1,1),P10-T10,0))</f>
        <v>0</v>
      </c>
    </row>
    <row r="11" spans="1:21" ht="30" customHeight="1">
      <c r="A11" s="27">
        <f>IF(C11="","",SUBTOTAL(3,$C$5:C11))</f>
        <v>7</v>
      </c>
      <c r="B11" s="28">
        <v>42678</v>
      </c>
      <c r="C11" s="27" t="s">
        <v>50</v>
      </c>
      <c r="D11" s="27" t="s">
        <v>27</v>
      </c>
      <c r="E11" s="27" t="s">
        <v>51</v>
      </c>
      <c r="F11" s="27" t="s">
        <v>36</v>
      </c>
      <c r="G11" s="27"/>
      <c r="H11" s="27" t="s">
        <v>37</v>
      </c>
      <c r="I11" s="27" t="s">
        <v>52</v>
      </c>
      <c r="J11" s="27">
        <v>9788</v>
      </c>
      <c r="K11" s="29">
        <v>42704</v>
      </c>
      <c r="L11" s="29" t="s">
        <v>53</v>
      </c>
      <c r="M11" s="30">
        <v>1</v>
      </c>
      <c r="N11" s="31">
        <v>3519</v>
      </c>
      <c r="O11" s="32">
        <v>37500</v>
      </c>
      <c r="P11" s="32">
        <f t="shared" si="0"/>
        <v>37500</v>
      </c>
      <c r="Q11" s="35">
        <v>0.2</v>
      </c>
      <c r="R11" s="27"/>
      <c r="S11" s="27" t="s">
        <v>32</v>
      </c>
      <c r="T1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الشراء-الاستلام]]&lt;DATE(2016,1,1),P11-T11,0))</f>
        <v>0</v>
      </c>
    </row>
    <row r="12" spans="1:21" ht="48" customHeight="1">
      <c r="A12" s="27">
        <f>IF(C12="","",SUBTOTAL(3,$C$5:C12))</f>
        <v>8</v>
      </c>
      <c r="B12" s="28">
        <v>42679</v>
      </c>
      <c r="C12" s="27" t="s">
        <v>54</v>
      </c>
      <c r="D12" s="27" t="s">
        <v>27</v>
      </c>
      <c r="E12" s="27" t="s">
        <v>55</v>
      </c>
      <c r="F12" s="27" t="s">
        <v>29</v>
      </c>
      <c r="G12" s="27" t="s">
        <v>56</v>
      </c>
      <c r="H12" s="27" t="s">
        <v>37</v>
      </c>
      <c r="I12" s="27"/>
      <c r="J12" s="36" t="s">
        <v>57</v>
      </c>
      <c r="K12" s="29">
        <v>42735</v>
      </c>
      <c r="L12" s="29" t="s">
        <v>58</v>
      </c>
      <c r="M12" s="30">
        <v>1</v>
      </c>
      <c r="N12" s="31"/>
      <c r="O12" s="32">
        <v>167200</v>
      </c>
      <c r="P12" s="32">
        <f>O12*M12</f>
        <v>167200</v>
      </c>
      <c r="Q12" s="33">
        <v>0.2</v>
      </c>
      <c r="R12" s="27"/>
      <c r="S12" s="27" t="s">
        <v>32</v>
      </c>
      <c r="T1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الشراء-الاستلام]]&lt;DATE(2016,1,1),P12-T12,0))</f>
        <v>0</v>
      </c>
    </row>
    <row r="13" spans="1:21" ht="48" customHeight="1">
      <c r="A13" s="27">
        <f>IF(C13="","",SUBTOTAL(3,$C$5:C13))</f>
        <v>9</v>
      </c>
      <c r="B13" s="28">
        <v>42679</v>
      </c>
      <c r="C13" s="27" t="s">
        <v>54</v>
      </c>
      <c r="D13" s="27" t="s">
        <v>27</v>
      </c>
      <c r="E13" s="27" t="s">
        <v>55</v>
      </c>
      <c r="F13" s="27" t="s">
        <v>29</v>
      </c>
      <c r="G13" s="27" t="s">
        <v>56</v>
      </c>
      <c r="H13" s="27" t="s">
        <v>37</v>
      </c>
      <c r="I13" s="27"/>
      <c r="J13" s="36" t="s">
        <v>59</v>
      </c>
      <c r="K13" s="29">
        <v>42735</v>
      </c>
      <c r="L13" s="29" t="s">
        <v>58</v>
      </c>
      <c r="M13" s="30">
        <v>1</v>
      </c>
      <c r="N13" s="31"/>
      <c r="O13" s="32">
        <v>167200</v>
      </c>
      <c r="P13" s="32">
        <f>O13*M13</f>
        <v>167200</v>
      </c>
      <c r="Q13" s="33">
        <v>0.2</v>
      </c>
      <c r="R13" s="27"/>
      <c r="S13" s="27" t="s">
        <v>32</v>
      </c>
      <c r="T1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الشراء-الاستلام]]&lt;DATE(2016,1,1),P13-T13,0))</f>
        <v>0</v>
      </c>
    </row>
    <row r="14" spans="1:21" ht="48" customHeight="1">
      <c r="A14" s="27">
        <f>IF(C14="","",SUBTOTAL(3,$C$5:C14))</f>
        <v>10</v>
      </c>
      <c r="B14" s="28">
        <v>42679</v>
      </c>
      <c r="C14" s="27" t="s">
        <v>54</v>
      </c>
      <c r="D14" s="27" t="s">
        <v>27</v>
      </c>
      <c r="E14" s="27" t="s">
        <v>55</v>
      </c>
      <c r="F14" s="27" t="s">
        <v>29</v>
      </c>
      <c r="G14" s="27" t="s">
        <v>56</v>
      </c>
      <c r="H14" s="27" t="s">
        <v>37</v>
      </c>
      <c r="I14" s="27"/>
      <c r="J14" s="36" t="s">
        <v>60</v>
      </c>
      <c r="K14" s="29">
        <v>42735</v>
      </c>
      <c r="L14" s="29" t="s">
        <v>58</v>
      </c>
      <c r="M14" s="30">
        <v>1</v>
      </c>
      <c r="N14" s="31"/>
      <c r="O14" s="32">
        <v>167200</v>
      </c>
      <c r="P14" s="32">
        <f t="shared" ref="P14:P61" si="1">O14*M14</f>
        <v>167200</v>
      </c>
      <c r="Q14" s="33">
        <v>0.2</v>
      </c>
      <c r="R14" s="27"/>
      <c r="S14" s="27" t="s">
        <v>32</v>
      </c>
      <c r="T1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الشراء-الاستلام]]&lt;DATE(2016,1,1),P14-T14,0))</f>
        <v>0</v>
      </c>
    </row>
    <row r="15" spans="1:21" ht="48" customHeight="1">
      <c r="A15" s="27">
        <f>IF(C15="","",SUBTOTAL(3,$C$5:C15))</f>
        <v>11</v>
      </c>
      <c r="B15" s="28">
        <v>42679</v>
      </c>
      <c r="C15" s="27" t="s">
        <v>54</v>
      </c>
      <c r="D15" s="27" t="s">
        <v>27</v>
      </c>
      <c r="E15" s="27" t="s">
        <v>55</v>
      </c>
      <c r="F15" s="27" t="s">
        <v>29</v>
      </c>
      <c r="G15" s="27" t="s">
        <v>56</v>
      </c>
      <c r="H15" s="27" t="s">
        <v>37</v>
      </c>
      <c r="I15" s="27"/>
      <c r="J15" s="36" t="s">
        <v>61</v>
      </c>
      <c r="K15" s="29">
        <v>42735</v>
      </c>
      <c r="L15" s="29" t="s">
        <v>58</v>
      </c>
      <c r="M15" s="30">
        <v>1</v>
      </c>
      <c r="N15" s="31"/>
      <c r="O15" s="32">
        <v>167200</v>
      </c>
      <c r="P15" s="32">
        <f t="shared" si="1"/>
        <v>167200</v>
      </c>
      <c r="Q15" s="33">
        <v>0.2</v>
      </c>
      <c r="R15" s="27"/>
      <c r="S15" s="27" t="s">
        <v>32</v>
      </c>
      <c r="T1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الشراء-الاستلام]]&lt;DATE(2016,1,1),P15-T15,0))</f>
        <v>0</v>
      </c>
    </row>
    <row r="16" spans="1:21" ht="48" customHeight="1">
      <c r="A16" s="27">
        <f>IF(C16="","",SUBTOTAL(3,$C$5:C16))</f>
        <v>12</v>
      </c>
      <c r="B16" s="28">
        <v>42679</v>
      </c>
      <c r="C16" s="27" t="s">
        <v>54</v>
      </c>
      <c r="D16" s="27" t="s">
        <v>27</v>
      </c>
      <c r="E16" s="27" t="s">
        <v>55</v>
      </c>
      <c r="F16" s="27" t="s">
        <v>29</v>
      </c>
      <c r="G16" s="27" t="s">
        <v>56</v>
      </c>
      <c r="H16" s="27" t="s">
        <v>37</v>
      </c>
      <c r="I16" s="27"/>
      <c r="J16" s="36" t="s">
        <v>62</v>
      </c>
      <c r="K16" s="29">
        <v>42735</v>
      </c>
      <c r="L16" s="29" t="s">
        <v>58</v>
      </c>
      <c r="M16" s="30">
        <v>1</v>
      </c>
      <c r="N16" s="31"/>
      <c r="O16" s="32">
        <v>167200</v>
      </c>
      <c r="P16" s="32">
        <f t="shared" si="1"/>
        <v>167200</v>
      </c>
      <c r="Q16" s="33">
        <v>0.2</v>
      </c>
      <c r="R16" s="27"/>
      <c r="S16" s="27" t="s">
        <v>32</v>
      </c>
      <c r="T1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الشراء-الاستلام]]&lt;DATE(2016,1,1),P16-T16,0))</f>
        <v>0</v>
      </c>
    </row>
    <row r="17" spans="1:21" ht="48" customHeight="1">
      <c r="A17" s="27">
        <f>IF(C17="","",SUBTOTAL(3,$C$5:C17))</f>
        <v>13</v>
      </c>
      <c r="B17" s="28">
        <v>42679</v>
      </c>
      <c r="C17" s="27" t="s">
        <v>54</v>
      </c>
      <c r="D17" s="27" t="s">
        <v>27</v>
      </c>
      <c r="E17" s="27" t="s">
        <v>55</v>
      </c>
      <c r="F17" s="27" t="s">
        <v>29</v>
      </c>
      <c r="G17" s="27"/>
      <c r="H17" s="27" t="s">
        <v>37</v>
      </c>
      <c r="I17" s="27"/>
      <c r="J17" s="36" t="s">
        <v>63</v>
      </c>
      <c r="K17" s="29">
        <v>42735</v>
      </c>
      <c r="L17" s="29" t="s">
        <v>58</v>
      </c>
      <c r="M17" s="30">
        <v>1</v>
      </c>
      <c r="N17" s="31"/>
      <c r="O17" s="32">
        <v>167200</v>
      </c>
      <c r="P17" s="32">
        <f t="shared" si="1"/>
        <v>167200</v>
      </c>
      <c r="Q17" s="33">
        <v>0.2</v>
      </c>
      <c r="R17" s="27"/>
      <c r="S17" s="27" t="s">
        <v>32</v>
      </c>
      <c r="T1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الشراء-الاستلام]]&lt;DATE(2016,1,1),P17-T17,0))</f>
        <v>0</v>
      </c>
    </row>
    <row r="18" spans="1:21" ht="48" customHeight="1">
      <c r="A18" s="27">
        <f>IF(C18="","",SUBTOTAL(3,$C$5:C18))</f>
        <v>14</v>
      </c>
      <c r="B18" s="28">
        <v>42679</v>
      </c>
      <c r="C18" s="27" t="s">
        <v>54</v>
      </c>
      <c r="D18" s="27" t="s">
        <v>27</v>
      </c>
      <c r="E18" s="27" t="s">
        <v>55</v>
      </c>
      <c r="F18" s="27" t="s">
        <v>29</v>
      </c>
      <c r="G18" s="27"/>
      <c r="H18" s="27" t="s">
        <v>37</v>
      </c>
      <c r="I18" s="27"/>
      <c r="J18" s="36" t="s">
        <v>64</v>
      </c>
      <c r="K18" s="29">
        <v>42735</v>
      </c>
      <c r="L18" s="29" t="s">
        <v>58</v>
      </c>
      <c r="M18" s="30">
        <v>1</v>
      </c>
      <c r="N18" s="31"/>
      <c r="O18" s="32">
        <v>167200</v>
      </c>
      <c r="P18" s="32">
        <f t="shared" si="1"/>
        <v>167200</v>
      </c>
      <c r="Q18" s="33">
        <v>0.2</v>
      </c>
      <c r="R18" s="27"/>
      <c r="S18" s="27" t="s">
        <v>32</v>
      </c>
      <c r="T1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الشراء-الاستلام]]&lt;DATE(2016,1,1),P18-T18,0))</f>
        <v>0</v>
      </c>
    </row>
    <row r="19" spans="1:21" ht="48" customHeight="1">
      <c r="A19" s="27">
        <f>IF(C19="","",SUBTOTAL(3,$C$5:C19))</f>
        <v>15</v>
      </c>
      <c r="B19" s="28">
        <v>42679</v>
      </c>
      <c r="C19" s="27" t="s">
        <v>54</v>
      </c>
      <c r="D19" s="27" t="s">
        <v>27</v>
      </c>
      <c r="E19" s="27" t="s">
        <v>55</v>
      </c>
      <c r="F19" s="27" t="s">
        <v>29</v>
      </c>
      <c r="G19" s="27"/>
      <c r="H19" s="27" t="s">
        <v>37</v>
      </c>
      <c r="I19" s="27"/>
      <c r="J19" s="36" t="s">
        <v>65</v>
      </c>
      <c r="K19" s="29">
        <v>42735</v>
      </c>
      <c r="L19" s="29" t="s">
        <v>58</v>
      </c>
      <c r="M19" s="30">
        <v>1</v>
      </c>
      <c r="N19" s="31"/>
      <c r="O19" s="32">
        <v>167200</v>
      </c>
      <c r="P19" s="32">
        <f t="shared" si="1"/>
        <v>167200</v>
      </c>
      <c r="Q19" s="33">
        <v>0.2</v>
      </c>
      <c r="R19" s="27"/>
      <c r="S19" s="27" t="s">
        <v>32</v>
      </c>
      <c r="T1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الشراء-الاستلام]]&lt;DATE(2016,1,1),P19-T19,0))</f>
        <v>0</v>
      </c>
    </row>
    <row r="20" spans="1:21" ht="48" customHeight="1">
      <c r="A20" s="27">
        <f>IF(C20="","",SUBTOTAL(3,$C$5:C20))</f>
        <v>16</v>
      </c>
      <c r="B20" s="28">
        <v>42679</v>
      </c>
      <c r="C20" s="27" t="s">
        <v>54</v>
      </c>
      <c r="D20" s="27" t="s">
        <v>27</v>
      </c>
      <c r="E20" s="27" t="s">
        <v>55</v>
      </c>
      <c r="F20" s="27" t="s">
        <v>29</v>
      </c>
      <c r="G20" s="27"/>
      <c r="H20" s="27" t="s">
        <v>37</v>
      </c>
      <c r="I20" s="27"/>
      <c r="J20" s="36" t="s">
        <v>66</v>
      </c>
      <c r="K20" s="29">
        <v>42735</v>
      </c>
      <c r="L20" s="29" t="s">
        <v>58</v>
      </c>
      <c r="M20" s="30">
        <v>1</v>
      </c>
      <c r="N20" s="31"/>
      <c r="O20" s="32">
        <v>167200</v>
      </c>
      <c r="P20" s="32">
        <f t="shared" si="1"/>
        <v>167200</v>
      </c>
      <c r="Q20" s="33">
        <v>0.2</v>
      </c>
      <c r="R20" s="27"/>
      <c r="S20" s="27" t="s">
        <v>32</v>
      </c>
      <c r="T2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الشراء-الاستلام]]&lt;DATE(2016,1,1),P20-T20,0))</f>
        <v>0</v>
      </c>
    </row>
    <row r="21" spans="1:21" ht="48" customHeight="1">
      <c r="A21" s="27">
        <f>IF(C21="","",SUBTOTAL(3,$C$5:C21))</f>
        <v>17</v>
      </c>
      <c r="B21" s="28">
        <v>42679</v>
      </c>
      <c r="C21" s="27" t="s">
        <v>54</v>
      </c>
      <c r="D21" s="27" t="s">
        <v>27</v>
      </c>
      <c r="E21" s="27" t="s">
        <v>55</v>
      </c>
      <c r="F21" s="27" t="s">
        <v>29</v>
      </c>
      <c r="G21" s="27"/>
      <c r="H21" s="27" t="s">
        <v>37</v>
      </c>
      <c r="I21" s="27"/>
      <c r="J21" s="36" t="s">
        <v>67</v>
      </c>
      <c r="K21" s="29">
        <v>42735</v>
      </c>
      <c r="L21" s="29" t="s">
        <v>58</v>
      </c>
      <c r="M21" s="30">
        <v>1</v>
      </c>
      <c r="N21" s="31"/>
      <c r="O21" s="32">
        <v>167200</v>
      </c>
      <c r="P21" s="32">
        <f t="shared" si="1"/>
        <v>167200</v>
      </c>
      <c r="Q21" s="33">
        <v>0.2</v>
      </c>
      <c r="R21" s="27"/>
      <c r="S21" s="27" t="s">
        <v>32</v>
      </c>
      <c r="T2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الشراء-الاستلام]]&lt;DATE(2016,1,1),P21-T21,0))</f>
        <v>0</v>
      </c>
    </row>
    <row r="22" spans="1:21" ht="30" customHeight="1">
      <c r="A22" s="27">
        <f>IF(C22="","",SUBTOTAL(3,$C$5:C22))</f>
        <v>18</v>
      </c>
      <c r="B22" s="28">
        <v>42732</v>
      </c>
      <c r="C22" s="27" t="s">
        <v>68</v>
      </c>
      <c r="D22" s="27" t="s">
        <v>27</v>
      </c>
      <c r="E22" s="27" t="s">
        <v>28</v>
      </c>
      <c r="F22" s="27" t="s">
        <v>69</v>
      </c>
      <c r="G22" s="27"/>
      <c r="H22" s="27" t="s">
        <v>37</v>
      </c>
      <c r="I22" s="27"/>
      <c r="J22" s="27"/>
      <c r="K22" s="29">
        <v>42732</v>
      </c>
      <c r="L22" s="29" t="s">
        <v>70</v>
      </c>
      <c r="M22" s="30">
        <v>1</v>
      </c>
      <c r="N22" s="31"/>
      <c r="O22" s="32">
        <v>1417</v>
      </c>
      <c r="P22" s="32">
        <f t="shared" si="1"/>
        <v>1417</v>
      </c>
      <c r="Q22" s="33">
        <v>0.2</v>
      </c>
      <c r="R22" s="27"/>
      <c r="S22" s="27" t="s">
        <v>32</v>
      </c>
      <c r="T2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الشراء-الاستلام]]&lt;DATE(2016,1,1),P22-T22,0))</f>
        <v>0</v>
      </c>
    </row>
    <row r="23" spans="1:21" ht="30" customHeight="1">
      <c r="A23" s="27">
        <f>IF(C23="","",SUBTOTAL(3,$C$5:C23))</f>
        <v>19</v>
      </c>
      <c r="B23" s="28">
        <v>42732</v>
      </c>
      <c r="C23" s="31" t="s">
        <v>71</v>
      </c>
      <c r="D23" s="31" t="s">
        <v>27</v>
      </c>
      <c r="E23" s="27" t="s">
        <v>28</v>
      </c>
      <c r="F23" s="27" t="s">
        <v>69</v>
      </c>
      <c r="G23" s="27"/>
      <c r="H23" s="27" t="s">
        <v>37</v>
      </c>
      <c r="I23" s="27"/>
      <c r="J23" s="27"/>
      <c r="K23" s="29">
        <v>42732</v>
      </c>
      <c r="L23" s="29" t="s">
        <v>70</v>
      </c>
      <c r="M23" s="30">
        <v>1</v>
      </c>
      <c r="N23" s="31"/>
      <c r="O23" s="32">
        <v>683</v>
      </c>
      <c r="P23" s="32">
        <f t="shared" si="1"/>
        <v>683</v>
      </c>
      <c r="Q23" s="33">
        <v>0.2</v>
      </c>
      <c r="R23" s="27"/>
      <c r="S23" s="27" t="s">
        <v>32</v>
      </c>
      <c r="T2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الشراء-الاستلام]]&lt;DATE(2016,1,1),P23-T23,0))</f>
        <v>0</v>
      </c>
    </row>
    <row r="24" spans="1:21" ht="30" customHeight="1">
      <c r="A24" s="27">
        <f>IF(C24="","",SUBTOTAL(3,$C$5:C24))</f>
        <v>20</v>
      </c>
      <c r="B24" s="28">
        <v>42729</v>
      </c>
      <c r="C24" s="27" t="s">
        <v>72</v>
      </c>
      <c r="D24" s="27" t="s">
        <v>27</v>
      </c>
      <c r="E24" s="27" t="s">
        <v>28</v>
      </c>
      <c r="F24" s="27" t="s">
        <v>29</v>
      </c>
      <c r="G24" s="27"/>
      <c r="H24" s="27" t="s">
        <v>37</v>
      </c>
      <c r="I24" s="27"/>
      <c r="J24" s="27"/>
      <c r="K24" s="29">
        <v>42735</v>
      </c>
      <c r="L24" s="29" t="s">
        <v>73</v>
      </c>
      <c r="M24" s="30">
        <v>1</v>
      </c>
      <c r="N24" s="31"/>
      <c r="O24" s="32">
        <v>900</v>
      </c>
      <c r="P24" s="32">
        <f t="shared" si="1"/>
        <v>900</v>
      </c>
      <c r="Q24" s="33">
        <v>0.2</v>
      </c>
      <c r="R24" s="27"/>
      <c r="S24" s="27" t="s">
        <v>32</v>
      </c>
      <c r="T2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الشراء-الاستلام]]&lt;DATE(2016,1,1),P24-T24,0))</f>
        <v>0</v>
      </c>
    </row>
    <row r="25" spans="1:21" ht="30" customHeight="1">
      <c r="A25" s="27">
        <f>IF(C25="","",SUBTOTAL(3,$C$5:C25))</f>
        <v>21</v>
      </c>
      <c r="B25" s="28">
        <v>42573</v>
      </c>
      <c r="C25" s="27" t="s">
        <v>50</v>
      </c>
      <c r="D25" s="27" t="s">
        <v>27</v>
      </c>
      <c r="E25" s="27" t="s">
        <v>51</v>
      </c>
      <c r="F25" s="27" t="s">
        <v>29</v>
      </c>
      <c r="G25" s="27" t="s">
        <v>56</v>
      </c>
      <c r="H25" s="27" t="s">
        <v>74</v>
      </c>
      <c r="I25" s="31" t="s">
        <v>75</v>
      </c>
      <c r="J25" s="27">
        <v>8469</v>
      </c>
      <c r="K25" s="29">
        <f>DATE(2016,8,12)</f>
        <v>42594</v>
      </c>
      <c r="L25" s="29" t="s">
        <v>53</v>
      </c>
      <c r="M25" s="30">
        <v>1</v>
      </c>
      <c r="N25" s="31"/>
      <c r="O25" s="32">
        <v>40000</v>
      </c>
      <c r="P25" s="32">
        <f t="shared" si="1"/>
        <v>40000</v>
      </c>
      <c r="Q25" s="35">
        <v>0.2</v>
      </c>
      <c r="R25" s="27"/>
      <c r="S25" s="27" t="s">
        <v>32</v>
      </c>
      <c r="T2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الشراء-الاستلام]]&lt;DATE(2016,1,1),P25-T25,0))</f>
        <v>0</v>
      </c>
    </row>
    <row r="26" spans="1:21" ht="30" customHeight="1">
      <c r="A26" s="27">
        <f>IF(C26="","",SUBTOTAL(3,$C$5:C26))</f>
        <v>22</v>
      </c>
      <c r="B26" s="28">
        <v>42573</v>
      </c>
      <c r="C26" s="27" t="s">
        <v>50</v>
      </c>
      <c r="D26" s="27" t="s">
        <v>27</v>
      </c>
      <c r="E26" s="27" t="s">
        <v>51</v>
      </c>
      <c r="F26" s="27" t="s">
        <v>76</v>
      </c>
      <c r="G26" s="27"/>
      <c r="H26" s="27" t="s">
        <v>74</v>
      </c>
      <c r="I26" s="27" t="s">
        <v>77</v>
      </c>
      <c r="J26" s="27">
        <v>8467</v>
      </c>
      <c r="K26" s="29">
        <f>DATE(2016,8,12)+0.7</f>
        <v>42594.7</v>
      </c>
      <c r="L26" s="29" t="s">
        <v>53</v>
      </c>
      <c r="M26" s="30">
        <v>1</v>
      </c>
      <c r="N26" s="31"/>
      <c r="O26" s="32">
        <v>40000</v>
      </c>
      <c r="P26" s="32">
        <f t="shared" si="1"/>
        <v>40000</v>
      </c>
      <c r="Q26" s="35">
        <v>0.2</v>
      </c>
      <c r="R26" s="27"/>
      <c r="S26" s="27" t="s">
        <v>32</v>
      </c>
      <c r="T2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الشراء-الاستلام]]&lt;DATE(2016,1,1),P26-T26,0))</f>
        <v>0</v>
      </c>
    </row>
    <row r="27" spans="1:21" ht="30" customHeight="1">
      <c r="A27" s="27">
        <f>IF(C27="","",SUBTOTAL(3,$C$5:C27))</f>
        <v>23</v>
      </c>
      <c r="B27" s="28">
        <v>42573</v>
      </c>
      <c r="C27" s="27" t="s">
        <v>50</v>
      </c>
      <c r="D27" s="27" t="s">
        <v>27</v>
      </c>
      <c r="E27" s="27" t="s">
        <v>51</v>
      </c>
      <c r="F27" s="27" t="s">
        <v>29</v>
      </c>
      <c r="G27" s="27" t="s">
        <v>78</v>
      </c>
      <c r="H27" s="27" t="s">
        <v>45</v>
      </c>
      <c r="I27" s="27" t="s">
        <v>46</v>
      </c>
      <c r="J27" s="27">
        <v>8468</v>
      </c>
      <c r="K27" s="29">
        <f t="shared" ref="K27:K28" si="2">DATE(2016,8,13)</f>
        <v>42595</v>
      </c>
      <c r="L27" s="29" t="s">
        <v>53</v>
      </c>
      <c r="M27" s="30">
        <v>1</v>
      </c>
      <c r="N27" s="31"/>
      <c r="O27" s="32">
        <v>40000</v>
      </c>
      <c r="P27" s="32">
        <f t="shared" si="1"/>
        <v>40000</v>
      </c>
      <c r="Q27" s="35">
        <v>0.2</v>
      </c>
      <c r="R27" s="27"/>
      <c r="S27" s="27" t="s">
        <v>32</v>
      </c>
      <c r="T2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الشراء-الاستلام]]&lt;DATE(2016,1,1),P27-T27,0))</f>
        <v>0</v>
      </c>
    </row>
    <row r="28" spans="1:21" ht="30" customHeight="1">
      <c r="A28" s="27">
        <f>IF(C28="","",SUBTOTAL(3,$C$5:C28))</f>
        <v>24</v>
      </c>
      <c r="B28" s="28">
        <v>42573</v>
      </c>
      <c r="C28" s="27" t="s">
        <v>50</v>
      </c>
      <c r="D28" s="27" t="s">
        <v>27</v>
      </c>
      <c r="E28" s="27" t="s">
        <v>51</v>
      </c>
      <c r="F28" s="27" t="s">
        <v>29</v>
      </c>
      <c r="G28" s="27" t="s">
        <v>56</v>
      </c>
      <c r="H28" s="27" t="s">
        <v>79</v>
      </c>
      <c r="I28" s="27" t="s">
        <v>80</v>
      </c>
      <c r="J28" s="27">
        <v>8470</v>
      </c>
      <c r="K28" s="29">
        <f t="shared" si="2"/>
        <v>42595</v>
      </c>
      <c r="L28" s="29" t="s">
        <v>53</v>
      </c>
      <c r="M28" s="30">
        <v>1</v>
      </c>
      <c r="N28" s="31"/>
      <c r="O28" s="32">
        <v>40000</v>
      </c>
      <c r="P28" s="32">
        <f t="shared" si="1"/>
        <v>40000</v>
      </c>
      <c r="Q28" s="35">
        <v>0.2</v>
      </c>
      <c r="R28" s="27"/>
      <c r="S28" s="27" t="s">
        <v>32</v>
      </c>
      <c r="T2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الشراء-الاستلام]]&lt;DATE(2016,1,1),P28-T28,0))</f>
        <v>0</v>
      </c>
    </row>
    <row r="29" spans="1:21" ht="48" customHeight="1">
      <c r="A29" s="27">
        <f>IF(C29="","",SUBTOTAL(3,$C$5:C29))</f>
        <v>25</v>
      </c>
      <c r="B29" s="37" t="s">
        <v>81</v>
      </c>
      <c r="C29" s="27" t="s">
        <v>54</v>
      </c>
      <c r="D29" s="27" t="s">
        <v>27</v>
      </c>
      <c r="E29" s="27" t="s">
        <v>55</v>
      </c>
      <c r="F29" s="27" t="s">
        <v>82</v>
      </c>
      <c r="G29" s="27"/>
      <c r="H29" s="27" t="s">
        <v>37</v>
      </c>
      <c r="I29" s="27"/>
      <c r="J29" s="36" t="s">
        <v>83</v>
      </c>
      <c r="K29" s="29">
        <v>42619</v>
      </c>
      <c r="L29" s="29" t="s">
        <v>58</v>
      </c>
      <c r="M29" s="30">
        <v>1</v>
      </c>
      <c r="N29" s="31"/>
      <c r="O29" s="32">
        <v>160000</v>
      </c>
      <c r="P29" s="32">
        <f t="shared" si="1"/>
        <v>160000</v>
      </c>
      <c r="Q29" s="33">
        <v>0.2</v>
      </c>
      <c r="R29" s="27"/>
      <c r="S29" s="27" t="s">
        <v>32</v>
      </c>
      <c r="T2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2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الشراء-الاستلام]]&lt;DATE(2016,1,1),P29-T29,0))</f>
        <v>0</v>
      </c>
    </row>
    <row r="30" spans="1:21" ht="48" customHeight="1">
      <c r="A30" s="38">
        <f>IF(C30="","",SUBTOTAL(3,$C$5:C155))</f>
        <v>104</v>
      </c>
      <c r="B30" s="39" t="s">
        <v>81</v>
      </c>
      <c r="C30" s="27" t="s">
        <v>54</v>
      </c>
      <c r="D30" s="27" t="s">
        <v>27</v>
      </c>
      <c r="E30" s="27" t="s">
        <v>55</v>
      </c>
      <c r="F30" s="27" t="s">
        <v>84</v>
      </c>
      <c r="G30" s="27"/>
      <c r="H30" s="27" t="s">
        <v>37</v>
      </c>
      <c r="I30" s="27"/>
      <c r="J30" s="36" t="s">
        <v>85</v>
      </c>
      <c r="K30" s="29">
        <v>42619</v>
      </c>
      <c r="L30" s="29" t="s">
        <v>58</v>
      </c>
      <c r="M30" s="30">
        <v>1</v>
      </c>
      <c r="N30" s="31"/>
      <c r="O30" s="32">
        <v>160000</v>
      </c>
      <c r="P30" s="32">
        <f t="shared" si="1"/>
        <v>160000</v>
      </c>
      <c r="Q30" s="33">
        <v>0.2</v>
      </c>
      <c r="R30" s="27"/>
      <c r="S30" s="27" t="s">
        <v>32</v>
      </c>
      <c r="T3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3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الشراء-الاستلام]]&lt;DATE(2016,1,1),P30-T30,0))</f>
        <v>0</v>
      </c>
    </row>
    <row r="31" spans="1:21" ht="48" hidden="1" customHeight="1">
      <c r="A31" s="27">
        <f>IF(C31="","",SUBTOTAL(3,$C$5:C31))</f>
        <v>26</v>
      </c>
      <c r="B31" s="27"/>
      <c r="C31" s="27" t="s">
        <v>86</v>
      </c>
      <c r="D31" s="27" t="s">
        <v>87</v>
      </c>
      <c r="E31" s="27" t="s">
        <v>55</v>
      </c>
      <c r="F31" s="27" t="s">
        <v>76</v>
      </c>
      <c r="G31" s="27"/>
      <c r="H31" s="27" t="s">
        <v>37</v>
      </c>
      <c r="I31" s="27"/>
      <c r="J31" s="36" t="s">
        <v>88</v>
      </c>
      <c r="K31" s="29">
        <v>42005</v>
      </c>
      <c r="L31" s="29"/>
      <c r="M31" s="30">
        <v>1</v>
      </c>
      <c r="N31" s="31"/>
      <c r="O31" s="32">
        <v>217360</v>
      </c>
      <c r="P31" s="32">
        <f t="shared" si="1"/>
        <v>217360</v>
      </c>
      <c r="Q31" s="33">
        <v>0.2</v>
      </c>
      <c r="R31" s="27"/>
      <c r="S31" s="27" t="s">
        <v>32</v>
      </c>
      <c r="T3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43352.898630136988</v>
      </c>
      <c r="U3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الشراء-الاستلام]]&lt;DATE(2016,1,1),P31-T31,0))</f>
        <v>174007.10136986303</v>
      </c>
    </row>
    <row r="32" spans="1:21" ht="48" hidden="1" customHeight="1">
      <c r="A32" s="27">
        <f>IF(C32="","",SUBTOTAL(3,$C$5:C32))</f>
        <v>26</v>
      </c>
      <c r="B32" s="27"/>
      <c r="C32" s="27" t="s">
        <v>86</v>
      </c>
      <c r="D32" s="27" t="s">
        <v>87</v>
      </c>
      <c r="E32" s="27" t="s">
        <v>55</v>
      </c>
      <c r="F32" s="27" t="s">
        <v>76</v>
      </c>
      <c r="G32" s="27"/>
      <c r="H32" s="27" t="s">
        <v>37</v>
      </c>
      <c r="I32" s="27"/>
      <c r="J32" s="36" t="s">
        <v>89</v>
      </c>
      <c r="K32" s="29">
        <v>42005</v>
      </c>
      <c r="L32" s="29"/>
      <c r="M32" s="30">
        <v>1</v>
      </c>
      <c r="N32" s="31"/>
      <c r="O32" s="32">
        <v>217360</v>
      </c>
      <c r="P32" s="32">
        <f t="shared" si="1"/>
        <v>217360</v>
      </c>
      <c r="Q32" s="33">
        <v>0.2</v>
      </c>
      <c r="R32" s="27"/>
      <c r="S32" s="27" t="s">
        <v>32</v>
      </c>
      <c r="T3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43352.898630136988</v>
      </c>
      <c r="U3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الشراء-الاستلام]]&lt;DATE(2016,1,1),P32-T32,0))</f>
        <v>174007.10136986303</v>
      </c>
    </row>
    <row r="33" spans="1:21" ht="30" customHeight="1">
      <c r="A33" s="27">
        <f>IF(C33="","",SUBTOTAL(3,$C$5:C33))</f>
        <v>27</v>
      </c>
      <c r="B33" s="27"/>
      <c r="C33" s="27" t="s">
        <v>34</v>
      </c>
      <c r="D33" s="27" t="s">
        <v>27</v>
      </c>
      <c r="E33" s="27" t="s">
        <v>35</v>
      </c>
      <c r="F33" s="27" t="s">
        <v>76</v>
      </c>
      <c r="G33" s="27"/>
      <c r="H33" s="27" t="s">
        <v>37</v>
      </c>
      <c r="I33" s="27"/>
      <c r="J33" s="27"/>
      <c r="K33" s="29">
        <v>42005</v>
      </c>
      <c r="L33" s="29"/>
      <c r="M33" s="30">
        <v>34</v>
      </c>
      <c r="N33" s="31"/>
      <c r="O33" s="32">
        <v>650</v>
      </c>
      <c r="P33" s="32">
        <f t="shared" si="1"/>
        <v>22100</v>
      </c>
      <c r="Q33" s="33">
        <v>0.1</v>
      </c>
      <c r="R33" s="27"/>
      <c r="S33" s="27" t="s">
        <v>32</v>
      </c>
      <c r="T3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2203.9452054794519</v>
      </c>
      <c r="U3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الشراء-الاستلام]]&lt;DATE(2016,1,1),P33-T33,0))</f>
        <v>19896.054794520547</v>
      </c>
    </row>
    <row r="34" spans="1:21" ht="30" customHeight="1">
      <c r="A34" s="27">
        <f>IF(C34="","",SUBTOTAL(3,$C$5:C34))</f>
        <v>28</v>
      </c>
      <c r="B34" s="27"/>
      <c r="C34" s="27" t="s">
        <v>90</v>
      </c>
      <c r="D34" s="27" t="s">
        <v>27</v>
      </c>
      <c r="E34" s="27" t="s">
        <v>35</v>
      </c>
      <c r="F34" s="27" t="s">
        <v>76</v>
      </c>
      <c r="G34" s="27"/>
      <c r="H34" s="27" t="s">
        <v>37</v>
      </c>
      <c r="I34" s="27"/>
      <c r="J34" s="27"/>
      <c r="K34" s="29">
        <v>42005</v>
      </c>
      <c r="L34" s="29"/>
      <c r="M34" s="30">
        <v>71</v>
      </c>
      <c r="N34" s="31"/>
      <c r="O34" s="32">
        <v>800</v>
      </c>
      <c r="P34" s="32">
        <f t="shared" si="1"/>
        <v>56800</v>
      </c>
      <c r="Q34" s="33">
        <v>0.1</v>
      </c>
      <c r="R34" s="27"/>
      <c r="S34" s="27" t="s">
        <v>32</v>
      </c>
      <c r="T3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5664.4383561643835</v>
      </c>
      <c r="U3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الشراء-الاستلام]]&lt;DATE(2016,1,1),P34-T34,0))</f>
        <v>51135.561643835616</v>
      </c>
    </row>
    <row r="35" spans="1:21" ht="30" customHeight="1">
      <c r="A35" s="27">
        <f>IF(C35="","",SUBTOTAL(3,$C$5:C35))</f>
        <v>29</v>
      </c>
      <c r="B35" s="27"/>
      <c r="C35" s="27" t="s">
        <v>91</v>
      </c>
      <c r="D35" s="27" t="s">
        <v>27</v>
      </c>
      <c r="E35" s="27" t="s">
        <v>35</v>
      </c>
      <c r="F35" s="27" t="s">
        <v>76</v>
      </c>
      <c r="G35" s="27"/>
      <c r="H35" s="27" t="s">
        <v>37</v>
      </c>
      <c r="I35" s="27"/>
      <c r="J35" s="27"/>
      <c r="K35" s="29">
        <v>42005</v>
      </c>
      <c r="L35" s="29"/>
      <c r="M35" s="30">
        <v>26</v>
      </c>
      <c r="N35" s="31"/>
      <c r="O35" s="32">
        <v>1200</v>
      </c>
      <c r="P35" s="32">
        <f t="shared" si="1"/>
        <v>31200</v>
      </c>
      <c r="Q35" s="33">
        <v>0.1</v>
      </c>
      <c r="R35" s="27"/>
      <c r="S35" s="27" t="s">
        <v>32</v>
      </c>
      <c r="T3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3111.4520547945208</v>
      </c>
      <c r="U3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الشراء-الاستلام]]&lt;DATE(2016,1,1),P35-T35,0))</f>
        <v>28088.547945205479</v>
      </c>
    </row>
    <row r="36" spans="1:21" ht="30">
      <c r="A36" s="27">
        <f>IF(C36="","",SUBTOTAL(3,$C$5:C36))</f>
        <v>30</v>
      </c>
      <c r="B36" s="28">
        <v>42533</v>
      </c>
      <c r="C36" s="27" t="s">
        <v>92</v>
      </c>
      <c r="D36" s="27" t="s">
        <v>27</v>
      </c>
      <c r="E36" s="27" t="s">
        <v>93</v>
      </c>
      <c r="F36" s="27" t="s">
        <v>76</v>
      </c>
      <c r="G36" s="27"/>
      <c r="H36" s="27" t="s">
        <v>37</v>
      </c>
      <c r="I36" s="27"/>
      <c r="J36" s="27"/>
      <c r="K36" s="29">
        <v>42583</v>
      </c>
      <c r="L36" s="29" t="s">
        <v>94</v>
      </c>
      <c r="M36" s="30">
        <v>3</v>
      </c>
      <c r="N36" s="31"/>
      <c r="O36" s="32">
        <v>66000</v>
      </c>
      <c r="P36" s="32">
        <f t="shared" si="1"/>
        <v>198000</v>
      </c>
      <c r="Q36" s="33">
        <v>0.15</v>
      </c>
      <c r="R36" s="27"/>
      <c r="S36" s="27" t="s">
        <v>32</v>
      </c>
      <c r="T3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3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الشراء-الاستلام]]&lt;DATE(2016,1,1),P36-T36,0))</f>
        <v>0</v>
      </c>
    </row>
    <row r="37" spans="1:21" ht="48" hidden="1" customHeight="1">
      <c r="A37" s="27">
        <f>IF(C37="","",SUBTOTAL(3,$C$5:C37))</f>
        <v>30</v>
      </c>
      <c r="B37" s="27"/>
      <c r="C37" s="27" t="s">
        <v>95</v>
      </c>
      <c r="D37" s="27" t="s">
        <v>87</v>
      </c>
      <c r="E37" s="27" t="s">
        <v>55</v>
      </c>
      <c r="F37" s="27" t="s">
        <v>29</v>
      </c>
      <c r="G37" s="27" t="s">
        <v>96</v>
      </c>
      <c r="H37" s="27" t="s">
        <v>37</v>
      </c>
      <c r="I37" s="27" t="s">
        <v>97</v>
      </c>
      <c r="J37" s="36" t="s">
        <v>98</v>
      </c>
      <c r="K37" s="29">
        <v>42370</v>
      </c>
      <c r="L37" s="29"/>
      <c r="M37" s="30">
        <v>1</v>
      </c>
      <c r="N37" s="31"/>
      <c r="O37" s="32">
        <v>286752</v>
      </c>
      <c r="P37" s="32">
        <f t="shared" si="1"/>
        <v>286752</v>
      </c>
      <c r="Q37" s="33">
        <v>0.15</v>
      </c>
      <c r="R37" s="27"/>
      <c r="S37" s="27" t="s">
        <v>32</v>
      </c>
      <c r="T3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3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الشراء-الاستلام]]&lt;DATE(2016,1,1),P37-T37,0))</f>
        <v>0</v>
      </c>
    </row>
    <row r="38" spans="1:21" ht="48" hidden="1" customHeight="1">
      <c r="A38" s="27">
        <f>IF(C38="","",SUBTOTAL(3,$C$5:C38))</f>
        <v>30</v>
      </c>
      <c r="B38" s="27"/>
      <c r="C38" s="27" t="s">
        <v>99</v>
      </c>
      <c r="D38" s="27" t="s">
        <v>87</v>
      </c>
      <c r="E38" s="27" t="s">
        <v>55</v>
      </c>
      <c r="F38" s="27" t="s">
        <v>29</v>
      </c>
      <c r="G38" s="27" t="s">
        <v>56</v>
      </c>
      <c r="H38" s="27" t="s">
        <v>37</v>
      </c>
      <c r="I38" s="27"/>
      <c r="J38" s="36" t="s">
        <v>100</v>
      </c>
      <c r="K38" s="29">
        <v>39813</v>
      </c>
      <c r="L38" s="29"/>
      <c r="M38" s="30">
        <v>1</v>
      </c>
      <c r="N38" s="31"/>
      <c r="O38" s="32">
        <v>585741</v>
      </c>
      <c r="P38" s="32">
        <f t="shared" si="1"/>
        <v>585741</v>
      </c>
      <c r="Q38" s="33">
        <v>0.15</v>
      </c>
      <c r="R38" s="27"/>
      <c r="S38" s="27"/>
      <c r="T3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585741</v>
      </c>
      <c r="U3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الشراء-الاستلام]]&lt;DATE(2016,1,1),P38-T38,0))</f>
        <v>0</v>
      </c>
    </row>
    <row r="39" spans="1:21" ht="48" hidden="1" customHeight="1">
      <c r="A39" s="27">
        <f>IF(C39="","",SUBTOTAL(3,$C$5:C39))</f>
        <v>30</v>
      </c>
      <c r="B39" s="27"/>
      <c r="C39" s="27" t="s">
        <v>101</v>
      </c>
      <c r="D39" s="27" t="s">
        <v>87</v>
      </c>
      <c r="E39" s="27" t="s">
        <v>51</v>
      </c>
      <c r="F39" s="27" t="s">
        <v>29</v>
      </c>
      <c r="G39" s="27" t="s">
        <v>56</v>
      </c>
      <c r="H39" s="27" t="s">
        <v>37</v>
      </c>
      <c r="I39" s="27"/>
      <c r="J39" s="36" t="s">
        <v>102</v>
      </c>
      <c r="K39" s="29">
        <v>41707</v>
      </c>
      <c r="L39" s="29"/>
      <c r="M39" s="30">
        <v>1</v>
      </c>
      <c r="N39" s="31"/>
      <c r="O39" s="32">
        <v>48400</v>
      </c>
      <c r="P39" s="32">
        <f t="shared" si="1"/>
        <v>48400</v>
      </c>
      <c r="Q39" s="33">
        <v>0.15</v>
      </c>
      <c r="R39" s="27"/>
      <c r="S39" s="27"/>
      <c r="T3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13167.452054794519</v>
      </c>
      <c r="U3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الشراء-الاستلام]]&lt;DATE(2016,1,1),P39-T39,0))</f>
        <v>35232.547945205479</v>
      </c>
    </row>
    <row r="40" spans="1:21" ht="30" customHeight="1">
      <c r="A40" s="27">
        <f>IF(C40="","",SUBTOTAL(3,$C$5:C40))</f>
        <v>31</v>
      </c>
      <c r="B40" s="28" t="s">
        <v>103</v>
      </c>
      <c r="C40" s="36" t="s">
        <v>104</v>
      </c>
      <c r="D40" s="27" t="s">
        <v>27</v>
      </c>
      <c r="E40" s="27" t="s">
        <v>28</v>
      </c>
      <c r="F40" s="27" t="s">
        <v>29</v>
      </c>
      <c r="G40" s="27"/>
      <c r="H40" s="27" t="s">
        <v>37</v>
      </c>
      <c r="I40" s="27"/>
      <c r="J40" s="27"/>
      <c r="K40" s="29">
        <v>42370</v>
      </c>
      <c r="L40" s="29" t="s">
        <v>87</v>
      </c>
      <c r="M40" s="30">
        <v>1</v>
      </c>
      <c r="N40" s="31"/>
      <c r="O40" s="32">
        <v>12500</v>
      </c>
      <c r="P40" s="32">
        <f t="shared" si="1"/>
        <v>12500</v>
      </c>
      <c r="Q40" s="33">
        <v>0.15</v>
      </c>
      <c r="R40" s="27"/>
      <c r="S40" s="27"/>
      <c r="T4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الشراء-الاستلام]]&lt;DATE(2016,1,1),P40-T40,0))</f>
        <v>0</v>
      </c>
    </row>
    <row r="41" spans="1:21" ht="30">
      <c r="A41" s="27">
        <f>IF(C41="","",SUBTOTAL(3,$C$5:C41))</f>
        <v>32</v>
      </c>
      <c r="B41" s="28">
        <v>42533</v>
      </c>
      <c r="C41" s="27" t="s">
        <v>92</v>
      </c>
      <c r="D41" s="27" t="s">
        <v>27</v>
      </c>
      <c r="E41" s="27" t="s">
        <v>93</v>
      </c>
      <c r="F41" s="27" t="s">
        <v>29</v>
      </c>
      <c r="G41" s="27"/>
      <c r="H41" s="27" t="s">
        <v>37</v>
      </c>
      <c r="I41" s="27"/>
      <c r="J41" s="27"/>
      <c r="K41" s="29">
        <v>42583</v>
      </c>
      <c r="L41" s="29" t="s">
        <v>105</v>
      </c>
      <c r="M41" s="30">
        <v>3</v>
      </c>
      <c r="N41" s="31"/>
      <c r="O41" s="32">
        <v>66000</v>
      </c>
      <c r="P41" s="32">
        <f>O41*M41</f>
        <v>198000</v>
      </c>
      <c r="Q41" s="33">
        <v>0.15</v>
      </c>
      <c r="R41" s="27"/>
      <c r="S41" s="27" t="s">
        <v>32</v>
      </c>
      <c r="T4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الشراء-الاستلام]]&lt;DATE(2016,1,1),P41-T41,0))</f>
        <v>0</v>
      </c>
    </row>
    <row r="42" spans="1:21" ht="30">
      <c r="A42" s="27">
        <f>IF(C42="","",SUBTOTAL(3,$C$5:C42))</f>
        <v>33</v>
      </c>
      <c r="B42" s="28">
        <v>42528</v>
      </c>
      <c r="C42" s="27" t="s">
        <v>92</v>
      </c>
      <c r="D42" s="27" t="s">
        <v>27</v>
      </c>
      <c r="E42" s="27" t="s">
        <v>93</v>
      </c>
      <c r="F42" s="27" t="s">
        <v>29</v>
      </c>
      <c r="G42" s="27"/>
      <c r="H42" s="27" t="s">
        <v>37</v>
      </c>
      <c r="I42" s="27"/>
      <c r="J42" s="27"/>
      <c r="K42" s="29">
        <v>42583</v>
      </c>
      <c r="L42" s="29" t="s">
        <v>105</v>
      </c>
      <c r="M42" s="30">
        <v>4</v>
      </c>
      <c r="N42" s="31"/>
      <c r="O42" s="32">
        <v>66000</v>
      </c>
      <c r="P42" s="32">
        <f>O42*M42</f>
        <v>264000</v>
      </c>
      <c r="Q42" s="33">
        <v>0.15</v>
      </c>
      <c r="R42" s="27"/>
      <c r="S42" s="27" t="s">
        <v>32</v>
      </c>
      <c r="T4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الشراء-الاستلام]]&lt;DATE(2016,1,1),P42-T42,0))</f>
        <v>0</v>
      </c>
    </row>
    <row r="43" spans="1:21" ht="30">
      <c r="A43" s="27">
        <f>IF(C43="","",SUBTOTAL(3,$C$5:C43))</f>
        <v>34</v>
      </c>
      <c r="B43" s="28">
        <v>42528</v>
      </c>
      <c r="C43" s="27" t="s">
        <v>92</v>
      </c>
      <c r="D43" s="27" t="s">
        <v>27</v>
      </c>
      <c r="E43" s="27" t="s">
        <v>93</v>
      </c>
      <c r="F43" s="27" t="s">
        <v>29</v>
      </c>
      <c r="G43" s="27"/>
      <c r="H43" s="27" t="s">
        <v>37</v>
      </c>
      <c r="I43" s="27"/>
      <c r="J43" s="27"/>
      <c r="K43" s="29">
        <v>42583</v>
      </c>
      <c r="L43" s="29" t="s">
        <v>105</v>
      </c>
      <c r="M43" s="30">
        <v>2</v>
      </c>
      <c r="N43" s="31"/>
      <c r="O43" s="32">
        <v>50000</v>
      </c>
      <c r="P43" s="32">
        <f>O43*M43</f>
        <v>100000</v>
      </c>
      <c r="Q43" s="33">
        <v>0.15</v>
      </c>
      <c r="R43" s="27"/>
      <c r="S43" s="27" t="s">
        <v>32</v>
      </c>
      <c r="T4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الشراء-الاستلام]]&lt;DATE(2016,1,1),P43-T43,0))</f>
        <v>0</v>
      </c>
    </row>
    <row r="44" spans="1:21" ht="30">
      <c r="A44" s="27">
        <f>IF(C44="","",SUBTOTAL(3,$C$5:C44))</f>
        <v>35</v>
      </c>
      <c r="B44" s="28" t="s">
        <v>106</v>
      </c>
      <c r="C44" s="27" t="s">
        <v>92</v>
      </c>
      <c r="D44" s="27" t="s">
        <v>27</v>
      </c>
      <c r="E44" s="27" t="s">
        <v>93</v>
      </c>
      <c r="F44" s="27" t="s">
        <v>29</v>
      </c>
      <c r="G44" s="27"/>
      <c r="H44" s="27" t="s">
        <v>37</v>
      </c>
      <c r="I44" s="27"/>
      <c r="J44" s="27"/>
      <c r="K44" s="29">
        <v>42450</v>
      </c>
      <c r="L44" s="29" t="s">
        <v>87</v>
      </c>
      <c r="M44" s="30">
        <v>3</v>
      </c>
      <c r="N44" s="31"/>
      <c r="O44" s="32">
        <v>80000</v>
      </c>
      <c r="P44" s="32">
        <f t="shared" si="1"/>
        <v>240000</v>
      </c>
      <c r="Q44" s="33">
        <v>0.15</v>
      </c>
      <c r="R44" s="27"/>
      <c r="S44" s="27" t="s">
        <v>32</v>
      </c>
      <c r="T4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الشراء-الاستلام]]&lt;DATE(2016,1,1),P44-T44,0))</f>
        <v>0</v>
      </c>
    </row>
    <row r="45" spans="1:21" ht="48">
      <c r="A45" s="27">
        <f>IF(C45="","",SUBTOTAL(3,$C$5:C45))</f>
        <v>36</v>
      </c>
      <c r="B45" s="28" t="s">
        <v>106</v>
      </c>
      <c r="C45" s="27" t="s">
        <v>92</v>
      </c>
      <c r="D45" s="27" t="s">
        <v>27</v>
      </c>
      <c r="E45" s="27" t="s">
        <v>93</v>
      </c>
      <c r="F45" s="27" t="s">
        <v>29</v>
      </c>
      <c r="G45" s="27"/>
      <c r="H45" s="27" t="s">
        <v>37</v>
      </c>
      <c r="I45" s="27"/>
      <c r="J45" s="27"/>
      <c r="K45" s="29">
        <v>42494</v>
      </c>
      <c r="L45" s="40" t="s">
        <v>107</v>
      </c>
      <c r="M45" s="30">
        <v>4</v>
      </c>
      <c r="N45" s="31"/>
      <c r="O45" s="32">
        <v>66000</v>
      </c>
      <c r="P45" s="32">
        <f t="shared" si="1"/>
        <v>264000</v>
      </c>
      <c r="Q45" s="33">
        <v>0.15</v>
      </c>
      <c r="R45" s="27"/>
      <c r="S45" s="27" t="s">
        <v>32</v>
      </c>
      <c r="T4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الشراء-الاستلام]]&lt;DATE(2016,1,1),P45-T45,0))</f>
        <v>0</v>
      </c>
    </row>
    <row r="46" spans="1:21" ht="48">
      <c r="A46" s="27">
        <f>IF(C46="","",SUBTOTAL(3,$C$5:C46))</f>
        <v>37</v>
      </c>
      <c r="B46" s="28" t="s">
        <v>106</v>
      </c>
      <c r="C46" s="27" t="s">
        <v>92</v>
      </c>
      <c r="D46" s="27" t="s">
        <v>27</v>
      </c>
      <c r="E46" s="27" t="s">
        <v>93</v>
      </c>
      <c r="F46" s="27" t="s">
        <v>29</v>
      </c>
      <c r="G46" s="27"/>
      <c r="H46" s="27" t="s">
        <v>37</v>
      </c>
      <c r="I46" s="27"/>
      <c r="J46" s="27"/>
      <c r="K46" s="29">
        <v>42656</v>
      </c>
      <c r="L46" s="40" t="s">
        <v>108</v>
      </c>
      <c r="M46" s="30">
        <v>12</v>
      </c>
      <c r="N46" s="31"/>
      <c r="O46" s="32">
        <v>66437</v>
      </c>
      <c r="P46" s="32">
        <f t="shared" si="1"/>
        <v>797244</v>
      </c>
      <c r="Q46" s="33">
        <v>0.15</v>
      </c>
      <c r="R46" s="27"/>
      <c r="S46" s="27" t="s">
        <v>32</v>
      </c>
      <c r="T4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الشراء-الاستلام]]&lt;DATE(2016,1,1),P46-T46,0))</f>
        <v>0</v>
      </c>
    </row>
    <row r="47" spans="1:21" ht="48" customHeight="1">
      <c r="A47" s="27">
        <f>IF(C47="","",SUBTOTAL(3,$C$5:C47))</f>
        <v>38</v>
      </c>
      <c r="B47" s="28" t="s">
        <v>109</v>
      </c>
      <c r="C47" s="27" t="s">
        <v>110</v>
      </c>
      <c r="D47" s="27" t="s">
        <v>27</v>
      </c>
      <c r="E47" s="27" t="s">
        <v>55</v>
      </c>
      <c r="F47" s="27" t="s">
        <v>29</v>
      </c>
      <c r="G47" s="27" t="s">
        <v>96</v>
      </c>
      <c r="H47" s="27" t="s">
        <v>37</v>
      </c>
      <c r="I47" s="27" t="s">
        <v>97</v>
      </c>
      <c r="J47" s="36" t="s">
        <v>111</v>
      </c>
      <c r="K47" s="29">
        <v>42457</v>
      </c>
      <c r="L47" s="29" t="s">
        <v>112</v>
      </c>
      <c r="M47" s="30">
        <v>1</v>
      </c>
      <c r="N47" s="31"/>
      <c r="O47" s="32">
        <v>250000</v>
      </c>
      <c r="P47" s="32">
        <f t="shared" si="1"/>
        <v>250000</v>
      </c>
      <c r="Q47" s="33">
        <v>0.15</v>
      </c>
      <c r="R47" s="27"/>
      <c r="S47" s="27" t="s">
        <v>32</v>
      </c>
      <c r="T4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الشراء-الاستلام]]&lt;DATE(2016,1,1),P47-T47,0))</f>
        <v>0</v>
      </c>
    </row>
    <row r="48" spans="1:21" ht="48" customHeight="1">
      <c r="A48" s="27">
        <f>IF(C48="","",SUBTOTAL(3,$C$5:C48))</f>
        <v>39</v>
      </c>
      <c r="B48" s="28" t="s">
        <v>109</v>
      </c>
      <c r="C48" s="27" t="s">
        <v>110</v>
      </c>
      <c r="D48" s="27" t="s">
        <v>27</v>
      </c>
      <c r="E48" s="27" t="s">
        <v>55</v>
      </c>
      <c r="F48" s="27" t="s">
        <v>29</v>
      </c>
      <c r="G48" s="27" t="s">
        <v>96</v>
      </c>
      <c r="H48" s="27" t="s">
        <v>37</v>
      </c>
      <c r="I48" s="27"/>
      <c r="J48" s="36" t="s">
        <v>113</v>
      </c>
      <c r="K48" s="29">
        <v>42457</v>
      </c>
      <c r="L48" s="29" t="s">
        <v>112</v>
      </c>
      <c r="M48" s="30">
        <v>1</v>
      </c>
      <c r="N48" s="31"/>
      <c r="O48" s="32">
        <v>250000</v>
      </c>
      <c r="P48" s="32">
        <f t="shared" si="1"/>
        <v>250000</v>
      </c>
      <c r="Q48" s="33">
        <v>0.15</v>
      </c>
      <c r="R48" s="27"/>
      <c r="S48" s="27" t="s">
        <v>32</v>
      </c>
      <c r="T4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الشراء-الاستلام]]&lt;DATE(2016,1,1),P48-T48,0))</f>
        <v>0</v>
      </c>
    </row>
    <row r="49" spans="1:21" ht="48" customHeight="1">
      <c r="A49" s="27">
        <f>IF(C49="","",SUBTOTAL(3,$C$5:C49))</f>
        <v>40</v>
      </c>
      <c r="B49" s="28" t="s">
        <v>109</v>
      </c>
      <c r="C49" s="27" t="s">
        <v>110</v>
      </c>
      <c r="D49" s="27" t="s">
        <v>27</v>
      </c>
      <c r="E49" s="27" t="s">
        <v>55</v>
      </c>
      <c r="F49" s="27" t="s">
        <v>82</v>
      </c>
      <c r="G49" s="27"/>
      <c r="H49" s="27" t="s">
        <v>37</v>
      </c>
      <c r="I49" s="27"/>
      <c r="J49" s="36" t="s">
        <v>114</v>
      </c>
      <c r="K49" s="29">
        <v>42457</v>
      </c>
      <c r="L49" s="29" t="s">
        <v>112</v>
      </c>
      <c r="M49" s="30">
        <v>1</v>
      </c>
      <c r="N49" s="31"/>
      <c r="O49" s="32">
        <v>250000</v>
      </c>
      <c r="P49" s="32">
        <f t="shared" si="1"/>
        <v>250000</v>
      </c>
      <c r="Q49" s="33">
        <v>0.15</v>
      </c>
      <c r="R49" s="27"/>
      <c r="S49" s="27" t="s">
        <v>32</v>
      </c>
      <c r="T4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4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الشراء-الاستلام]]&lt;DATE(2016,1,1),P49-T49,0))</f>
        <v>0</v>
      </c>
    </row>
    <row r="50" spans="1:21" ht="30" customHeight="1">
      <c r="A50" s="27">
        <f>IF(C50="","",SUBTOTAL(3,$C$5:C50))</f>
        <v>41</v>
      </c>
      <c r="B50" s="28" t="s">
        <v>115</v>
      </c>
      <c r="C50" s="27" t="s">
        <v>90</v>
      </c>
      <c r="D50" s="27" t="s">
        <v>27</v>
      </c>
      <c r="E50" s="27" t="s">
        <v>35</v>
      </c>
      <c r="F50" s="27" t="s">
        <v>29</v>
      </c>
      <c r="G50" s="27"/>
      <c r="H50" s="27" t="s">
        <v>37</v>
      </c>
      <c r="I50" s="27"/>
      <c r="J50" s="27"/>
      <c r="K50" s="29">
        <v>42490</v>
      </c>
      <c r="L50" s="29" t="s">
        <v>116</v>
      </c>
      <c r="M50" s="30">
        <v>43</v>
      </c>
      <c r="N50" s="31"/>
      <c r="O50" s="32">
        <v>595.4</v>
      </c>
      <c r="P50" s="32">
        <f t="shared" si="1"/>
        <v>25602.2</v>
      </c>
      <c r="Q50" s="33">
        <v>0.1</v>
      </c>
      <c r="R50" s="27"/>
      <c r="S50" s="27" t="s">
        <v>32</v>
      </c>
      <c r="T5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الشراء-الاستلام]]&lt;DATE(2016,1,1),P50-T50,0))</f>
        <v>0</v>
      </c>
    </row>
    <row r="51" spans="1:21" ht="30" customHeight="1">
      <c r="A51" s="27">
        <f>IF(C51="","",SUBTOTAL(3,$C$5:C51))</f>
        <v>42</v>
      </c>
      <c r="B51" s="28" t="s">
        <v>115</v>
      </c>
      <c r="C51" s="27" t="s">
        <v>117</v>
      </c>
      <c r="D51" s="27" t="s">
        <v>27</v>
      </c>
      <c r="E51" s="27" t="s">
        <v>35</v>
      </c>
      <c r="F51" s="27" t="s">
        <v>29</v>
      </c>
      <c r="G51" s="27"/>
      <c r="H51" s="27" t="s">
        <v>37</v>
      </c>
      <c r="I51" s="27"/>
      <c r="J51" s="27"/>
      <c r="K51" s="29">
        <v>42490</v>
      </c>
      <c r="L51" s="29" t="s">
        <v>116</v>
      </c>
      <c r="M51" s="30">
        <v>96</v>
      </c>
      <c r="N51" s="31"/>
      <c r="O51" s="32">
        <v>1239.58</v>
      </c>
      <c r="P51" s="32">
        <f t="shared" si="1"/>
        <v>118999.67999999999</v>
      </c>
      <c r="Q51" s="33">
        <v>0.1</v>
      </c>
      <c r="R51" s="27"/>
      <c r="S51" s="27" t="s">
        <v>32</v>
      </c>
      <c r="T5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الشراء-الاستلام]]&lt;DATE(2016,1,1),P51-T51,0))</f>
        <v>0</v>
      </c>
    </row>
    <row r="52" spans="1:21" ht="30" customHeight="1">
      <c r="A52" s="27">
        <f>IF(C52="","",SUBTOTAL(3,$C$5:C52))</f>
        <v>43</v>
      </c>
      <c r="B52" s="28" t="s">
        <v>115</v>
      </c>
      <c r="C52" s="27" t="s">
        <v>118</v>
      </c>
      <c r="D52" s="27" t="s">
        <v>27</v>
      </c>
      <c r="E52" s="27" t="s">
        <v>35</v>
      </c>
      <c r="F52" s="27" t="s">
        <v>29</v>
      </c>
      <c r="G52" s="27"/>
      <c r="H52" s="27" t="s">
        <v>37</v>
      </c>
      <c r="I52" s="27"/>
      <c r="J52" s="27" t="s">
        <v>119</v>
      </c>
      <c r="K52" s="29">
        <v>42504</v>
      </c>
      <c r="L52" s="29" t="s">
        <v>116</v>
      </c>
      <c r="M52" s="30">
        <v>5</v>
      </c>
      <c r="N52" s="31"/>
      <c r="O52" s="32">
        <v>23000</v>
      </c>
      <c r="P52" s="32">
        <f t="shared" si="1"/>
        <v>115000</v>
      </c>
      <c r="Q52" s="33">
        <v>0.1</v>
      </c>
      <c r="R52" s="27"/>
      <c r="S52" s="27" t="s">
        <v>32</v>
      </c>
      <c r="T5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الشراء-الاستلام]]&lt;DATE(2016,1,1),P52-T52,0))</f>
        <v>0</v>
      </c>
    </row>
    <row r="53" spans="1:21" ht="30" customHeight="1">
      <c r="A53" s="27">
        <f>IF(C53="","",SUBTOTAL(3,$C$5:C53))</f>
        <v>44</v>
      </c>
      <c r="B53" s="28" t="s">
        <v>115</v>
      </c>
      <c r="C53" s="27" t="s">
        <v>120</v>
      </c>
      <c r="D53" s="27" t="s">
        <v>27</v>
      </c>
      <c r="E53" s="27" t="s">
        <v>35</v>
      </c>
      <c r="F53" s="27" t="s">
        <v>29</v>
      </c>
      <c r="G53" s="27"/>
      <c r="H53" s="27" t="s">
        <v>37</v>
      </c>
      <c r="I53" s="27"/>
      <c r="J53" s="27"/>
      <c r="K53" s="29">
        <v>42461</v>
      </c>
      <c r="L53" s="29" t="s">
        <v>116</v>
      </c>
      <c r="M53" s="30">
        <v>3</v>
      </c>
      <c r="N53" s="31"/>
      <c r="O53" s="32">
        <v>12000</v>
      </c>
      <c r="P53" s="32">
        <f t="shared" si="1"/>
        <v>36000</v>
      </c>
      <c r="Q53" s="33">
        <v>0.1</v>
      </c>
      <c r="R53" s="27"/>
      <c r="S53" s="27" t="s">
        <v>32</v>
      </c>
      <c r="T5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الشراء-الاستلام]]&lt;DATE(2016,1,1),P53-T53,0))</f>
        <v>0</v>
      </c>
    </row>
    <row r="54" spans="1:21" ht="30" customHeight="1">
      <c r="A54" s="27">
        <f>IF(C54="","",SUBTOTAL(3,$C$5:C54))</f>
        <v>45</v>
      </c>
      <c r="B54" s="28" t="s">
        <v>115</v>
      </c>
      <c r="C54" s="27" t="s">
        <v>121</v>
      </c>
      <c r="D54" s="27" t="s">
        <v>27</v>
      </c>
      <c r="E54" s="27" t="s">
        <v>35</v>
      </c>
      <c r="F54" s="27" t="s">
        <v>29</v>
      </c>
      <c r="G54" s="27"/>
      <c r="H54" s="27" t="s">
        <v>37</v>
      </c>
      <c r="I54" s="27"/>
      <c r="J54" s="27"/>
      <c r="K54" s="29">
        <v>42461</v>
      </c>
      <c r="L54" s="29" t="s">
        <v>116</v>
      </c>
      <c r="M54" s="30">
        <v>15</v>
      </c>
      <c r="N54" s="31"/>
      <c r="O54" s="32">
        <v>850</v>
      </c>
      <c r="P54" s="32">
        <f t="shared" si="1"/>
        <v>12750</v>
      </c>
      <c r="Q54" s="33">
        <v>0.1</v>
      </c>
      <c r="R54" s="27"/>
      <c r="S54" s="27" t="s">
        <v>32</v>
      </c>
      <c r="T5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الشراء-الاستلام]]&lt;DATE(2016,1,1),P54-T54,0))</f>
        <v>0</v>
      </c>
    </row>
    <row r="55" spans="1:21" ht="30" customHeight="1">
      <c r="A55" s="27">
        <f>IF(C55="","",SUBTOTAL(3,$C$5:C55))</f>
        <v>46</v>
      </c>
      <c r="B55" s="28" t="s">
        <v>115</v>
      </c>
      <c r="C55" s="27" t="s">
        <v>122</v>
      </c>
      <c r="D55" s="27" t="s">
        <v>27</v>
      </c>
      <c r="E55" s="27" t="s">
        <v>35</v>
      </c>
      <c r="F55" s="27" t="s">
        <v>29</v>
      </c>
      <c r="G55" s="27"/>
      <c r="H55" s="27" t="s">
        <v>37</v>
      </c>
      <c r="I55" s="27"/>
      <c r="J55" s="27"/>
      <c r="K55" s="29">
        <v>42461</v>
      </c>
      <c r="L55" s="29" t="s">
        <v>116</v>
      </c>
      <c r="M55" s="30">
        <v>4</v>
      </c>
      <c r="N55" s="31"/>
      <c r="O55" s="32">
        <v>1225</v>
      </c>
      <c r="P55" s="32">
        <f t="shared" si="1"/>
        <v>4900</v>
      </c>
      <c r="Q55" s="33">
        <v>0.1</v>
      </c>
      <c r="R55" s="27"/>
      <c r="S55" s="27" t="s">
        <v>32</v>
      </c>
      <c r="T5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الشراء-الاستلام]]&lt;DATE(2016,1,1),P55-T55,0))</f>
        <v>0</v>
      </c>
    </row>
    <row r="56" spans="1:21" ht="30" customHeight="1">
      <c r="A56" s="27">
        <f>IF(C56="","",SUBTOTAL(3,$C$5:C56))</f>
        <v>47</v>
      </c>
      <c r="B56" s="28" t="s">
        <v>115</v>
      </c>
      <c r="C56" s="27" t="s">
        <v>123</v>
      </c>
      <c r="D56" s="27" t="s">
        <v>27</v>
      </c>
      <c r="E56" s="27" t="s">
        <v>35</v>
      </c>
      <c r="F56" s="27" t="s">
        <v>29</v>
      </c>
      <c r="G56" s="27"/>
      <c r="H56" s="27" t="s">
        <v>37</v>
      </c>
      <c r="I56" s="27"/>
      <c r="J56" s="27"/>
      <c r="K56" s="29">
        <v>42461</v>
      </c>
      <c r="L56" s="29" t="s">
        <v>116</v>
      </c>
      <c r="M56" s="30">
        <v>9</v>
      </c>
      <c r="N56" s="31"/>
      <c r="O56" s="32">
        <v>1800</v>
      </c>
      <c r="P56" s="32">
        <f t="shared" si="1"/>
        <v>16200</v>
      </c>
      <c r="Q56" s="33">
        <v>0.1</v>
      </c>
      <c r="R56" s="27"/>
      <c r="S56" s="27" t="s">
        <v>32</v>
      </c>
      <c r="T5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الشراء-الاستلام]]&lt;DATE(2016,1,1),P56-T56,0))</f>
        <v>0</v>
      </c>
    </row>
    <row r="57" spans="1:21" ht="30" customHeight="1">
      <c r="A57" s="27">
        <f>IF(C57="","",SUBTOTAL(3,$C$5:C57))</f>
        <v>48</v>
      </c>
      <c r="B57" s="27" t="s">
        <v>115</v>
      </c>
      <c r="C57" s="27" t="s">
        <v>124</v>
      </c>
      <c r="D57" s="27" t="s">
        <v>27</v>
      </c>
      <c r="E57" s="27" t="s">
        <v>35</v>
      </c>
      <c r="F57" s="27" t="s">
        <v>29</v>
      </c>
      <c r="G57" s="27"/>
      <c r="H57" s="27" t="s">
        <v>37</v>
      </c>
      <c r="I57" s="27"/>
      <c r="J57" s="27"/>
      <c r="K57" s="29">
        <v>42461</v>
      </c>
      <c r="L57" s="29" t="s">
        <v>116</v>
      </c>
      <c r="M57" s="30">
        <v>6</v>
      </c>
      <c r="N57" s="31"/>
      <c r="O57" s="32">
        <v>733</v>
      </c>
      <c r="P57" s="32">
        <f t="shared" si="1"/>
        <v>4398</v>
      </c>
      <c r="Q57" s="33">
        <v>0.1</v>
      </c>
      <c r="R57" s="27"/>
      <c r="S57" s="27" t="s">
        <v>32</v>
      </c>
      <c r="T5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الشراء-الاستلام]]&lt;DATE(2016,1,1),P57-T57,0))</f>
        <v>0</v>
      </c>
    </row>
    <row r="58" spans="1:21" ht="30" customHeight="1">
      <c r="A58" s="27">
        <f>IF(C58="","",SUBTOTAL(3,$C$5:C58))</f>
        <v>49</v>
      </c>
      <c r="B58" s="27" t="s">
        <v>115</v>
      </c>
      <c r="C58" s="27" t="s">
        <v>125</v>
      </c>
      <c r="D58" s="27" t="s">
        <v>27</v>
      </c>
      <c r="E58" s="27" t="s">
        <v>35</v>
      </c>
      <c r="F58" s="27" t="s">
        <v>29</v>
      </c>
      <c r="G58" s="27"/>
      <c r="H58" s="27" t="s">
        <v>37</v>
      </c>
      <c r="I58" s="27"/>
      <c r="J58" s="27"/>
      <c r="K58" s="29">
        <v>42461</v>
      </c>
      <c r="L58" s="29" t="s">
        <v>116</v>
      </c>
      <c r="M58" s="30">
        <v>5</v>
      </c>
      <c r="N58" s="31"/>
      <c r="O58" s="32">
        <v>400</v>
      </c>
      <c r="P58" s="32">
        <f t="shared" si="1"/>
        <v>2000</v>
      </c>
      <c r="Q58" s="33">
        <v>0.1</v>
      </c>
      <c r="R58" s="27"/>
      <c r="S58" s="27" t="s">
        <v>32</v>
      </c>
      <c r="T5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الشراء-الاستلام]]&lt;DATE(2016,1,1),P58-T58,0))</f>
        <v>0</v>
      </c>
    </row>
    <row r="59" spans="1:21" ht="30" hidden="1" customHeight="1">
      <c r="A59" s="27">
        <f>IF(C59="","",SUBTOTAL(3,$C$5:C59))</f>
        <v>49</v>
      </c>
      <c r="B59" s="27"/>
      <c r="C59" s="27" t="s">
        <v>34</v>
      </c>
      <c r="D59" s="27" t="s">
        <v>126</v>
      </c>
      <c r="E59" s="27" t="s">
        <v>35</v>
      </c>
      <c r="F59" s="27" t="s">
        <v>127</v>
      </c>
      <c r="G59" s="27"/>
      <c r="H59" s="27" t="s">
        <v>37</v>
      </c>
      <c r="I59" s="27"/>
      <c r="J59" s="27"/>
      <c r="K59" s="29">
        <v>42464</v>
      </c>
      <c r="L59" s="29" t="s">
        <v>38</v>
      </c>
      <c r="M59" s="30">
        <v>50</v>
      </c>
      <c r="N59" s="31"/>
      <c r="O59" s="32">
        <v>700</v>
      </c>
      <c r="P59" s="32">
        <f t="shared" si="1"/>
        <v>35000</v>
      </c>
      <c r="Q59" s="33">
        <v>0.1</v>
      </c>
      <c r="R59" s="27"/>
      <c r="S59" s="27" t="s">
        <v>32</v>
      </c>
      <c r="T5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5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الشراء-الاستلام]]&lt;DATE(2016,1,1),P59-T59,0))</f>
        <v>0</v>
      </c>
    </row>
    <row r="60" spans="1:21" ht="30" customHeight="1">
      <c r="A60" s="27">
        <f>IF(C60="","",SUBTOTAL(3,$C$5:C60))</f>
        <v>50</v>
      </c>
      <c r="B60" s="27" t="s">
        <v>33</v>
      </c>
      <c r="C60" s="27" t="s">
        <v>34</v>
      </c>
      <c r="D60" s="27" t="s">
        <v>27</v>
      </c>
      <c r="E60" s="27" t="s">
        <v>35</v>
      </c>
      <c r="F60" s="27" t="s">
        <v>128</v>
      </c>
      <c r="G60" s="27"/>
      <c r="H60" s="27" t="s">
        <v>37</v>
      </c>
      <c r="I60" s="27"/>
      <c r="J60" s="27"/>
      <c r="K60" s="29">
        <v>42522</v>
      </c>
      <c r="L60" s="29" t="s">
        <v>38</v>
      </c>
      <c r="M60" s="30">
        <v>30</v>
      </c>
      <c r="N60" s="31"/>
      <c r="O60" s="32">
        <v>700</v>
      </c>
      <c r="P60" s="32">
        <f t="shared" si="1"/>
        <v>21000</v>
      </c>
      <c r="Q60" s="33">
        <v>0.1</v>
      </c>
      <c r="R60" s="27"/>
      <c r="S60" s="27" t="s">
        <v>32</v>
      </c>
      <c r="T6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6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الشراء-الاستلام]]&lt;DATE(2016,1,1),P60-T60,0))</f>
        <v>0</v>
      </c>
    </row>
    <row r="61" spans="1:21" ht="30" customHeight="1">
      <c r="A61" s="27">
        <f>IF(C61="","",SUBTOTAL(3,$C$5:C61))</f>
        <v>51</v>
      </c>
      <c r="B61" s="27" t="s">
        <v>33</v>
      </c>
      <c r="C61" s="27" t="s">
        <v>129</v>
      </c>
      <c r="D61" s="27" t="s">
        <v>27</v>
      </c>
      <c r="E61" s="27" t="s">
        <v>35</v>
      </c>
      <c r="F61" s="27" t="s">
        <v>82</v>
      </c>
      <c r="G61" s="27"/>
      <c r="H61" s="27" t="s">
        <v>37</v>
      </c>
      <c r="I61" s="27"/>
      <c r="J61" s="27"/>
      <c r="K61" s="29">
        <v>42614</v>
      </c>
      <c r="L61" s="29" t="s">
        <v>38</v>
      </c>
      <c r="M61" s="30">
        <v>100</v>
      </c>
      <c r="N61" s="31">
        <v>10223</v>
      </c>
      <c r="O61" s="32">
        <v>700</v>
      </c>
      <c r="P61" s="32">
        <f t="shared" si="1"/>
        <v>70000</v>
      </c>
      <c r="Q61" s="33">
        <v>0.1</v>
      </c>
      <c r="R61" s="27"/>
      <c r="S61" s="27" t="s">
        <v>32</v>
      </c>
      <c r="T6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6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الشراء-الاستلام]]&lt;DATE(2016,1,1),P61-T61,0))</f>
        <v>0</v>
      </c>
    </row>
    <row r="62" spans="1:21" ht="30" customHeight="1">
      <c r="A62" s="27">
        <f>IF(C62="","",SUBTOTAL(3,$C$5:C62))</f>
        <v>52</v>
      </c>
      <c r="B62" s="27" t="s">
        <v>33</v>
      </c>
      <c r="C62" s="27" t="s">
        <v>129</v>
      </c>
      <c r="D62" s="27" t="s">
        <v>27</v>
      </c>
      <c r="E62" s="27" t="s">
        <v>35</v>
      </c>
      <c r="F62" s="27" t="s">
        <v>127</v>
      </c>
      <c r="G62" s="27"/>
      <c r="H62" s="27" t="s">
        <v>37</v>
      </c>
      <c r="I62" s="27"/>
      <c r="J62" s="27"/>
      <c r="K62" s="29">
        <v>42614</v>
      </c>
      <c r="L62" s="29" t="s">
        <v>38</v>
      </c>
      <c r="M62" s="30">
        <v>50</v>
      </c>
      <c r="N62" s="31">
        <v>10157</v>
      </c>
      <c r="O62" s="32">
        <v>700</v>
      </c>
      <c r="P62" s="32">
        <f>O62*M62</f>
        <v>35000</v>
      </c>
      <c r="Q62" s="33">
        <v>0.1</v>
      </c>
      <c r="R62" s="27"/>
      <c r="S62" s="27" t="s">
        <v>32</v>
      </c>
      <c r="T6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6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الشراء-الاستلام]]&lt;DATE(2016,1,1),P62-T62,0))</f>
        <v>0</v>
      </c>
    </row>
    <row r="63" spans="1:21" ht="48" customHeight="1">
      <c r="A63" s="27">
        <f>IF(C63="","",SUBTOTAL(3,$C$5:C63))</f>
        <v>53</v>
      </c>
      <c r="B63" s="36" t="s">
        <v>130</v>
      </c>
      <c r="C63" s="27" t="s">
        <v>131</v>
      </c>
      <c r="D63" s="27" t="s">
        <v>27</v>
      </c>
      <c r="E63" s="27" t="s">
        <v>132</v>
      </c>
      <c r="F63" s="27" t="s">
        <v>29</v>
      </c>
      <c r="G63" s="27"/>
      <c r="H63" s="27" t="s">
        <v>37</v>
      </c>
      <c r="I63" s="27"/>
      <c r="J63" s="27"/>
      <c r="K63" s="29">
        <v>42432</v>
      </c>
      <c r="L63" s="29"/>
      <c r="M63" s="30">
        <v>1</v>
      </c>
      <c r="N63" s="31"/>
      <c r="O63" s="32">
        <v>1287</v>
      </c>
      <c r="P63" s="32">
        <f>O63*M63</f>
        <v>1287</v>
      </c>
      <c r="Q63" s="33">
        <v>0.1</v>
      </c>
      <c r="R63" s="27"/>
      <c r="S63" s="27" t="s">
        <v>32</v>
      </c>
      <c r="T6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6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الشراء-الاستلام]]&lt;DATE(2016,1,1),P63-T63,0))</f>
        <v>0</v>
      </c>
    </row>
    <row r="64" spans="1:21" ht="30" customHeight="1">
      <c r="A64" s="27">
        <f>IF(C64="","",SUBTOTAL(3,$C$5:C64))</f>
        <v>54</v>
      </c>
      <c r="B64" s="27" t="s">
        <v>33</v>
      </c>
      <c r="C64" s="27" t="s">
        <v>34</v>
      </c>
      <c r="D64" s="27" t="s">
        <v>27</v>
      </c>
      <c r="E64" s="27" t="s">
        <v>35</v>
      </c>
      <c r="F64" s="27" t="s">
        <v>29</v>
      </c>
      <c r="G64" s="27"/>
      <c r="H64" s="27" t="s">
        <v>37</v>
      </c>
      <c r="I64" s="27"/>
      <c r="J64" s="27"/>
      <c r="K64" s="29">
        <v>42735</v>
      </c>
      <c r="L64" s="29" t="s">
        <v>38</v>
      </c>
      <c r="M64" s="30">
        <v>5</v>
      </c>
      <c r="N64" s="31">
        <v>10297</v>
      </c>
      <c r="O64" s="32">
        <v>700</v>
      </c>
      <c r="P64" s="32">
        <f t="shared" ref="P64:P127" si="3">O64*M64</f>
        <v>3500</v>
      </c>
      <c r="Q64" s="33">
        <v>0.1</v>
      </c>
      <c r="R64" s="27"/>
      <c r="S64" s="27" t="s">
        <v>32</v>
      </c>
      <c r="T6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6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الشراء-الاستلام]]&lt;DATE(2016,1,1),P64-T64,0))</f>
        <v>0</v>
      </c>
    </row>
    <row r="65" spans="1:21" ht="48" hidden="1" customHeight="1">
      <c r="A65" s="27">
        <f>IF(C65="","",SUBTOTAL(3,$C$5:C65))</f>
        <v>54</v>
      </c>
      <c r="B65" s="27"/>
      <c r="C65" s="27" t="s">
        <v>133</v>
      </c>
      <c r="D65" s="27" t="s">
        <v>87</v>
      </c>
      <c r="E65" s="27" t="s">
        <v>51</v>
      </c>
      <c r="F65" s="27" t="s">
        <v>29</v>
      </c>
      <c r="G65" s="27" t="s">
        <v>96</v>
      </c>
      <c r="H65" s="27" t="s">
        <v>37</v>
      </c>
      <c r="I65" s="27"/>
      <c r="J65" s="36" t="s">
        <v>134</v>
      </c>
      <c r="K65" s="29">
        <v>41562</v>
      </c>
      <c r="L65" s="29" t="s">
        <v>135</v>
      </c>
      <c r="M65" s="30">
        <v>1</v>
      </c>
      <c r="N65" s="31"/>
      <c r="O65" s="32">
        <v>40500</v>
      </c>
      <c r="P65" s="32">
        <f t="shared" si="3"/>
        <v>40500</v>
      </c>
      <c r="Q65" s="33">
        <v>0.25</v>
      </c>
      <c r="R65" s="27"/>
      <c r="S65" s="27" t="s">
        <v>32</v>
      </c>
      <c r="T6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22385.95890410959</v>
      </c>
      <c r="U6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الشراء-الاستلام]]&lt;DATE(2016,1,1),P65-T65,0))</f>
        <v>18114.04109589041</v>
      </c>
    </row>
    <row r="66" spans="1:21" ht="48" hidden="1" customHeight="1">
      <c r="A66" s="27">
        <f>IF(C66="","",SUBTOTAL(3,$C$5:C66))</f>
        <v>54</v>
      </c>
      <c r="B66" s="27"/>
      <c r="C66" s="27" t="s">
        <v>136</v>
      </c>
      <c r="D66" s="27" t="s">
        <v>87</v>
      </c>
      <c r="E66" s="27" t="s">
        <v>55</v>
      </c>
      <c r="F66" s="27" t="s">
        <v>128</v>
      </c>
      <c r="G66" s="27"/>
      <c r="H66" s="27" t="s">
        <v>37</v>
      </c>
      <c r="I66" s="27"/>
      <c r="J66" s="36" t="s">
        <v>137</v>
      </c>
      <c r="K66" s="29">
        <v>39995</v>
      </c>
      <c r="L66" s="29"/>
      <c r="M66" s="30">
        <v>1</v>
      </c>
      <c r="N66" s="31"/>
      <c r="O66" s="32">
        <v>307357</v>
      </c>
      <c r="P66" s="32">
        <f t="shared" si="3"/>
        <v>307357</v>
      </c>
      <c r="Q66" s="33">
        <v>0.2</v>
      </c>
      <c r="R66" s="27"/>
      <c r="S66" s="27" t="s">
        <v>32</v>
      </c>
      <c r="T6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307357</v>
      </c>
      <c r="U6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الشراء-الاستلام]]&lt;DATE(2016,1,1),P66-T66,0))</f>
        <v>0</v>
      </c>
    </row>
    <row r="67" spans="1:21" ht="48" hidden="1" customHeight="1">
      <c r="A67" s="27">
        <f>IF(C67="","",SUBTOTAL(3,$C$5:C67))</f>
        <v>54</v>
      </c>
      <c r="B67" s="27"/>
      <c r="C67" s="27" t="s">
        <v>54</v>
      </c>
      <c r="D67" s="27" t="s">
        <v>87</v>
      </c>
      <c r="E67" s="27" t="s">
        <v>55</v>
      </c>
      <c r="F67" s="27" t="s">
        <v>138</v>
      </c>
      <c r="G67" s="27"/>
      <c r="H67" s="27" t="s">
        <v>37</v>
      </c>
      <c r="I67" s="27"/>
      <c r="J67" s="36" t="s">
        <v>139</v>
      </c>
      <c r="K67" s="29">
        <v>40269</v>
      </c>
      <c r="L67" s="29"/>
      <c r="M67" s="30">
        <v>1</v>
      </c>
      <c r="N67" s="31"/>
      <c r="O67" s="32">
        <v>212550</v>
      </c>
      <c r="P67" s="32">
        <f t="shared" si="3"/>
        <v>212550</v>
      </c>
      <c r="Q67" s="33">
        <v>0.2</v>
      </c>
      <c r="R67" s="27"/>
      <c r="S67" s="27" t="s">
        <v>32</v>
      </c>
      <c r="T6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212550</v>
      </c>
      <c r="U6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الشراء-الاستلام]]&lt;DATE(2016,1,1),P67-T67,0))</f>
        <v>0</v>
      </c>
    </row>
    <row r="68" spans="1:21" ht="48" hidden="1" customHeight="1">
      <c r="A68" s="27">
        <f>IF(C68="","",SUBTOTAL(3,$C$5:C68))</f>
        <v>54</v>
      </c>
      <c r="B68" s="27"/>
      <c r="C68" s="27" t="s">
        <v>136</v>
      </c>
      <c r="D68" s="27" t="s">
        <v>87</v>
      </c>
      <c r="E68" s="27" t="s">
        <v>55</v>
      </c>
      <c r="F68" s="27" t="s">
        <v>138</v>
      </c>
      <c r="G68" s="27"/>
      <c r="H68" s="27" t="s">
        <v>37</v>
      </c>
      <c r="I68" s="27"/>
      <c r="J68" s="36" t="s">
        <v>139</v>
      </c>
      <c r="K68" s="29">
        <v>40298</v>
      </c>
      <c r="L68" s="29"/>
      <c r="M68" s="30">
        <v>1</v>
      </c>
      <c r="N68" s="31"/>
      <c r="O68" s="32">
        <v>82000</v>
      </c>
      <c r="P68" s="32">
        <f t="shared" si="3"/>
        <v>82000</v>
      </c>
      <c r="Q68" s="33">
        <v>0.2</v>
      </c>
      <c r="R68" s="27"/>
      <c r="S68" s="27" t="s">
        <v>32</v>
      </c>
      <c r="T6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82000</v>
      </c>
      <c r="U6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الشراء-الاستلام]]&lt;DATE(2016,1,1),P68-T68,0))</f>
        <v>0</v>
      </c>
    </row>
    <row r="69" spans="1:21" ht="48" hidden="1" customHeight="1">
      <c r="A69" s="27">
        <f>IF(C69="","",SUBTOTAL(3,$C$5:C69))</f>
        <v>54</v>
      </c>
      <c r="B69" s="27"/>
      <c r="C69" s="27" t="s">
        <v>54</v>
      </c>
      <c r="D69" s="27" t="s">
        <v>87</v>
      </c>
      <c r="E69" s="27" t="s">
        <v>55</v>
      </c>
      <c r="F69" s="27" t="s">
        <v>128</v>
      </c>
      <c r="G69" s="27"/>
      <c r="H69" s="27" t="s">
        <v>37</v>
      </c>
      <c r="I69" s="27"/>
      <c r="J69" s="36" t="s">
        <v>140</v>
      </c>
      <c r="K69" s="29">
        <v>40269</v>
      </c>
      <c r="L69" s="29"/>
      <c r="M69" s="30">
        <v>1</v>
      </c>
      <c r="N69" s="31"/>
      <c r="O69" s="32">
        <v>212550</v>
      </c>
      <c r="P69" s="32">
        <f t="shared" si="3"/>
        <v>212550</v>
      </c>
      <c r="Q69" s="33">
        <v>0.2</v>
      </c>
      <c r="R69" s="27"/>
      <c r="S69" s="27" t="s">
        <v>32</v>
      </c>
      <c r="T6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212550</v>
      </c>
      <c r="U6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الشراء-الاستلام]]&lt;DATE(2016,1,1),P69-T69,0))</f>
        <v>0</v>
      </c>
    </row>
    <row r="70" spans="1:21" ht="48" hidden="1" customHeight="1">
      <c r="A70" s="27">
        <f>IF(C70="","",SUBTOTAL(3,$C$5:C70))</f>
        <v>54</v>
      </c>
      <c r="B70" s="27"/>
      <c r="C70" s="27" t="s">
        <v>136</v>
      </c>
      <c r="D70" s="27" t="s">
        <v>87</v>
      </c>
      <c r="E70" s="27" t="s">
        <v>55</v>
      </c>
      <c r="F70" s="27" t="s">
        <v>128</v>
      </c>
      <c r="G70" s="27"/>
      <c r="H70" s="27" t="s">
        <v>37</v>
      </c>
      <c r="I70" s="27"/>
      <c r="J70" s="36" t="s">
        <v>140</v>
      </c>
      <c r="K70" s="29">
        <v>40298</v>
      </c>
      <c r="L70" s="29"/>
      <c r="M70" s="30">
        <v>1</v>
      </c>
      <c r="N70" s="31"/>
      <c r="O70" s="32">
        <v>82000</v>
      </c>
      <c r="P70" s="32">
        <f t="shared" si="3"/>
        <v>82000</v>
      </c>
      <c r="Q70" s="33">
        <v>0.2</v>
      </c>
      <c r="R70" s="27"/>
      <c r="S70" s="27" t="s">
        <v>32</v>
      </c>
      <c r="T7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82000</v>
      </c>
      <c r="U7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الشراء-الاستلام]]&lt;DATE(2016,1,1),P70-T70,0))</f>
        <v>0</v>
      </c>
    </row>
    <row r="71" spans="1:21" ht="48" hidden="1" customHeight="1">
      <c r="A71" s="27">
        <f>IF(C71="","",SUBTOTAL(3,$C$5:C71))</f>
        <v>54</v>
      </c>
      <c r="B71" s="27"/>
      <c r="C71" s="27" t="s">
        <v>141</v>
      </c>
      <c r="D71" s="27" t="s">
        <v>87</v>
      </c>
      <c r="E71" s="27" t="s">
        <v>55</v>
      </c>
      <c r="F71" s="27" t="s">
        <v>29</v>
      </c>
      <c r="G71" s="36" t="s">
        <v>142</v>
      </c>
      <c r="H71" s="27" t="s">
        <v>37</v>
      </c>
      <c r="I71" s="27"/>
      <c r="J71" s="36" t="s">
        <v>143</v>
      </c>
      <c r="K71" s="29">
        <v>40797</v>
      </c>
      <c r="L71" s="29"/>
      <c r="M71" s="30">
        <v>1</v>
      </c>
      <c r="N71" s="31"/>
      <c r="O71" s="32">
        <v>267763</v>
      </c>
      <c r="P71" s="32">
        <f t="shared" si="3"/>
        <v>267763</v>
      </c>
      <c r="Q71" s="33">
        <v>0.15</v>
      </c>
      <c r="R71" s="27"/>
      <c r="S71" s="27" t="s">
        <v>32</v>
      </c>
      <c r="T7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172982.23397260273</v>
      </c>
      <c r="U7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الشراء-الاستلام]]&lt;DATE(2016,1,1),P71-T71,0))</f>
        <v>94780.766027397272</v>
      </c>
    </row>
    <row r="72" spans="1:21" ht="48" hidden="1" customHeight="1">
      <c r="A72" s="27">
        <f>IF(C72="","",SUBTOTAL(3,$C$5:C72))</f>
        <v>54</v>
      </c>
      <c r="B72" s="27"/>
      <c r="C72" s="27" t="s">
        <v>144</v>
      </c>
      <c r="D72" s="27" t="s">
        <v>87</v>
      </c>
      <c r="E72" s="27" t="s">
        <v>55</v>
      </c>
      <c r="F72" s="27" t="s">
        <v>29</v>
      </c>
      <c r="G72" s="36" t="s">
        <v>142</v>
      </c>
      <c r="H72" s="27" t="s">
        <v>37</v>
      </c>
      <c r="I72" s="27"/>
      <c r="J72" s="36" t="s">
        <v>143</v>
      </c>
      <c r="K72" s="29">
        <v>41028</v>
      </c>
      <c r="L72" s="29"/>
      <c r="M72" s="30">
        <v>1</v>
      </c>
      <c r="N72" s="31"/>
      <c r="O72" s="32">
        <v>79269</v>
      </c>
      <c r="P72" s="32">
        <f t="shared" si="3"/>
        <v>79269</v>
      </c>
      <c r="Q72" s="33">
        <v>0.15</v>
      </c>
      <c r="R72" s="27"/>
      <c r="S72" s="27" t="s">
        <v>32</v>
      </c>
      <c r="T7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43684.820136986295</v>
      </c>
      <c r="U7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الشراء-الاستلام]]&lt;DATE(2016,1,1),P72-T72,0))</f>
        <v>35584.179863013705</v>
      </c>
    </row>
    <row r="73" spans="1:21" ht="48" hidden="1" customHeight="1">
      <c r="A73" s="27">
        <f>IF(C73="","",SUBTOTAL(3,$C$5:C73))</f>
        <v>54</v>
      </c>
      <c r="B73" s="27"/>
      <c r="C73" s="27" t="s">
        <v>145</v>
      </c>
      <c r="D73" s="27" t="s">
        <v>87</v>
      </c>
      <c r="E73" s="27" t="s">
        <v>55</v>
      </c>
      <c r="F73" s="27" t="s">
        <v>29</v>
      </c>
      <c r="G73" s="36" t="s">
        <v>142</v>
      </c>
      <c r="H73" s="27" t="s">
        <v>37</v>
      </c>
      <c r="I73" s="27"/>
      <c r="J73" s="36" t="s">
        <v>143</v>
      </c>
      <c r="K73" s="29">
        <v>40806</v>
      </c>
      <c r="L73" s="29"/>
      <c r="M73" s="30">
        <v>1</v>
      </c>
      <c r="N73" s="31"/>
      <c r="O73" s="32">
        <v>1500</v>
      </c>
      <c r="P73" s="32">
        <f t="shared" si="3"/>
        <v>1500</v>
      </c>
      <c r="Q73" s="33">
        <v>0.15</v>
      </c>
      <c r="R73" s="27"/>
      <c r="S73" s="27" t="s">
        <v>32</v>
      </c>
      <c r="T7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963.49315068493138</v>
      </c>
      <c r="U7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الشراء-الاستلام]]&lt;DATE(2016,1,1),P73-T73,0))</f>
        <v>536.50684931506862</v>
      </c>
    </row>
    <row r="74" spans="1:21" ht="48" hidden="1" customHeight="1">
      <c r="A74" s="27">
        <f>IF(C74="","",SUBTOTAL(3,$C$5:C74))</f>
        <v>54</v>
      </c>
      <c r="B74" s="27"/>
      <c r="C74" s="27" t="s">
        <v>144</v>
      </c>
      <c r="D74" s="27" t="s">
        <v>87</v>
      </c>
      <c r="E74" s="27" t="s">
        <v>55</v>
      </c>
      <c r="F74" s="27" t="s">
        <v>146</v>
      </c>
      <c r="G74" s="27"/>
      <c r="H74" s="27" t="s">
        <v>37</v>
      </c>
      <c r="I74" s="27"/>
      <c r="J74" s="36" t="s">
        <v>147</v>
      </c>
      <c r="K74" s="29">
        <v>40756</v>
      </c>
      <c r="L74" s="29"/>
      <c r="M74" s="30">
        <v>1</v>
      </c>
      <c r="N74" s="31"/>
      <c r="O74" s="32">
        <v>305000</v>
      </c>
      <c r="P74" s="32">
        <f t="shared" si="3"/>
        <v>305000</v>
      </c>
      <c r="Q74" s="33">
        <v>0.15</v>
      </c>
      <c r="R74" s="27"/>
      <c r="S74" s="27" t="s">
        <v>32</v>
      </c>
      <c r="T7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202177.39726027395</v>
      </c>
      <c r="U7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الشراء-الاستلام]]&lt;DATE(2016,1,1),P74-T74,0))</f>
        <v>102822.60273972605</v>
      </c>
    </row>
    <row r="75" spans="1:21" ht="48" hidden="1" customHeight="1">
      <c r="A75" s="27">
        <f>IF(C75="","",SUBTOTAL(3,$C$5:C75))</f>
        <v>54</v>
      </c>
      <c r="B75" s="27"/>
      <c r="C75" s="27" t="s">
        <v>54</v>
      </c>
      <c r="D75" s="27" t="s">
        <v>87</v>
      </c>
      <c r="E75" s="27" t="s">
        <v>55</v>
      </c>
      <c r="F75" s="27" t="s">
        <v>29</v>
      </c>
      <c r="G75" s="27" t="s">
        <v>56</v>
      </c>
      <c r="H75" s="27" t="s">
        <v>37</v>
      </c>
      <c r="I75" s="27"/>
      <c r="J75" s="36" t="s">
        <v>148</v>
      </c>
      <c r="K75" s="29">
        <v>40904</v>
      </c>
      <c r="L75" s="29"/>
      <c r="M75" s="30">
        <v>1</v>
      </c>
      <c r="N75" s="31"/>
      <c r="O75" s="32">
        <v>243070</v>
      </c>
      <c r="P75" s="32">
        <f t="shared" si="3"/>
        <v>243070</v>
      </c>
      <c r="Q75" s="33">
        <v>0.15</v>
      </c>
      <c r="R75" s="27"/>
      <c r="S75" s="27" t="s">
        <v>32</v>
      </c>
      <c r="T7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146341.45890410958</v>
      </c>
      <c r="U7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الشراء-الاستلام]]&lt;DATE(2016,1,1),P75-T75,0))</f>
        <v>96728.541095890425</v>
      </c>
    </row>
    <row r="76" spans="1:21" ht="48" hidden="1" customHeight="1">
      <c r="A76" s="27">
        <f>IF(C76="","",SUBTOTAL(3,$C$5:C76))</f>
        <v>54</v>
      </c>
      <c r="B76" s="27"/>
      <c r="C76" s="27" t="s">
        <v>149</v>
      </c>
      <c r="D76" s="27" t="s">
        <v>87</v>
      </c>
      <c r="E76" s="27" t="s">
        <v>55</v>
      </c>
      <c r="F76" s="27" t="s">
        <v>29</v>
      </c>
      <c r="G76" s="27" t="s">
        <v>56</v>
      </c>
      <c r="H76" s="27" t="s">
        <v>37</v>
      </c>
      <c r="I76" s="27"/>
      <c r="J76" s="36" t="s">
        <v>148</v>
      </c>
      <c r="K76" s="29">
        <v>40904</v>
      </c>
      <c r="L76" s="29"/>
      <c r="M76" s="30">
        <v>1</v>
      </c>
      <c r="N76" s="31"/>
      <c r="O76" s="32">
        <v>93000</v>
      </c>
      <c r="P76" s="32">
        <f t="shared" si="3"/>
        <v>93000</v>
      </c>
      <c r="Q76" s="33">
        <v>0.15</v>
      </c>
      <c r="R76" s="27"/>
      <c r="S76" s="27" t="s">
        <v>32</v>
      </c>
      <c r="T7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55991.095890410958</v>
      </c>
      <c r="U7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الشراء-الاستلام]]&lt;DATE(2016,1,1),P76-T76,0))</f>
        <v>37008.904109589042</v>
      </c>
    </row>
    <row r="77" spans="1:21" ht="48" hidden="1" customHeight="1">
      <c r="A77" s="27">
        <f>IF(C77="","",SUBTOTAL(3,$C$5:C77))</f>
        <v>54</v>
      </c>
      <c r="B77" s="27"/>
      <c r="C77" s="27" t="s">
        <v>54</v>
      </c>
      <c r="D77" s="27" t="s">
        <v>87</v>
      </c>
      <c r="E77" s="27" t="s">
        <v>55</v>
      </c>
      <c r="F77" s="27" t="s">
        <v>128</v>
      </c>
      <c r="G77" s="27"/>
      <c r="H77" s="27" t="s">
        <v>37</v>
      </c>
      <c r="I77" s="27"/>
      <c r="J77" s="36" t="s">
        <v>150</v>
      </c>
      <c r="K77" s="29">
        <v>41091</v>
      </c>
      <c r="L77" s="29"/>
      <c r="M77" s="30">
        <v>1</v>
      </c>
      <c r="N77" s="31"/>
      <c r="O77" s="32">
        <v>245826</v>
      </c>
      <c r="P77" s="32">
        <f t="shared" si="3"/>
        <v>245826</v>
      </c>
      <c r="Q77" s="33">
        <v>0.15</v>
      </c>
      <c r="R77" s="27"/>
      <c r="S77" s="27" t="s">
        <v>32</v>
      </c>
      <c r="T7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129109.16219178082</v>
      </c>
      <c r="U7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الشراء-الاستلام]]&lt;DATE(2016,1,1),P77-T77,0))</f>
        <v>116716.83780821918</v>
      </c>
    </row>
    <row r="78" spans="1:21" ht="48" hidden="1" customHeight="1">
      <c r="A78" s="27">
        <f>IF(C78="","",SUBTOTAL(3,$C$5:C78))</f>
        <v>54</v>
      </c>
      <c r="B78" s="27"/>
      <c r="C78" s="27" t="s">
        <v>149</v>
      </c>
      <c r="D78" s="27" t="s">
        <v>87</v>
      </c>
      <c r="E78" s="27" t="s">
        <v>55</v>
      </c>
      <c r="F78" s="27" t="s">
        <v>128</v>
      </c>
      <c r="G78" s="27"/>
      <c r="H78" s="27" t="s">
        <v>37</v>
      </c>
      <c r="I78" s="27"/>
      <c r="J78" s="36" t="s">
        <v>150</v>
      </c>
      <c r="K78" s="29">
        <v>41265</v>
      </c>
      <c r="L78" s="29"/>
      <c r="M78" s="30">
        <v>1</v>
      </c>
      <c r="N78" s="31"/>
      <c r="O78" s="32">
        <v>93000</v>
      </c>
      <c r="P78" s="32">
        <f t="shared" si="3"/>
        <v>93000</v>
      </c>
      <c r="Q78" s="33">
        <v>0.15</v>
      </c>
      <c r="R78" s="27"/>
      <c r="S78" s="27" t="s">
        <v>32</v>
      </c>
      <c r="T7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42193.972602739726</v>
      </c>
      <c r="U7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الشراء-الاستلام]]&lt;DATE(2016,1,1),P78-T78,0))</f>
        <v>50806.027397260274</v>
      </c>
    </row>
    <row r="79" spans="1:21" ht="48" hidden="1" customHeight="1">
      <c r="A79" s="27">
        <f>IF(C79="","",SUBTOTAL(3,$C$5:C79))</f>
        <v>54</v>
      </c>
      <c r="B79" s="27"/>
      <c r="C79" s="27" t="s">
        <v>54</v>
      </c>
      <c r="D79" s="27" t="s">
        <v>87</v>
      </c>
      <c r="E79" s="27" t="s">
        <v>55</v>
      </c>
      <c r="F79" s="27" t="s">
        <v>29</v>
      </c>
      <c r="G79" s="27" t="s">
        <v>56</v>
      </c>
      <c r="H79" s="27" t="s">
        <v>37</v>
      </c>
      <c r="I79" s="27"/>
      <c r="J79" s="36" t="s">
        <v>151</v>
      </c>
      <c r="K79" s="29">
        <v>41091</v>
      </c>
      <c r="L79" s="29"/>
      <c r="M79" s="30">
        <v>1</v>
      </c>
      <c r="N79" s="31"/>
      <c r="O79" s="32">
        <v>245826</v>
      </c>
      <c r="P79" s="32">
        <f t="shared" si="3"/>
        <v>245826</v>
      </c>
      <c r="Q79" s="33">
        <v>0.15</v>
      </c>
      <c r="R79" s="27"/>
      <c r="S79" s="27" t="s">
        <v>32</v>
      </c>
      <c r="T7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129109.16219178082</v>
      </c>
      <c r="U7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الشراء-الاستلام]]&lt;DATE(2016,1,1),P79-T79,0))</f>
        <v>116716.83780821918</v>
      </c>
    </row>
    <row r="80" spans="1:21" ht="48" hidden="1" customHeight="1">
      <c r="A80" s="27">
        <f>IF(C80="","",SUBTOTAL(3,$C$5:C80))</f>
        <v>54</v>
      </c>
      <c r="B80" s="27"/>
      <c r="C80" s="27" t="s">
        <v>149</v>
      </c>
      <c r="D80" s="27" t="s">
        <v>87</v>
      </c>
      <c r="E80" s="27" t="s">
        <v>55</v>
      </c>
      <c r="F80" s="27" t="s">
        <v>29</v>
      </c>
      <c r="G80" s="27" t="s">
        <v>56</v>
      </c>
      <c r="H80" s="27" t="s">
        <v>37</v>
      </c>
      <c r="I80" s="27"/>
      <c r="J80" s="36" t="s">
        <v>151</v>
      </c>
      <c r="K80" s="29">
        <v>41265</v>
      </c>
      <c r="L80" s="29"/>
      <c r="M80" s="30">
        <v>1</v>
      </c>
      <c r="N80" s="31"/>
      <c r="O80" s="32">
        <v>93000</v>
      </c>
      <c r="P80" s="32">
        <f t="shared" si="3"/>
        <v>93000</v>
      </c>
      <c r="Q80" s="33">
        <v>0.15</v>
      </c>
      <c r="R80" s="27"/>
      <c r="S80" s="27" t="s">
        <v>32</v>
      </c>
      <c r="T8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42193.972602739726</v>
      </c>
      <c r="U8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الشراء-الاستلام]]&lt;DATE(2016,1,1),P80-T80,0))</f>
        <v>50806.027397260274</v>
      </c>
    </row>
    <row r="81" spans="1:21" ht="48" hidden="1" customHeight="1">
      <c r="A81" s="27">
        <f>IF(C81="","",SUBTOTAL(3,$C$5:C81))</f>
        <v>54</v>
      </c>
      <c r="B81" s="27"/>
      <c r="C81" s="27" t="s">
        <v>54</v>
      </c>
      <c r="D81" s="27" t="s">
        <v>87</v>
      </c>
      <c r="E81" s="27" t="s">
        <v>55</v>
      </c>
      <c r="F81" s="27" t="s">
        <v>29</v>
      </c>
      <c r="G81" s="27" t="s">
        <v>56</v>
      </c>
      <c r="H81" s="27" t="s">
        <v>37</v>
      </c>
      <c r="I81" s="27"/>
      <c r="J81" s="36" t="s">
        <v>152</v>
      </c>
      <c r="K81" s="29">
        <v>41091</v>
      </c>
      <c r="L81" s="29"/>
      <c r="M81" s="30">
        <v>1</v>
      </c>
      <c r="N81" s="31"/>
      <c r="O81" s="32">
        <v>245826</v>
      </c>
      <c r="P81" s="32">
        <f t="shared" si="3"/>
        <v>245826</v>
      </c>
      <c r="Q81" s="33">
        <v>0.15</v>
      </c>
      <c r="R81" s="27"/>
      <c r="S81" s="27" t="s">
        <v>32</v>
      </c>
      <c r="T8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129109.16219178082</v>
      </c>
      <c r="U8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الشراء-الاستلام]]&lt;DATE(2016,1,1),P81-T81,0))</f>
        <v>116716.83780821918</v>
      </c>
    </row>
    <row r="82" spans="1:21" ht="48" hidden="1" customHeight="1">
      <c r="A82" s="27">
        <f>IF(C82="","",SUBTOTAL(3,$C$5:C82))</f>
        <v>54</v>
      </c>
      <c r="B82" s="27"/>
      <c r="C82" s="27" t="s">
        <v>149</v>
      </c>
      <c r="D82" s="27" t="s">
        <v>87</v>
      </c>
      <c r="E82" s="27" t="s">
        <v>55</v>
      </c>
      <c r="F82" s="27" t="s">
        <v>29</v>
      </c>
      <c r="G82" s="27" t="s">
        <v>56</v>
      </c>
      <c r="H82" s="27" t="s">
        <v>37</v>
      </c>
      <c r="I82" s="27"/>
      <c r="J82" s="36" t="s">
        <v>152</v>
      </c>
      <c r="K82" s="29">
        <v>41265</v>
      </c>
      <c r="L82" s="29"/>
      <c r="M82" s="30">
        <v>1</v>
      </c>
      <c r="N82" s="31"/>
      <c r="O82" s="32">
        <v>93000</v>
      </c>
      <c r="P82" s="32">
        <f t="shared" si="3"/>
        <v>93000</v>
      </c>
      <c r="Q82" s="33">
        <v>0.15</v>
      </c>
      <c r="R82" s="27"/>
      <c r="S82" s="27" t="s">
        <v>32</v>
      </c>
      <c r="T8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42193.972602739726</v>
      </c>
      <c r="U8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الشراء-الاستلام]]&lt;DATE(2016,1,1),P82-T82,0))</f>
        <v>50806.027397260274</v>
      </c>
    </row>
    <row r="83" spans="1:21" ht="48" hidden="1" customHeight="1">
      <c r="A83" s="27">
        <f>IF(C83="","",SUBTOTAL(3,$C$5:C83))</f>
        <v>54</v>
      </c>
      <c r="B83" s="27"/>
      <c r="C83" s="27" t="s">
        <v>54</v>
      </c>
      <c r="D83" s="27" t="s">
        <v>87</v>
      </c>
      <c r="E83" s="27" t="s">
        <v>55</v>
      </c>
      <c r="F83" s="27" t="s">
        <v>69</v>
      </c>
      <c r="G83" s="27"/>
      <c r="H83" s="27" t="s">
        <v>37</v>
      </c>
      <c r="I83" s="27"/>
      <c r="J83" s="36" t="s">
        <v>153</v>
      </c>
      <c r="K83" s="29">
        <v>41091</v>
      </c>
      <c r="L83" s="29"/>
      <c r="M83" s="30">
        <v>1</v>
      </c>
      <c r="N83" s="31"/>
      <c r="O83" s="32">
        <v>245825</v>
      </c>
      <c r="P83" s="32">
        <f t="shared" si="3"/>
        <v>245825</v>
      </c>
      <c r="Q83" s="33">
        <v>0.15</v>
      </c>
      <c r="R83" s="27"/>
      <c r="S83" s="27" t="s">
        <v>32</v>
      </c>
      <c r="T8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129108.63698630135</v>
      </c>
      <c r="U8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الشراء-الاستلام]]&lt;DATE(2016,1,1),P83-T83,0))</f>
        <v>116716.36301369865</v>
      </c>
    </row>
    <row r="84" spans="1:21" ht="48" hidden="1" customHeight="1">
      <c r="A84" s="27">
        <f>IF(C84="","",SUBTOTAL(3,$C$5:C84))</f>
        <v>54</v>
      </c>
      <c r="B84" s="27"/>
      <c r="C84" s="27" t="s">
        <v>149</v>
      </c>
      <c r="D84" s="27" t="s">
        <v>87</v>
      </c>
      <c r="E84" s="27" t="s">
        <v>55</v>
      </c>
      <c r="F84" s="27" t="s">
        <v>69</v>
      </c>
      <c r="G84" s="27"/>
      <c r="H84" s="27" t="s">
        <v>37</v>
      </c>
      <c r="I84" s="27"/>
      <c r="J84" s="36" t="s">
        <v>153</v>
      </c>
      <c r="K84" s="29">
        <v>41265</v>
      </c>
      <c r="L84" s="29"/>
      <c r="M84" s="30">
        <v>1</v>
      </c>
      <c r="N84" s="31"/>
      <c r="O84" s="32">
        <v>93000</v>
      </c>
      <c r="P84" s="32">
        <f t="shared" si="3"/>
        <v>93000</v>
      </c>
      <c r="Q84" s="33">
        <v>0.15</v>
      </c>
      <c r="R84" s="27"/>
      <c r="S84" s="27" t="s">
        <v>32</v>
      </c>
      <c r="T8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42193.972602739726</v>
      </c>
      <c r="U8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الشراء-الاستلام]]&lt;DATE(2016,1,1),P84-T84,0))</f>
        <v>50806.027397260274</v>
      </c>
    </row>
    <row r="85" spans="1:21" ht="48" hidden="1" customHeight="1">
      <c r="A85" s="27">
        <f>IF(C85="","",SUBTOTAL(3,$C$5:C85))</f>
        <v>54</v>
      </c>
      <c r="B85" s="27"/>
      <c r="C85" s="27" t="s">
        <v>54</v>
      </c>
      <c r="D85" s="27" t="s">
        <v>87</v>
      </c>
      <c r="E85" s="27" t="s">
        <v>55</v>
      </c>
      <c r="F85" s="27" t="s">
        <v>36</v>
      </c>
      <c r="G85" s="27"/>
      <c r="H85" s="27" t="s">
        <v>37</v>
      </c>
      <c r="I85" s="27"/>
      <c r="J85" s="36" t="s">
        <v>154</v>
      </c>
      <c r="K85" s="29">
        <v>41091</v>
      </c>
      <c r="L85" s="29"/>
      <c r="M85" s="30">
        <v>1</v>
      </c>
      <c r="N85" s="31"/>
      <c r="O85" s="32">
        <v>245825</v>
      </c>
      <c r="P85" s="32">
        <f t="shared" si="3"/>
        <v>245825</v>
      </c>
      <c r="Q85" s="33">
        <v>0.15</v>
      </c>
      <c r="R85" s="27"/>
      <c r="S85" s="27" t="s">
        <v>32</v>
      </c>
      <c r="T8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129108.63698630135</v>
      </c>
      <c r="U8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الشراء-الاستلام]]&lt;DATE(2016,1,1),P85-T85,0))</f>
        <v>116716.36301369865</v>
      </c>
    </row>
    <row r="86" spans="1:21" ht="48" hidden="1" customHeight="1">
      <c r="A86" s="27">
        <f>IF(C86="","",SUBTOTAL(3,$C$5:C86))</f>
        <v>54</v>
      </c>
      <c r="B86" s="27"/>
      <c r="C86" s="27" t="s">
        <v>149</v>
      </c>
      <c r="D86" s="27" t="s">
        <v>87</v>
      </c>
      <c r="E86" s="27" t="s">
        <v>55</v>
      </c>
      <c r="F86" s="27" t="s">
        <v>36</v>
      </c>
      <c r="G86" s="27"/>
      <c r="H86" s="27" t="s">
        <v>37</v>
      </c>
      <c r="I86" s="27"/>
      <c r="J86" s="36" t="s">
        <v>154</v>
      </c>
      <c r="K86" s="29">
        <v>41265</v>
      </c>
      <c r="L86" s="29"/>
      <c r="M86" s="30">
        <v>1</v>
      </c>
      <c r="N86" s="31"/>
      <c r="O86" s="32">
        <v>93000</v>
      </c>
      <c r="P86" s="32">
        <f t="shared" si="3"/>
        <v>93000</v>
      </c>
      <c r="Q86" s="33">
        <v>0.15</v>
      </c>
      <c r="R86" s="27"/>
      <c r="S86" s="27" t="s">
        <v>32</v>
      </c>
      <c r="T8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42193.972602739726</v>
      </c>
      <c r="U8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الشراء-الاستلام]]&lt;DATE(2016,1,1),P86-T86,0))</f>
        <v>50806.027397260274</v>
      </c>
    </row>
    <row r="87" spans="1:21" ht="48" hidden="1" customHeight="1">
      <c r="A87" s="27">
        <f>IF(C87="","",SUBTOTAL(3,$C$5:C87))</f>
        <v>54</v>
      </c>
      <c r="B87" s="27"/>
      <c r="C87" s="27" t="s">
        <v>54</v>
      </c>
      <c r="D87" s="27" t="s">
        <v>87</v>
      </c>
      <c r="E87" s="27" t="s">
        <v>55</v>
      </c>
      <c r="F87" s="27" t="s">
        <v>29</v>
      </c>
      <c r="G87" s="36" t="s">
        <v>142</v>
      </c>
      <c r="H87" s="27" t="s">
        <v>37</v>
      </c>
      <c r="I87" s="27"/>
      <c r="J87" s="36" t="s">
        <v>155</v>
      </c>
      <c r="K87" s="29">
        <v>41091</v>
      </c>
      <c r="L87" s="29"/>
      <c r="M87" s="30">
        <v>1</v>
      </c>
      <c r="N87" s="31"/>
      <c r="O87" s="32">
        <v>245825</v>
      </c>
      <c r="P87" s="32">
        <f t="shared" si="3"/>
        <v>245825</v>
      </c>
      <c r="Q87" s="33">
        <v>0.15</v>
      </c>
      <c r="R87" s="27"/>
      <c r="S87" s="27" t="s">
        <v>32</v>
      </c>
      <c r="T8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129108.63698630135</v>
      </c>
      <c r="U8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الشراء-الاستلام]]&lt;DATE(2016,1,1),P87-T87,0))</f>
        <v>116716.36301369865</v>
      </c>
    </row>
    <row r="88" spans="1:21" ht="48" hidden="1" customHeight="1">
      <c r="A88" s="27">
        <f>IF(C88="","",SUBTOTAL(3,$C$5:C88))</f>
        <v>54</v>
      </c>
      <c r="B88" s="27"/>
      <c r="C88" s="27" t="s">
        <v>149</v>
      </c>
      <c r="D88" s="27" t="s">
        <v>87</v>
      </c>
      <c r="E88" s="27" t="s">
        <v>55</v>
      </c>
      <c r="F88" s="27" t="s">
        <v>29</v>
      </c>
      <c r="G88" s="36" t="s">
        <v>142</v>
      </c>
      <c r="H88" s="27" t="s">
        <v>37</v>
      </c>
      <c r="I88" s="27"/>
      <c r="J88" s="36" t="s">
        <v>155</v>
      </c>
      <c r="K88" s="29">
        <v>41265</v>
      </c>
      <c r="L88" s="29"/>
      <c r="M88" s="30">
        <v>1</v>
      </c>
      <c r="N88" s="31"/>
      <c r="O88" s="32">
        <v>93000</v>
      </c>
      <c r="P88" s="32">
        <f t="shared" si="3"/>
        <v>93000</v>
      </c>
      <c r="Q88" s="33">
        <v>0.15</v>
      </c>
      <c r="R88" s="27"/>
      <c r="S88" s="27" t="s">
        <v>32</v>
      </c>
      <c r="T8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42193.972602739726</v>
      </c>
      <c r="U8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الشراء-الاستلام]]&lt;DATE(2016,1,1),P88-T88,0))</f>
        <v>50806.027397260274</v>
      </c>
    </row>
    <row r="89" spans="1:21" ht="48" hidden="1" customHeight="1">
      <c r="A89" s="27">
        <f>IF(C89="","",SUBTOTAL(3,$C$5:C89))</f>
        <v>54</v>
      </c>
      <c r="B89" s="27"/>
      <c r="C89" s="27" t="s">
        <v>54</v>
      </c>
      <c r="D89" s="27" t="s">
        <v>87</v>
      </c>
      <c r="E89" s="27" t="s">
        <v>55</v>
      </c>
      <c r="F89" s="27" t="s">
        <v>29</v>
      </c>
      <c r="G89" s="27" t="s">
        <v>56</v>
      </c>
      <c r="H89" s="27" t="s">
        <v>37</v>
      </c>
      <c r="I89" s="27"/>
      <c r="J89" s="36" t="s">
        <v>156</v>
      </c>
      <c r="K89" s="29">
        <v>41091</v>
      </c>
      <c r="L89" s="29"/>
      <c r="M89" s="30">
        <v>1</v>
      </c>
      <c r="N89" s="31"/>
      <c r="O89" s="32">
        <v>245825</v>
      </c>
      <c r="P89" s="32">
        <f t="shared" si="3"/>
        <v>245825</v>
      </c>
      <c r="Q89" s="33">
        <v>0.15</v>
      </c>
      <c r="R89" s="27"/>
      <c r="S89" s="27" t="s">
        <v>32</v>
      </c>
      <c r="T8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129108.63698630135</v>
      </c>
      <c r="U8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الشراء-الاستلام]]&lt;DATE(2016,1,1),P89-T89,0))</f>
        <v>116716.36301369865</v>
      </c>
    </row>
    <row r="90" spans="1:21" ht="48" hidden="1" customHeight="1">
      <c r="A90" s="27">
        <f>IF(C90="","",SUBTOTAL(3,$C$5:C90))</f>
        <v>54</v>
      </c>
      <c r="B90" s="27"/>
      <c r="C90" s="27" t="s">
        <v>149</v>
      </c>
      <c r="D90" s="27" t="s">
        <v>87</v>
      </c>
      <c r="E90" s="27" t="s">
        <v>55</v>
      </c>
      <c r="F90" s="27" t="s">
        <v>29</v>
      </c>
      <c r="G90" s="27" t="s">
        <v>56</v>
      </c>
      <c r="H90" s="27" t="s">
        <v>37</v>
      </c>
      <c r="I90" s="27"/>
      <c r="J90" s="36" t="s">
        <v>156</v>
      </c>
      <c r="K90" s="29">
        <v>41265</v>
      </c>
      <c r="L90" s="29"/>
      <c r="M90" s="30">
        <v>1</v>
      </c>
      <c r="N90" s="31"/>
      <c r="O90" s="32">
        <v>93000</v>
      </c>
      <c r="P90" s="32">
        <f t="shared" si="3"/>
        <v>93000</v>
      </c>
      <c r="Q90" s="33">
        <v>0.15</v>
      </c>
      <c r="R90" s="27"/>
      <c r="S90" s="27" t="s">
        <v>32</v>
      </c>
      <c r="T9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42193.972602739726</v>
      </c>
      <c r="U9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الشراء-الاستلام]]&lt;DATE(2016,1,1),P90-T90,0))</f>
        <v>50806.027397260274</v>
      </c>
    </row>
    <row r="91" spans="1:21" ht="48" hidden="1" customHeight="1">
      <c r="A91" s="27">
        <f>IF(C91="","",SUBTOTAL(3,$C$5:C91))</f>
        <v>54</v>
      </c>
      <c r="B91" s="27"/>
      <c r="C91" s="27" t="s">
        <v>54</v>
      </c>
      <c r="D91" s="27" t="s">
        <v>87</v>
      </c>
      <c r="E91" s="27" t="s">
        <v>55</v>
      </c>
      <c r="F91" s="27" t="s">
        <v>29</v>
      </c>
      <c r="G91" s="36" t="s">
        <v>142</v>
      </c>
      <c r="H91" s="27" t="s">
        <v>37</v>
      </c>
      <c r="I91" s="27"/>
      <c r="J91" s="36" t="s">
        <v>157</v>
      </c>
      <c r="K91" s="29">
        <v>41260</v>
      </c>
      <c r="L91" s="29"/>
      <c r="M91" s="30">
        <v>1</v>
      </c>
      <c r="N91" s="31"/>
      <c r="O91" s="32">
        <v>319410</v>
      </c>
      <c r="P91" s="32">
        <f t="shared" si="3"/>
        <v>319410</v>
      </c>
      <c r="Q91" s="33">
        <v>0.15</v>
      </c>
      <c r="R91" s="27"/>
      <c r="S91" s="27" t="s">
        <v>32</v>
      </c>
      <c r="T9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145572.201369863</v>
      </c>
      <c r="U9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الشراء-الاستلام]]&lt;DATE(2016,1,1),P91-T91,0))</f>
        <v>173837.798630137</v>
      </c>
    </row>
    <row r="92" spans="1:21" ht="48" hidden="1" customHeight="1">
      <c r="A92" s="27">
        <f>IF(C92="","",SUBTOTAL(3,$C$5:C92))</f>
        <v>54</v>
      </c>
      <c r="B92" s="27"/>
      <c r="C92" s="27" t="s">
        <v>149</v>
      </c>
      <c r="D92" s="27" t="s">
        <v>87</v>
      </c>
      <c r="E92" s="27" t="s">
        <v>55</v>
      </c>
      <c r="F92" s="27" t="s">
        <v>29</v>
      </c>
      <c r="G92" s="36" t="s">
        <v>142</v>
      </c>
      <c r="H92" s="27" t="s">
        <v>37</v>
      </c>
      <c r="I92" s="27"/>
      <c r="J92" s="36" t="s">
        <v>157</v>
      </c>
      <c r="K92" s="29">
        <v>41265</v>
      </c>
      <c r="L92" s="29"/>
      <c r="M92" s="30">
        <v>1</v>
      </c>
      <c r="N92" s="31"/>
      <c r="O92" s="32">
        <v>93000</v>
      </c>
      <c r="P92" s="32">
        <f t="shared" si="3"/>
        <v>93000</v>
      </c>
      <c r="Q92" s="33">
        <v>0.15</v>
      </c>
      <c r="R92" s="27"/>
      <c r="S92" s="27" t="s">
        <v>32</v>
      </c>
      <c r="T9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42193.972602739726</v>
      </c>
      <c r="U9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الشراء-الاستلام]]&lt;DATE(2016,1,1),P92-T92,0))</f>
        <v>50806.027397260274</v>
      </c>
    </row>
    <row r="93" spans="1:21" ht="48" hidden="1" customHeight="1">
      <c r="A93" s="27">
        <f>IF(C93="","",SUBTOTAL(3,$C$5:C93))</f>
        <v>54</v>
      </c>
      <c r="B93" s="27"/>
      <c r="C93" s="27" t="s">
        <v>158</v>
      </c>
      <c r="D93" s="27" t="s">
        <v>87</v>
      </c>
      <c r="E93" s="27" t="s">
        <v>55</v>
      </c>
      <c r="F93" s="27" t="s">
        <v>29</v>
      </c>
      <c r="G93" s="27"/>
      <c r="H93" s="27" t="s">
        <v>37</v>
      </c>
      <c r="I93" s="27"/>
      <c r="J93" s="36" t="s">
        <v>159</v>
      </c>
      <c r="K93" s="29">
        <v>42370</v>
      </c>
      <c r="L93" s="29"/>
      <c r="M93" s="30">
        <v>1</v>
      </c>
      <c r="N93" s="31"/>
      <c r="O93" s="32">
        <v>189471</v>
      </c>
      <c r="P93" s="32">
        <f t="shared" si="3"/>
        <v>189471</v>
      </c>
      <c r="Q93" s="33">
        <v>0.15</v>
      </c>
      <c r="R93" s="27"/>
      <c r="S93" s="27" t="s">
        <v>32</v>
      </c>
      <c r="T9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9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الشراء-الاستلام]]&lt;DATE(2016,1,1),P93-T93,0))</f>
        <v>0</v>
      </c>
    </row>
    <row r="94" spans="1:21" ht="48" hidden="1" customHeight="1">
      <c r="A94" s="27">
        <f>IF(C94="","",SUBTOTAL(3,$C$5:C94))</f>
        <v>54</v>
      </c>
      <c r="B94" s="27"/>
      <c r="C94" s="27" t="s">
        <v>158</v>
      </c>
      <c r="D94" s="27" t="s">
        <v>87</v>
      </c>
      <c r="E94" s="27" t="s">
        <v>55</v>
      </c>
      <c r="F94" s="27" t="s">
        <v>29</v>
      </c>
      <c r="G94" s="27"/>
      <c r="H94" s="27" t="s">
        <v>37</v>
      </c>
      <c r="I94" s="27"/>
      <c r="J94" s="36" t="s">
        <v>160</v>
      </c>
      <c r="K94" s="29">
        <v>42370</v>
      </c>
      <c r="L94" s="29"/>
      <c r="M94" s="30">
        <v>1</v>
      </c>
      <c r="N94" s="31"/>
      <c r="O94" s="32">
        <v>189470</v>
      </c>
      <c r="P94" s="32">
        <f t="shared" si="3"/>
        <v>189470</v>
      </c>
      <c r="Q94" s="33">
        <v>0.15</v>
      </c>
      <c r="R94" s="27"/>
      <c r="S94" s="27" t="s">
        <v>32</v>
      </c>
      <c r="T9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9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الشراء-الاستلام]]&lt;DATE(2016,1,1),P94-T94,0))</f>
        <v>0</v>
      </c>
    </row>
    <row r="95" spans="1:21" ht="48" hidden="1" customHeight="1">
      <c r="A95" s="27">
        <f>IF(C95="","",SUBTOTAL(3,$C$5:C95))</f>
        <v>54</v>
      </c>
      <c r="B95" s="27"/>
      <c r="C95" s="27" t="s">
        <v>110</v>
      </c>
      <c r="D95" s="27" t="s">
        <v>87</v>
      </c>
      <c r="E95" s="27" t="s">
        <v>55</v>
      </c>
      <c r="F95" s="27" t="s">
        <v>128</v>
      </c>
      <c r="G95" s="27"/>
      <c r="H95" s="27" t="s">
        <v>37</v>
      </c>
      <c r="I95" s="27" t="s">
        <v>161</v>
      </c>
      <c r="J95" s="36" t="s">
        <v>162</v>
      </c>
      <c r="K95" s="29">
        <v>39814</v>
      </c>
      <c r="L95" s="29"/>
      <c r="M95" s="30">
        <v>1</v>
      </c>
      <c r="N95" s="31"/>
      <c r="O95" s="32">
        <v>90000</v>
      </c>
      <c r="P95" s="32">
        <f t="shared" si="3"/>
        <v>90000</v>
      </c>
      <c r="Q95" s="33">
        <v>0.15</v>
      </c>
      <c r="R95" s="27"/>
      <c r="S95" s="27" t="s">
        <v>32</v>
      </c>
      <c r="T9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90000</v>
      </c>
      <c r="U9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الشراء-الاستلام]]&lt;DATE(2016,1,1),P95-T95,0))</f>
        <v>0</v>
      </c>
    </row>
    <row r="96" spans="1:21" ht="48" customHeight="1">
      <c r="A96" s="27">
        <f>IF(C96="","",SUBTOTAL(3,$C$5:C96))</f>
        <v>55</v>
      </c>
      <c r="B96" s="27"/>
      <c r="C96" s="27" t="s">
        <v>163</v>
      </c>
      <c r="D96" s="27" t="s">
        <v>27</v>
      </c>
      <c r="E96" s="27" t="s">
        <v>51</v>
      </c>
      <c r="F96" s="27" t="s">
        <v>29</v>
      </c>
      <c r="G96" s="27" t="s">
        <v>78</v>
      </c>
      <c r="H96" s="27" t="s">
        <v>45</v>
      </c>
      <c r="I96" s="27" t="s">
        <v>164</v>
      </c>
      <c r="J96" s="36" t="s">
        <v>165</v>
      </c>
      <c r="K96" s="29">
        <v>42309</v>
      </c>
      <c r="L96" s="29"/>
      <c r="M96" s="30">
        <v>1</v>
      </c>
      <c r="N96" s="31"/>
      <c r="O96" s="32">
        <v>160000</v>
      </c>
      <c r="P96" s="32">
        <f t="shared" si="3"/>
        <v>160000</v>
      </c>
      <c r="Q96" s="35">
        <v>0.25</v>
      </c>
      <c r="R96" s="27"/>
      <c r="S96" s="27" t="s">
        <v>32</v>
      </c>
      <c r="T96" s="34">
        <v>27000</v>
      </c>
      <c r="U9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الشراء-الاستلام]]&lt;DATE(2016,1,1),P96-T96,0))</f>
        <v>133000</v>
      </c>
    </row>
    <row r="97" spans="1:21" ht="48" hidden="1" customHeight="1">
      <c r="A97" s="27">
        <f>IF(C97="","",SUBTOTAL(3,$C$5:C97))</f>
        <v>55</v>
      </c>
      <c r="B97" s="27"/>
      <c r="C97" s="27" t="s">
        <v>166</v>
      </c>
      <c r="D97" s="27" t="s">
        <v>87</v>
      </c>
      <c r="E97" s="27" t="s">
        <v>51</v>
      </c>
      <c r="F97" s="27" t="s">
        <v>29</v>
      </c>
      <c r="G97" s="27" t="s">
        <v>78</v>
      </c>
      <c r="H97" s="27" t="s">
        <v>30</v>
      </c>
      <c r="I97" s="27"/>
      <c r="J97" s="36" t="s">
        <v>167</v>
      </c>
      <c r="K97" s="29">
        <v>40544</v>
      </c>
      <c r="L97" s="29"/>
      <c r="M97" s="30">
        <v>1</v>
      </c>
      <c r="N97" s="31"/>
      <c r="O97" s="32">
        <f>20500+10000</f>
        <v>30500</v>
      </c>
      <c r="P97" s="32">
        <f t="shared" si="3"/>
        <v>30500</v>
      </c>
      <c r="Q97" s="33">
        <v>0.25</v>
      </c>
      <c r="R97" s="27"/>
      <c r="S97" s="27" t="s">
        <v>32</v>
      </c>
      <c r="T9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30500</v>
      </c>
      <c r="U9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الشراء-الاستلام]]&lt;DATE(2016,1,1),P97-T97,0))</f>
        <v>0</v>
      </c>
    </row>
    <row r="98" spans="1:21" ht="48" customHeight="1">
      <c r="A98" s="27">
        <f>IF(C98="","",SUBTOTAL(3,$C$5:C98))</f>
        <v>56</v>
      </c>
      <c r="B98" s="27"/>
      <c r="C98" s="27" t="s">
        <v>110</v>
      </c>
      <c r="D98" s="27" t="s">
        <v>27</v>
      </c>
      <c r="E98" s="27" t="s">
        <v>55</v>
      </c>
      <c r="F98" s="27" t="s">
        <v>29</v>
      </c>
      <c r="G98" s="27" t="s">
        <v>96</v>
      </c>
      <c r="H98" s="27" t="s">
        <v>37</v>
      </c>
      <c r="I98" s="27"/>
      <c r="J98" s="36" t="s">
        <v>168</v>
      </c>
      <c r="K98" s="29">
        <f>DATE(2015,6,5)-0.22</f>
        <v>42159.78</v>
      </c>
      <c r="L98" s="29"/>
      <c r="M98" s="30">
        <v>1</v>
      </c>
      <c r="N98" s="31"/>
      <c r="O98" s="32">
        <v>285000</v>
      </c>
      <c r="P98" s="32">
        <f t="shared" si="3"/>
        <v>285000</v>
      </c>
      <c r="Q98" s="33">
        <v>0.15</v>
      </c>
      <c r="R98" s="27"/>
      <c r="S98" s="27" t="s">
        <v>32</v>
      </c>
      <c r="T9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24504.534246575477</v>
      </c>
      <c r="U9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الشراء-الاستلام]]&lt;DATE(2016,1,1),P98-T98,0))</f>
        <v>260495.46575342453</v>
      </c>
    </row>
    <row r="99" spans="1:21" ht="48" customHeight="1">
      <c r="A99" s="27">
        <f>IF(C99="","",SUBTOTAL(3,$C$5:C99))</f>
        <v>57</v>
      </c>
      <c r="B99" s="27"/>
      <c r="C99" s="27" t="s">
        <v>110</v>
      </c>
      <c r="D99" s="27" t="s">
        <v>27</v>
      </c>
      <c r="E99" s="27" t="s">
        <v>55</v>
      </c>
      <c r="F99" s="27" t="s">
        <v>29</v>
      </c>
      <c r="G99" s="27" t="s">
        <v>96</v>
      </c>
      <c r="H99" s="27" t="s">
        <v>37</v>
      </c>
      <c r="I99" s="27"/>
      <c r="J99" s="36" t="s">
        <v>169</v>
      </c>
      <c r="K99" s="29">
        <v>42159</v>
      </c>
      <c r="L99" s="29"/>
      <c r="M99" s="30">
        <v>1</v>
      </c>
      <c r="N99" s="31"/>
      <c r="O99" s="32">
        <v>285000</v>
      </c>
      <c r="P99" s="32">
        <f t="shared" si="3"/>
        <v>285000</v>
      </c>
      <c r="Q99" s="33">
        <v>0.15</v>
      </c>
      <c r="R99" s="27"/>
      <c r="S99" s="27" t="s">
        <v>32</v>
      </c>
      <c r="T9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24595.890410958902</v>
      </c>
      <c r="U9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الشراء-الاستلام]]&lt;DATE(2016,1,1),P99-T99,0))</f>
        <v>260404.10958904109</v>
      </c>
    </row>
    <row r="100" spans="1:21" ht="48" customHeight="1">
      <c r="A100" s="27">
        <f>IF(C100="","",SUBTOTAL(3,$C$5:C100))</f>
        <v>58</v>
      </c>
      <c r="B100" s="27"/>
      <c r="C100" s="27" t="s">
        <v>110</v>
      </c>
      <c r="D100" s="27" t="s">
        <v>27</v>
      </c>
      <c r="E100" s="27" t="s">
        <v>55</v>
      </c>
      <c r="F100" s="27" t="s">
        <v>29</v>
      </c>
      <c r="G100" s="27" t="s">
        <v>96</v>
      </c>
      <c r="H100" s="27" t="s">
        <v>37</v>
      </c>
      <c r="I100" s="27"/>
      <c r="J100" s="36" t="s">
        <v>170</v>
      </c>
      <c r="K100" s="29">
        <v>42158</v>
      </c>
      <c r="L100" s="29"/>
      <c r="M100" s="30">
        <v>1</v>
      </c>
      <c r="N100" s="31"/>
      <c r="O100" s="32">
        <v>285000</v>
      </c>
      <c r="P100" s="32">
        <f t="shared" si="3"/>
        <v>285000</v>
      </c>
      <c r="Q100" s="33">
        <v>0.15</v>
      </c>
      <c r="R100" s="27"/>
      <c r="S100" s="27" t="s">
        <v>32</v>
      </c>
      <c r="T10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24713.013698630137</v>
      </c>
      <c r="U10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الشراء-الاستلام]]&lt;DATE(2016,1,1),P100-T100,0))</f>
        <v>260286.98630136985</v>
      </c>
    </row>
    <row r="101" spans="1:21" ht="48" customHeight="1">
      <c r="A101" s="27">
        <f>IF(C101="","",SUBTOTAL(3,$C$5:C101))</f>
        <v>59</v>
      </c>
      <c r="B101" s="27"/>
      <c r="C101" s="27" t="s">
        <v>110</v>
      </c>
      <c r="D101" s="27" t="s">
        <v>27</v>
      </c>
      <c r="E101" s="27" t="s">
        <v>55</v>
      </c>
      <c r="F101" s="27" t="s">
        <v>69</v>
      </c>
      <c r="G101" s="27"/>
      <c r="H101" s="27" t="s">
        <v>37</v>
      </c>
      <c r="I101" s="27"/>
      <c r="J101" s="36" t="s">
        <v>171</v>
      </c>
      <c r="K101" s="29">
        <v>42157</v>
      </c>
      <c r="L101" s="29"/>
      <c r="M101" s="30">
        <v>1</v>
      </c>
      <c r="N101" s="31"/>
      <c r="O101" s="32">
        <v>285000</v>
      </c>
      <c r="P101" s="32">
        <f t="shared" si="3"/>
        <v>285000</v>
      </c>
      <c r="Q101" s="33">
        <v>0.15</v>
      </c>
      <c r="R101" s="27"/>
      <c r="S101" s="27" t="s">
        <v>32</v>
      </c>
      <c r="T10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24830.136986301368</v>
      </c>
      <c r="U10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الشراء-الاستلام]]&lt;DATE(2016,1,1),P101-T101,0))</f>
        <v>260169.86301369863</v>
      </c>
    </row>
    <row r="102" spans="1:21" ht="48" customHeight="1">
      <c r="A102" s="27">
        <f>IF(C102="","",SUBTOTAL(3,$C$5:C102))</f>
        <v>60</v>
      </c>
      <c r="B102" s="27"/>
      <c r="C102" s="27" t="s">
        <v>172</v>
      </c>
      <c r="D102" s="27" t="s">
        <v>173</v>
      </c>
      <c r="E102" s="27" t="s">
        <v>51</v>
      </c>
      <c r="F102" s="27" t="s">
        <v>29</v>
      </c>
      <c r="G102" s="27" t="s">
        <v>96</v>
      </c>
      <c r="H102" s="27" t="s">
        <v>37</v>
      </c>
      <c r="I102" s="27"/>
      <c r="J102" s="36" t="s">
        <v>174</v>
      </c>
      <c r="K102" s="29">
        <v>40544</v>
      </c>
      <c r="L102" s="29"/>
      <c r="M102" s="30">
        <v>1</v>
      </c>
      <c r="N102" s="31"/>
      <c r="O102" s="32">
        <f>50000+10500</f>
        <v>60500</v>
      </c>
      <c r="P102" s="32">
        <f t="shared" si="3"/>
        <v>60500</v>
      </c>
      <c r="Q102" s="35">
        <v>0.2</v>
      </c>
      <c r="R102" s="27"/>
      <c r="S102" s="27" t="s">
        <v>32</v>
      </c>
      <c r="T10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60500</v>
      </c>
      <c r="U10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الشراء-الاستلام]]&lt;DATE(2016,1,1),P102-T102,0))</f>
        <v>0</v>
      </c>
    </row>
    <row r="103" spans="1:21" ht="48" hidden="1" customHeight="1">
      <c r="A103" s="27">
        <f>IF(C103="","",SUBTOTAL(3,$C$5:C103))</f>
        <v>60</v>
      </c>
      <c r="B103" s="27"/>
      <c r="C103" s="27" t="s">
        <v>175</v>
      </c>
      <c r="D103" s="27" t="s">
        <v>87</v>
      </c>
      <c r="E103" s="27" t="s">
        <v>51</v>
      </c>
      <c r="F103" s="27" t="s">
        <v>29</v>
      </c>
      <c r="G103" s="27" t="s">
        <v>96</v>
      </c>
      <c r="H103" s="27" t="s">
        <v>37</v>
      </c>
      <c r="I103" s="27"/>
      <c r="J103" s="36" t="s">
        <v>176</v>
      </c>
      <c r="K103" s="29">
        <v>42156</v>
      </c>
      <c r="L103" s="29"/>
      <c r="M103" s="30">
        <v>1</v>
      </c>
      <c r="N103" s="31"/>
      <c r="O103" s="32">
        <v>50000</v>
      </c>
      <c r="P103" s="32">
        <f t="shared" si="3"/>
        <v>50000</v>
      </c>
      <c r="Q103" s="33">
        <v>0.15</v>
      </c>
      <c r="R103" s="27"/>
      <c r="S103" s="27" t="s">
        <v>32</v>
      </c>
      <c r="T10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4376.7123287671229</v>
      </c>
      <c r="U10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الشراء-الاستلام]]&lt;DATE(2016,1,1),P103-T103,0))</f>
        <v>45623.28767123288</v>
      </c>
    </row>
    <row r="104" spans="1:21" ht="48" customHeight="1">
      <c r="A104" s="27">
        <f>IF(C104="","",SUBTOTAL(3,$C$5:C104))</f>
        <v>61</v>
      </c>
      <c r="B104" s="28">
        <v>42431</v>
      </c>
      <c r="C104" s="27" t="s">
        <v>177</v>
      </c>
      <c r="D104" s="27" t="s">
        <v>27</v>
      </c>
      <c r="E104" s="27" t="s">
        <v>55</v>
      </c>
      <c r="F104" s="27" t="s">
        <v>29</v>
      </c>
      <c r="G104" s="27" t="s">
        <v>56</v>
      </c>
      <c r="H104" s="27" t="s">
        <v>37</v>
      </c>
      <c r="I104" s="27"/>
      <c r="J104" s="36" t="s">
        <v>100</v>
      </c>
      <c r="K104" s="29">
        <v>42430</v>
      </c>
      <c r="L104" s="29"/>
      <c r="M104" s="30">
        <v>1</v>
      </c>
      <c r="N104" s="31"/>
      <c r="O104" s="32">
        <v>10350</v>
      </c>
      <c r="P104" s="32">
        <f t="shared" si="3"/>
        <v>10350</v>
      </c>
      <c r="Q104" s="33">
        <v>0.15</v>
      </c>
      <c r="R104" s="27"/>
      <c r="S104" s="27" t="s">
        <v>32</v>
      </c>
      <c r="T10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0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الشراء-الاستلام]]&lt;DATE(2016,1,1),P104-T104,0))</f>
        <v>0</v>
      </c>
    </row>
    <row r="105" spans="1:21" ht="30" customHeight="1">
      <c r="A105" s="27">
        <f>IF(C105="","",SUBTOTAL(3,$C$5:C105))</f>
        <v>62</v>
      </c>
      <c r="B105" s="28">
        <v>42614</v>
      </c>
      <c r="C105" s="27" t="s">
        <v>178</v>
      </c>
      <c r="D105" s="27" t="s">
        <v>27</v>
      </c>
      <c r="E105" s="27" t="s">
        <v>55</v>
      </c>
      <c r="F105" s="27" t="s">
        <v>29</v>
      </c>
      <c r="G105" s="27"/>
      <c r="H105" s="27" t="s">
        <v>37</v>
      </c>
      <c r="I105" s="27"/>
      <c r="J105" s="27">
        <v>3473</v>
      </c>
      <c r="K105" s="29">
        <v>42614</v>
      </c>
      <c r="L105" s="29"/>
      <c r="M105" s="30">
        <v>1</v>
      </c>
      <c r="N105" s="31"/>
      <c r="O105" s="32">
        <v>6578</v>
      </c>
      <c r="P105" s="32">
        <f t="shared" si="3"/>
        <v>6578</v>
      </c>
      <c r="Q105" s="33">
        <v>0.15</v>
      </c>
      <c r="R105" s="27"/>
      <c r="S105" s="27" t="s">
        <v>32</v>
      </c>
      <c r="T10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0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الشراء-الاستلام]]&lt;DATE(2016,1,1),P105-T105,0))</f>
        <v>0</v>
      </c>
    </row>
    <row r="106" spans="1:21" ht="96" customHeight="1">
      <c r="A106" s="27">
        <f>IF(C106="","",SUBTOTAL(3,$C$5:C106))</f>
        <v>63</v>
      </c>
      <c r="B106" s="27" t="s">
        <v>33</v>
      </c>
      <c r="C106" s="27" t="s">
        <v>178</v>
      </c>
      <c r="D106" s="27" t="s">
        <v>27</v>
      </c>
      <c r="E106" s="27" t="s">
        <v>55</v>
      </c>
      <c r="F106" s="27" t="s">
        <v>29</v>
      </c>
      <c r="G106" s="27" t="s">
        <v>96</v>
      </c>
      <c r="H106" s="27" t="s">
        <v>37</v>
      </c>
      <c r="I106" s="27"/>
      <c r="J106" s="36" t="s">
        <v>179</v>
      </c>
      <c r="K106" s="29">
        <v>42653</v>
      </c>
      <c r="L106" s="29" t="s">
        <v>38</v>
      </c>
      <c r="M106" s="30">
        <v>2</v>
      </c>
      <c r="N106" s="31">
        <v>10286</v>
      </c>
      <c r="O106" s="32">
        <v>7000</v>
      </c>
      <c r="P106" s="32">
        <f t="shared" si="3"/>
        <v>14000</v>
      </c>
      <c r="Q106" s="33">
        <v>0.15</v>
      </c>
      <c r="R106" s="27"/>
      <c r="S106" s="27" t="s">
        <v>32</v>
      </c>
      <c r="T10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0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الشراء-الاستلام]]&lt;DATE(2016,1,1),P106-T106,0))</f>
        <v>0</v>
      </c>
    </row>
    <row r="107" spans="1:21" ht="48" hidden="1" customHeight="1">
      <c r="A107" s="27">
        <f>IF(C107="","",SUBTOTAL(3,$C$5:C107))</f>
        <v>63</v>
      </c>
      <c r="B107" s="27"/>
      <c r="C107" s="27" t="s">
        <v>180</v>
      </c>
      <c r="D107" s="27" t="s">
        <v>87</v>
      </c>
      <c r="E107" s="27" t="s">
        <v>55</v>
      </c>
      <c r="F107" s="27" t="s">
        <v>29</v>
      </c>
      <c r="G107" s="27" t="s">
        <v>56</v>
      </c>
      <c r="H107" s="27" t="s">
        <v>37</v>
      </c>
      <c r="I107" s="27"/>
      <c r="J107" s="36" t="s">
        <v>181</v>
      </c>
      <c r="K107" s="29">
        <v>41260</v>
      </c>
      <c r="L107" s="29"/>
      <c r="M107" s="30">
        <v>1</v>
      </c>
      <c r="N107" s="31"/>
      <c r="O107" s="32">
        <v>166400</v>
      </c>
      <c r="P107" s="32">
        <f t="shared" si="3"/>
        <v>166400</v>
      </c>
      <c r="Q107" s="33">
        <v>0.15</v>
      </c>
      <c r="R107" s="27"/>
      <c r="S107" s="27" t="s">
        <v>32</v>
      </c>
      <c r="T10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75837.369863013693</v>
      </c>
      <c r="U10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الشراء-الاستلام]]&lt;DATE(2016,1,1),P107-T107,0))</f>
        <v>90562.630136986307</v>
      </c>
    </row>
    <row r="108" spans="1:21" ht="48" hidden="1" customHeight="1">
      <c r="A108" s="27">
        <f>IF(C108="","",SUBTOTAL(3,$C$5:C108))</f>
        <v>63</v>
      </c>
      <c r="B108" s="27"/>
      <c r="C108" s="27" t="s">
        <v>180</v>
      </c>
      <c r="D108" s="27" t="s">
        <v>87</v>
      </c>
      <c r="E108" s="27" t="s">
        <v>55</v>
      </c>
      <c r="F108" s="27" t="s">
        <v>29</v>
      </c>
      <c r="G108" s="27" t="s">
        <v>56</v>
      </c>
      <c r="H108" s="27" t="s">
        <v>37</v>
      </c>
      <c r="I108" s="27"/>
      <c r="J108" s="36" t="s">
        <v>181</v>
      </c>
      <c r="K108" s="29">
        <v>41412</v>
      </c>
      <c r="L108" s="29"/>
      <c r="M108" s="30">
        <v>1</v>
      </c>
      <c r="N108" s="31"/>
      <c r="O108" s="32">
        <v>87000</v>
      </c>
      <c r="P108" s="32">
        <f t="shared" si="3"/>
        <v>87000</v>
      </c>
      <c r="Q108" s="33">
        <v>0.15</v>
      </c>
      <c r="R108" s="27"/>
      <c r="S108" s="27" t="s">
        <v>32</v>
      </c>
      <c r="T10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34216.027397260274</v>
      </c>
      <c r="U10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الشراء-الاستلام]]&lt;DATE(2016,1,1),P108-T108,0))</f>
        <v>52783.972602739726</v>
      </c>
    </row>
    <row r="109" spans="1:21" ht="48" hidden="1" customHeight="1">
      <c r="A109" s="27">
        <f>IF(C109="","",SUBTOTAL(3,$C$5:C109))</f>
        <v>63</v>
      </c>
      <c r="B109" s="27"/>
      <c r="C109" s="27" t="s">
        <v>110</v>
      </c>
      <c r="D109" s="27" t="s">
        <v>87</v>
      </c>
      <c r="E109" s="27" t="s">
        <v>55</v>
      </c>
      <c r="F109" s="27" t="s">
        <v>29</v>
      </c>
      <c r="G109" s="27" t="s">
        <v>56</v>
      </c>
      <c r="H109" s="27" t="s">
        <v>37</v>
      </c>
      <c r="I109" s="27"/>
      <c r="J109" s="36" t="s">
        <v>182</v>
      </c>
      <c r="K109" s="29">
        <v>41260</v>
      </c>
      <c r="L109" s="29"/>
      <c r="M109" s="30">
        <v>1</v>
      </c>
      <c r="N109" s="31"/>
      <c r="O109" s="32">
        <v>166400</v>
      </c>
      <c r="P109" s="32">
        <f t="shared" si="3"/>
        <v>166400</v>
      </c>
      <c r="Q109" s="33">
        <v>0.15</v>
      </c>
      <c r="R109" s="27"/>
      <c r="S109" s="27" t="s">
        <v>32</v>
      </c>
      <c r="T10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75837.369863013693</v>
      </c>
      <c r="U10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الشراء-الاستلام]]&lt;DATE(2016,1,1),P109-T109,0))</f>
        <v>90562.630136986307</v>
      </c>
    </row>
    <row r="110" spans="1:21" ht="48" hidden="1" customHeight="1">
      <c r="A110" s="27">
        <f>IF(C110="","",SUBTOTAL(3,$C$5:C110))</f>
        <v>63</v>
      </c>
      <c r="B110" s="27"/>
      <c r="C110" s="27" t="s">
        <v>110</v>
      </c>
      <c r="D110" s="27" t="s">
        <v>87</v>
      </c>
      <c r="E110" s="27" t="s">
        <v>55</v>
      </c>
      <c r="F110" s="27" t="s">
        <v>29</v>
      </c>
      <c r="G110" s="27" t="s">
        <v>56</v>
      </c>
      <c r="H110" s="27" t="s">
        <v>37</v>
      </c>
      <c r="I110" s="27"/>
      <c r="J110" s="36" t="s">
        <v>182</v>
      </c>
      <c r="K110" s="29">
        <v>41412</v>
      </c>
      <c r="L110" s="29"/>
      <c r="M110" s="30">
        <v>1</v>
      </c>
      <c r="N110" s="31"/>
      <c r="O110" s="32">
        <v>55000</v>
      </c>
      <c r="P110" s="32">
        <f t="shared" si="3"/>
        <v>55000</v>
      </c>
      <c r="Q110" s="33">
        <v>0.15</v>
      </c>
      <c r="R110" s="27"/>
      <c r="S110" s="27" t="s">
        <v>32</v>
      </c>
      <c r="T11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21630.821917808218</v>
      </c>
      <c r="U11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الشراء-الاستلام]]&lt;DATE(2016,1,1),P110-T110,0))</f>
        <v>33369.178082191778</v>
      </c>
    </row>
    <row r="111" spans="1:21" ht="30" customHeight="1">
      <c r="A111" s="27">
        <f>IF(C111="","",SUBTOTAL(3,$C$5:C111))</f>
        <v>64</v>
      </c>
      <c r="B111" s="27"/>
      <c r="C111" s="27" t="s">
        <v>183</v>
      </c>
      <c r="D111" s="27" t="s">
        <v>27</v>
      </c>
      <c r="E111" s="27" t="s">
        <v>55</v>
      </c>
      <c r="F111" s="27" t="s">
        <v>29</v>
      </c>
      <c r="G111" s="27"/>
      <c r="H111" s="27" t="s">
        <v>37</v>
      </c>
      <c r="I111" s="27"/>
      <c r="J111" s="27"/>
      <c r="K111" s="29">
        <v>42623</v>
      </c>
      <c r="L111" s="29"/>
      <c r="M111" s="30">
        <v>1</v>
      </c>
      <c r="N111" s="31">
        <v>10269</v>
      </c>
      <c r="O111" s="32">
        <v>9500</v>
      </c>
      <c r="P111" s="32">
        <f t="shared" si="3"/>
        <v>9500</v>
      </c>
      <c r="Q111" s="33">
        <v>0.15</v>
      </c>
      <c r="R111" s="27"/>
      <c r="S111" s="27" t="s">
        <v>32</v>
      </c>
      <c r="T11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1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الشراء-الاستلام]]&lt;DATE(2016,1,1),P111-T111,0))</f>
        <v>0</v>
      </c>
    </row>
    <row r="112" spans="1:21" ht="30" customHeight="1">
      <c r="A112" s="27">
        <f>IF(C112="","",SUBTOTAL(3,$C$5:C112))</f>
        <v>65</v>
      </c>
      <c r="B112" s="27"/>
      <c r="C112" s="27" t="s">
        <v>184</v>
      </c>
      <c r="D112" s="27" t="s">
        <v>27</v>
      </c>
      <c r="E112" s="27" t="s">
        <v>55</v>
      </c>
      <c r="F112" s="27" t="s">
        <v>29</v>
      </c>
      <c r="G112" s="27"/>
      <c r="H112" s="27" t="s">
        <v>37</v>
      </c>
      <c r="I112" s="27"/>
      <c r="J112" s="27"/>
      <c r="K112" s="29">
        <v>42623</v>
      </c>
      <c r="L112" s="29" t="s">
        <v>38</v>
      </c>
      <c r="M112" s="30">
        <v>6</v>
      </c>
      <c r="N112" s="31">
        <v>10249</v>
      </c>
      <c r="O112" s="32">
        <v>90000</v>
      </c>
      <c r="P112" s="32">
        <f t="shared" si="3"/>
        <v>540000</v>
      </c>
      <c r="Q112" s="33">
        <v>0.15</v>
      </c>
      <c r="R112" s="27"/>
      <c r="S112" s="27" t="s">
        <v>32</v>
      </c>
      <c r="T11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1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الشراء-الاستلام]]&lt;DATE(2016,1,1),P112-T112,0))</f>
        <v>0</v>
      </c>
    </row>
    <row r="113" spans="1:21" ht="48" customHeight="1">
      <c r="A113" s="27">
        <f>IF(C113="","",SUBTOTAL(3,$C$5:C113))</f>
        <v>66</v>
      </c>
      <c r="B113" s="27"/>
      <c r="C113" s="27" t="s">
        <v>184</v>
      </c>
      <c r="D113" s="27" t="s">
        <v>27</v>
      </c>
      <c r="E113" s="27" t="s">
        <v>55</v>
      </c>
      <c r="F113" s="27" t="s">
        <v>138</v>
      </c>
      <c r="G113" s="27"/>
      <c r="H113" s="27" t="s">
        <v>37</v>
      </c>
      <c r="I113" s="27"/>
      <c r="J113" s="36" t="s">
        <v>185</v>
      </c>
      <c r="K113" s="29">
        <v>39448</v>
      </c>
      <c r="L113" s="29" t="s">
        <v>87</v>
      </c>
      <c r="M113" s="30">
        <v>1</v>
      </c>
      <c r="N113" s="31"/>
      <c r="O113" s="32">
        <v>285000</v>
      </c>
      <c r="P113" s="32">
        <f t="shared" si="3"/>
        <v>285000</v>
      </c>
      <c r="Q113" s="33">
        <v>0.15</v>
      </c>
      <c r="R113" s="27"/>
      <c r="S113" s="27" t="s">
        <v>32</v>
      </c>
      <c r="T11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285000</v>
      </c>
      <c r="U11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الشراء-الاستلام]]&lt;DATE(2016,1,1),P113-T113,0))</f>
        <v>0</v>
      </c>
    </row>
    <row r="114" spans="1:21" ht="48" customHeight="1">
      <c r="A114" s="27">
        <f>IF(C114="","",SUBTOTAL(3,$C$5:C114))</f>
        <v>67</v>
      </c>
      <c r="B114" s="27"/>
      <c r="C114" s="27" t="s">
        <v>184</v>
      </c>
      <c r="D114" s="27" t="s">
        <v>27</v>
      </c>
      <c r="E114" s="27" t="s">
        <v>55</v>
      </c>
      <c r="F114" s="27" t="s">
        <v>138</v>
      </c>
      <c r="G114" s="27"/>
      <c r="H114" s="27" t="s">
        <v>37</v>
      </c>
      <c r="I114" s="27"/>
      <c r="J114" s="36" t="s">
        <v>186</v>
      </c>
      <c r="K114" s="29">
        <v>39814</v>
      </c>
      <c r="L114" s="29" t="s">
        <v>87</v>
      </c>
      <c r="M114" s="30">
        <v>1</v>
      </c>
      <c r="N114" s="31"/>
      <c r="O114" s="32">
        <v>132494.99999899999</v>
      </c>
      <c r="P114" s="32">
        <f t="shared" si="3"/>
        <v>132494.99999899999</v>
      </c>
      <c r="Q114" s="33">
        <v>0.15</v>
      </c>
      <c r="R114" s="27"/>
      <c r="S114" s="27" t="s">
        <v>32</v>
      </c>
      <c r="T11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132494.99999899999</v>
      </c>
      <c r="U11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الشراء-الاستلام]]&lt;DATE(2016,1,1),P114-T114,0))</f>
        <v>0</v>
      </c>
    </row>
    <row r="115" spans="1:21" ht="48" customHeight="1">
      <c r="A115" s="27">
        <f>IF(C115="","",SUBTOTAL(3,$C$5:C115))</f>
        <v>68</v>
      </c>
      <c r="B115" s="27"/>
      <c r="C115" s="27" t="s">
        <v>187</v>
      </c>
      <c r="D115" s="27" t="s">
        <v>27</v>
      </c>
      <c r="E115" s="27" t="s">
        <v>55</v>
      </c>
      <c r="F115" s="27" t="s">
        <v>138</v>
      </c>
      <c r="G115" s="27"/>
      <c r="H115" s="27" t="s">
        <v>37</v>
      </c>
      <c r="I115" s="27"/>
      <c r="J115" s="36" t="s">
        <v>188</v>
      </c>
      <c r="K115" s="29">
        <v>39692</v>
      </c>
      <c r="L115" s="29" t="s">
        <v>87</v>
      </c>
      <c r="M115" s="30">
        <v>1</v>
      </c>
      <c r="N115" s="31"/>
      <c r="O115" s="32">
        <v>132493.99999899999</v>
      </c>
      <c r="P115" s="32">
        <f t="shared" si="3"/>
        <v>132493.99999899999</v>
      </c>
      <c r="Q115" s="33">
        <v>0.15</v>
      </c>
      <c r="R115" s="27"/>
      <c r="S115" s="27" t="s">
        <v>32</v>
      </c>
      <c r="T11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132493.99999899999</v>
      </c>
      <c r="U11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الشراء-الاستلام]]&lt;DATE(2016,1,1),P115-T115,0))</f>
        <v>0</v>
      </c>
    </row>
    <row r="116" spans="1:21" ht="48" customHeight="1">
      <c r="A116" s="27">
        <f>IF(C116="","",SUBTOTAL(3,$C$5:C116))</f>
        <v>69</v>
      </c>
      <c r="B116" s="27"/>
      <c r="C116" s="27" t="s">
        <v>110</v>
      </c>
      <c r="D116" s="27" t="s">
        <v>27</v>
      </c>
      <c r="E116" s="27" t="s">
        <v>55</v>
      </c>
      <c r="F116" s="27" t="s">
        <v>138</v>
      </c>
      <c r="G116" s="27"/>
      <c r="H116" s="27" t="s">
        <v>37</v>
      </c>
      <c r="I116" s="27"/>
      <c r="J116" s="36" t="s">
        <v>189</v>
      </c>
      <c r="K116" s="29">
        <v>39692</v>
      </c>
      <c r="L116" s="29" t="s">
        <v>87</v>
      </c>
      <c r="M116" s="30">
        <v>1</v>
      </c>
      <c r="N116" s="31"/>
      <c r="O116" s="32">
        <v>132493.99999899999</v>
      </c>
      <c r="P116" s="32">
        <f t="shared" si="3"/>
        <v>132493.99999899999</v>
      </c>
      <c r="Q116" s="33">
        <v>0.15</v>
      </c>
      <c r="R116" s="27"/>
      <c r="S116" s="27" t="s">
        <v>32</v>
      </c>
      <c r="T11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132493.99999899999</v>
      </c>
      <c r="U11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الشراء-الاستلام]]&lt;DATE(2016,1,1),P116-T116,0))</f>
        <v>0</v>
      </c>
    </row>
    <row r="117" spans="1:21" ht="48" hidden="1" customHeight="1">
      <c r="A117" s="27">
        <f>IF(C117="","",SUBTOTAL(3,$C$5:C117))</f>
        <v>69</v>
      </c>
      <c r="B117" s="27"/>
      <c r="C117" s="27" t="s">
        <v>190</v>
      </c>
      <c r="D117" s="27" t="s">
        <v>87</v>
      </c>
      <c r="E117" s="27" t="s">
        <v>55</v>
      </c>
      <c r="F117" s="27" t="s">
        <v>138</v>
      </c>
      <c r="G117" s="27"/>
      <c r="H117" s="27" t="s">
        <v>37</v>
      </c>
      <c r="I117" s="27"/>
      <c r="J117" s="36" t="s">
        <v>191</v>
      </c>
      <c r="K117" s="29">
        <v>40269</v>
      </c>
      <c r="L117" s="29"/>
      <c r="M117" s="30">
        <v>1</v>
      </c>
      <c r="N117" s="31"/>
      <c r="O117" s="32">
        <v>61225</v>
      </c>
      <c r="P117" s="32">
        <f t="shared" si="3"/>
        <v>61225</v>
      </c>
      <c r="Q117" s="33">
        <v>0.2</v>
      </c>
      <c r="R117" s="27"/>
      <c r="S117" s="27" t="s">
        <v>32</v>
      </c>
      <c r="T11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61225</v>
      </c>
      <c r="U11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الشراء-الاستلام]]&lt;DATE(2016,1,1),P117-T117,0))</f>
        <v>0</v>
      </c>
    </row>
    <row r="118" spans="1:21" ht="48" customHeight="1">
      <c r="A118" s="27">
        <f>IF(C118="","",SUBTOTAL(3,$C$5:C118))</f>
        <v>70</v>
      </c>
      <c r="B118" s="27"/>
      <c r="C118" s="27" t="s">
        <v>184</v>
      </c>
      <c r="D118" s="27" t="s">
        <v>27</v>
      </c>
      <c r="E118" s="27" t="s">
        <v>55</v>
      </c>
      <c r="F118" s="27" t="s">
        <v>127</v>
      </c>
      <c r="G118" s="27"/>
      <c r="H118" s="27" t="s">
        <v>37</v>
      </c>
      <c r="I118" s="27"/>
      <c r="J118" s="36" t="s">
        <v>192</v>
      </c>
      <c r="K118" s="29">
        <v>39692</v>
      </c>
      <c r="L118" s="29"/>
      <c r="M118" s="30">
        <v>1</v>
      </c>
      <c r="N118" s="31"/>
      <c r="O118" s="32">
        <v>132493.99999899999</v>
      </c>
      <c r="P118" s="32">
        <f t="shared" si="3"/>
        <v>132493.99999899999</v>
      </c>
      <c r="Q118" s="33">
        <v>0.15</v>
      </c>
      <c r="R118" s="27"/>
      <c r="S118" s="27" t="s">
        <v>32</v>
      </c>
      <c r="T11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132493.99999899999</v>
      </c>
      <c r="U11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الشراء-الاستلام]]&lt;DATE(2016,1,1),P118-T118,0))</f>
        <v>0</v>
      </c>
    </row>
    <row r="119" spans="1:21" ht="48" customHeight="1">
      <c r="A119" s="27">
        <f>IF(C119="","",SUBTOTAL(3,$C$5:C119))</f>
        <v>71</v>
      </c>
      <c r="B119" s="27"/>
      <c r="C119" s="27" t="s">
        <v>184</v>
      </c>
      <c r="D119" s="27" t="s">
        <v>27</v>
      </c>
      <c r="E119" s="27" t="s">
        <v>55</v>
      </c>
      <c r="F119" s="27" t="s">
        <v>127</v>
      </c>
      <c r="G119" s="27"/>
      <c r="H119" s="27" t="s">
        <v>37</v>
      </c>
      <c r="I119" s="27"/>
      <c r="J119" s="36" t="s">
        <v>193</v>
      </c>
      <c r="K119" s="29">
        <v>39692</v>
      </c>
      <c r="L119" s="29"/>
      <c r="M119" s="30">
        <v>1</v>
      </c>
      <c r="N119" s="31"/>
      <c r="O119" s="32">
        <v>132493.99999899999</v>
      </c>
      <c r="P119" s="32">
        <f t="shared" si="3"/>
        <v>132493.99999899999</v>
      </c>
      <c r="Q119" s="33">
        <v>0.15</v>
      </c>
      <c r="R119" s="27"/>
      <c r="S119" s="27" t="s">
        <v>32</v>
      </c>
      <c r="T11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132493.99999899999</v>
      </c>
      <c r="U11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الشراء-الاستلام]]&lt;DATE(2016,1,1),P119-T119,0))</f>
        <v>0</v>
      </c>
    </row>
    <row r="120" spans="1:21" ht="48" hidden="1" customHeight="1">
      <c r="A120" s="27">
        <f>IF(C120="","",SUBTOTAL(3,$C$5:C120))</f>
        <v>71</v>
      </c>
      <c r="B120" s="27"/>
      <c r="C120" s="27" t="s">
        <v>194</v>
      </c>
      <c r="D120" s="27" t="s">
        <v>87</v>
      </c>
      <c r="E120" s="27" t="s">
        <v>55</v>
      </c>
      <c r="F120" s="27" t="s">
        <v>127</v>
      </c>
      <c r="G120" s="27"/>
      <c r="H120" s="27" t="s">
        <v>37</v>
      </c>
      <c r="I120" s="27"/>
      <c r="J120" s="36" t="s">
        <v>195</v>
      </c>
      <c r="K120" s="29">
        <v>41274</v>
      </c>
      <c r="L120" s="29"/>
      <c r="M120" s="30">
        <v>1</v>
      </c>
      <c r="N120" s="31"/>
      <c r="O120" s="32">
        <v>63600</v>
      </c>
      <c r="P120" s="32">
        <f t="shared" si="3"/>
        <v>63600</v>
      </c>
      <c r="Q120" s="33">
        <v>0.15</v>
      </c>
      <c r="R120" s="27"/>
      <c r="S120" s="27" t="s">
        <v>32</v>
      </c>
      <c r="T12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28620</v>
      </c>
      <c r="U12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الشراء-الاستلام]]&lt;DATE(2016,1,1),P120-T120,0))</f>
        <v>34980</v>
      </c>
    </row>
    <row r="121" spans="1:21" ht="48" hidden="1" customHeight="1">
      <c r="A121" s="27">
        <f>IF(C121="","",SUBTOTAL(3,$C$5:C121))</f>
        <v>71</v>
      </c>
      <c r="B121" s="27"/>
      <c r="C121" s="27" t="s">
        <v>184</v>
      </c>
      <c r="D121" s="27" t="s">
        <v>87</v>
      </c>
      <c r="E121" s="27" t="s">
        <v>55</v>
      </c>
      <c r="F121" s="27" t="s">
        <v>127</v>
      </c>
      <c r="G121" s="27"/>
      <c r="H121" s="27" t="s">
        <v>37</v>
      </c>
      <c r="I121" s="27"/>
      <c r="J121" s="36" t="s">
        <v>196</v>
      </c>
      <c r="K121" s="29">
        <v>41091</v>
      </c>
      <c r="L121" s="29"/>
      <c r="M121" s="30">
        <v>1</v>
      </c>
      <c r="N121" s="31"/>
      <c r="O121" s="32">
        <v>245825</v>
      </c>
      <c r="P121" s="32">
        <f t="shared" si="3"/>
        <v>245825</v>
      </c>
      <c r="Q121" s="33">
        <v>0.15</v>
      </c>
      <c r="R121" s="27"/>
      <c r="S121" s="27" t="s">
        <v>32</v>
      </c>
      <c r="T12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129108.63698630135</v>
      </c>
      <c r="U12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الشراء-الاستلام]]&lt;DATE(2016,1,1),P121-T121,0))</f>
        <v>116716.36301369865</v>
      </c>
    </row>
    <row r="122" spans="1:21" ht="48" hidden="1" customHeight="1">
      <c r="A122" s="27">
        <f>IF(C122="","",SUBTOTAL(3,$C$5:C122))</f>
        <v>71</v>
      </c>
      <c r="B122" s="27"/>
      <c r="C122" s="27" t="s">
        <v>184</v>
      </c>
      <c r="D122" s="27" t="s">
        <v>87</v>
      </c>
      <c r="E122" s="27" t="s">
        <v>55</v>
      </c>
      <c r="F122" s="27" t="s">
        <v>127</v>
      </c>
      <c r="G122" s="27"/>
      <c r="H122" s="27" t="s">
        <v>37</v>
      </c>
      <c r="I122" s="27"/>
      <c r="J122" s="36" t="s">
        <v>196</v>
      </c>
      <c r="K122" s="29">
        <v>41091</v>
      </c>
      <c r="L122" s="29"/>
      <c r="M122" s="30">
        <v>1</v>
      </c>
      <c r="N122" s="31"/>
      <c r="O122" s="32">
        <v>93000</v>
      </c>
      <c r="P122" s="32">
        <f t="shared" si="3"/>
        <v>93000</v>
      </c>
      <c r="Q122" s="33">
        <v>0.15</v>
      </c>
      <c r="R122" s="27"/>
      <c r="S122" s="27" t="s">
        <v>32</v>
      </c>
      <c r="T12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48844.109589041094</v>
      </c>
      <c r="U12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الشراء-الاستلام]]&lt;DATE(2016,1,1),P122-T122,0))</f>
        <v>44155.890410958906</v>
      </c>
    </row>
    <row r="123" spans="1:21" ht="30" customHeight="1">
      <c r="A123" s="27">
        <f>IF(C123="","",SUBTOTAL(3,$C$5:C123))</f>
        <v>72</v>
      </c>
      <c r="B123" s="28">
        <v>42438</v>
      </c>
      <c r="C123" s="27" t="s">
        <v>197</v>
      </c>
      <c r="D123" s="27" t="s">
        <v>27</v>
      </c>
      <c r="E123" s="27" t="s">
        <v>28</v>
      </c>
      <c r="F123" s="27" t="s">
        <v>69</v>
      </c>
      <c r="G123" s="27"/>
      <c r="H123" s="27" t="s">
        <v>37</v>
      </c>
      <c r="I123" s="27" t="s">
        <v>198</v>
      </c>
      <c r="J123" s="27"/>
      <c r="K123" s="29">
        <v>42456</v>
      </c>
      <c r="L123" s="29" t="s">
        <v>199</v>
      </c>
      <c r="M123" s="30">
        <v>1</v>
      </c>
      <c r="N123" s="31">
        <v>8296</v>
      </c>
      <c r="O123" s="32">
        <v>2243</v>
      </c>
      <c r="P123" s="32">
        <f t="shared" si="3"/>
        <v>2243</v>
      </c>
      <c r="Q123" s="33">
        <v>0.15</v>
      </c>
      <c r="R123" s="27"/>
      <c r="S123" s="27" t="s">
        <v>32</v>
      </c>
      <c r="T12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2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الشراء-الاستلام]]&lt;DATE(2016,1,1),P123-T123,0))</f>
        <v>0</v>
      </c>
    </row>
    <row r="124" spans="1:21" ht="30" customHeight="1">
      <c r="A124" s="27">
        <f>IF(C124="","",SUBTOTAL(3,$C$5:C124))</f>
        <v>73</v>
      </c>
      <c r="B124" s="28">
        <v>42690</v>
      </c>
      <c r="C124" s="27" t="s">
        <v>200</v>
      </c>
      <c r="D124" s="27" t="s">
        <v>27</v>
      </c>
      <c r="E124" s="27" t="s">
        <v>28</v>
      </c>
      <c r="F124" s="27" t="s">
        <v>36</v>
      </c>
      <c r="G124" s="27"/>
      <c r="H124" s="27" t="s">
        <v>37</v>
      </c>
      <c r="I124" s="27"/>
      <c r="J124" s="27"/>
      <c r="K124" s="29">
        <v>42675</v>
      </c>
      <c r="L124" s="29"/>
      <c r="M124" s="30">
        <v>1</v>
      </c>
      <c r="N124" s="31"/>
      <c r="O124" s="32">
        <v>40</v>
      </c>
      <c r="P124" s="32">
        <f t="shared" si="3"/>
        <v>40</v>
      </c>
      <c r="Q124" s="33">
        <v>0.15</v>
      </c>
      <c r="R124" s="27"/>
      <c r="S124" s="27" t="s">
        <v>32</v>
      </c>
      <c r="T12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2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الشراء-الاستلام]]&lt;DATE(2016,1,1),P124-T124,0))</f>
        <v>0</v>
      </c>
    </row>
    <row r="125" spans="1:21" ht="30" customHeight="1">
      <c r="A125" s="27">
        <f>IF(C125="","",SUBTOTAL(3,$C$5:C125))</f>
        <v>74</v>
      </c>
      <c r="B125" s="28">
        <v>42555</v>
      </c>
      <c r="C125" s="27" t="s">
        <v>201</v>
      </c>
      <c r="D125" s="27" t="s">
        <v>27</v>
      </c>
      <c r="E125" s="27" t="s">
        <v>28</v>
      </c>
      <c r="F125" s="27" t="s">
        <v>84</v>
      </c>
      <c r="G125" s="27"/>
      <c r="H125" s="27" t="s">
        <v>37</v>
      </c>
      <c r="I125" s="27"/>
      <c r="J125" s="27"/>
      <c r="K125" s="29">
        <v>42583</v>
      </c>
      <c r="L125" s="29"/>
      <c r="M125" s="30">
        <v>1</v>
      </c>
      <c r="N125" s="31"/>
      <c r="O125" s="32">
        <v>2950</v>
      </c>
      <c r="P125" s="32">
        <f t="shared" si="3"/>
        <v>2950</v>
      </c>
      <c r="Q125" s="33">
        <v>0.15</v>
      </c>
      <c r="R125" s="27"/>
      <c r="S125" s="27" t="s">
        <v>32</v>
      </c>
      <c r="T12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2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الشراء-الاستلام]]&lt;DATE(2016,1,1),P125-T125,0))</f>
        <v>0</v>
      </c>
    </row>
    <row r="126" spans="1:21" ht="30" customHeight="1">
      <c r="A126" s="27">
        <f>IF(C126="","",SUBTOTAL(3,$C$5:C126))</f>
        <v>75</v>
      </c>
      <c r="B126" s="28">
        <v>42558</v>
      </c>
      <c r="C126" s="27" t="s">
        <v>202</v>
      </c>
      <c r="D126" s="27" t="s">
        <v>27</v>
      </c>
      <c r="E126" s="27" t="s">
        <v>28</v>
      </c>
      <c r="F126" s="27" t="s">
        <v>29</v>
      </c>
      <c r="G126" s="27"/>
      <c r="H126" s="27" t="s">
        <v>37</v>
      </c>
      <c r="I126" s="27"/>
      <c r="J126" s="27"/>
      <c r="K126" s="29">
        <v>42569</v>
      </c>
      <c r="L126" s="29" t="s">
        <v>203</v>
      </c>
      <c r="M126" s="30">
        <v>1</v>
      </c>
      <c r="N126" s="31">
        <v>1603869</v>
      </c>
      <c r="O126" s="32">
        <v>4600</v>
      </c>
      <c r="P126" s="32">
        <f t="shared" si="3"/>
        <v>4600</v>
      </c>
      <c r="Q126" s="33">
        <v>0.15</v>
      </c>
      <c r="R126" s="27"/>
      <c r="S126" s="27" t="s">
        <v>32</v>
      </c>
      <c r="T12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26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الشراء-الاستلام]]&lt;DATE(2016,1,1),P126-T126,0))</f>
        <v>0</v>
      </c>
    </row>
    <row r="127" spans="1:21" ht="30" customHeight="1">
      <c r="A127" s="27">
        <f>IF(C127="","",SUBTOTAL(3,$C$5:C127))</f>
        <v>76</v>
      </c>
      <c r="B127" s="28">
        <v>42617</v>
      </c>
      <c r="C127" s="27" t="s">
        <v>204</v>
      </c>
      <c r="D127" s="27" t="s">
        <v>27</v>
      </c>
      <c r="E127" s="27" t="s">
        <v>28</v>
      </c>
      <c r="F127" s="27" t="s">
        <v>29</v>
      </c>
      <c r="G127" s="27"/>
      <c r="H127" s="27" t="s">
        <v>37</v>
      </c>
      <c r="I127" s="27"/>
      <c r="J127" s="27"/>
      <c r="K127" s="29">
        <v>42593</v>
      </c>
      <c r="L127" s="29" t="s">
        <v>205</v>
      </c>
      <c r="M127" s="30">
        <v>2</v>
      </c>
      <c r="N127" s="31">
        <v>1691</v>
      </c>
      <c r="O127" s="32">
        <v>600</v>
      </c>
      <c r="P127" s="32">
        <f t="shared" si="3"/>
        <v>1200</v>
      </c>
      <c r="Q127" s="33">
        <v>0.15</v>
      </c>
      <c r="R127" s="27"/>
      <c r="S127" s="27" t="s">
        <v>32</v>
      </c>
      <c r="T12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2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الشراء-الاستلام]]&lt;DATE(2016,1,1),P127-T127,0))</f>
        <v>0</v>
      </c>
    </row>
    <row r="128" spans="1:21" ht="30" customHeight="1">
      <c r="A128" s="41">
        <f>IF(C128="","",SUBTOTAL(3,$C$5:C155))</f>
        <v>104</v>
      </c>
      <c r="B128" s="42">
        <v>42724</v>
      </c>
      <c r="C128" s="43" t="s">
        <v>206</v>
      </c>
      <c r="D128" s="27" t="s">
        <v>27</v>
      </c>
      <c r="E128" s="27" t="s">
        <v>28</v>
      </c>
      <c r="F128" s="27" t="s">
        <v>29</v>
      </c>
      <c r="G128" s="27"/>
      <c r="H128" s="27" t="s">
        <v>37</v>
      </c>
      <c r="I128" s="43"/>
      <c r="J128" s="43"/>
      <c r="K128" s="44">
        <v>42724</v>
      </c>
      <c r="L128" s="44"/>
      <c r="M128" s="45">
        <v>2</v>
      </c>
      <c r="N128" s="46"/>
      <c r="O128" s="47">
        <v>1750</v>
      </c>
      <c r="P128" s="47">
        <f t="shared" ref="P128:P153" si="4">O128*M128</f>
        <v>3500</v>
      </c>
      <c r="Q128" s="33">
        <v>0.15</v>
      </c>
      <c r="R128" s="43"/>
      <c r="S128" s="27" t="s">
        <v>32</v>
      </c>
      <c r="T12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28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الشراء-الاستلام]]&lt;DATE(2016,1,1),P128-T128,0))</f>
        <v>0</v>
      </c>
    </row>
    <row r="129" spans="1:21" ht="30" customHeight="1">
      <c r="A129" s="27">
        <f>IF(C129="","",SUBTOTAL(3,$C$5:C129))</f>
        <v>78</v>
      </c>
      <c r="B129" s="27"/>
      <c r="C129" s="27" t="s">
        <v>207</v>
      </c>
      <c r="D129" s="27" t="s">
        <v>27</v>
      </c>
      <c r="E129" s="27" t="s">
        <v>28</v>
      </c>
      <c r="F129" s="27" t="s">
        <v>29</v>
      </c>
      <c r="G129" s="27"/>
      <c r="H129" s="27" t="s">
        <v>37</v>
      </c>
      <c r="I129" s="27"/>
      <c r="J129" s="27"/>
      <c r="K129" s="44">
        <v>40725</v>
      </c>
      <c r="L129" s="29"/>
      <c r="M129" s="45">
        <v>1</v>
      </c>
      <c r="N129" s="31"/>
      <c r="O129" s="47">
        <v>37500</v>
      </c>
      <c r="P129" s="32">
        <f t="shared" si="4"/>
        <v>37500</v>
      </c>
      <c r="Q129" s="33">
        <v>0.15</v>
      </c>
      <c r="R129" s="27"/>
      <c r="S129" s="27" t="s">
        <v>32</v>
      </c>
      <c r="T12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25335.616438356163</v>
      </c>
      <c r="U12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الشراء-الاستلام]]&lt;DATE(2016,1,1),P129-T129,0))</f>
        <v>12164.383561643837</v>
      </c>
    </row>
    <row r="130" spans="1:21" ht="30" customHeight="1">
      <c r="A130" s="27">
        <f>IF(C130="","",SUBTOTAL(3,$C$5:C130))</f>
        <v>79</v>
      </c>
      <c r="B130" s="27"/>
      <c r="C130" s="27" t="s">
        <v>208</v>
      </c>
      <c r="D130" s="27" t="s">
        <v>27</v>
      </c>
      <c r="E130" s="27" t="s">
        <v>28</v>
      </c>
      <c r="F130" s="27" t="s">
        <v>29</v>
      </c>
      <c r="G130" s="27"/>
      <c r="H130" s="27" t="s">
        <v>37</v>
      </c>
      <c r="I130" s="27"/>
      <c r="J130" s="27"/>
      <c r="K130" s="44">
        <v>40787</v>
      </c>
      <c r="L130" s="29"/>
      <c r="M130" s="45">
        <v>1</v>
      </c>
      <c r="N130" s="31"/>
      <c r="O130" s="32">
        <v>5820</v>
      </c>
      <c r="P130" s="32">
        <f t="shared" si="4"/>
        <v>5820</v>
      </c>
      <c r="Q130" s="33">
        <v>0.15</v>
      </c>
      <c r="R130" s="27"/>
      <c r="S130" s="27"/>
      <c r="T13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3783.7972602739728</v>
      </c>
      <c r="U130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الشراء-الاستلام]]&lt;DATE(2016,1,1),P130-T130,0))</f>
        <v>2036.2027397260272</v>
      </c>
    </row>
    <row r="131" spans="1:21" ht="30" customHeight="1">
      <c r="A131" s="27">
        <f>IF(C131="","",SUBTOTAL(3,$C$5:C131))</f>
        <v>80</v>
      </c>
      <c r="B131" s="27"/>
      <c r="C131" s="27" t="s">
        <v>209</v>
      </c>
      <c r="D131" s="27" t="s">
        <v>27</v>
      </c>
      <c r="E131" s="27" t="s">
        <v>28</v>
      </c>
      <c r="F131" s="27" t="s">
        <v>29</v>
      </c>
      <c r="G131" s="27"/>
      <c r="H131" s="27" t="s">
        <v>37</v>
      </c>
      <c r="I131" s="27"/>
      <c r="J131" s="27"/>
      <c r="K131" s="44">
        <v>40695</v>
      </c>
      <c r="L131" s="29"/>
      <c r="M131" s="45">
        <v>4</v>
      </c>
      <c r="N131" s="31"/>
      <c r="O131" s="32">
        <v>20186.2</v>
      </c>
      <c r="P131" s="32">
        <f t="shared" si="4"/>
        <v>80744.800000000003</v>
      </c>
      <c r="Q131" s="33">
        <v>0.15</v>
      </c>
      <c r="R131" s="27"/>
      <c r="S131" s="27" t="s">
        <v>32</v>
      </c>
      <c r="T13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55547.998027397261</v>
      </c>
      <c r="U13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الشراء-الاستلام]]&lt;DATE(2016,1,1),P131-T131,0))</f>
        <v>25196.801972602741</v>
      </c>
    </row>
    <row r="132" spans="1:21" ht="30" customHeight="1">
      <c r="A132" s="27">
        <f>IF(C132="","",SUBTOTAL(3,$C$5:C132))</f>
        <v>81</v>
      </c>
      <c r="B132" s="27"/>
      <c r="C132" s="27" t="s">
        <v>210</v>
      </c>
      <c r="D132" s="27" t="s">
        <v>27</v>
      </c>
      <c r="E132" s="27" t="s">
        <v>28</v>
      </c>
      <c r="F132" s="27" t="s">
        <v>29</v>
      </c>
      <c r="G132" s="27"/>
      <c r="H132" s="27" t="s">
        <v>37</v>
      </c>
      <c r="I132" s="27"/>
      <c r="J132" s="27"/>
      <c r="K132" s="44">
        <v>40787</v>
      </c>
      <c r="L132" s="29"/>
      <c r="M132" s="45">
        <v>1</v>
      </c>
      <c r="N132" s="31"/>
      <c r="O132" s="32">
        <v>4000</v>
      </c>
      <c r="P132" s="32">
        <f t="shared" si="4"/>
        <v>4000</v>
      </c>
      <c r="Q132" s="33">
        <v>0.15</v>
      </c>
      <c r="R132" s="27"/>
      <c r="S132" s="27"/>
      <c r="T13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2600.5479452054792</v>
      </c>
      <c r="U13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الشراء-الاستلام]]&lt;DATE(2016,1,1),P132-T132,0))</f>
        <v>1399.4520547945208</v>
      </c>
    </row>
    <row r="133" spans="1:21" ht="30" customHeight="1">
      <c r="A133" s="27">
        <f>IF(C133="","",SUBTOTAL(3,$C$5:C133))</f>
        <v>82</v>
      </c>
      <c r="B133" s="27"/>
      <c r="C133" s="27" t="s">
        <v>211</v>
      </c>
      <c r="D133" s="27" t="s">
        <v>27</v>
      </c>
      <c r="E133" s="27" t="s">
        <v>28</v>
      </c>
      <c r="F133" s="27" t="s">
        <v>29</v>
      </c>
      <c r="G133" s="27"/>
      <c r="H133" s="27" t="s">
        <v>37</v>
      </c>
      <c r="I133" s="27"/>
      <c r="J133" s="27"/>
      <c r="K133" s="44">
        <v>41030</v>
      </c>
      <c r="L133" s="29"/>
      <c r="M133" s="45">
        <v>1</v>
      </c>
      <c r="N133" s="31"/>
      <c r="O133" s="32">
        <v>16872</v>
      </c>
      <c r="P133" s="32">
        <f t="shared" si="4"/>
        <v>16872</v>
      </c>
      <c r="Q133" s="33">
        <v>0.15</v>
      </c>
      <c r="R133" s="27"/>
      <c r="S133" s="27"/>
      <c r="T13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9284.2224657534243</v>
      </c>
      <c r="U133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الشراء-الاستلام]]&lt;DATE(2016,1,1),P133-T133,0))</f>
        <v>7587.7775342465757</v>
      </c>
    </row>
    <row r="134" spans="1:21" ht="30" customHeight="1">
      <c r="A134" s="27">
        <f>IF(C134="","",SUBTOTAL(3,$C$5:C134))</f>
        <v>83</v>
      </c>
      <c r="B134" s="27"/>
      <c r="C134" s="27" t="s">
        <v>212</v>
      </c>
      <c r="D134" s="27" t="s">
        <v>27</v>
      </c>
      <c r="E134" s="27" t="s">
        <v>28</v>
      </c>
      <c r="F134" s="27" t="s">
        <v>29</v>
      </c>
      <c r="G134" s="27"/>
      <c r="H134" s="27" t="s">
        <v>37</v>
      </c>
      <c r="I134" s="27"/>
      <c r="J134" s="27"/>
      <c r="K134" s="44">
        <v>41122</v>
      </c>
      <c r="L134" s="29"/>
      <c r="M134" s="45">
        <v>1</v>
      </c>
      <c r="N134" s="31"/>
      <c r="O134" s="32">
        <v>1480</v>
      </c>
      <c r="P134" s="32">
        <f t="shared" si="4"/>
        <v>1480</v>
      </c>
      <c r="Q134" s="33">
        <v>0.15</v>
      </c>
      <c r="R134" s="27"/>
      <c r="S134" s="27"/>
      <c r="T13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758.44931506849309</v>
      </c>
      <c r="U134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الشراء-الاستلام]]&lt;DATE(2016,1,1),P134-T134,0))</f>
        <v>721.55068493150691</v>
      </c>
    </row>
    <row r="135" spans="1:21" ht="30" customHeight="1">
      <c r="A135" s="41">
        <f>IF(C135="","",SUBTOTAL(3,$C$5:C135))</f>
        <v>84</v>
      </c>
      <c r="B135" s="43"/>
      <c r="C135" s="43" t="s">
        <v>213</v>
      </c>
      <c r="D135" s="27" t="s">
        <v>27</v>
      </c>
      <c r="E135" s="27" t="s">
        <v>28</v>
      </c>
      <c r="F135" s="27" t="s">
        <v>29</v>
      </c>
      <c r="G135" s="27"/>
      <c r="H135" s="27" t="s">
        <v>37</v>
      </c>
      <c r="I135" s="43"/>
      <c r="J135" s="43"/>
      <c r="K135" s="44">
        <v>42012</v>
      </c>
      <c r="L135" s="44"/>
      <c r="M135" s="45">
        <v>2</v>
      </c>
      <c r="N135" s="46"/>
      <c r="O135" s="47">
        <v>3250</v>
      </c>
      <c r="P135" s="47">
        <f t="shared" si="4"/>
        <v>6500</v>
      </c>
      <c r="Q135" s="33">
        <v>0.15</v>
      </c>
      <c r="R135" s="43"/>
      <c r="S135" s="43"/>
      <c r="T13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953.63013698630141</v>
      </c>
      <c r="U135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الشراء-الاستلام]]&lt;DATE(2016,1,1),P135-T135,0))</f>
        <v>5546.3698630136987</v>
      </c>
    </row>
    <row r="136" spans="1:21" ht="30">
      <c r="A136" s="41">
        <f>IF(C136="","",SUBTOTAL(3,$C$5:C136))</f>
        <v>85</v>
      </c>
      <c r="B136" s="42">
        <v>42689</v>
      </c>
      <c r="C136" s="43" t="s">
        <v>41</v>
      </c>
      <c r="D136" s="43" t="s">
        <v>27</v>
      </c>
      <c r="E136" s="43" t="s">
        <v>41</v>
      </c>
      <c r="F136" s="43" t="s">
        <v>29</v>
      </c>
      <c r="G136" s="43"/>
      <c r="H136" s="43"/>
      <c r="I136" s="43"/>
      <c r="J136" s="43" t="s">
        <v>214</v>
      </c>
      <c r="K136" s="44">
        <v>42675</v>
      </c>
      <c r="L136" s="44"/>
      <c r="M136" s="45">
        <v>2</v>
      </c>
      <c r="N136" s="46"/>
      <c r="O136" s="47">
        <v>800</v>
      </c>
      <c r="P136" s="47">
        <f t="shared" si="4"/>
        <v>1600</v>
      </c>
      <c r="Q136" s="49">
        <v>0.2</v>
      </c>
      <c r="R136" s="43"/>
      <c r="S136" s="43" t="s">
        <v>32</v>
      </c>
      <c r="T136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36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الشراء-الاستلام]]&lt;DATE(2016,1,1),P136-T136,0))</f>
        <v>0</v>
      </c>
    </row>
    <row r="137" spans="1:21" ht="30" customHeight="1">
      <c r="A137" s="41">
        <f>IF(C137="","",SUBTOTAL(3,$C$5:C137))</f>
        <v>86</v>
      </c>
      <c r="B137" s="42">
        <v>42431</v>
      </c>
      <c r="C137" s="43" t="s">
        <v>215</v>
      </c>
      <c r="D137" s="43" t="s">
        <v>27</v>
      </c>
      <c r="E137" s="43" t="s">
        <v>216</v>
      </c>
      <c r="F137" s="43" t="s">
        <v>29</v>
      </c>
      <c r="G137" s="43"/>
      <c r="H137" s="43"/>
      <c r="I137" s="43"/>
      <c r="J137" s="43"/>
      <c r="K137" s="44">
        <v>42675</v>
      </c>
      <c r="L137" s="44"/>
      <c r="M137" s="45">
        <v>3</v>
      </c>
      <c r="N137" s="46"/>
      <c r="O137" s="47">
        <v>300</v>
      </c>
      <c r="P137" s="47">
        <f t="shared" si="4"/>
        <v>900</v>
      </c>
      <c r="Q137" s="33">
        <v>0.1</v>
      </c>
      <c r="R137" s="43"/>
      <c r="S137" s="43" t="s">
        <v>32</v>
      </c>
      <c r="T13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37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الشراء-الاستلام]]&lt;DATE(2016,1,1),P137-T137,0))</f>
        <v>0</v>
      </c>
    </row>
    <row r="138" spans="1:21" ht="30" customHeight="1">
      <c r="A138" s="41">
        <f>IF(C138="","",SUBTOTAL(3,$C$5:C138))</f>
        <v>87</v>
      </c>
      <c r="B138" s="43" t="s">
        <v>217</v>
      </c>
      <c r="C138" s="43" t="s">
        <v>218</v>
      </c>
      <c r="D138" s="43" t="s">
        <v>27</v>
      </c>
      <c r="E138" s="43" t="s">
        <v>55</v>
      </c>
      <c r="F138" s="43" t="s">
        <v>29</v>
      </c>
      <c r="G138" s="43" t="s">
        <v>96</v>
      </c>
      <c r="H138" s="43" t="s">
        <v>37</v>
      </c>
      <c r="I138" s="43" t="s">
        <v>97</v>
      </c>
      <c r="J138" s="43" t="s">
        <v>98</v>
      </c>
      <c r="K138" s="44">
        <v>42430</v>
      </c>
      <c r="L138" s="44"/>
      <c r="M138" s="45">
        <v>1</v>
      </c>
      <c r="N138" s="46"/>
      <c r="O138" s="47">
        <v>53430</v>
      </c>
      <c r="P138" s="47">
        <f t="shared" si="4"/>
        <v>53430</v>
      </c>
      <c r="Q138" s="49">
        <v>0.15</v>
      </c>
      <c r="R138" s="43"/>
      <c r="S138" s="43" t="s">
        <v>32</v>
      </c>
      <c r="T13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38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الشراء-الاستلام]]&lt;DATE(2016,1,1),P138-T138,0))</f>
        <v>0</v>
      </c>
    </row>
    <row r="139" spans="1:21" ht="30">
      <c r="A139" s="41">
        <f>IF(C139="","",SUBTOTAL(3,$C$5:C139))</f>
        <v>88</v>
      </c>
      <c r="B139" s="42" t="s">
        <v>219</v>
      </c>
      <c r="C139" s="43" t="s">
        <v>92</v>
      </c>
      <c r="D139" s="43" t="s">
        <v>27</v>
      </c>
      <c r="E139" s="43" t="s">
        <v>93</v>
      </c>
      <c r="F139" s="43" t="s">
        <v>29</v>
      </c>
      <c r="G139" s="43"/>
      <c r="H139" s="43" t="s">
        <v>37</v>
      </c>
      <c r="I139" s="43"/>
      <c r="J139" s="43" t="s">
        <v>220</v>
      </c>
      <c r="K139" s="44">
        <v>42494</v>
      </c>
      <c r="L139" s="44" t="s">
        <v>221</v>
      </c>
      <c r="M139" s="45">
        <v>4</v>
      </c>
      <c r="N139" s="46"/>
      <c r="O139" s="47">
        <v>66000</v>
      </c>
      <c r="P139" s="47">
        <f t="shared" si="4"/>
        <v>264000</v>
      </c>
      <c r="Q139" s="49">
        <v>0.15</v>
      </c>
      <c r="R139" s="43"/>
      <c r="S139" s="43" t="s">
        <v>32</v>
      </c>
      <c r="T13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39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الشراء-الاستلام]]&lt;DATE(2016,1,1),P139-T139,0))</f>
        <v>0</v>
      </c>
    </row>
    <row r="140" spans="1:21" ht="48">
      <c r="A140" s="41">
        <f>IF(C140="","",SUBTOTAL(3,$C$5:C140))</f>
        <v>89</v>
      </c>
      <c r="B140" s="43"/>
      <c r="C140" s="43" t="s">
        <v>187</v>
      </c>
      <c r="D140" s="43" t="s">
        <v>27</v>
      </c>
      <c r="E140" s="43" t="s">
        <v>55</v>
      </c>
      <c r="F140" s="43" t="s">
        <v>29</v>
      </c>
      <c r="G140" s="43" t="s">
        <v>96</v>
      </c>
      <c r="H140" s="43" t="s">
        <v>37</v>
      </c>
      <c r="I140" s="43"/>
      <c r="J140" s="50" t="s">
        <v>222</v>
      </c>
      <c r="K140" s="44">
        <v>39813</v>
      </c>
      <c r="L140" s="44" t="s">
        <v>87</v>
      </c>
      <c r="M140" s="45">
        <v>1</v>
      </c>
      <c r="N140" s="46"/>
      <c r="O140" s="47">
        <v>222529</v>
      </c>
      <c r="P140" s="47">
        <f t="shared" si="4"/>
        <v>222529</v>
      </c>
      <c r="Q140" s="49">
        <v>0.15</v>
      </c>
      <c r="R140" s="43"/>
      <c r="S140" s="43" t="s">
        <v>32</v>
      </c>
      <c r="T140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222529</v>
      </c>
      <c r="U140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الشراء-الاستلام]]&lt;DATE(2016,1,1),P140-T140,0))</f>
        <v>0</v>
      </c>
    </row>
    <row r="141" spans="1:21" ht="30">
      <c r="A141" s="27">
        <f>IF(C141="","",SUBTOTAL(3,$C$5:C141))</f>
        <v>90</v>
      </c>
      <c r="B141" s="43" t="s">
        <v>115</v>
      </c>
      <c r="C141" s="27" t="s">
        <v>90</v>
      </c>
      <c r="D141" s="27" t="s">
        <v>27</v>
      </c>
      <c r="E141" s="43" t="s">
        <v>35</v>
      </c>
      <c r="F141" s="27" t="s">
        <v>29</v>
      </c>
      <c r="G141" s="43"/>
      <c r="H141" s="27" t="s">
        <v>37</v>
      </c>
      <c r="I141" s="27"/>
      <c r="J141" s="27"/>
      <c r="K141" s="44">
        <v>42370</v>
      </c>
      <c r="L141" s="44" t="s">
        <v>116</v>
      </c>
      <c r="M141" s="30">
        <v>68</v>
      </c>
      <c r="N141" s="31"/>
      <c r="O141" s="32">
        <f>1200-0.74</f>
        <v>1199.26</v>
      </c>
      <c r="P141" s="32">
        <f>O141*M141</f>
        <v>81549.679999999993</v>
      </c>
      <c r="Q141" s="33">
        <v>0.1</v>
      </c>
      <c r="R141" s="27"/>
      <c r="S141" s="43" t="s">
        <v>32</v>
      </c>
      <c r="T14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41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الشراء-الاستلام]]&lt;DATE(2016,1,1),P141-T141,0))</f>
        <v>0</v>
      </c>
    </row>
    <row r="142" spans="1:21" ht="30">
      <c r="A142" s="27">
        <f>IF(C142="","",SUBTOTAL(3,$C$5:C142))</f>
        <v>91</v>
      </c>
      <c r="B142" s="43" t="s">
        <v>115</v>
      </c>
      <c r="C142" s="27" t="s">
        <v>117</v>
      </c>
      <c r="D142" s="27" t="s">
        <v>27</v>
      </c>
      <c r="E142" s="43" t="s">
        <v>35</v>
      </c>
      <c r="F142" s="27" t="s">
        <v>29</v>
      </c>
      <c r="G142" s="43"/>
      <c r="H142" s="27" t="s">
        <v>37</v>
      </c>
      <c r="I142" s="27"/>
      <c r="J142" s="27"/>
      <c r="K142" s="44">
        <v>42370</v>
      </c>
      <c r="L142" s="44" t="s">
        <v>116</v>
      </c>
      <c r="M142" s="30">
        <v>75</v>
      </c>
      <c r="N142" s="31"/>
      <c r="O142" s="32">
        <v>1600</v>
      </c>
      <c r="P142" s="32">
        <f>O142*M142</f>
        <v>120000</v>
      </c>
      <c r="Q142" s="33">
        <v>0.1</v>
      </c>
      <c r="R142" s="27"/>
      <c r="S142" s="43" t="s">
        <v>32</v>
      </c>
      <c r="T14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0</v>
      </c>
      <c r="U14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الشراء-الاستلام]]&lt;DATE(2016,1,1),P142-T142,0))</f>
        <v>0</v>
      </c>
    </row>
    <row r="143" spans="1:21" ht="30">
      <c r="A143" s="41">
        <f>IF(C143="","",SUBTOTAL(3,$C$5:C143))</f>
        <v>92</v>
      </c>
      <c r="B143" s="43"/>
      <c r="C143" s="43" t="s">
        <v>223</v>
      </c>
      <c r="D143" s="43" t="s">
        <v>27</v>
      </c>
      <c r="E143" s="43" t="s">
        <v>224</v>
      </c>
      <c r="F143" s="43" t="s">
        <v>29</v>
      </c>
      <c r="G143" s="43" t="s">
        <v>96</v>
      </c>
      <c r="H143" s="43" t="s">
        <v>37</v>
      </c>
      <c r="I143" s="43"/>
      <c r="J143" s="43"/>
      <c r="K143" s="44">
        <v>38718</v>
      </c>
      <c r="L143" s="44"/>
      <c r="M143" s="45">
        <v>113</v>
      </c>
      <c r="N143" s="46"/>
      <c r="O143" s="47">
        <v>9000</v>
      </c>
      <c r="P143" s="47">
        <f t="shared" si="4"/>
        <v>1017000</v>
      </c>
      <c r="Q143" s="33">
        <v>0.1</v>
      </c>
      <c r="R143" s="43"/>
      <c r="S143" s="43"/>
      <c r="T14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1017000</v>
      </c>
      <c r="U143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الشراء-الاستلام]]&lt;DATE(2016,1,1),P143-T143,0))</f>
        <v>0</v>
      </c>
    </row>
    <row r="144" spans="1:21" ht="30">
      <c r="A144" s="41">
        <f>IF(C144="","",SUBTOTAL(3,$C$5:C155))</f>
        <v>104</v>
      </c>
      <c r="B144" s="43"/>
      <c r="C144" s="43" t="s">
        <v>225</v>
      </c>
      <c r="D144" s="43" t="s">
        <v>27</v>
      </c>
      <c r="E144" s="43" t="s">
        <v>224</v>
      </c>
      <c r="F144" s="43" t="s">
        <v>29</v>
      </c>
      <c r="G144" s="43" t="s">
        <v>96</v>
      </c>
      <c r="H144" s="43" t="s">
        <v>37</v>
      </c>
      <c r="I144" s="43"/>
      <c r="J144" s="43"/>
      <c r="K144" s="44">
        <f>DATE(2012,7,20)-0.48</f>
        <v>41109.519999999997</v>
      </c>
      <c r="L144" s="44"/>
      <c r="M144" s="45">
        <v>47</v>
      </c>
      <c r="N144" s="46"/>
      <c r="O144" s="47">
        <v>5767.02</v>
      </c>
      <c r="P144" s="47">
        <f t="shared" si="4"/>
        <v>271049.94</v>
      </c>
      <c r="Q144" s="33">
        <v>0.1</v>
      </c>
      <c r="R144" s="43"/>
      <c r="S144" s="43"/>
      <c r="T144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93529.309159233118</v>
      </c>
      <c r="U144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الشراء-الاستلام]]&lt;DATE(2016,1,1),P144-T144,0))</f>
        <v>177520.63084076688</v>
      </c>
    </row>
    <row r="145" spans="1:21" ht="30">
      <c r="A145" s="38">
        <f>IF(C145="","",SUBTOTAL(3,$C$5:C155))</f>
        <v>104</v>
      </c>
      <c r="B145" s="27"/>
      <c r="C145" s="27" t="s">
        <v>226</v>
      </c>
      <c r="D145" s="27" t="s">
        <v>27</v>
      </c>
      <c r="E145" s="27" t="s">
        <v>51</v>
      </c>
      <c r="F145" s="27" t="s">
        <v>29</v>
      </c>
      <c r="G145" s="43" t="s">
        <v>37</v>
      </c>
      <c r="H145" s="27"/>
      <c r="I145" s="27"/>
      <c r="J145" s="27">
        <v>9277</v>
      </c>
      <c r="K145" s="44">
        <v>40544</v>
      </c>
      <c r="L145" s="44"/>
      <c r="M145" s="45">
        <v>1</v>
      </c>
      <c r="N145" s="46"/>
      <c r="O145" s="47">
        <f>57000-20000</f>
        <v>37000</v>
      </c>
      <c r="P145" s="47">
        <f t="shared" si="4"/>
        <v>37000</v>
      </c>
      <c r="Q145" s="35">
        <v>0.2</v>
      </c>
      <c r="R145" s="27"/>
      <c r="S145" s="27" t="s">
        <v>32</v>
      </c>
      <c r="T145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37000</v>
      </c>
      <c r="U145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الشراء-الاستلام]]&lt;DATE(2016,1,1),P145-T145,0))</f>
        <v>0</v>
      </c>
    </row>
    <row r="146" spans="1:21" ht="30">
      <c r="A146" s="41">
        <f>IF(C146="","",SUBTOTAL(3,$C$5:C155))</f>
        <v>104</v>
      </c>
      <c r="B146" s="43"/>
      <c r="C146" s="43" t="s">
        <v>34</v>
      </c>
      <c r="D146" s="43" t="s">
        <v>27</v>
      </c>
      <c r="E146" s="27" t="s">
        <v>35</v>
      </c>
      <c r="F146" s="43" t="s">
        <v>128</v>
      </c>
      <c r="G146" s="43"/>
      <c r="H146" s="43" t="s">
        <v>37</v>
      </c>
      <c r="I146" s="43"/>
      <c r="J146" s="43"/>
      <c r="K146" s="51">
        <f>DATE(2013,8,6)-0.001</f>
        <v>41491.999000000003</v>
      </c>
      <c r="L146" s="51"/>
      <c r="M146" s="30">
        <f>156-30</f>
        <v>126</v>
      </c>
      <c r="N146" s="46"/>
      <c r="O146" s="47">
        <v>700</v>
      </c>
      <c r="P146" s="47">
        <f t="shared" si="4"/>
        <v>88200</v>
      </c>
      <c r="Q146" s="33">
        <v>0.1</v>
      </c>
      <c r="R146" s="43"/>
      <c r="S146" s="43" t="s">
        <v>32</v>
      </c>
      <c r="T146" s="48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21192.188547945123</v>
      </c>
      <c r="U146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الشراء-الاستلام]]&lt;DATE(2016,1,1),P146-T146,0))</f>
        <v>67007.811452054884</v>
      </c>
    </row>
    <row r="147" spans="1:21" ht="30">
      <c r="A147" s="38">
        <f>IF(C147="","",SUBTOTAL(3,$C$5:C155))</f>
        <v>104</v>
      </c>
      <c r="B147" s="27"/>
      <c r="C147" s="27" t="s">
        <v>90</v>
      </c>
      <c r="D147" s="43" t="s">
        <v>27</v>
      </c>
      <c r="E147" s="27" t="s">
        <v>35</v>
      </c>
      <c r="F147" s="43" t="s">
        <v>128</v>
      </c>
      <c r="G147" s="43"/>
      <c r="H147" s="43" t="s">
        <v>37</v>
      </c>
      <c r="I147" s="27"/>
      <c r="J147" s="27"/>
      <c r="K147" s="51">
        <f t="shared" ref="K147:K149" si="5">DATE(2013,8,6)-0.001</f>
        <v>41491.999000000003</v>
      </c>
      <c r="L147" s="52"/>
      <c r="M147" s="30">
        <v>48</v>
      </c>
      <c r="N147" s="31"/>
      <c r="O147" s="32">
        <v>1100</v>
      </c>
      <c r="P147" s="32">
        <f t="shared" si="4"/>
        <v>52800</v>
      </c>
      <c r="Q147" s="33">
        <v>0.1</v>
      </c>
      <c r="R147" s="27"/>
      <c r="S147" s="43" t="s">
        <v>32</v>
      </c>
      <c r="T147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12686.480219178033</v>
      </c>
      <c r="U147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الشراء-الاستلام]]&lt;DATE(2016,1,1),P147-T147,0))</f>
        <v>40113.519780821967</v>
      </c>
    </row>
    <row r="148" spans="1:21" ht="30">
      <c r="A148" s="38">
        <f>IF(C148="","",SUBTOTAL(3,$C$5:C155))</f>
        <v>104</v>
      </c>
      <c r="B148" s="27"/>
      <c r="C148" s="27" t="s">
        <v>117</v>
      </c>
      <c r="D148" s="43" t="s">
        <v>27</v>
      </c>
      <c r="E148" s="27" t="s">
        <v>35</v>
      </c>
      <c r="F148" s="43" t="s">
        <v>128</v>
      </c>
      <c r="G148" s="43"/>
      <c r="H148" s="27" t="s">
        <v>37</v>
      </c>
      <c r="I148" s="27"/>
      <c r="J148" s="27"/>
      <c r="K148" s="51">
        <f t="shared" si="5"/>
        <v>41491.999000000003</v>
      </c>
      <c r="L148" s="52"/>
      <c r="M148" s="30">
        <v>24</v>
      </c>
      <c r="N148" s="31"/>
      <c r="O148" s="32">
        <v>1300</v>
      </c>
      <c r="P148" s="32">
        <f t="shared" si="4"/>
        <v>31200</v>
      </c>
      <c r="Q148" s="33">
        <v>0.1</v>
      </c>
      <c r="R148" s="27"/>
      <c r="S148" s="43" t="s">
        <v>32</v>
      </c>
      <c r="T148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7496.556493150656</v>
      </c>
      <c r="U148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الشراء-الاستلام]]&lt;DATE(2016,1,1),P148-T148,0))</f>
        <v>23703.443506849344</v>
      </c>
    </row>
    <row r="149" spans="1:21" ht="30">
      <c r="A149" s="38">
        <f>IF(C149="","",SUBTOTAL(3,$C$5:C155))</f>
        <v>104</v>
      </c>
      <c r="B149" s="27"/>
      <c r="C149" s="27" t="s">
        <v>227</v>
      </c>
      <c r="D149" s="43" t="s">
        <v>27</v>
      </c>
      <c r="E149" s="27" t="s">
        <v>224</v>
      </c>
      <c r="F149" s="43" t="s">
        <v>128</v>
      </c>
      <c r="G149" s="43"/>
      <c r="H149" s="27" t="s">
        <v>37</v>
      </c>
      <c r="I149" s="27"/>
      <c r="J149" s="27"/>
      <c r="K149" s="51">
        <f t="shared" si="5"/>
        <v>41491.999000000003</v>
      </c>
      <c r="L149" s="52"/>
      <c r="M149" s="30">
        <v>21</v>
      </c>
      <c r="N149" s="31"/>
      <c r="O149" s="32">
        <v>7000</v>
      </c>
      <c r="P149" s="32">
        <f t="shared" si="4"/>
        <v>147000</v>
      </c>
      <c r="Q149" s="33">
        <v>0.1</v>
      </c>
      <c r="R149" s="27"/>
      <c r="S149" s="43" t="s">
        <v>32</v>
      </c>
      <c r="T149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35320.314246575203</v>
      </c>
      <c r="U149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الشراء-الاستلام]]&lt;DATE(2016,1,1),P149-T149,0))</f>
        <v>111679.6857534248</v>
      </c>
    </row>
    <row r="150" spans="1:21" ht="30">
      <c r="A150" s="41">
        <f>IF(C150="","",SUBTOTAL(3,$C$5:C155))</f>
        <v>104</v>
      </c>
      <c r="B150" s="43"/>
      <c r="C150" s="43" t="s">
        <v>34</v>
      </c>
      <c r="D150" s="43" t="s">
        <v>27</v>
      </c>
      <c r="E150" s="43" t="s">
        <v>35</v>
      </c>
      <c r="F150" s="43" t="s">
        <v>138</v>
      </c>
      <c r="G150" s="43"/>
      <c r="H150" s="43" t="s">
        <v>37</v>
      </c>
      <c r="I150" s="43"/>
      <c r="J150" s="43"/>
      <c r="K150" s="51">
        <v>41475</v>
      </c>
      <c r="L150" s="51"/>
      <c r="M150" s="45">
        <v>260</v>
      </c>
      <c r="N150" s="46"/>
      <c r="O150" s="47">
        <v>650</v>
      </c>
      <c r="P150" s="47">
        <f t="shared" si="4"/>
        <v>169000</v>
      </c>
      <c r="Q150" s="33">
        <v>0.1</v>
      </c>
      <c r="R150" s="43"/>
      <c r="S150" s="43" t="s">
        <v>32</v>
      </c>
      <c r="T150" s="48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41393.424657534248</v>
      </c>
      <c r="U150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الشراء-الاستلام]]&lt;DATE(2016,1,1),P150-T150,0))</f>
        <v>127606.57534246575</v>
      </c>
    </row>
    <row r="151" spans="1:21" ht="30">
      <c r="A151" s="38">
        <f>IF(C151="","",SUBTOTAL(3,$C$5:C155))</f>
        <v>104</v>
      </c>
      <c r="B151" s="27"/>
      <c r="C151" s="27" t="s">
        <v>228</v>
      </c>
      <c r="D151" s="43" t="s">
        <v>27</v>
      </c>
      <c r="E151" s="27" t="s">
        <v>224</v>
      </c>
      <c r="F151" s="43" t="s">
        <v>138</v>
      </c>
      <c r="G151" s="43"/>
      <c r="H151" s="43" t="s">
        <v>37</v>
      </c>
      <c r="I151" s="27"/>
      <c r="J151" s="27"/>
      <c r="K151" s="51">
        <v>41475</v>
      </c>
      <c r="L151" s="52"/>
      <c r="M151" s="30">
        <v>5</v>
      </c>
      <c r="N151" s="31"/>
      <c r="O151" s="32">
        <v>7000</v>
      </c>
      <c r="P151" s="32">
        <f t="shared" si="4"/>
        <v>35000</v>
      </c>
      <c r="Q151" s="33">
        <v>0.1</v>
      </c>
      <c r="R151" s="27"/>
      <c r="S151" s="43" t="s">
        <v>32</v>
      </c>
      <c r="T151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8572.6027397260259</v>
      </c>
      <c r="U151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الشراء-الاستلام]]&lt;DATE(2016,1,1),P151-T151,0))</f>
        <v>26427.397260273974</v>
      </c>
    </row>
    <row r="152" spans="1:21" ht="30">
      <c r="A152" s="38">
        <f>IF(C152="","",SUBTOTAL(3,$C$5:C155))</f>
        <v>104</v>
      </c>
      <c r="B152" s="27"/>
      <c r="C152" s="27" t="s">
        <v>229</v>
      </c>
      <c r="D152" s="43" t="s">
        <v>27</v>
      </c>
      <c r="E152" s="27" t="s">
        <v>224</v>
      </c>
      <c r="F152" s="43" t="s">
        <v>138</v>
      </c>
      <c r="G152" s="43"/>
      <c r="H152" s="43" t="s">
        <v>37</v>
      </c>
      <c r="I152" s="27"/>
      <c r="J152" s="27"/>
      <c r="K152" s="51">
        <v>41475</v>
      </c>
      <c r="L152" s="52"/>
      <c r="M152" s="30">
        <v>31</v>
      </c>
      <c r="N152" s="31"/>
      <c r="O152" s="32">
        <v>4500</v>
      </c>
      <c r="P152" s="32">
        <f t="shared" si="4"/>
        <v>139500</v>
      </c>
      <c r="Q152" s="33">
        <v>0.1</v>
      </c>
      <c r="R152" s="27"/>
      <c r="S152" s="43" t="s">
        <v>32</v>
      </c>
      <c r="T152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34167.945205479453</v>
      </c>
      <c r="U152" s="34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الشراء-الاستلام]]&lt;DATE(2016,1,1),P152-T152,0))</f>
        <v>105332.05479452055</v>
      </c>
    </row>
    <row r="153" spans="1:21" ht="30">
      <c r="A153" s="41">
        <f>IF(C153="","",SUBTOTAL(3,$C$5:C155))</f>
        <v>104</v>
      </c>
      <c r="B153" s="43"/>
      <c r="C153" s="43" t="s">
        <v>117</v>
      </c>
      <c r="D153" s="43" t="s">
        <v>27</v>
      </c>
      <c r="E153" s="43" t="s">
        <v>35</v>
      </c>
      <c r="F153" s="43" t="s">
        <v>138</v>
      </c>
      <c r="G153" s="43"/>
      <c r="H153" s="43" t="s">
        <v>37</v>
      </c>
      <c r="I153" s="43"/>
      <c r="J153" s="43"/>
      <c r="K153" s="51">
        <v>41475</v>
      </c>
      <c r="L153" s="51"/>
      <c r="M153" s="45">
        <v>60</v>
      </c>
      <c r="N153" s="46"/>
      <c r="O153" s="47">
        <v>1100</v>
      </c>
      <c r="P153" s="47">
        <f t="shared" si="4"/>
        <v>66000</v>
      </c>
      <c r="Q153" s="33">
        <v>0.1</v>
      </c>
      <c r="R153" s="43"/>
      <c r="S153" s="43" t="s">
        <v>32</v>
      </c>
      <c r="T153" s="34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16165.479452054795</v>
      </c>
      <c r="U153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الشراء-الاستلام]]&lt;DATE(2016,1,1),P153-T153,0))</f>
        <v>49834.520547945205</v>
      </c>
    </row>
    <row r="154" spans="1:21" ht="30">
      <c r="A154" s="41">
        <f>IF(C154="","",SUBTOTAL(3,$C$5:C155))</f>
        <v>104</v>
      </c>
      <c r="B154" s="43"/>
      <c r="C154" s="43" t="s">
        <v>230</v>
      </c>
      <c r="D154" s="43" t="s">
        <v>27</v>
      </c>
      <c r="E154" s="27" t="s">
        <v>28</v>
      </c>
      <c r="F154" s="43" t="s">
        <v>29</v>
      </c>
      <c r="G154" s="43"/>
      <c r="H154" s="43" t="s">
        <v>37</v>
      </c>
      <c r="I154" s="43"/>
      <c r="J154" s="43"/>
      <c r="K154" s="51">
        <v>42005</v>
      </c>
      <c r="L154" s="51"/>
      <c r="M154" s="45">
        <v>1</v>
      </c>
      <c r="N154" s="46"/>
      <c r="O154" s="47">
        <v>14480</v>
      </c>
      <c r="P154" s="47">
        <f>O154*M154</f>
        <v>14480</v>
      </c>
      <c r="Q154" s="33">
        <v>0.15</v>
      </c>
      <c r="R154" s="43"/>
      <c r="S154" s="43"/>
      <c r="T154" s="48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2166.0493150684933</v>
      </c>
      <c r="U154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الشراء-الاستلام]]&lt;DATE(2016,1,1),P154-T154,0))</f>
        <v>12313.950684931508</v>
      </c>
    </row>
    <row r="155" spans="1:21" ht="30">
      <c r="A155" s="43">
        <f>IF(C155="","",SUBTOTAL(3,$C$5:C155))</f>
        <v>104</v>
      </c>
      <c r="B155" s="43"/>
      <c r="C155" s="43" t="s">
        <v>230</v>
      </c>
      <c r="D155" s="43" t="s">
        <v>27</v>
      </c>
      <c r="E155" s="27" t="s">
        <v>28</v>
      </c>
      <c r="F155" s="43" t="s">
        <v>29</v>
      </c>
      <c r="G155" s="43"/>
      <c r="H155" s="43"/>
      <c r="I155" s="43"/>
      <c r="J155" s="43"/>
      <c r="K155" s="51">
        <f>DATE(2013,10,8)+0.11</f>
        <v>41555.11</v>
      </c>
      <c r="L155" s="51"/>
      <c r="M155" s="45">
        <v>1</v>
      </c>
      <c r="N155" s="46"/>
      <c r="O155" s="47">
        <f>149160+14000</f>
        <v>163160</v>
      </c>
      <c r="P155" s="47">
        <f>O155*M155</f>
        <v>163160</v>
      </c>
      <c r="Q155" s="49">
        <v>0.15</v>
      </c>
      <c r="R155" s="43"/>
      <c r="S155" s="43"/>
      <c r="T155" s="48">
        <f>IF(OR(Table510134[[#This Row],[تاريخ الشراء-الاستلام]]="",Table510134[[#This Row],[الإجمالي]]="",Table510134[[#This Row],[العمر الافتراضي]]=""),"",IF(AND(Table510134[[#This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الشراء-الاستلام]])&lt;Table510134[[#This Row],[الإجمالي]]),Table510134[[#This Row],[الإجمالي]]/(100%/Table510134[[#This Row],[العمر الافتراضي]]*365)*(DATE(2015,12,31)-Table510134[[#This Row],[تاريخ الشراء-الاستلام]]),IF(AND(Table510134[[#This Row],[تاريخ الشراء-الاستلام]]&lt;DATE(2015,12,31),Table510134[[#This Row],[الإجمالي]]/(100%/Table510134[[#This Row],[العمر الافتراضي]]*365)*(DATE(2015,12,31)-Table510134[[#This Row],[تاريخ الشراء-الاستلام]])&gt;Table510134[[#This Row],[الإجمالي]]),Table510134[[#This Row],[الإجمالي]],IF(DATE(2015,12,31)-Table510134[[#This Row],[تاريخ الشراء-الاستلام]]&gt;100%/Table510134[[#This Row],[العمر الافتراضي]]*360,Table510134[[#This Row],[الإجمالي]],0))))</f>
        <v>54572.996876712285</v>
      </c>
      <c r="U155" s="48">
        <f>IF(OR(Table510134[[#This Row],[تاريخ الشراء-الاستلام]]="",Table510134[[#This Row],[الإجمالي]]="",Table510134[[#This Row],[العمر الافتراضي]]=""),"",IF(Table510134[[#This Row],[تاريخ الشراء-الاستلام]]&lt;DATE(2016,1,1),P155-T155,0))</f>
        <v>108587.00312328772</v>
      </c>
    </row>
  </sheetData>
  <sheetProtection formatCells="0" insertRows="0" sort="0" autoFilter="0"/>
  <protectedRanges>
    <protectedRange sqref="N146:N1282 N4:N144" name="Range6"/>
    <protectedRange sqref="R5:S1292" name="Range4"/>
    <protectedRange sqref="Q5:Q1292" name="Range3"/>
    <protectedRange sqref="C117:O117 C114:N116 J145 C118:N119 C5:O113 C146:O1292 C120:O144" name="Range2"/>
    <protectedRange sqref="C4:D13 C136:D137" name="Range1"/>
    <protectedRange sqref="B146:B1048576 B1:B144" name="Range5"/>
    <protectedRange sqref="O114:O116 O118:O119" name="Range2_1"/>
    <protectedRange sqref="C145:I145" name="Range2_5"/>
    <protectedRange sqref="B145" name="Range5_2"/>
    <protectedRange sqref="N145" name="Range6_2"/>
    <protectedRange sqref="K145:O145" name="Range2_6"/>
  </protectedRanges>
  <dataValidations disablePrompts="1" count="4">
    <dataValidation type="list" allowBlank="1" showInputMessage="1" showErrorMessage="1" sqref="G145 H5:H144">
      <formula1>الإدارة</formula1>
    </dataValidation>
    <dataValidation type="list" allowBlank="1" showInputMessage="1" showErrorMessage="1" sqref="H145:I145 I5:I144">
      <formula1>المستخدم</formula1>
    </dataValidation>
    <dataValidation type="list" allowBlank="1" showInputMessage="1" showErrorMessage="1" sqref="F5:F155">
      <formula1>المشروع</formula1>
    </dataValidation>
    <dataValidation type="list" allowBlank="1" showInputMessage="1" showErrorMessage="1" sqref="E5:E155">
      <formula1>مجموعة_الاصول</formula1>
    </dataValidation>
  </dataValidations>
  <printOptions horizontalCentered="1"/>
  <pageMargins left="0" right="0" top="0.74803149606299213" bottom="0.74803149606299213" header="0.31496062992125984" footer="0.31496062992125984"/>
  <pageSetup scale="35" orientation="landscape" r:id="rId1"/>
  <colBreaks count="1" manualBreakCount="1">
    <brk id="21" max="156" man="1"/>
  </colBreaks>
  <drawing r:id="rId2"/>
  <legacyDrawing r:id="rId3"/>
  <controls>
    <mc:AlternateContent xmlns:mc="http://schemas.openxmlformats.org/markup-compatibility/2006">
      <mc:Choice Requires="x14">
        <control shapeId="3073" r:id="rId4" name="Image1">
          <controlPr defaultSize="0" autoLine="0" r:id="rId5">
            <anchor moveWithCells="1">
              <from>
                <xdr:col>16206</xdr:col>
                <xdr:colOff>9525</xdr:colOff>
                <xdr:row>0</xdr:row>
                <xdr:rowOff>0</xdr:rowOff>
              </from>
              <to>
                <xdr:col>16206</xdr:col>
                <xdr:colOff>28575</xdr:colOff>
                <xdr:row>0</xdr:row>
                <xdr:rowOff>19050</xdr:rowOff>
              </to>
            </anchor>
          </controlPr>
        </control>
      </mc:Choice>
      <mc:Fallback>
        <control shapeId="3073" r:id="rId4" name="Image1"/>
      </mc:Fallback>
    </mc:AlternateContent>
    <mc:AlternateContent xmlns:mc="http://schemas.openxmlformats.org/markup-compatibility/2006">
      <mc:Choice Requires="x14">
        <control shapeId="3074" r:id="rId6" name="CommandButton1">
          <controlPr defaultSize="0" autoFill="0" autoLine="0" r:id="rId7">
            <anchor moveWithCells="1">
              <from>
                <xdr:col>16206</xdr:col>
                <xdr:colOff>38100</xdr:colOff>
                <xdr:row>0</xdr:row>
                <xdr:rowOff>0</xdr:rowOff>
              </from>
              <to>
                <xdr:col>16206</xdr:col>
                <xdr:colOff>57150</xdr:colOff>
                <xdr:row>0</xdr:row>
                <xdr:rowOff>9525</xdr:rowOff>
              </to>
            </anchor>
          </controlPr>
        </control>
      </mc:Choice>
      <mc:Fallback>
        <control shapeId="3074" r:id="rId6" name="CommandButton1"/>
      </mc:Fallback>
    </mc:AlternateContent>
    <mc:AlternateContent xmlns:mc="http://schemas.openxmlformats.org/markup-compatibility/2006">
      <mc:Choice Requires="x14">
        <control shapeId="3075" r:id="rId8" name="Image2">
          <controlPr defaultSize="0" autoLine="0" r:id="rId5">
            <anchor moveWithCells="1">
              <from>
                <xdr:col>16205</xdr:col>
                <xdr:colOff>314325</xdr:colOff>
                <xdr:row>0</xdr:row>
                <xdr:rowOff>0</xdr:rowOff>
              </from>
              <to>
                <xdr:col>16205</xdr:col>
                <xdr:colOff>333375</xdr:colOff>
                <xdr:row>0</xdr:row>
                <xdr:rowOff>19050</xdr:rowOff>
              </to>
            </anchor>
          </controlPr>
        </control>
      </mc:Choice>
      <mc:Fallback>
        <control shapeId="3075" r:id="rId8" name="Image2"/>
      </mc:Fallback>
    </mc:AlternateContent>
    <mc:AlternateContent xmlns:mc="http://schemas.openxmlformats.org/markup-compatibility/2006">
      <mc:Choice Requires="x14">
        <control shapeId="3076" r:id="rId9" name="CommandButton2">
          <controlPr defaultSize="0" autoLine="0" r:id="rId10">
            <anchor moveWithCells="1">
              <from>
                <xdr:col>16205</xdr:col>
                <xdr:colOff>352425</xdr:colOff>
                <xdr:row>0</xdr:row>
                <xdr:rowOff>9525</xdr:rowOff>
              </from>
              <to>
                <xdr:col>16205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3076" r:id="rId9" name="CommandButton2"/>
      </mc:Fallback>
    </mc:AlternateContent>
    <mc:AlternateContent xmlns:mc="http://schemas.openxmlformats.org/markup-compatibility/2006">
      <mc:Choice Requires="x14">
        <control shapeId="3077" r:id="rId11" name="Image3">
          <controlPr defaultSize="0" autoLine="0" r:id="rId12">
            <anchor moveWithCells="1">
              <from>
                <xdr:col>16205</xdr:col>
                <xdr:colOff>333375</xdr:colOff>
                <xdr:row>0</xdr:row>
                <xdr:rowOff>0</xdr:rowOff>
              </from>
              <to>
                <xdr:col>16205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3077" r:id="rId11" name="Image3"/>
      </mc:Fallback>
    </mc:AlternateContent>
    <mc:AlternateContent xmlns:mc="http://schemas.openxmlformats.org/markup-compatibility/2006">
      <mc:Choice Requires="x14">
        <control shapeId="3078" r:id="rId13" name="Image4">
          <controlPr defaultSize="0" autoLine="0" r:id="rId14">
            <anchor moveWithCells="1">
              <from>
                <xdr:col>15836</xdr:col>
                <xdr:colOff>390525</xdr:colOff>
                <xdr:row>0</xdr:row>
                <xdr:rowOff>0</xdr:rowOff>
              </from>
              <to>
                <xdr:col>15836</xdr:col>
                <xdr:colOff>447675</xdr:colOff>
                <xdr:row>0</xdr:row>
                <xdr:rowOff>47625</xdr:rowOff>
              </to>
            </anchor>
          </controlPr>
        </control>
      </mc:Choice>
      <mc:Fallback>
        <control shapeId="3078" r:id="rId13" name="Image4"/>
      </mc:Fallback>
    </mc:AlternateContent>
    <mc:AlternateContent xmlns:mc="http://schemas.openxmlformats.org/markup-compatibility/2006">
      <mc:Choice Requires="x14">
        <control shapeId="3079" r:id="rId15" name="CommandButton3">
          <controlPr defaultSize="0" autoLine="0" r:id="rId16">
            <anchor moveWithCells="1">
              <from>
                <xdr:col>15836</xdr:col>
                <xdr:colOff>571500</xdr:colOff>
                <xdr:row>0</xdr:row>
                <xdr:rowOff>9525</xdr:rowOff>
              </from>
              <to>
                <xdr:col>15837</xdr:col>
                <xdr:colOff>0</xdr:colOff>
                <xdr:row>0</xdr:row>
                <xdr:rowOff>28575</xdr:rowOff>
              </to>
            </anchor>
          </controlPr>
        </control>
      </mc:Choice>
      <mc:Fallback>
        <control shapeId="3079" r:id="rId15" name="CommandButton3"/>
      </mc:Fallback>
    </mc:AlternateContent>
  </controls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Y156"/>
  <sheetViews>
    <sheetView rightToLeft="1" view="pageBreakPreview" zoomScale="67" zoomScaleNormal="90" zoomScaleSheetLayoutView="67" workbookViewId="0">
      <pane xSplit="1" ySplit="4" topLeftCell="B111" activePane="bottomRight" state="frozen"/>
      <selection pane="topRight" activeCell="B1" sqref="B1"/>
      <selection pane="bottomLeft" activeCell="A5" sqref="A5"/>
      <selection pane="bottomRight" activeCell="I161" sqref="I161"/>
    </sheetView>
  </sheetViews>
  <sheetFormatPr defaultColWidth="9.140625" defaultRowHeight="15"/>
  <cols>
    <col min="1" max="1" width="5.42578125" style="1" customWidth="1"/>
    <col min="2" max="2" width="17.85546875" style="1" customWidth="1"/>
    <col min="3" max="3" width="32.5703125" style="1" customWidth="1"/>
    <col min="4" max="4" width="18.5703125" style="1" customWidth="1"/>
    <col min="5" max="5" width="19.140625" style="1" customWidth="1"/>
    <col min="6" max="6" width="9.42578125" style="1" customWidth="1"/>
    <col min="7" max="7" width="8.42578125" style="1" customWidth="1"/>
    <col min="8" max="8" width="16.42578125" style="1" customWidth="1"/>
    <col min="9" max="9" width="16" style="1" customWidth="1"/>
    <col min="10" max="10" width="16.140625" style="1" customWidth="1"/>
    <col min="11" max="11" width="19.28515625" style="1" customWidth="1"/>
    <col min="12" max="12" width="35.85546875" style="1" customWidth="1"/>
    <col min="13" max="14" width="7.7109375" style="1" customWidth="1"/>
    <col min="15" max="15" width="18.42578125" style="1" customWidth="1"/>
    <col min="16" max="16" width="15.5703125" style="1" customWidth="1"/>
    <col min="17" max="17" width="15" style="1" hidden="1" customWidth="1"/>
    <col min="18" max="18" width="13.28515625" style="1" customWidth="1"/>
    <col min="19" max="19" width="11.85546875" style="1" customWidth="1"/>
    <col min="20" max="20" width="16.7109375" style="1" customWidth="1"/>
    <col min="21" max="21" width="17.5703125" style="1" customWidth="1"/>
    <col min="22" max="22" width="15.28515625" style="1" customWidth="1"/>
    <col min="23" max="23" width="19.140625" style="1" hidden="1" customWidth="1"/>
    <col min="24" max="24" width="16.140625" style="1" customWidth="1"/>
    <col min="25" max="25" width="15.85546875" style="1" customWidth="1"/>
    <col min="26" max="16384" width="9.140625" style="1"/>
  </cols>
  <sheetData>
    <row r="1" spans="1:25" ht="35.25" customHeight="1" thickBot="1">
      <c r="H1" s="2">
        <v>42369</v>
      </c>
      <c r="I1" s="3" t="s">
        <v>0</v>
      </c>
      <c r="J1" s="4">
        <v>42735</v>
      </c>
      <c r="L1" s="5">
        <v>815079</v>
      </c>
      <c r="O1" s="6"/>
      <c r="R1" s="7"/>
      <c r="V1" s="7"/>
    </row>
    <row r="2" spans="1:25" s="8" customFormat="1" ht="61.5" customHeight="1" thickBot="1">
      <c r="H2" s="55">
        <f ca="1">SUMPRODUCT(SUBTOTAL(109,OFFSET(Table5101345[الإجمالي],ROW(Table5101345[الإجمالي])-ROW(P$5),,1)),--(Table5101345[تاريخ الشراء-الاستلام]&lt;DATE(2016,1,1)))</f>
        <v>0</v>
      </c>
      <c r="I2" s="56">
        <f ca="1">SUMPRODUCT(SUBTOTAL(109,OFFSET(Table5101345[الإجمالي],ROW(Table5101345[الإجمالي])-ROW(P$5),,1)),--(Table5101345[تاريخ الشراء-الاستلام]&gt;=DATE(2016,1,1)))</f>
        <v>6711756.5599999996</v>
      </c>
      <c r="J2" s="57">
        <f ca="1">SUM(H2:I2)</f>
        <v>6711756.5599999996</v>
      </c>
      <c r="K2" s="12"/>
      <c r="L2" s="5">
        <f>4975327+L1</f>
        <v>5790406</v>
      </c>
      <c r="M2" s="53"/>
      <c r="N2" s="14"/>
      <c r="O2" s="14"/>
      <c r="P2" s="66">
        <f>SUBTOTAL(9,Table5101345[الإجمالي])</f>
        <v>6711756.5599999996</v>
      </c>
      <c r="Q2" s="58"/>
      <c r="R2" s="59"/>
      <c r="S2" s="60"/>
      <c r="T2" s="61">
        <f>SUBTOTAL(9,Table5101345[مجمع الاهلاك 
في 01-01-2016])</f>
        <v>0</v>
      </c>
      <c r="U2" s="62"/>
      <c r="V2" s="63">
        <f>SUBTOTAL(9,Table5101345[مصروف الاهلاك 2016])</f>
        <v>328624.89858082205</v>
      </c>
      <c r="W2" s="64">
        <f>SUBTOTAL(9,Table5101345[[مصروف الاهلاك 2017 ]])</f>
        <v>0</v>
      </c>
      <c r="X2" s="62">
        <f>SUBTOTAL(9,Table5101345[مجمع الاهلاك
في 31-12-2016])</f>
        <v>328624.89858082205</v>
      </c>
      <c r="Y2" s="65">
        <f>SUBTOTAL(9,Table5101345[القيمة الدفترية 
في 31-12-2016])</f>
        <v>6383131.6614191802</v>
      </c>
    </row>
    <row r="3" spans="1:25" ht="45.75" customHeight="1">
      <c r="C3" s="18"/>
      <c r="D3" s="18"/>
    </row>
    <row r="4" spans="1:25" s="74" customFormat="1" ht="49.5" customHeight="1">
      <c r="A4" s="67" t="s">
        <v>1</v>
      </c>
      <c r="B4" s="68" t="s">
        <v>2</v>
      </c>
      <c r="C4" s="69" t="s">
        <v>3</v>
      </c>
      <c r="D4" s="69" t="s">
        <v>4</v>
      </c>
      <c r="E4" s="69" t="s">
        <v>5</v>
      </c>
      <c r="F4" s="69" t="s">
        <v>6</v>
      </c>
      <c r="G4" s="69" t="s">
        <v>7</v>
      </c>
      <c r="H4" s="69" t="s">
        <v>8</v>
      </c>
      <c r="I4" s="69" t="s">
        <v>9</v>
      </c>
      <c r="J4" s="69" t="s">
        <v>10</v>
      </c>
      <c r="K4" s="69" t="s">
        <v>11</v>
      </c>
      <c r="L4" s="69" t="s">
        <v>12</v>
      </c>
      <c r="M4" s="70" t="s">
        <v>13</v>
      </c>
      <c r="N4" s="69" t="s">
        <v>14</v>
      </c>
      <c r="O4" s="71" t="s">
        <v>15</v>
      </c>
      <c r="P4" s="71" t="s">
        <v>16</v>
      </c>
      <c r="Q4" s="54" t="s">
        <v>17</v>
      </c>
      <c r="R4" s="69" t="s">
        <v>18</v>
      </c>
      <c r="S4" s="69" t="s">
        <v>19</v>
      </c>
      <c r="T4" s="69" t="s">
        <v>20</v>
      </c>
      <c r="U4" s="71" t="s">
        <v>21</v>
      </c>
      <c r="V4" s="72" t="s">
        <v>22</v>
      </c>
      <c r="W4" s="25" t="s">
        <v>23</v>
      </c>
      <c r="X4" s="71" t="s">
        <v>24</v>
      </c>
      <c r="Y4" s="73" t="s">
        <v>25</v>
      </c>
    </row>
    <row r="5" spans="1:25" ht="30" customHeight="1">
      <c r="A5" s="27">
        <f>IF(C5="","",SUBTOTAL(3,$C$5:C5))</f>
        <v>1</v>
      </c>
      <c r="B5" s="92">
        <v>42560</v>
      </c>
      <c r="C5" s="88" t="s">
        <v>26</v>
      </c>
      <c r="D5" s="27" t="s">
        <v>27</v>
      </c>
      <c r="E5" s="84" t="s">
        <v>28</v>
      </c>
      <c r="F5" s="27" t="s">
        <v>29</v>
      </c>
      <c r="G5" s="27"/>
      <c r="H5" s="27" t="s">
        <v>30</v>
      </c>
      <c r="I5" s="27" t="s">
        <v>31</v>
      </c>
      <c r="J5" s="84"/>
      <c r="K5" s="96">
        <v>42571</v>
      </c>
      <c r="L5" s="29"/>
      <c r="M5" s="79">
        <v>1</v>
      </c>
      <c r="N5" s="31">
        <v>4232</v>
      </c>
      <c r="O5" s="77">
        <v>1300</v>
      </c>
      <c r="P5" s="77">
        <f t="shared" ref="P5:P11" si="0">O5*M5</f>
        <v>1300</v>
      </c>
      <c r="Q5" s="35">
        <v>0.1</v>
      </c>
      <c r="R5" s="27"/>
      <c r="S5" s="27" t="s">
        <v>32</v>
      </c>
      <c r="T5" s="75">
        <v>0</v>
      </c>
      <c r="U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الشراء-الاستلام]]&lt;DATE(2016,1,1),P5-T5,0))</f>
        <v>0</v>
      </c>
      <c r="V5" s="75">
        <f>IF(OR(Table5101345[[#This Row],[تاريخ الشراء-الاستلام]]="",Table5101345[[#This Row],[الإجمالي]]="",Table5101345[[#This Row],[العمر الافتراضي]]=""),"",IF(AND(T5&lt;P5,U5&gt;(P5*Q5),DATE(2015,12,31)&gt;K5),P5*Q5,IF(AND(T5&lt;P5,DATE(2016,12,31)&gt;K5,U5&gt;(P5*Q5)),(DATE(2016,12,31)-K5)/((100%/Q5)*365)*P5,IF(AND(T5&lt;P5,DATE(2016,12,31)&gt;K5,U5=0),(DATE(2016,12,31)-K5)/((100%/Q5)*365)*P5,IF(AND(T5&lt;P5,DATE(2016,12,31)&gt;K5,U5&lt;(P5*Q5)),U5,0)))))</f>
        <v>58.410958904109584</v>
      </c>
      <c r="W5" s="75">
        <f>IF(OR(Table5101345[[#This Row],[تاريخ الشراء-الاستلام]]="",Table5101345[[#This Row],[الإجمالي]]="",Table5101345[[#This Row],[العمر الافتراضي]]=""),"",IF(AND(T5&lt;P5,U5&gt;(P5*Q5),DATE(2016,12,31)&gt;K5),P5*Q5,IF(AND(T5&lt;P5,DATE(2017,12,31)&gt;K5,U5&gt;(P5*Q5)),(DATE(2017,12,31)-K5)/((100%/Q5)*360)*P5,IF(Table5101345[[#This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" s="75">
        <f>IF(OR(Table5101345[[#This Row],[تاريخ الشراء-الاستلام]]="",Table5101345[[#This Row],[الإجمالي]]="",Table5101345[[#This Row],[العمر الافتراضي]]=""),"",T5+V5)</f>
        <v>58.410958904109584</v>
      </c>
      <c r="Y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الشراء-الاستلام]]&gt;DATE(2016,12,31),0,P5-X5))</f>
        <v>1241.5890410958905</v>
      </c>
    </row>
    <row r="6" spans="1:25" ht="30" customHeight="1">
      <c r="A6" s="27">
        <f>IF(C6="","",SUBTOTAL(3,$C$5:C6))</f>
        <v>2</v>
      </c>
      <c r="B6" s="81" t="s">
        <v>33</v>
      </c>
      <c r="C6" s="88" t="s">
        <v>34</v>
      </c>
      <c r="D6" s="27" t="s">
        <v>27</v>
      </c>
      <c r="E6" s="84" t="s">
        <v>35</v>
      </c>
      <c r="F6" s="27" t="s">
        <v>36</v>
      </c>
      <c r="G6" s="27"/>
      <c r="H6" s="27" t="s">
        <v>37</v>
      </c>
      <c r="I6" s="27"/>
      <c r="J6" s="84"/>
      <c r="K6" s="96">
        <v>42603</v>
      </c>
      <c r="L6" s="29" t="s">
        <v>38</v>
      </c>
      <c r="M6" s="79">
        <v>150</v>
      </c>
      <c r="N6" s="31" t="s">
        <v>39</v>
      </c>
      <c r="O6" s="77">
        <v>700</v>
      </c>
      <c r="P6" s="77">
        <f t="shared" si="0"/>
        <v>105000</v>
      </c>
      <c r="Q6" s="35">
        <v>4.4999999999999998E-2</v>
      </c>
      <c r="R6" s="27"/>
      <c r="S6" s="27" t="s">
        <v>32</v>
      </c>
      <c r="T6" s="75">
        <v>0</v>
      </c>
      <c r="U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الشراء-الاستلام]]&lt;DATE(2016,1,1),P6-T6,0))</f>
        <v>0</v>
      </c>
      <c r="V6" s="75">
        <f>IF(OR(Table5101345[[#This Row],[تاريخ الشراء-الاستلام]]="",Table5101345[[#This Row],[الإجمالي]]="",Table5101345[[#This Row],[العمر الافتراضي]]=""),"",IF(AND(T6&lt;P6,U6&gt;(P6*Q6),DATE(2015,12,31)&gt;K6),P6*Q6,IF(AND(T6&lt;P6,DATE(2016,12,31)&gt;K6,U6&gt;(P6*Q6)),(DATE(2016,12,31)-K6)/((100%/Q6)*365)*P6,IF(AND(T6&lt;P6,DATE(2016,12,31)&gt;K6,U6=0),(DATE(2016,12,31)-K6)/((100%/Q6)*365)*P6,IF(AND(T6&lt;P6,DATE(2016,12,31)&gt;K6,U6&lt;(P6*Q6)),U6,0)))))</f>
        <v>1708.7671232876714</v>
      </c>
      <c r="W6" s="75">
        <f>IF(OR(Table5101345[[#This Row],[تاريخ الشراء-الاستلام]]="",Table5101345[[#This Row],[الإجمالي]]="",Table5101345[[#This Row],[العمر الافتراضي]]=""),"",IF(AND(T6&lt;P6,U6&gt;(P6*Q6),DATE(2016,12,31)&gt;K6),P6*Q6,IF(AND(T6&lt;P6,DATE(2017,12,31)&gt;K6,U6&gt;(P6*Q6)),(DATE(2017,12,31)-K6)/((100%/Q6)*360)*P6,IF(Table5101345[[#This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" s="75">
        <f>IF(OR(Table5101345[[#This Row],[تاريخ الشراء-الاستلام]]="",Table5101345[[#This Row],[الإجمالي]]="",Table5101345[[#This Row],[العمر الافتراضي]]=""),"",T6+V6)</f>
        <v>1708.7671232876714</v>
      </c>
      <c r="Y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الشراء-الاستلام]]&gt;DATE(2016,12,31),0,P6-X6))</f>
        <v>103291.23287671233</v>
      </c>
    </row>
    <row r="7" spans="1:25" ht="30" hidden="1" customHeight="1">
      <c r="A7" s="27">
        <f>IF(C7="","",SUBTOTAL(3,$C$5:C7))</f>
        <v>2</v>
      </c>
      <c r="B7" s="81"/>
      <c r="C7" s="88" t="s">
        <v>40</v>
      </c>
      <c r="D7" s="27" t="s">
        <v>27</v>
      </c>
      <c r="E7" s="84" t="s">
        <v>28</v>
      </c>
      <c r="F7" s="27" t="s">
        <v>29</v>
      </c>
      <c r="G7" s="27"/>
      <c r="H7" s="27"/>
      <c r="I7" s="27"/>
      <c r="J7" s="84"/>
      <c r="K7" s="96">
        <v>40756</v>
      </c>
      <c r="L7" s="29"/>
      <c r="M7" s="79">
        <v>8</v>
      </c>
      <c r="N7" s="31"/>
      <c r="O7" s="77">
        <v>1190</v>
      </c>
      <c r="P7" s="77">
        <f t="shared" si="0"/>
        <v>9520</v>
      </c>
      <c r="Q7" s="35">
        <v>0.1</v>
      </c>
      <c r="R7" s="27"/>
      <c r="S7" s="27" t="s">
        <v>32</v>
      </c>
      <c r="T7" s="75">
        <v>6310.5863013698627</v>
      </c>
      <c r="U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الشراء-الاستلام]]&lt;DATE(2016,1,1),P7-T7,0))</f>
        <v>3209.4136986301373</v>
      </c>
      <c r="V7" s="75">
        <f>IF(OR(Table5101345[[#This Row],[تاريخ الشراء-الاستلام]]="",Table5101345[[#This Row],[الإجمالي]]="",Table5101345[[#This Row],[العمر الافتراضي]]=""),"",IF(AND(T7&lt;P7,U7&gt;(P7*Q7),DATE(2015,12,31)&gt;K7),P7*Q7,IF(AND(T7&lt;P7,DATE(2016,12,31)&gt;K7,U7&gt;(P7*Q7)),(DATE(2016,12,31)-K7)/((100%/Q7)*365)*P7,IF(AND(T7&lt;P7,DATE(2016,12,31)&gt;K7,U7=0),(DATE(2016,12,31)-K7)/((100%/Q7)*365)*P7,IF(AND(T7&lt;P7,DATE(2016,12,31)&gt;K7,U7&lt;(P7*Q7)),U7,0)))))</f>
        <v>952</v>
      </c>
      <c r="W7" s="75">
        <f>IF(OR(Table5101345[[#This Row],[تاريخ الشراء-الاستلام]]="",Table5101345[[#This Row],[الإجمالي]]="",Table5101345[[#This Row],[العمر الافتراضي]]=""),"",IF(AND(T7&lt;P7,U7&gt;(P7*Q7),DATE(2016,12,31)&gt;K7),P7*Q7,IF(AND(T7&lt;P7,DATE(2017,12,31)&gt;K7,U7&gt;(P7*Q7)),(DATE(2017,12,31)-K7)/((100%/Q7)*360)*P7,IF(Table5101345[[#This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952</v>
      </c>
      <c r="X7" s="75">
        <f>IF(OR(Table5101345[[#This Row],[تاريخ الشراء-الاستلام]]="",Table5101345[[#This Row],[الإجمالي]]="",Table5101345[[#This Row],[العمر الافتراضي]]=""),"",T7+V7)</f>
        <v>7262.5863013698627</v>
      </c>
      <c r="Y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الشراء-الاستلام]]&gt;DATE(2016,12,31),0,P7-X7))</f>
        <v>2257.4136986301373</v>
      </c>
    </row>
    <row r="8" spans="1:25" ht="39">
      <c r="A8" s="27">
        <f>IF(C8="","",SUBTOTAL(3,$C$5:C8))</f>
        <v>3</v>
      </c>
      <c r="B8" s="92">
        <v>42724</v>
      </c>
      <c r="C8" s="88" t="s">
        <v>41</v>
      </c>
      <c r="D8" s="27" t="s">
        <v>27</v>
      </c>
      <c r="E8" s="84" t="s">
        <v>41</v>
      </c>
      <c r="F8" s="27" t="s">
        <v>29</v>
      </c>
      <c r="G8" s="27"/>
      <c r="H8" s="27"/>
      <c r="I8" s="27"/>
      <c r="J8" s="84" t="s">
        <v>42</v>
      </c>
      <c r="K8" s="96">
        <v>42711</v>
      </c>
      <c r="L8" s="29" t="s">
        <v>43</v>
      </c>
      <c r="M8" s="79">
        <v>4</v>
      </c>
      <c r="N8" s="31"/>
      <c r="O8" s="77">
        <v>971.25</v>
      </c>
      <c r="P8" s="77">
        <f t="shared" si="0"/>
        <v>3885</v>
      </c>
      <c r="Q8" s="33">
        <v>0.2</v>
      </c>
      <c r="R8" s="27"/>
      <c r="S8" s="27" t="s">
        <v>32</v>
      </c>
      <c r="T8" s="75">
        <v>0</v>
      </c>
      <c r="U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الشراء-الاستلام]]&lt;DATE(2016,1,1),P8-T8,0))</f>
        <v>0</v>
      </c>
      <c r="V8" s="75">
        <f>IF(OR(Table5101345[[#This Row],[تاريخ الشراء-الاستلام]]="",Table5101345[[#This Row],[الإجمالي]]="",Table5101345[[#This Row],[العمر الافتراضي]]=""),"",IF(AND(T8&lt;P8,U8&gt;(P8*Q8),DATE(2015,12,31)&gt;K8),P8*Q8,IF(AND(T8&lt;P8,DATE(2016,12,31)&gt;K8,U8&gt;(P8*Q8)),(DATE(2016,12,31)-K8)/((100%/Q8)*365)*P8,IF(AND(T8&lt;P8,DATE(2016,12,31)&gt;K8,U8=0),(DATE(2016,12,31)-K8)/((100%/Q8)*365)*P8,IF(AND(T8&lt;P8,DATE(2016,12,31)&gt;K8,U8&lt;(P8*Q8)),U8,0)))))</f>
        <v>51.090410958904116</v>
      </c>
      <c r="W8" s="75">
        <f>IF(OR(Table5101345[[#This Row],[تاريخ الشراء-الاستلام]]="",Table5101345[[#This Row],[الإجمالي]]="",Table5101345[[#This Row],[العمر الافتراضي]]=""),"",IF(AND(T8&lt;P8,U8&gt;(P8*Q8),DATE(2016,12,31)&gt;K8),P8*Q8,IF(AND(T8&lt;P8,DATE(2017,12,31)&gt;K8,U8&gt;(P8*Q8)),(DATE(2017,12,31)-K8)/((100%/Q8)*360)*P8,IF(Table5101345[[#This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8" s="75">
        <f>IF(OR(Table5101345[[#This Row],[تاريخ الشراء-الاستلام]]="",Table5101345[[#This Row],[الإجمالي]]="",Table5101345[[#This Row],[العمر الافتراضي]]=""),"",T8+V8)</f>
        <v>51.090410958904116</v>
      </c>
      <c r="Y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الشراء-الاستلام]]&gt;DATE(2016,12,31),0,P8-X8))</f>
        <v>3833.9095890410958</v>
      </c>
    </row>
    <row r="9" spans="1:25" ht="30" customHeight="1">
      <c r="A9" s="27">
        <f>IF(C9="","",SUBTOTAL(3,$C$5:C9))</f>
        <v>4</v>
      </c>
      <c r="B9" s="92">
        <v>42710</v>
      </c>
      <c r="C9" s="88" t="s">
        <v>44</v>
      </c>
      <c r="D9" s="27" t="s">
        <v>27</v>
      </c>
      <c r="E9" s="84" t="s">
        <v>28</v>
      </c>
      <c r="F9" s="27" t="s">
        <v>29</v>
      </c>
      <c r="G9" s="27"/>
      <c r="H9" s="27" t="s">
        <v>45</v>
      </c>
      <c r="I9" s="27" t="s">
        <v>46</v>
      </c>
      <c r="J9" s="84"/>
      <c r="K9" s="96">
        <v>42705</v>
      </c>
      <c r="L9" s="29" t="s">
        <v>47</v>
      </c>
      <c r="M9" s="79">
        <v>1</v>
      </c>
      <c r="N9" s="31"/>
      <c r="O9" s="77">
        <v>850</v>
      </c>
      <c r="P9" s="77">
        <f t="shared" si="0"/>
        <v>850</v>
      </c>
      <c r="Q9" s="35">
        <v>0.1</v>
      </c>
      <c r="R9" s="27"/>
      <c r="S9" s="27" t="s">
        <v>32</v>
      </c>
      <c r="T9" s="75">
        <v>0</v>
      </c>
      <c r="U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الشراء-الاستلام]]&lt;DATE(2016,1,1),P9-T9,0))</f>
        <v>0</v>
      </c>
      <c r="V9" s="75">
        <f>IF(OR(Table5101345[[#This Row],[تاريخ الشراء-الاستلام]]="",Table5101345[[#This Row],[الإجمالي]]="",Table5101345[[#This Row],[العمر الافتراضي]]=""),"",IF(AND(T9&lt;P9,U9&gt;(P9*Q9),DATE(2015,12,31)&gt;K9),P9*Q9,IF(AND(T9&lt;P9,DATE(2016,12,31)&gt;K9,U9&gt;(P9*Q9)),(DATE(2016,12,31)-K9)/((100%/Q9)*365)*P9,IF(AND(T9&lt;P9,DATE(2016,12,31)&gt;K9,U9=0),(DATE(2016,12,31)-K9)/((100%/Q9)*365)*P9,IF(AND(T9&lt;P9,DATE(2016,12,31)&gt;K9,U9&lt;(P9*Q9)),U9,0)))))</f>
        <v>6.9863013698630132</v>
      </c>
      <c r="W9" s="75">
        <f>IF(OR(Table5101345[[#This Row],[تاريخ الشراء-الاستلام]]="",Table5101345[[#This Row],[الإجمالي]]="",Table5101345[[#This Row],[العمر الافتراضي]]=""),"",IF(AND(T9&lt;P9,U9&gt;(P9*Q9),DATE(2016,12,31)&gt;K9),P9*Q9,IF(AND(T9&lt;P9,DATE(2017,12,31)&gt;K9,U9&gt;(P9*Q9)),(DATE(2017,12,31)-K9)/((100%/Q9)*360)*P9,IF(Table5101345[[#This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9" s="75">
        <f>IF(OR(Table5101345[[#This Row],[تاريخ الشراء-الاستلام]]="",Table5101345[[#This Row],[الإجمالي]]="",Table5101345[[#This Row],[العمر الافتراضي]]=""),"",T9+V9)</f>
        <v>6.9863013698630132</v>
      </c>
      <c r="Y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الشراء-الاستلام]]&gt;DATE(2016,12,31),0,P9-X9))</f>
        <v>843.01369863013701</v>
      </c>
    </row>
    <row r="10" spans="1:25" ht="30" customHeight="1">
      <c r="A10" s="27">
        <f>IF(C10="","",SUBTOTAL(3,$C$5:C10))</f>
        <v>5</v>
      </c>
      <c r="B10" s="92">
        <v>42713</v>
      </c>
      <c r="C10" s="88" t="s">
        <v>48</v>
      </c>
      <c r="D10" s="27" t="s">
        <v>27</v>
      </c>
      <c r="E10" s="84" t="s">
        <v>28</v>
      </c>
      <c r="F10" s="27" t="s">
        <v>29</v>
      </c>
      <c r="G10" s="27"/>
      <c r="H10" s="27" t="s">
        <v>45</v>
      </c>
      <c r="I10" s="27" t="s">
        <v>46</v>
      </c>
      <c r="J10" s="84"/>
      <c r="K10" s="96">
        <v>42730</v>
      </c>
      <c r="L10" s="29" t="s">
        <v>49</v>
      </c>
      <c r="M10" s="79">
        <v>1</v>
      </c>
      <c r="N10" s="31"/>
      <c r="O10" s="77">
        <v>1400</v>
      </c>
      <c r="P10" s="77">
        <f t="shared" si="0"/>
        <v>1400</v>
      </c>
      <c r="Q10" s="35">
        <v>0.1</v>
      </c>
      <c r="R10" s="27"/>
      <c r="S10" s="27" t="s">
        <v>32</v>
      </c>
      <c r="T10" s="75">
        <v>0</v>
      </c>
      <c r="U1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الشراء-الاستلام]]&lt;DATE(2016,1,1),P10-T10,0))</f>
        <v>0</v>
      </c>
      <c r="V10" s="75">
        <f>IF(OR(Table5101345[[#This Row],[تاريخ الشراء-الاستلام]]="",Table5101345[[#This Row],[الإجمالي]]="",Table5101345[[#This Row],[العمر الافتراضي]]=""),"",IF(AND(T10&lt;P10,U10&gt;(P10*Q10),DATE(2015,12,31)&gt;K10),P10*Q10,IF(AND(T10&lt;P10,DATE(2016,12,31)&gt;K10,U10&gt;(P10*Q10)),(DATE(2016,12,31)-K10)/((100%/Q10)*365)*P10,IF(AND(T10&lt;P10,DATE(2016,12,31)&gt;K10,U10=0),(DATE(2016,12,31)-K10)/((100%/Q10)*365)*P10,IF(AND(T10&lt;P10,DATE(2016,12,31)&gt;K10,U10&lt;(P10*Q10)),U10,0)))))</f>
        <v>1.9178082191780823</v>
      </c>
      <c r="W10" s="75">
        <f>IF(OR(Table5101345[[#This Row],[تاريخ الشراء-الاستلام]]="",Table5101345[[#This Row],[الإجمالي]]="",Table5101345[[#This Row],[العمر الافتراضي]]=""),"",IF(AND(T10&lt;P10,U10&gt;(P10*Q10),DATE(2016,12,31)&gt;K10),P10*Q10,IF(AND(T10&lt;P10,DATE(2017,12,31)&gt;K10,U10&gt;(P10*Q10)),(DATE(2017,12,31)-K10)/((100%/Q10)*360)*P10,IF(Table5101345[[#This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0" s="75">
        <f>IF(OR(Table5101345[[#This Row],[تاريخ الشراء-الاستلام]]="",Table5101345[[#This Row],[الإجمالي]]="",Table5101345[[#This Row],[العمر الافتراضي]]=""),"",T10+V10)</f>
        <v>1.9178082191780823</v>
      </c>
      <c r="Y1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الشراء-الاستلام]]&gt;DATE(2016,12,31),0,P10-X10))</f>
        <v>1398.0821917808219</v>
      </c>
    </row>
    <row r="11" spans="1:25" ht="30" customHeight="1">
      <c r="A11" s="27">
        <f>IF(C11="","",SUBTOTAL(3,$C$5:C11))</f>
        <v>6</v>
      </c>
      <c r="B11" s="92">
        <v>42678</v>
      </c>
      <c r="C11" s="88" t="s">
        <v>50</v>
      </c>
      <c r="D11" s="27" t="s">
        <v>27</v>
      </c>
      <c r="E11" s="84" t="s">
        <v>51</v>
      </c>
      <c r="F11" s="27" t="s">
        <v>36</v>
      </c>
      <c r="G11" s="27"/>
      <c r="H11" s="27" t="s">
        <v>37</v>
      </c>
      <c r="I11" s="27" t="s">
        <v>52</v>
      </c>
      <c r="J11" s="84">
        <v>9788</v>
      </c>
      <c r="K11" s="96">
        <v>42704</v>
      </c>
      <c r="L11" s="29" t="s">
        <v>53</v>
      </c>
      <c r="M11" s="79">
        <v>1</v>
      </c>
      <c r="N11" s="31">
        <v>3519</v>
      </c>
      <c r="O11" s="77">
        <v>37500</v>
      </c>
      <c r="P11" s="77">
        <f t="shared" si="0"/>
        <v>37500</v>
      </c>
      <c r="Q11" s="35">
        <v>0.2</v>
      </c>
      <c r="R11" s="27"/>
      <c r="S11" s="27" t="s">
        <v>32</v>
      </c>
      <c r="T11" s="75">
        <v>0</v>
      </c>
      <c r="U1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الشراء-الاستلام]]&lt;DATE(2016,1,1),P11-T11,0))</f>
        <v>0</v>
      </c>
      <c r="V11" s="75">
        <f>IF(OR(Table5101345[[#This Row],[تاريخ الشراء-الاستلام]]="",Table5101345[[#This Row],[الإجمالي]]="",Table5101345[[#This Row],[العمر الافتراضي]]=""),"",IF(AND(T11&lt;P11,U11&gt;(P11*Q11),DATE(2015,12,31)&gt;K11),P11*Q11,IF(AND(T11&lt;P11,DATE(2016,12,31)&gt;K11,U11&gt;(P11*Q11)),(DATE(2016,12,31)-K11)/((100%/Q11)*365)*P11,IF(AND(T11&lt;P11,DATE(2016,12,31)&gt;K11,U11=0),(DATE(2016,12,31)-K11)/((100%/Q11)*365)*P11,IF(AND(T11&lt;P11,DATE(2016,12,31)&gt;K11,U11&lt;(P11*Q11)),U11,0)))))</f>
        <v>636.98630136986299</v>
      </c>
      <c r="W11" s="75">
        <f>IF(OR(Table5101345[[#This Row],[تاريخ الشراء-الاستلام]]="",Table5101345[[#This Row],[الإجمالي]]="",Table5101345[[#This Row],[العمر الافتراضي]]=""),"",IF(AND(T11&lt;P11,U11&gt;(P11*Q11),DATE(2016,12,31)&gt;K11),P11*Q11,IF(AND(T11&lt;P11,DATE(2017,12,31)&gt;K11,U11&gt;(P11*Q11)),(DATE(2017,12,31)-K11)/((100%/Q11)*360)*P11,IF(Table5101345[[#This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" s="75">
        <f>IF(OR(Table5101345[[#This Row],[تاريخ الشراء-الاستلام]]="",Table5101345[[#This Row],[الإجمالي]]="",Table5101345[[#This Row],[العمر الافتراضي]]=""),"",T11+V11)</f>
        <v>636.98630136986299</v>
      </c>
      <c r="Y1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الشراء-الاستلام]]&gt;DATE(2016,12,31),0,P11-X11))</f>
        <v>36863.013698630137</v>
      </c>
    </row>
    <row r="12" spans="1:25" ht="48" customHeight="1">
      <c r="A12" s="27">
        <f>IF(C12="","",SUBTOTAL(3,$C$5:C12))</f>
        <v>7</v>
      </c>
      <c r="B12" s="92">
        <v>42679</v>
      </c>
      <c r="C12" s="88" t="s">
        <v>54</v>
      </c>
      <c r="D12" s="27" t="s">
        <v>27</v>
      </c>
      <c r="E12" s="84" t="s">
        <v>55</v>
      </c>
      <c r="F12" s="27" t="s">
        <v>29</v>
      </c>
      <c r="G12" s="27" t="s">
        <v>56</v>
      </c>
      <c r="H12" s="27" t="s">
        <v>37</v>
      </c>
      <c r="I12" s="27"/>
      <c r="J12" s="85" t="s">
        <v>57</v>
      </c>
      <c r="K12" s="96">
        <v>42735</v>
      </c>
      <c r="L12" s="29" t="s">
        <v>58</v>
      </c>
      <c r="M12" s="79">
        <v>1</v>
      </c>
      <c r="N12" s="31"/>
      <c r="O12" s="77">
        <v>167200</v>
      </c>
      <c r="P12" s="77">
        <f>O12*M12</f>
        <v>167200</v>
      </c>
      <c r="Q12" s="33">
        <v>0.2</v>
      </c>
      <c r="R12" s="27"/>
      <c r="S12" s="27" t="s">
        <v>32</v>
      </c>
      <c r="T12" s="75">
        <v>0</v>
      </c>
      <c r="U1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الشراء-الاستلام]]&lt;DATE(2016,1,1),P12-T12,0))</f>
        <v>0</v>
      </c>
      <c r="V12" s="75">
        <f>IF(OR(Table5101345[[#This Row],[تاريخ الشراء-الاستلام]]="",Table5101345[[#This Row],[الإجمالي]]="",Table5101345[[#This Row],[العمر الافتراضي]]=""),"",IF(AND(T12&lt;P12,U12&gt;(P12*Q12),DATE(2015,12,31)&gt;K12),P12*Q12,IF(AND(T12&lt;P12,DATE(2016,12,31)&gt;K12,U12&gt;(P12*Q12)),(DATE(2016,12,31)-K12)/((100%/Q12)*365)*P12,IF(AND(T12&lt;P12,DATE(2016,12,31)&gt;K12,U12=0),(DATE(2016,12,31)-K12)/((100%/Q12)*365)*P12,IF(AND(T12&lt;P12,DATE(2016,12,31)&gt;K12,U12&lt;(P12*Q12)),U12,0)))))</f>
        <v>0</v>
      </c>
      <c r="W12" s="75">
        <f>IF(OR(Table5101345[[#This Row],[تاريخ الشراء-الاستلام]]="",Table5101345[[#This Row],[الإجمالي]]="",Table5101345[[#This Row],[العمر الافتراضي]]=""),"",IF(AND(T12&lt;P12,U12&gt;(P12*Q12),DATE(2016,12,31)&gt;K12),P12*Q12,IF(AND(T12&lt;P12,DATE(2017,12,31)&gt;K12,U12&gt;(P12*Q12)),(DATE(2017,12,31)-K12)/((100%/Q12)*360)*P12,IF(Table5101345[[#This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2" s="75">
        <f>IF(OR(Table5101345[[#This Row],[تاريخ الشراء-الاستلام]]="",Table5101345[[#This Row],[الإجمالي]]="",Table5101345[[#This Row],[العمر الافتراضي]]=""),"",T12+V12)</f>
        <v>0</v>
      </c>
      <c r="Y1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الشراء-الاستلام]]&gt;DATE(2016,12,31),0,P12-X12))</f>
        <v>167200</v>
      </c>
    </row>
    <row r="13" spans="1:25" ht="48" customHeight="1">
      <c r="A13" s="27">
        <f>IF(C13="","",SUBTOTAL(3,$C$5:C13))</f>
        <v>8</v>
      </c>
      <c r="B13" s="92">
        <v>42679</v>
      </c>
      <c r="C13" s="88" t="s">
        <v>54</v>
      </c>
      <c r="D13" s="27" t="s">
        <v>27</v>
      </c>
      <c r="E13" s="84" t="s">
        <v>55</v>
      </c>
      <c r="F13" s="27" t="s">
        <v>29</v>
      </c>
      <c r="G13" s="27" t="s">
        <v>56</v>
      </c>
      <c r="H13" s="27" t="s">
        <v>37</v>
      </c>
      <c r="I13" s="27"/>
      <c r="J13" s="85" t="s">
        <v>59</v>
      </c>
      <c r="K13" s="96">
        <v>42735</v>
      </c>
      <c r="L13" s="29" t="s">
        <v>58</v>
      </c>
      <c r="M13" s="79">
        <v>1</v>
      </c>
      <c r="N13" s="31"/>
      <c r="O13" s="77">
        <v>167200</v>
      </c>
      <c r="P13" s="77">
        <f>O13*M13</f>
        <v>167200</v>
      </c>
      <c r="Q13" s="33">
        <v>0.2</v>
      </c>
      <c r="R13" s="27"/>
      <c r="S13" s="27" t="s">
        <v>32</v>
      </c>
      <c r="T13" s="75">
        <v>0</v>
      </c>
      <c r="U1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الشراء-الاستلام]]&lt;DATE(2016,1,1),P13-T13,0))</f>
        <v>0</v>
      </c>
      <c r="V13" s="75">
        <f>IF(OR(Table5101345[[#This Row],[تاريخ الشراء-الاستلام]]="",Table5101345[[#This Row],[الإجمالي]]="",Table5101345[[#This Row],[العمر الافتراضي]]=""),"",IF(AND(T13&lt;P13,U13&gt;(P13*Q13),DATE(2015,12,31)&gt;K13),P13*Q13,IF(AND(T13&lt;P13,DATE(2016,12,31)&gt;K13,U13&gt;(P13*Q13)),(DATE(2016,12,31)-K13)/((100%/Q13)*365)*P13,IF(AND(T13&lt;P13,DATE(2016,12,31)&gt;K13,U13=0),(DATE(2016,12,31)-K13)/((100%/Q13)*365)*P13,IF(AND(T13&lt;P13,DATE(2016,12,31)&gt;K13,U13&lt;(P13*Q13)),U13,0)))))</f>
        <v>0</v>
      </c>
      <c r="W13" s="75">
        <f>IF(OR(Table5101345[[#This Row],[تاريخ الشراء-الاستلام]]="",Table5101345[[#This Row],[الإجمالي]]="",Table5101345[[#This Row],[العمر الافتراضي]]=""),"",IF(AND(T13&lt;P13,U13&gt;(P13*Q13),DATE(2016,12,31)&gt;K13),P13*Q13,IF(AND(T13&lt;P13,DATE(2017,12,31)&gt;K13,U13&gt;(P13*Q13)),(DATE(2017,12,31)-K13)/((100%/Q13)*360)*P13,IF(Table5101345[[#This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3" s="75">
        <f>IF(OR(Table5101345[[#This Row],[تاريخ الشراء-الاستلام]]="",Table5101345[[#This Row],[الإجمالي]]="",Table5101345[[#This Row],[العمر الافتراضي]]=""),"",T13+V13)</f>
        <v>0</v>
      </c>
      <c r="Y1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الشراء-الاستلام]]&gt;DATE(2016,12,31),0,P13-X13))</f>
        <v>167200</v>
      </c>
    </row>
    <row r="14" spans="1:25" ht="48" customHeight="1">
      <c r="A14" s="27">
        <f>IF(C14="","",SUBTOTAL(3,$C$5:C14))</f>
        <v>9</v>
      </c>
      <c r="B14" s="92">
        <v>42679</v>
      </c>
      <c r="C14" s="88" t="s">
        <v>54</v>
      </c>
      <c r="D14" s="27" t="s">
        <v>27</v>
      </c>
      <c r="E14" s="84" t="s">
        <v>55</v>
      </c>
      <c r="F14" s="27" t="s">
        <v>29</v>
      </c>
      <c r="G14" s="27" t="s">
        <v>56</v>
      </c>
      <c r="H14" s="27" t="s">
        <v>37</v>
      </c>
      <c r="I14" s="27"/>
      <c r="J14" s="85" t="s">
        <v>60</v>
      </c>
      <c r="K14" s="96">
        <v>42735</v>
      </c>
      <c r="L14" s="29" t="s">
        <v>58</v>
      </c>
      <c r="M14" s="79">
        <v>1</v>
      </c>
      <c r="N14" s="31"/>
      <c r="O14" s="77">
        <v>167200</v>
      </c>
      <c r="P14" s="77">
        <f t="shared" ref="P14:P61" si="1">O14*M14</f>
        <v>167200</v>
      </c>
      <c r="Q14" s="33">
        <v>0.2</v>
      </c>
      <c r="R14" s="27"/>
      <c r="S14" s="27" t="s">
        <v>32</v>
      </c>
      <c r="T14" s="75">
        <v>0</v>
      </c>
      <c r="U1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الشراء-الاستلام]]&lt;DATE(2016,1,1),P14-T14,0))</f>
        <v>0</v>
      </c>
      <c r="V14" s="75">
        <f>IF(OR(Table5101345[[#This Row],[تاريخ الشراء-الاستلام]]="",Table5101345[[#This Row],[الإجمالي]]="",Table5101345[[#This Row],[العمر الافتراضي]]=""),"",IF(AND(T14&lt;P14,U14&gt;(P14*Q14),DATE(2015,12,31)&gt;K14),P14*Q14,IF(AND(T14&lt;P14,DATE(2016,12,31)&gt;K14,U14&gt;(P14*Q14)),(DATE(2016,12,31)-K14)/((100%/Q14)*365)*P14,IF(AND(T14&lt;P14,DATE(2016,12,31)&gt;K14,U14=0),(DATE(2016,12,31)-K14)/((100%/Q14)*365)*P14,IF(AND(T14&lt;P14,DATE(2016,12,31)&gt;K14,U14&lt;(P14*Q14)),U14,0)))))</f>
        <v>0</v>
      </c>
      <c r="W14" s="75">
        <f>IF(OR(Table5101345[[#This Row],[تاريخ الشراء-الاستلام]]="",Table5101345[[#This Row],[الإجمالي]]="",Table5101345[[#This Row],[العمر الافتراضي]]=""),"",IF(AND(T14&lt;P14,U14&gt;(P14*Q14),DATE(2016,12,31)&gt;K14),P14*Q14,IF(AND(T14&lt;P14,DATE(2017,12,31)&gt;K14,U14&gt;(P14*Q14)),(DATE(2017,12,31)-K14)/((100%/Q14)*360)*P14,IF(Table5101345[[#This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4" s="75">
        <f>IF(OR(Table5101345[[#This Row],[تاريخ الشراء-الاستلام]]="",Table5101345[[#This Row],[الإجمالي]]="",Table5101345[[#This Row],[العمر الافتراضي]]=""),"",T14+V14)</f>
        <v>0</v>
      </c>
      <c r="Y1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الشراء-الاستلام]]&gt;DATE(2016,12,31),0,P14-X14))</f>
        <v>167200</v>
      </c>
    </row>
    <row r="15" spans="1:25" ht="48" customHeight="1">
      <c r="A15" s="27">
        <f>IF(C15="","",SUBTOTAL(3,$C$5:C15))</f>
        <v>10</v>
      </c>
      <c r="B15" s="92">
        <v>42679</v>
      </c>
      <c r="C15" s="88" t="s">
        <v>54</v>
      </c>
      <c r="D15" s="27" t="s">
        <v>27</v>
      </c>
      <c r="E15" s="84" t="s">
        <v>55</v>
      </c>
      <c r="F15" s="27" t="s">
        <v>29</v>
      </c>
      <c r="G15" s="27" t="s">
        <v>56</v>
      </c>
      <c r="H15" s="27" t="s">
        <v>37</v>
      </c>
      <c r="I15" s="27"/>
      <c r="J15" s="85" t="s">
        <v>61</v>
      </c>
      <c r="K15" s="96">
        <v>42735</v>
      </c>
      <c r="L15" s="29" t="s">
        <v>58</v>
      </c>
      <c r="M15" s="79">
        <v>1</v>
      </c>
      <c r="N15" s="31"/>
      <c r="O15" s="77">
        <v>167200</v>
      </c>
      <c r="P15" s="77">
        <f t="shared" si="1"/>
        <v>167200</v>
      </c>
      <c r="Q15" s="33">
        <v>0.2</v>
      </c>
      <c r="R15" s="27"/>
      <c r="S15" s="27" t="s">
        <v>32</v>
      </c>
      <c r="T15" s="75">
        <v>0</v>
      </c>
      <c r="U1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الشراء-الاستلام]]&lt;DATE(2016,1,1),P15-T15,0))</f>
        <v>0</v>
      </c>
      <c r="V15" s="75">
        <f>IF(OR(Table5101345[[#This Row],[تاريخ الشراء-الاستلام]]="",Table5101345[[#This Row],[الإجمالي]]="",Table5101345[[#This Row],[العمر الافتراضي]]=""),"",IF(AND(T15&lt;P15,U15&gt;(P15*Q15),DATE(2015,12,31)&gt;K15),P15*Q15,IF(AND(T15&lt;P15,DATE(2016,12,31)&gt;K15,U15&gt;(P15*Q15)),(DATE(2016,12,31)-K15)/((100%/Q15)*365)*P15,IF(AND(T15&lt;P15,DATE(2016,12,31)&gt;K15,U15=0),(DATE(2016,12,31)-K15)/((100%/Q15)*365)*P15,IF(AND(T15&lt;P15,DATE(2016,12,31)&gt;K15,U15&lt;(P15*Q15)),U15,0)))))</f>
        <v>0</v>
      </c>
      <c r="W15" s="75">
        <f>IF(OR(Table5101345[[#This Row],[تاريخ الشراء-الاستلام]]="",Table5101345[[#This Row],[الإجمالي]]="",Table5101345[[#This Row],[العمر الافتراضي]]=""),"",IF(AND(T15&lt;P15,U15&gt;(P15*Q15),DATE(2016,12,31)&gt;K15),P15*Q15,IF(AND(T15&lt;P15,DATE(2017,12,31)&gt;K15,U15&gt;(P15*Q15)),(DATE(2017,12,31)-K15)/((100%/Q15)*360)*P15,IF(Table5101345[[#This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5" s="75">
        <f>IF(OR(Table5101345[[#This Row],[تاريخ الشراء-الاستلام]]="",Table5101345[[#This Row],[الإجمالي]]="",Table5101345[[#This Row],[العمر الافتراضي]]=""),"",T15+V15)</f>
        <v>0</v>
      </c>
      <c r="Y1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الشراء-الاستلام]]&gt;DATE(2016,12,31),0,P15-X15))</f>
        <v>167200</v>
      </c>
    </row>
    <row r="16" spans="1:25" ht="48" customHeight="1">
      <c r="A16" s="27">
        <f>IF(C16="","",SUBTOTAL(3,$C$5:C16))</f>
        <v>11</v>
      </c>
      <c r="B16" s="92">
        <v>42679</v>
      </c>
      <c r="C16" s="88" t="s">
        <v>54</v>
      </c>
      <c r="D16" s="27" t="s">
        <v>27</v>
      </c>
      <c r="E16" s="84" t="s">
        <v>55</v>
      </c>
      <c r="F16" s="27" t="s">
        <v>29</v>
      </c>
      <c r="G16" s="27" t="s">
        <v>56</v>
      </c>
      <c r="H16" s="27" t="s">
        <v>37</v>
      </c>
      <c r="I16" s="27"/>
      <c r="J16" s="85" t="s">
        <v>62</v>
      </c>
      <c r="K16" s="96">
        <v>42735</v>
      </c>
      <c r="L16" s="29" t="s">
        <v>58</v>
      </c>
      <c r="M16" s="79">
        <v>1</v>
      </c>
      <c r="N16" s="31"/>
      <c r="O16" s="77">
        <v>167200</v>
      </c>
      <c r="P16" s="77">
        <f t="shared" si="1"/>
        <v>167200</v>
      </c>
      <c r="Q16" s="33">
        <v>0.2</v>
      </c>
      <c r="R16" s="27"/>
      <c r="S16" s="27" t="s">
        <v>32</v>
      </c>
      <c r="T16" s="75">
        <v>0</v>
      </c>
      <c r="U1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الشراء-الاستلام]]&lt;DATE(2016,1,1),P16-T16,0))</f>
        <v>0</v>
      </c>
      <c r="V16" s="75">
        <f>IF(OR(Table5101345[[#This Row],[تاريخ الشراء-الاستلام]]="",Table5101345[[#This Row],[الإجمالي]]="",Table5101345[[#This Row],[العمر الافتراضي]]=""),"",IF(AND(T16&lt;P16,U16&gt;(P16*Q16),DATE(2015,12,31)&gt;K16),P16*Q16,IF(AND(T16&lt;P16,DATE(2016,12,31)&gt;K16,U16&gt;(P16*Q16)),(DATE(2016,12,31)-K16)/((100%/Q16)*365)*P16,IF(AND(T16&lt;P16,DATE(2016,12,31)&gt;K16,U16=0),(DATE(2016,12,31)-K16)/((100%/Q16)*365)*P16,IF(AND(T16&lt;P16,DATE(2016,12,31)&gt;K16,U16&lt;(P16*Q16)),U16,0)))))</f>
        <v>0</v>
      </c>
      <c r="W16" s="75">
        <f>IF(OR(Table5101345[[#This Row],[تاريخ الشراء-الاستلام]]="",Table5101345[[#This Row],[الإجمالي]]="",Table5101345[[#This Row],[العمر الافتراضي]]=""),"",IF(AND(T16&lt;P16,U16&gt;(P16*Q16),DATE(2016,12,31)&gt;K16),P16*Q16,IF(AND(T16&lt;P16,DATE(2017,12,31)&gt;K16,U16&gt;(P16*Q16)),(DATE(2017,12,31)-K16)/((100%/Q16)*360)*P16,IF(Table5101345[[#This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6" s="75">
        <f>IF(OR(Table5101345[[#This Row],[تاريخ الشراء-الاستلام]]="",Table5101345[[#This Row],[الإجمالي]]="",Table5101345[[#This Row],[العمر الافتراضي]]=""),"",T16+V16)</f>
        <v>0</v>
      </c>
      <c r="Y1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الشراء-الاستلام]]&gt;DATE(2016,12,31),0,P16-X16))</f>
        <v>167200</v>
      </c>
    </row>
    <row r="17" spans="1:25" ht="48" customHeight="1">
      <c r="A17" s="27">
        <f>IF(C17="","",SUBTOTAL(3,$C$5:C17))</f>
        <v>12</v>
      </c>
      <c r="B17" s="92">
        <v>42679</v>
      </c>
      <c r="C17" s="88" t="s">
        <v>54</v>
      </c>
      <c r="D17" s="27" t="s">
        <v>27</v>
      </c>
      <c r="E17" s="84" t="s">
        <v>55</v>
      </c>
      <c r="F17" s="27" t="s">
        <v>29</v>
      </c>
      <c r="G17" s="27"/>
      <c r="H17" s="27" t="s">
        <v>37</v>
      </c>
      <c r="I17" s="27"/>
      <c r="J17" s="85" t="s">
        <v>63</v>
      </c>
      <c r="K17" s="96">
        <v>42735</v>
      </c>
      <c r="L17" s="29" t="s">
        <v>58</v>
      </c>
      <c r="M17" s="79">
        <v>1</v>
      </c>
      <c r="N17" s="31"/>
      <c r="O17" s="77">
        <v>167200</v>
      </c>
      <c r="P17" s="77">
        <f t="shared" si="1"/>
        <v>167200</v>
      </c>
      <c r="Q17" s="33">
        <v>0.2</v>
      </c>
      <c r="R17" s="27"/>
      <c r="S17" s="27" t="s">
        <v>32</v>
      </c>
      <c r="T17" s="75">
        <v>0</v>
      </c>
      <c r="U1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الشراء-الاستلام]]&lt;DATE(2016,1,1),P17-T17,0))</f>
        <v>0</v>
      </c>
      <c r="V17" s="75">
        <f>IF(OR(Table5101345[[#This Row],[تاريخ الشراء-الاستلام]]="",Table5101345[[#This Row],[الإجمالي]]="",Table5101345[[#This Row],[العمر الافتراضي]]=""),"",IF(AND(T17&lt;P17,U17&gt;(P17*Q17),DATE(2015,12,31)&gt;K17),P17*Q17,IF(AND(T17&lt;P17,DATE(2016,12,31)&gt;K17,U17&gt;(P17*Q17)),(DATE(2016,12,31)-K17)/((100%/Q17)*365)*P17,IF(AND(T17&lt;P17,DATE(2016,12,31)&gt;K17,U17=0),(DATE(2016,12,31)-K17)/((100%/Q17)*365)*P17,IF(AND(T17&lt;P17,DATE(2016,12,31)&gt;K17,U17&lt;(P17*Q17)),U17,0)))))</f>
        <v>0</v>
      </c>
      <c r="W17" s="75">
        <f>IF(OR(Table5101345[[#This Row],[تاريخ الشراء-الاستلام]]="",Table5101345[[#This Row],[الإجمالي]]="",Table5101345[[#This Row],[العمر الافتراضي]]=""),"",IF(AND(T17&lt;P17,U17&gt;(P17*Q17),DATE(2016,12,31)&gt;K17),P17*Q17,IF(AND(T17&lt;P17,DATE(2017,12,31)&gt;K17,U17&gt;(P17*Q17)),(DATE(2017,12,31)-K17)/((100%/Q17)*360)*P17,IF(Table5101345[[#This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7" s="75">
        <f>IF(OR(Table5101345[[#This Row],[تاريخ الشراء-الاستلام]]="",Table5101345[[#This Row],[الإجمالي]]="",Table5101345[[#This Row],[العمر الافتراضي]]=""),"",T17+V17)</f>
        <v>0</v>
      </c>
      <c r="Y1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الشراء-الاستلام]]&gt;DATE(2016,12,31),0,P17-X17))</f>
        <v>167200</v>
      </c>
    </row>
    <row r="18" spans="1:25" ht="48" customHeight="1">
      <c r="A18" s="27">
        <f>IF(C18="","",SUBTOTAL(3,$C$5:C18))</f>
        <v>13</v>
      </c>
      <c r="B18" s="92">
        <v>42679</v>
      </c>
      <c r="C18" s="88" t="s">
        <v>54</v>
      </c>
      <c r="D18" s="27" t="s">
        <v>27</v>
      </c>
      <c r="E18" s="84" t="s">
        <v>55</v>
      </c>
      <c r="F18" s="27" t="s">
        <v>29</v>
      </c>
      <c r="G18" s="27"/>
      <c r="H18" s="27" t="s">
        <v>37</v>
      </c>
      <c r="I18" s="27"/>
      <c r="J18" s="85" t="s">
        <v>64</v>
      </c>
      <c r="K18" s="96">
        <v>42735</v>
      </c>
      <c r="L18" s="29" t="s">
        <v>58</v>
      </c>
      <c r="M18" s="79">
        <v>1</v>
      </c>
      <c r="N18" s="31"/>
      <c r="O18" s="77">
        <v>167200</v>
      </c>
      <c r="P18" s="77">
        <f t="shared" si="1"/>
        <v>167200</v>
      </c>
      <c r="Q18" s="33">
        <v>0.2</v>
      </c>
      <c r="R18" s="27"/>
      <c r="S18" s="27" t="s">
        <v>32</v>
      </c>
      <c r="T18" s="75">
        <v>0</v>
      </c>
      <c r="U1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الشراء-الاستلام]]&lt;DATE(2016,1,1),P18-T18,0))</f>
        <v>0</v>
      </c>
      <c r="V18" s="75">
        <f>IF(OR(Table5101345[[#This Row],[تاريخ الشراء-الاستلام]]="",Table5101345[[#This Row],[الإجمالي]]="",Table5101345[[#This Row],[العمر الافتراضي]]=""),"",IF(AND(T18&lt;P18,U18&gt;(P18*Q18),DATE(2015,12,31)&gt;K18),P18*Q18,IF(AND(T18&lt;P18,DATE(2016,12,31)&gt;K18,U18&gt;(P18*Q18)),(DATE(2016,12,31)-K18)/((100%/Q18)*365)*P18,IF(AND(T18&lt;P18,DATE(2016,12,31)&gt;K18,U18=0),(DATE(2016,12,31)-K18)/((100%/Q18)*365)*P18,IF(AND(T18&lt;P18,DATE(2016,12,31)&gt;K18,U18&lt;(P18*Q18)),U18,0)))))</f>
        <v>0</v>
      </c>
      <c r="W18" s="75">
        <f>IF(OR(Table5101345[[#This Row],[تاريخ الشراء-الاستلام]]="",Table5101345[[#This Row],[الإجمالي]]="",Table5101345[[#This Row],[العمر الافتراضي]]=""),"",IF(AND(T18&lt;P18,U18&gt;(P18*Q18),DATE(2016,12,31)&gt;K18),P18*Q18,IF(AND(T18&lt;P18,DATE(2017,12,31)&gt;K18,U18&gt;(P18*Q18)),(DATE(2017,12,31)-K18)/((100%/Q18)*360)*P18,IF(Table5101345[[#This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8" s="75">
        <f>IF(OR(Table5101345[[#This Row],[تاريخ الشراء-الاستلام]]="",Table5101345[[#This Row],[الإجمالي]]="",Table5101345[[#This Row],[العمر الافتراضي]]=""),"",T18+V18)</f>
        <v>0</v>
      </c>
      <c r="Y1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الشراء-الاستلام]]&gt;DATE(2016,12,31),0,P18-X18))</f>
        <v>167200</v>
      </c>
    </row>
    <row r="19" spans="1:25" ht="48" customHeight="1">
      <c r="A19" s="27">
        <f>IF(C19="","",SUBTOTAL(3,$C$5:C19))</f>
        <v>14</v>
      </c>
      <c r="B19" s="92">
        <v>42679</v>
      </c>
      <c r="C19" s="88" t="s">
        <v>54</v>
      </c>
      <c r="D19" s="27" t="s">
        <v>27</v>
      </c>
      <c r="E19" s="84" t="s">
        <v>55</v>
      </c>
      <c r="F19" s="27" t="s">
        <v>29</v>
      </c>
      <c r="G19" s="27"/>
      <c r="H19" s="27" t="s">
        <v>37</v>
      </c>
      <c r="I19" s="27"/>
      <c r="J19" s="85" t="s">
        <v>65</v>
      </c>
      <c r="K19" s="96">
        <v>42735</v>
      </c>
      <c r="L19" s="29" t="s">
        <v>58</v>
      </c>
      <c r="M19" s="79">
        <v>1</v>
      </c>
      <c r="N19" s="31"/>
      <c r="O19" s="77">
        <v>167200</v>
      </c>
      <c r="P19" s="77">
        <f t="shared" si="1"/>
        <v>167200</v>
      </c>
      <c r="Q19" s="33">
        <v>0.2</v>
      </c>
      <c r="R19" s="27"/>
      <c r="S19" s="27" t="s">
        <v>32</v>
      </c>
      <c r="T19" s="75">
        <v>0</v>
      </c>
      <c r="U1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الشراء-الاستلام]]&lt;DATE(2016,1,1),P19-T19,0))</f>
        <v>0</v>
      </c>
      <c r="V19" s="75">
        <f>IF(OR(Table5101345[[#This Row],[تاريخ الشراء-الاستلام]]="",Table5101345[[#This Row],[الإجمالي]]="",Table5101345[[#This Row],[العمر الافتراضي]]=""),"",IF(AND(T19&lt;P19,U19&gt;(P19*Q19),DATE(2015,12,31)&gt;K19),P19*Q19,IF(AND(T19&lt;P19,DATE(2016,12,31)&gt;K19,U19&gt;(P19*Q19)),(DATE(2016,12,31)-K19)/((100%/Q19)*365)*P19,IF(AND(T19&lt;P19,DATE(2016,12,31)&gt;K19,U19=0),(DATE(2016,12,31)-K19)/((100%/Q19)*365)*P19,IF(AND(T19&lt;P19,DATE(2016,12,31)&gt;K19,U19&lt;(P19*Q19)),U19,0)))))</f>
        <v>0</v>
      </c>
      <c r="W19" s="75">
        <f>IF(OR(Table5101345[[#This Row],[تاريخ الشراء-الاستلام]]="",Table5101345[[#This Row],[الإجمالي]]="",Table5101345[[#This Row],[العمر الافتراضي]]=""),"",IF(AND(T19&lt;P19,U19&gt;(P19*Q19),DATE(2016,12,31)&gt;K19),P19*Q19,IF(AND(T19&lt;P19,DATE(2017,12,31)&gt;K19,U19&gt;(P19*Q19)),(DATE(2017,12,31)-K19)/((100%/Q19)*360)*P19,IF(Table5101345[[#This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9" s="75">
        <f>IF(OR(Table5101345[[#This Row],[تاريخ الشراء-الاستلام]]="",Table5101345[[#This Row],[الإجمالي]]="",Table5101345[[#This Row],[العمر الافتراضي]]=""),"",T19+V19)</f>
        <v>0</v>
      </c>
      <c r="Y1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الشراء-الاستلام]]&gt;DATE(2016,12,31),0,P19-X19))</f>
        <v>167200</v>
      </c>
    </row>
    <row r="20" spans="1:25" ht="48" customHeight="1">
      <c r="A20" s="27">
        <f>IF(C20="","",SUBTOTAL(3,$C$5:C20))</f>
        <v>15</v>
      </c>
      <c r="B20" s="92">
        <v>42679</v>
      </c>
      <c r="C20" s="88" t="s">
        <v>54</v>
      </c>
      <c r="D20" s="27" t="s">
        <v>27</v>
      </c>
      <c r="E20" s="84" t="s">
        <v>55</v>
      </c>
      <c r="F20" s="27" t="s">
        <v>29</v>
      </c>
      <c r="G20" s="27"/>
      <c r="H20" s="27" t="s">
        <v>37</v>
      </c>
      <c r="I20" s="27"/>
      <c r="J20" s="85" t="s">
        <v>66</v>
      </c>
      <c r="K20" s="96">
        <v>42735</v>
      </c>
      <c r="L20" s="29" t="s">
        <v>58</v>
      </c>
      <c r="M20" s="79">
        <v>1</v>
      </c>
      <c r="N20" s="31"/>
      <c r="O20" s="77">
        <v>167200</v>
      </c>
      <c r="P20" s="77">
        <f t="shared" si="1"/>
        <v>167200</v>
      </c>
      <c r="Q20" s="33">
        <v>0.2</v>
      </c>
      <c r="R20" s="27"/>
      <c r="S20" s="27" t="s">
        <v>32</v>
      </c>
      <c r="T20" s="75">
        <v>0</v>
      </c>
      <c r="U2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الشراء-الاستلام]]&lt;DATE(2016,1,1),P20-T20,0))</f>
        <v>0</v>
      </c>
      <c r="V20" s="75">
        <f>IF(OR(Table5101345[[#This Row],[تاريخ الشراء-الاستلام]]="",Table5101345[[#This Row],[الإجمالي]]="",Table5101345[[#This Row],[العمر الافتراضي]]=""),"",IF(AND(T20&lt;P20,U20&gt;(P20*Q20),DATE(2015,12,31)&gt;K20),P20*Q20,IF(AND(T20&lt;P20,DATE(2016,12,31)&gt;K20,U20&gt;(P20*Q20)),(DATE(2016,12,31)-K20)/((100%/Q20)*365)*P20,IF(AND(T20&lt;P20,DATE(2016,12,31)&gt;K20,U20=0),(DATE(2016,12,31)-K20)/((100%/Q20)*365)*P20,IF(AND(T20&lt;P20,DATE(2016,12,31)&gt;K20,U20&lt;(P20*Q20)),U20,0)))))</f>
        <v>0</v>
      </c>
      <c r="W20" s="75">
        <f>IF(OR(Table5101345[[#This Row],[تاريخ الشراء-الاستلام]]="",Table5101345[[#This Row],[الإجمالي]]="",Table5101345[[#This Row],[العمر الافتراضي]]=""),"",IF(AND(T20&lt;P20,U20&gt;(P20*Q20),DATE(2016,12,31)&gt;K20),P20*Q20,IF(AND(T20&lt;P20,DATE(2017,12,31)&gt;K20,U20&gt;(P20*Q20)),(DATE(2017,12,31)-K20)/((100%/Q20)*360)*P20,IF(Table5101345[[#This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0" s="75">
        <f>IF(OR(Table5101345[[#This Row],[تاريخ الشراء-الاستلام]]="",Table5101345[[#This Row],[الإجمالي]]="",Table5101345[[#This Row],[العمر الافتراضي]]=""),"",T20+V20)</f>
        <v>0</v>
      </c>
      <c r="Y2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الشراء-الاستلام]]&gt;DATE(2016,12,31),0,P20-X20))</f>
        <v>167200</v>
      </c>
    </row>
    <row r="21" spans="1:25" ht="48" customHeight="1">
      <c r="A21" s="27">
        <f>IF(C21="","",SUBTOTAL(3,$C$5:C21))</f>
        <v>16</v>
      </c>
      <c r="B21" s="92">
        <v>42679</v>
      </c>
      <c r="C21" s="88" t="s">
        <v>54</v>
      </c>
      <c r="D21" s="27" t="s">
        <v>27</v>
      </c>
      <c r="E21" s="84" t="s">
        <v>55</v>
      </c>
      <c r="F21" s="27" t="s">
        <v>29</v>
      </c>
      <c r="G21" s="27"/>
      <c r="H21" s="27" t="s">
        <v>37</v>
      </c>
      <c r="I21" s="27"/>
      <c r="J21" s="85" t="s">
        <v>67</v>
      </c>
      <c r="K21" s="96">
        <v>42735</v>
      </c>
      <c r="L21" s="29" t="s">
        <v>58</v>
      </c>
      <c r="M21" s="79">
        <v>1</v>
      </c>
      <c r="N21" s="31"/>
      <c r="O21" s="77">
        <v>167200</v>
      </c>
      <c r="P21" s="77">
        <f t="shared" si="1"/>
        <v>167200</v>
      </c>
      <c r="Q21" s="33">
        <v>0.2</v>
      </c>
      <c r="R21" s="27"/>
      <c r="S21" s="27" t="s">
        <v>32</v>
      </c>
      <c r="T21" s="75">
        <v>0</v>
      </c>
      <c r="U2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الشراء-الاستلام]]&lt;DATE(2016,1,1),P21-T21,0))</f>
        <v>0</v>
      </c>
      <c r="V21" s="75">
        <f>IF(OR(Table5101345[[#This Row],[تاريخ الشراء-الاستلام]]="",Table5101345[[#This Row],[الإجمالي]]="",Table5101345[[#This Row],[العمر الافتراضي]]=""),"",IF(AND(T21&lt;P21,U21&gt;(P21*Q21),DATE(2015,12,31)&gt;K21),P21*Q21,IF(AND(T21&lt;P21,DATE(2016,12,31)&gt;K21,U21&gt;(P21*Q21)),(DATE(2016,12,31)-K21)/((100%/Q21)*365)*P21,IF(AND(T21&lt;P21,DATE(2016,12,31)&gt;K21,U21=0),(DATE(2016,12,31)-K21)/((100%/Q21)*365)*P21,IF(AND(T21&lt;P21,DATE(2016,12,31)&gt;K21,U21&lt;(P21*Q21)),U21,0)))))</f>
        <v>0</v>
      </c>
      <c r="W21" s="75">
        <f>IF(OR(Table5101345[[#This Row],[تاريخ الشراء-الاستلام]]="",Table5101345[[#This Row],[الإجمالي]]="",Table5101345[[#This Row],[العمر الافتراضي]]=""),"",IF(AND(T21&lt;P21,U21&gt;(P21*Q21),DATE(2016,12,31)&gt;K21),P21*Q21,IF(AND(T21&lt;P21,DATE(2017,12,31)&gt;K21,U21&gt;(P21*Q21)),(DATE(2017,12,31)-K21)/((100%/Q21)*360)*P21,IF(Table5101345[[#This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1" s="75">
        <f>IF(OR(Table5101345[[#This Row],[تاريخ الشراء-الاستلام]]="",Table5101345[[#This Row],[الإجمالي]]="",Table5101345[[#This Row],[العمر الافتراضي]]=""),"",T21+V21)</f>
        <v>0</v>
      </c>
      <c r="Y2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الشراء-الاستلام]]&gt;DATE(2016,12,31),0,P21-X21))</f>
        <v>167200</v>
      </c>
    </row>
    <row r="22" spans="1:25" ht="30" customHeight="1">
      <c r="A22" s="27">
        <f>IF(C22="","",SUBTOTAL(3,$C$5:C22))</f>
        <v>17</v>
      </c>
      <c r="B22" s="92">
        <v>42732</v>
      </c>
      <c r="C22" s="88" t="s">
        <v>68</v>
      </c>
      <c r="D22" s="27" t="s">
        <v>27</v>
      </c>
      <c r="E22" s="84" t="s">
        <v>28</v>
      </c>
      <c r="F22" s="27" t="s">
        <v>69</v>
      </c>
      <c r="G22" s="27"/>
      <c r="H22" s="27" t="s">
        <v>37</v>
      </c>
      <c r="I22" s="27"/>
      <c r="J22" s="84"/>
      <c r="K22" s="96">
        <v>42732</v>
      </c>
      <c r="L22" s="29" t="s">
        <v>70</v>
      </c>
      <c r="M22" s="79">
        <v>1</v>
      </c>
      <c r="N22" s="31"/>
      <c r="O22" s="77">
        <v>1417</v>
      </c>
      <c r="P22" s="77">
        <f t="shared" si="1"/>
        <v>1417</v>
      </c>
      <c r="Q22" s="35">
        <v>0.1</v>
      </c>
      <c r="R22" s="27"/>
      <c r="S22" s="27" t="s">
        <v>32</v>
      </c>
      <c r="T22" s="75">
        <v>0</v>
      </c>
      <c r="U2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الشراء-الاستلام]]&lt;DATE(2016,1,1),P22-T22,0))</f>
        <v>0</v>
      </c>
      <c r="V22" s="75">
        <f>IF(OR(Table5101345[[#This Row],[تاريخ الشراء-الاستلام]]="",Table5101345[[#This Row],[الإجمالي]]="",Table5101345[[#This Row],[العمر الافتراضي]]=""),"",IF(AND(T22&lt;P22,U22&gt;(P22*Q22),DATE(2015,12,31)&gt;K22),P22*Q22,IF(AND(T22&lt;P22,DATE(2016,12,31)&gt;K22,U22&gt;(P22*Q22)),(DATE(2016,12,31)-K22)/((100%/Q22)*365)*P22,IF(AND(T22&lt;P22,DATE(2016,12,31)&gt;K22,U22=0),(DATE(2016,12,31)-K22)/((100%/Q22)*365)*P22,IF(AND(T22&lt;P22,DATE(2016,12,31)&gt;K22,U22&lt;(P22*Q22)),U22,0)))))</f>
        <v>1.1646575342465755</v>
      </c>
      <c r="W22" s="75">
        <f>IF(OR(Table5101345[[#This Row],[تاريخ الشراء-الاستلام]]="",Table5101345[[#This Row],[الإجمالي]]="",Table5101345[[#This Row],[العمر الافتراضي]]=""),"",IF(AND(T22&lt;P22,U22&gt;(P22*Q22),DATE(2016,12,31)&gt;K22),P22*Q22,IF(AND(T22&lt;P22,DATE(2017,12,31)&gt;K22,U22&gt;(P22*Q22)),(DATE(2017,12,31)-K22)/((100%/Q22)*360)*P22,IF(Table5101345[[#This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2" s="75">
        <f>IF(OR(Table5101345[[#This Row],[تاريخ الشراء-الاستلام]]="",Table5101345[[#This Row],[الإجمالي]]="",Table5101345[[#This Row],[العمر الافتراضي]]=""),"",T22+V22)</f>
        <v>1.1646575342465755</v>
      </c>
      <c r="Y2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الشراء-الاستلام]]&gt;DATE(2016,12,31),0,P22-X22))</f>
        <v>1415.8353424657535</v>
      </c>
    </row>
    <row r="23" spans="1:25" ht="30" customHeight="1">
      <c r="A23" s="27">
        <f>IF(C23="","",SUBTOTAL(3,$C$5:C23))</f>
        <v>18</v>
      </c>
      <c r="B23" s="92">
        <v>42732</v>
      </c>
      <c r="C23" s="89" t="s">
        <v>71</v>
      </c>
      <c r="D23" s="31" t="s">
        <v>27</v>
      </c>
      <c r="E23" s="84" t="s">
        <v>28</v>
      </c>
      <c r="F23" s="27" t="s">
        <v>69</v>
      </c>
      <c r="G23" s="27"/>
      <c r="H23" s="27" t="s">
        <v>37</v>
      </c>
      <c r="I23" s="27"/>
      <c r="J23" s="84"/>
      <c r="K23" s="96">
        <v>42732</v>
      </c>
      <c r="L23" s="29" t="s">
        <v>70</v>
      </c>
      <c r="M23" s="79">
        <v>1</v>
      </c>
      <c r="N23" s="31"/>
      <c r="O23" s="77">
        <v>683</v>
      </c>
      <c r="P23" s="77">
        <f t="shared" si="1"/>
        <v>683</v>
      </c>
      <c r="Q23" s="35">
        <v>0.1</v>
      </c>
      <c r="R23" s="27"/>
      <c r="S23" s="27" t="s">
        <v>32</v>
      </c>
      <c r="T23" s="75">
        <v>0</v>
      </c>
      <c r="U2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الشراء-الاستلام]]&lt;DATE(2016,1,1),P23-T23,0))</f>
        <v>0</v>
      </c>
      <c r="V23" s="75">
        <f>IF(OR(Table5101345[[#This Row],[تاريخ الشراء-الاستلام]]="",Table5101345[[#This Row],[الإجمالي]]="",Table5101345[[#This Row],[العمر الافتراضي]]=""),"",IF(AND(T23&lt;P23,U23&gt;(P23*Q23),DATE(2015,12,31)&gt;K23),P23*Q23,IF(AND(T23&lt;P23,DATE(2016,12,31)&gt;K23,U23&gt;(P23*Q23)),(DATE(2016,12,31)-K23)/((100%/Q23)*365)*P23,IF(AND(T23&lt;P23,DATE(2016,12,31)&gt;K23,U23=0),(DATE(2016,12,31)-K23)/((100%/Q23)*365)*P23,IF(AND(T23&lt;P23,DATE(2016,12,31)&gt;K23,U23&lt;(P23*Q23)),U23,0)))))</f>
        <v>0.56136986301369862</v>
      </c>
      <c r="W23" s="75">
        <f>IF(OR(Table5101345[[#This Row],[تاريخ الشراء-الاستلام]]="",Table5101345[[#This Row],[الإجمالي]]="",Table5101345[[#This Row],[العمر الافتراضي]]=""),"",IF(AND(T23&lt;P23,U23&gt;(P23*Q23),DATE(2016,12,31)&gt;K23),P23*Q23,IF(AND(T23&lt;P23,DATE(2017,12,31)&gt;K23,U23&gt;(P23*Q23)),(DATE(2017,12,31)-K23)/((100%/Q23)*360)*P23,IF(Table5101345[[#This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3" s="75">
        <f>IF(OR(Table5101345[[#This Row],[تاريخ الشراء-الاستلام]]="",Table5101345[[#This Row],[الإجمالي]]="",Table5101345[[#This Row],[العمر الافتراضي]]=""),"",T23+V23)</f>
        <v>0.56136986301369862</v>
      </c>
      <c r="Y2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الشراء-الاستلام]]&gt;DATE(2016,12,31),0,P23-X23))</f>
        <v>682.43863013698626</v>
      </c>
    </row>
    <row r="24" spans="1:25" ht="30" customHeight="1">
      <c r="A24" s="27">
        <f>IF(C24="","",SUBTOTAL(3,$C$5:C24))</f>
        <v>19</v>
      </c>
      <c r="B24" s="92">
        <v>42729</v>
      </c>
      <c r="C24" s="88" t="s">
        <v>72</v>
      </c>
      <c r="D24" s="27" t="s">
        <v>27</v>
      </c>
      <c r="E24" s="84" t="s">
        <v>28</v>
      </c>
      <c r="F24" s="27" t="s">
        <v>29</v>
      </c>
      <c r="G24" s="27"/>
      <c r="H24" s="27" t="s">
        <v>37</v>
      </c>
      <c r="I24" s="27"/>
      <c r="J24" s="84"/>
      <c r="K24" s="96">
        <v>42735</v>
      </c>
      <c r="L24" s="29" t="s">
        <v>73</v>
      </c>
      <c r="M24" s="79">
        <v>1</v>
      </c>
      <c r="N24" s="31"/>
      <c r="O24" s="77">
        <v>900</v>
      </c>
      <c r="P24" s="77">
        <f t="shared" si="1"/>
        <v>900</v>
      </c>
      <c r="Q24" s="35">
        <v>0.1</v>
      </c>
      <c r="R24" s="27"/>
      <c r="S24" s="27" t="s">
        <v>32</v>
      </c>
      <c r="T24" s="75">
        <v>0</v>
      </c>
      <c r="U2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الشراء-الاستلام]]&lt;DATE(2016,1,1),P24-T24,0))</f>
        <v>0</v>
      </c>
      <c r="V24" s="75">
        <f>IF(OR(Table5101345[[#This Row],[تاريخ الشراء-الاستلام]]="",Table5101345[[#This Row],[الإجمالي]]="",Table5101345[[#This Row],[العمر الافتراضي]]=""),"",IF(AND(T24&lt;P24,U24&gt;(P24*Q24),DATE(2015,12,31)&gt;K24),P24*Q24,IF(AND(T24&lt;P24,DATE(2016,12,31)&gt;K24,U24&gt;(P24*Q24)),(DATE(2016,12,31)-K24)/((100%/Q24)*365)*P24,IF(AND(T24&lt;P24,DATE(2016,12,31)&gt;K24,U24=0),(DATE(2016,12,31)-K24)/((100%/Q24)*365)*P24,IF(AND(T24&lt;P24,DATE(2016,12,31)&gt;K24,U24&lt;(P24*Q24)),U24,0)))))</f>
        <v>0</v>
      </c>
      <c r="W24" s="75">
        <f>IF(OR(Table5101345[[#This Row],[تاريخ الشراء-الاستلام]]="",Table5101345[[#This Row],[الإجمالي]]="",Table5101345[[#This Row],[العمر الافتراضي]]=""),"",IF(AND(T24&lt;P24,U24&gt;(P24*Q24),DATE(2016,12,31)&gt;K24),P24*Q24,IF(AND(T24&lt;P24,DATE(2017,12,31)&gt;K24,U24&gt;(P24*Q24)),(DATE(2017,12,31)-K24)/((100%/Q24)*360)*P24,IF(Table5101345[[#This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4" s="75">
        <f>IF(OR(Table5101345[[#This Row],[تاريخ الشراء-الاستلام]]="",Table5101345[[#This Row],[الإجمالي]]="",Table5101345[[#This Row],[العمر الافتراضي]]=""),"",T24+V24)</f>
        <v>0</v>
      </c>
      <c r="Y2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الشراء-الاستلام]]&gt;DATE(2016,12,31),0,P24-X24))</f>
        <v>900</v>
      </c>
    </row>
    <row r="25" spans="1:25" ht="30" customHeight="1">
      <c r="A25" s="27">
        <f>IF(C25="","",SUBTOTAL(3,$C$5:C25))</f>
        <v>20</v>
      </c>
      <c r="B25" s="92">
        <v>42573</v>
      </c>
      <c r="C25" s="88" t="s">
        <v>50</v>
      </c>
      <c r="D25" s="27" t="s">
        <v>27</v>
      </c>
      <c r="E25" s="84" t="s">
        <v>51</v>
      </c>
      <c r="F25" s="27" t="s">
        <v>29</v>
      </c>
      <c r="G25" s="27" t="s">
        <v>56</v>
      </c>
      <c r="H25" s="27" t="s">
        <v>74</v>
      </c>
      <c r="I25" s="31" t="s">
        <v>75</v>
      </c>
      <c r="J25" s="84">
        <v>8469</v>
      </c>
      <c r="K25" s="96">
        <f>DATE(2016,8,12)</f>
        <v>42594</v>
      </c>
      <c r="L25" s="29" t="s">
        <v>53</v>
      </c>
      <c r="M25" s="79">
        <v>1</v>
      </c>
      <c r="N25" s="31"/>
      <c r="O25" s="77">
        <v>40000</v>
      </c>
      <c r="P25" s="77">
        <f t="shared" si="1"/>
        <v>40000</v>
      </c>
      <c r="Q25" s="35">
        <v>0.2</v>
      </c>
      <c r="R25" s="27"/>
      <c r="S25" s="27" t="s">
        <v>32</v>
      </c>
      <c r="T25" s="75">
        <v>0</v>
      </c>
      <c r="U2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الشراء-الاستلام]]&lt;DATE(2016,1,1),P25-T25,0))</f>
        <v>0</v>
      </c>
      <c r="V25" s="75">
        <f>IF(OR(Table5101345[[#This Row],[تاريخ الشراء-الاستلام]]="",Table5101345[[#This Row],[الإجمالي]]="",Table5101345[[#This Row],[العمر الافتراضي]]=""),"",IF(AND(T25&lt;P25,U25&gt;(P25*Q25),DATE(2015,12,31)&gt;K25),P25*Q25,IF(AND(T25&lt;P25,DATE(2016,12,31)&gt;K25,U25&gt;(P25*Q25)),(DATE(2016,12,31)-K25)/((100%/Q25)*365)*P25,IF(AND(T25&lt;P25,DATE(2016,12,31)&gt;K25,U25=0),(DATE(2016,12,31)-K25)/((100%/Q25)*365)*P25,IF(AND(T25&lt;P25,DATE(2016,12,31)&gt;K25,U25&lt;(P25*Q25)),U25,0)))))</f>
        <v>3090.4109589041095</v>
      </c>
      <c r="W25" s="75">
        <f>IF(OR(Table5101345[[#This Row],[تاريخ الشراء-الاستلام]]="",Table5101345[[#This Row],[الإجمالي]]="",Table5101345[[#This Row],[العمر الافتراضي]]=""),"",IF(AND(T25&lt;P25,U25&gt;(P25*Q25),DATE(2016,12,31)&gt;K25),P25*Q25,IF(AND(T25&lt;P25,DATE(2017,12,31)&gt;K25,U25&gt;(P25*Q25)),(DATE(2017,12,31)-K25)/((100%/Q25)*360)*P25,IF(Table5101345[[#This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5" s="75">
        <f>IF(OR(Table5101345[[#This Row],[تاريخ الشراء-الاستلام]]="",Table5101345[[#This Row],[الإجمالي]]="",Table5101345[[#This Row],[العمر الافتراضي]]=""),"",T25+V25)</f>
        <v>3090.4109589041095</v>
      </c>
      <c r="Y2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الشراء-الاستلام]]&gt;DATE(2016,12,31),0,P25-X25))</f>
        <v>36909.589041095889</v>
      </c>
    </row>
    <row r="26" spans="1:25" ht="30" customHeight="1">
      <c r="A26" s="27">
        <f>IF(C26="","",SUBTOTAL(3,$C$5:C26))</f>
        <v>21</v>
      </c>
      <c r="B26" s="92">
        <v>42573</v>
      </c>
      <c r="C26" s="88" t="s">
        <v>50</v>
      </c>
      <c r="D26" s="27" t="s">
        <v>27</v>
      </c>
      <c r="E26" s="84" t="s">
        <v>51</v>
      </c>
      <c r="F26" s="27" t="s">
        <v>76</v>
      </c>
      <c r="G26" s="27"/>
      <c r="H26" s="27" t="s">
        <v>74</v>
      </c>
      <c r="I26" s="27" t="s">
        <v>77</v>
      </c>
      <c r="J26" s="84">
        <v>8467</v>
      </c>
      <c r="K26" s="96">
        <f>DATE(2016,8,12)+0.7</f>
        <v>42594.7</v>
      </c>
      <c r="L26" s="29" t="s">
        <v>53</v>
      </c>
      <c r="M26" s="79">
        <v>1</v>
      </c>
      <c r="N26" s="31"/>
      <c r="O26" s="77">
        <v>40000</v>
      </c>
      <c r="P26" s="77">
        <f t="shared" si="1"/>
        <v>40000</v>
      </c>
      <c r="Q26" s="35">
        <v>0.2</v>
      </c>
      <c r="R26" s="27"/>
      <c r="S26" s="27" t="s">
        <v>32</v>
      </c>
      <c r="T26" s="75">
        <v>0</v>
      </c>
      <c r="U2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الشراء-الاستلام]]&lt;DATE(2016,1,1),P26-T26,0))</f>
        <v>0</v>
      </c>
      <c r="V26" s="75">
        <f>IF(OR(Table5101345[[#This Row],[تاريخ الشراء-الاستلام]]="",Table5101345[[#This Row],[الإجمالي]]="",Table5101345[[#This Row],[العمر الافتراضي]]=""),"",IF(AND(T26&lt;P26,U26&gt;(P26*Q26),DATE(2015,12,31)&gt;K26),P26*Q26,IF(AND(T26&lt;P26,DATE(2016,12,31)&gt;K26,U26&gt;(P26*Q26)),(DATE(2016,12,31)-K26)/((100%/Q26)*365)*P26,IF(AND(T26&lt;P26,DATE(2016,12,31)&gt;K26,U26=0),(DATE(2016,12,31)-K26)/((100%/Q26)*365)*P26,IF(AND(T26&lt;P26,DATE(2016,12,31)&gt;K26,U26&lt;(P26*Q26)),U26,0)))))</f>
        <v>3075.068493150749</v>
      </c>
      <c r="W26" s="75">
        <f>IF(OR(Table5101345[[#This Row],[تاريخ الشراء-الاستلام]]="",Table5101345[[#This Row],[الإجمالي]]="",Table5101345[[#This Row],[العمر الافتراضي]]=""),"",IF(AND(T26&lt;P26,U26&gt;(P26*Q26),DATE(2016,12,31)&gt;K26),P26*Q26,IF(AND(T26&lt;P26,DATE(2017,12,31)&gt;K26,U26&gt;(P26*Q26)),(DATE(2017,12,31)-K26)/((100%/Q26)*360)*P26,IF(Table5101345[[#This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6" s="75">
        <f>IF(OR(Table5101345[[#This Row],[تاريخ الشراء-الاستلام]]="",Table5101345[[#This Row],[الإجمالي]]="",Table5101345[[#This Row],[العمر الافتراضي]]=""),"",T26+V26)</f>
        <v>3075.068493150749</v>
      </c>
      <c r="Y2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الشراء-الاستلام]]&gt;DATE(2016,12,31),0,P26-X26))</f>
        <v>36924.931506849251</v>
      </c>
    </row>
    <row r="27" spans="1:25" ht="30" customHeight="1">
      <c r="A27" s="27">
        <f>IF(C27="","",SUBTOTAL(3,$C$5:C27))</f>
        <v>22</v>
      </c>
      <c r="B27" s="92">
        <v>42573</v>
      </c>
      <c r="C27" s="88" t="s">
        <v>50</v>
      </c>
      <c r="D27" s="27" t="s">
        <v>27</v>
      </c>
      <c r="E27" s="84" t="s">
        <v>51</v>
      </c>
      <c r="F27" s="27" t="s">
        <v>29</v>
      </c>
      <c r="G27" s="27" t="s">
        <v>78</v>
      </c>
      <c r="H27" s="27" t="s">
        <v>45</v>
      </c>
      <c r="I27" s="27" t="s">
        <v>46</v>
      </c>
      <c r="J27" s="84">
        <v>8468</v>
      </c>
      <c r="K27" s="96">
        <f t="shared" ref="K27:K28" si="2">DATE(2016,8,13)</f>
        <v>42595</v>
      </c>
      <c r="L27" s="29" t="s">
        <v>53</v>
      </c>
      <c r="M27" s="79">
        <v>1</v>
      </c>
      <c r="N27" s="31"/>
      <c r="O27" s="77">
        <v>40000</v>
      </c>
      <c r="P27" s="77">
        <f t="shared" si="1"/>
        <v>40000</v>
      </c>
      <c r="Q27" s="35">
        <v>0.2</v>
      </c>
      <c r="R27" s="27"/>
      <c r="S27" s="27" t="s">
        <v>32</v>
      </c>
      <c r="T27" s="75">
        <v>0</v>
      </c>
      <c r="U2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الشراء-الاستلام]]&lt;DATE(2016,1,1),P27-T27,0))</f>
        <v>0</v>
      </c>
      <c r="V27" s="75">
        <f>IF(OR(Table5101345[[#This Row],[تاريخ الشراء-الاستلام]]="",Table5101345[[#This Row],[الإجمالي]]="",Table5101345[[#This Row],[العمر الافتراضي]]=""),"",IF(AND(T27&lt;P27,U27&gt;(P27*Q27),DATE(2015,12,31)&gt;K27),P27*Q27,IF(AND(T27&lt;P27,DATE(2016,12,31)&gt;K27,U27&gt;(P27*Q27)),(DATE(2016,12,31)-K27)/((100%/Q27)*365)*P27,IF(AND(T27&lt;P27,DATE(2016,12,31)&gt;K27,U27=0),(DATE(2016,12,31)-K27)/((100%/Q27)*365)*P27,IF(AND(T27&lt;P27,DATE(2016,12,31)&gt;K27,U27&lt;(P27*Q27)),U27,0)))))</f>
        <v>3068.4931506849316</v>
      </c>
      <c r="W27" s="75">
        <f>IF(OR(Table5101345[[#This Row],[تاريخ الشراء-الاستلام]]="",Table5101345[[#This Row],[الإجمالي]]="",Table5101345[[#This Row],[العمر الافتراضي]]=""),"",IF(AND(T27&lt;P27,U27&gt;(P27*Q27),DATE(2016,12,31)&gt;K27),P27*Q27,IF(AND(T27&lt;P27,DATE(2017,12,31)&gt;K27,U27&gt;(P27*Q27)),(DATE(2017,12,31)-K27)/((100%/Q27)*360)*P27,IF(Table5101345[[#This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7" s="75">
        <f>IF(OR(Table5101345[[#This Row],[تاريخ الشراء-الاستلام]]="",Table5101345[[#This Row],[الإجمالي]]="",Table5101345[[#This Row],[العمر الافتراضي]]=""),"",T27+V27)</f>
        <v>3068.4931506849316</v>
      </c>
      <c r="Y2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الشراء-الاستلام]]&gt;DATE(2016,12,31),0,P27-X27))</f>
        <v>36931.506849315068</v>
      </c>
    </row>
    <row r="28" spans="1:25" ht="30" customHeight="1">
      <c r="A28" s="27">
        <f>IF(C28="","",SUBTOTAL(3,$C$5:C28))</f>
        <v>23</v>
      </c>
      <c r="B28" s="92">
        <v>42573</v>
      </c>
      <c r="C28" s="88" t="s">
        <v>50</v>
      </c>
      <c r="D28" s="27" t="s">
        <v>27</v>
      </c>
      <c r="E28" s="84" t="s">
        <v>51</v>
      </c>
      <c r="F28" s="27" t="s">
        <v>29</v>
      </c>
      <c r="G28" s="27" t="s">
        <v>56</v>
      </c>
      <c r="H28" s="27" t="s">
        <v>79</v>
      </c>
      <c r="I28" s="27" t="s">
        <v>80</v>
      </c>
      <c r="J28" s="84">
        <v>8470</v>
      </c>
      <c r="K28" s="96">
        <f t="shared" si="2"/>
        <v>42595</v>
      </c>
      <c r="L28" s="29" t="s">
        <v>53</v>
      </c>
      <c r="M28" s="79">
        <v>1</v>
      </c>
      <c r="N28" s="31"/>
      <c r="O28" s="77">
        <v>40000</v>
      </c>
      <c r="P28" s="77">
        <f t="shared" si="1"/>
        <v>40000</v>
      </c>
      <c r="Q28" s="35">
        <v>0.2</v>
      </c>
      <c r="R28" s="27"/>
      <c r="S28" s="27" t="s">
        <v>32</v>
      </c>
      <c r="T28" s="75">
        <v>0</v>
      </c>
      <c r="U2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الشراء-الاستلام]]&lt;DATE(2016,1,1),P28-T28,0))</f>
        <v>0</v>
      </c>
      <c r="V28" s="75">
        <f>IF(OR(Table5101345[[#This Row],[تاريخ الشراء-الاستلام]]="",Table5101345[[#This Row],[الإجمالي]]="",Table5101345[[#This Row],[العمر الافتراضي]]=""),"",IF(AND(T28&lt;P28,U28&gt;(P28*Q28),DATE(2015,12,31)&gt;K28),P28*Q28,IF(AND(T28&lt;P28,DATE(2016,12,31)&gt;K28,U28&gt;(P28*Q28)),(DATE(2016,12,31)-K28)/((100%/Q28)*365)*P28,IF(AND(T28&lt;P28,DATE(2016,12,31)&gt;K28,U28=0),(DATE(2016,12,31)-K28)/((100%/Q28)*365)*P28,IF(AND(T28&lt;P28,DATE(2016,12,31)&gt;K28,U28&lt;(P28*Q28)),U28,0)))))</f>
        <v>3068.4931506849316</v>
      </c>
      <c r="W28" s="75">
        <f>IF(OR(Table5101345[[#This Row],[تاريخ الشراء-الاستلام]]="",Table5101345[[#This Row],[الإجمالي]]="",Table5101345[[#This Row],[العمر الافتراضي]]=""),"",IF(AND(T28&lt;P28,U28&gt;(P28*Q28),DATE(2016,12,31)&gt;K28),P28*Q28,IF(AND(T28&lt;P28,DATE(2017,12,31)&gt;K28,U28&gt;(P28*Q28)),(DATE(2017,12,31)-K28)/((100%/Q28)*360)*P28,IF(Table5101345[[#This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8" s="75">
        <f>IF(OR(Table5101345[[#This Row],[تاريخ الشراء-الاستلام]]="",Table5101345[[#This Row],[الإجمالي]]="",Table5101345[[#This Row],[العمر الافتراضي]]=""),"",T28+V28)</f>
        <v>3068.4931506849316</v>
      </c>
      <c r="Y2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الشراء-الاستلام]]&gt;DATE(2016,12,31),0,P28-X28))</f>
        <v>36931.506849315068</v>
      </c>
    </row>
    <row r="29" spans="1:25" ht="48" customHeight="1">
      <c r="A29" s="27">
        <f>IF(C29="","",SUBTOTAL(3,$C$5:C29))</f>
        <v>24</v>
      </c>
      <c r="B29" s="93" t="s">
        <v>81</v>
      </c>
      <c r="C29" s="88" t="s">
        <v>54</v>
      </c>
      <c r="D29" s="27" t="s">
        <v>27</v>
      </c>
      <c r="E29" s="84" t="s">
        <v>55</v>
      </c>
      <c r="F29" s="27" t="s">
        <v>82</v>
      </c>
      <c r="G29" s="27"/>
      <c r="H29" s="27" t="s">
        <v>37</v>
      </c>
      <c r="I29" s="27"/>
      <c r="J29" s="85" t="s">
        <v>83</v>
      </c>
      <c r="K29" s="96">
        <v>42619</v>
      </c>
      <c r="L29" s="29" t="s">
        <v>58</v>
      </c>
      <c r="M29" s="79">
        <v>1</v>
      </c>
      <c r="N29" s="31"/>
      <c r="O29" s="77">
        <v>160000</v>
      </c>
      <c r="P29" s="77">
        <f t="shared" si="1"/>
        <v>160000</v>
      </c>
      <c r="Q29" s="33">
        <v>0.2</v>
      </c>
      <c r="R29" s="27"/>
      <c r="S29" s="27" t="s">
        <v>32</v>
      </c>
      <c r="T29" s="75">
        <v>0</v>
      </c>
      <c r="U2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الشراء-الاستلام]]&lt;DATE(2016,1,1),P29-T29,0))</f>
        <v>0</v>
      </c>
      <c r="V29" s="75">
        <f>IF(OR(Table5101345[[#This Row],[تاريخ الشراء-الاستلام]]="",Table5101345[[#This Row],[الإجمالي]]="",Table5101345[[#This Row],[العمر الافتراضي]]=""),"",IF(AND(T29&lt;P29,U29&gt;(P29*Q29),DATE(2015,12,31)&gt;K29),P29*Q29,IF(AND(T29&lt;P29,DATE(2016,12,31)&gt;K29,U29&gt;(P29*Q29)),(DATE(2016,12,31)-K29)/((100%/Q29)*365)*P29,IF(AND(T29&lt;P29,DATE(2016,12,31)&gt;K29,U29=0),(DATE(2016,12,31)-K29)/((100%/Q29)*365)*P29,IF(AND(T29&lt;P29,DATE(2016,12,31)&gt;K29,U29&lt;(P29*Q29)),U29,0)))))</f>
        <v>10169.86301369863</v>
      </c>
      <c r="W29" s="75">
        <f>IF(OR(Table5101345[[#This Row],[تاريخ الشراء-الاستلام]]="",Table5101345[[#This Row],[الإجمالي]]="",Table5101345[[#This Row],[العمر الافتراضي]]=""),"",IF(AND(T29&lt;P29,U29&gt;(P29*Q29),DATE(2016,12,31)&gt;K29),P29*Q29,IF(AND(T29&lt;P29,DATE(2017,12,31)&gt;K29,U29&gt;(P29*Q29)),(DATE(2017,12,31)-K29)/((100%/Q29)*360)*P29,IF(Table5101345[[#This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29" s="75">
        <f>IF(OR(Table5101345[[#This Row],[تاريخ الشراء-الاستلام]]="",Table5101345[[#This Row],[الإجمالي]]="",Table5101345[[#This Row],[العمر الافتراضي]]=""),"",T29+V29)</f>
        <v>10169.86301369863</v>
      </c>
      <c r="Y2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الشراء-الاستلام]]&gt;DATE(2016,12,31),0,P29-X29))</f>
        <v>149830.13698630137</v>
      </c>
    </row>
    <row r="30" spans="1:25" ht="48" customHeight="1">
      <c r="A30" s="38">
        <f>IF(C30="","",SUBTOTAL(3,$C$5:C156))</f>
        <v>67</v>
      </c>
      <c r="B30" s="94" t="s">
        <v>81</v>
      </c>
      <c r="C30" s="88" t="s">
        <v>54</v>
      </c>
      <c r="D30" s="27" t="s">
        <v>27</v>
      </c>
      <c r="E30" s="84" t="s">
        <v>55</v>
      </c>
      <c r="F30" s="27" t="s">
        <v>84</v>
      </c>
      <c r="G30" s="27"/>
      <c r="H30" s="27" t="s">
        <v>37</v>
      </c>
      <c r="I30" s="27"/>
      <c r="J30" s="85" t="s">
        <v>85</v>
      </c>
      <c r="K30" s="96">
        <v>42619</v>
      </c>
      <c r="L30" s="29" t="s">
        <v>58</v>
      </c>
      <c r="M30" s="79">
        <v>1</v>
      </c>
      <c r="N30" s="31"/>
      <c r="O30" s="77">
        <v>160000</v>
      </c>
      <c r="P30" s="77">
        <f t="shared" si="1"/>
        <v>160000</v>
      </c>
      <c r="Q30" s="33">
        <v>0.2</v>
      </c>
      <c r="R30" s="27"/>
      <c r="S30" s="27" t="s">
        <v>32</v>
      </c>
      <c r="T30" s="75">
        <v>0</v>
      </c>
      <c r="U3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الشراء-الاستلام]]&lt;DATE(2016,1,1),P30-T30,0))</f>
        <v>0</v>
      </c>
      <c r="V30" s="75">
        <f>IF(OR(Table5101345[[#This Row],[تاريخ الشراء-الاستلام]]="",Table5101345[[#This Row],[الإجمالي]]="",Table5101345[[#This Row],[العمر الافتراضي]]=""),"",IF(AND(T30&lt;P30,U30&gt;(P30*Q30),DATE(2015,12,31)&gt;K30),P30*Q30,IF(AND(T30&lt;P30,DATE(2016,12,31)&gt;K30,U30&gt;(P30*Q30)),(DATE(2016,12,31)-K30)/((100%/Q30)*365)*P30,IF(AND(T30&lt;P30,DATE(2016,12,31)&gt;K30,U30=0),(DATE(2016,12,31)-K30)/((100%/Q30)*365)*P30,IF(AND(T30&lt;P30,DATE(2016,12,31)&gt;K30,U30&lt;(P30*Q30)),U30,0)))))</f>
        <v>10169.86301369863</v>
      </c>
      <c r="W30" s="75">
        <f>IF(OR(Table5101345[[#This Row],[تاريخ الشراء-الاستلام]]="",Table5101345[[#This Row],[الإجمالي]]="",Table5101345[[#This Row],[العمر الافتراضي]]=""),"",IF(AND(T30&lt;P30,U30&gt;(P30*Q30),DATE(2016,12,31)&gt;K30),P30*Q30,IF(AND(T30&lt;P30,DATE(2017,12,31)&gt;K30,U30&gt;(P30*Q30)),(DATE(2017,12,31)-K30)/((100%/Q30)*360)*P30,IF(Table5101345[[#This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30" s="75">
        <f>IF(OR(Table5101345[[#This Row],[تاريخ الشراء-الاستلام]]="",Table5101345[[#This Row],[الإجمالي]]="",Table5101345[[#This Row],[العمر الافتراضي]]=""),"",T30+V30)</f>
        <v>10169.86301369863</v>
      </c>
      <c r="Y3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الشراء-الاستلام]]&gt;DATE(2016,12,31),0,P30-X30))</f>
        <v>149830.13698630137</v>
      </c>
    </row>
    <row r="31" spans="1:25" ht="48" hidden="1" customHeight="1">
      <c r="A31" s="27">
        <f>IF(C31="","",SUBTOTAL(3,$C$5:C31))</f>
        <v>25</v>
      </c>
      <c r="B31" s="81"/>
      <c r="C31" s="88" t="s">
        <v>86</v>
      </c>
      <c r="D31" s="27" t="s">
        <v>87</v>
      </c>
      <c r="E31" s="84" t="s">
        <v>55</v>
      </c>
      <c r="F31" s="27" t="s">
        <v>76</v>
      </c>
      <c r="G31" s="27"/>
      <c r="H31" s="27" t="s">
        <v>37</v>
      </c>
      <c r="I31" s="27"/>
      <c r="J31" s="85" t="s">
        <v>88</v>
      </c>
      <c r="K31" s="96">
        <v>42005</v>
      </c>
      <c r="L31" s="29"/>
      <c r="M31" s="79">
        <v>1</v>
      </c>
      <c r="N31" s="31"/>
      <c r="O31" s="77">
        <v>217360</v>
      </c>
      <c r="P31" s="77">
        <f t="shared" si="1"/>
        <v>217360</v>
      </c>
      <c r="Q31" s="33">
        <v>0.2</v>
      </c>
      <c r="R31" s="27"/>
      <c r="S31" s="27" t="s">
        <v>32</v>
      </c>
      <c r="T31" s="75">
        <v>43352.898630136988</v>
      </c>
      <c r="U3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الشراء-الاستلام]]&lt;DATE(2016,1,1),P31-T31,0))</f>
        <v>174007.10136986303</v>
      </c>
      <c r="V31" s="75">
        <f>IF(OR(Table5101345[[#This Row],[تاريخ الشراء-الاستلام]]="",Table5101345[[#This Row],[الإجمالي]]="",Table5101345[[#This Row],[العمر الافتراضي]]=""),"",IF(AND(T31&lt;P31,U31&gt;(P31*Q31),DATE(2015,12,31)&gt;K31),P31*Q31,IF(AND(T31&lt;P31,DATE(2016,12,31)&gt;K31,U31&gt;(P31*Q31)),(DATE(2016,12,31)-K31)/((100%/Q31)*365)*P31,IF(AND(T31&lt;P31,DATE(2016,12,31)&gt;K31,U31=0),(DATE(2016,12,31)-K31)/((100%/Q31)*365)*P31,IF(AND(T31&lt;P31,DATE(2016,12,31)&gt;K31,U31&lt;(P31*Q31)),U31,0)))))</f>
        <v>43472</v>
      </c>
      <c r="W31" s="75">
        <f>IF(OR(Table5101345[[#This Row],[تاريخ الشراء-الاستلام]]="",Table5101345[[#This Row],[الإجمالي]]="",Table5101345[[#This Row],[العمر الافتراضي]]=""),"",IF(AND(T31&lt;P31,U31&gt;(P31*Q31),DATE(2016,12,31)&gt;K31),P31*Q31,IF(AND(T31&lt;P31,DATE(2017,12,31)&gt;K31,U31&gt;(P31*Q31)),(DATE(2017,12,31)-K31)/((100%/Q31)*360)*P31,IF(Table5101345[[#This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43472</v>
      </c>
      <c r="X31" s="75">
        <f>IF(OR(Table5101345[[#This Row],[تاريخ الشراء-الاستلام]]="",Table5101345[[#This Row],[الإجمالي]]="",Table5101345[[#This Row],[العمر الافتراضي]]=""),"",T31+V31)</f>
        <v>86824.898630136988</v>
      </c>
      <c r="Y3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الشراء-الاستلام]]&gt;DATE(2016,12,31),0,P31-X31))</f>
        <v>130535.10136986301</v>
      </c>
    </row>
    <row r="32" spans="1:25" ht="48" hidden="1" customHeight="1">
      <c r="A32" s="27">
        <f>IF(C32="","",SUBTOTAL(3,$C$5:C32))</f>
        <v>25</v>
      </c>
      <c r="B32" s="81"/>
      <c r="C32" s="88" t="s">
        <v>86</v>
      </c>
      <c r="D32" s="27" t="s">
        <v>87</v>
      </c>
      <c r="E32" s="84" t="s">
        <v>55</v>
      </c>
      <c r="F32" s="27" t="s">
        <v>76</v>
      </c>
      <c r="G32" s="27"/>
      <c r="H32" s="27" t="s">
        <v>37</v>
      </c>
      <c r="I32" s="27"/>
      <c r="J32" s="85" t="s">
        <v>89</v>
      </c>
      <c r="K32" s="96">
        <v>42005</v>
      </c>
      <c r="L32" s="29"/>
      <c r="M32" s="79">
        <v>1</v>
      </c>
      <c r="N32" s="31"/>
      <c r="O32" s="77">
        <v>217360</v>
      </c>
      <c r="P32" s="77">
        <f t="shared" si="1"/>
        <v>217360</v>
      </c>
      <c r="Q32" s="33">
        <v>0.2</v>
      </c>
      <c r="R32" s="27"/>
      <c r="S32" s="27" t="s">
        <v>32</v>
      </c>
      <c r="T32" s="75">
        <v>43352.898630136988</v>
      </c>
      <c r="U3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الشراء-الاستلام]]&lt;DATE(2016,1,1),P32-T32,0))</f>
        <v>174007.10136986303</v>
      </c>
      <c r="V32" s="75">
        <f>IF(OR(Table5101345[[#This Row],[تاريخ الشراء-الاستلام]]="",Table5101345[[#This Row],[الإجمالي]]="",Table5101345[[#This Row],[العمر الافتراضي]]=""),"",IF(AND(T32&lt;P32,U32&gt;(P32*Q32),DATE(2015,12,31)&gt;K32),P32*Q32,IF(AND(T32&lt;P32,DATE(2016,12,31)&gt;K32,U32&gt;(P32*Q32)),(DATE(2016,12,31)-K32)/((100%/Q32)*365)*P32,IF(AND(T32&lt;P32,DATE(2016,12,31)&gt;K32,U32=0),(DATE(2016,12,31)-K32)/((100%/Q32)*365)*P32,IF(AND(T32&lt;P32,DATE(2016,12,31)&gt;K32,U32&lt;(P32*Q32)),U32,0)))))</f>
        <v>43472</v>
      </c>
      <c r="W32" s="75">
        <f>IF(OR(Table5101345[[#This Row],[تاريخ الشراء-الاستلام]]="",Table5101345[[#This Row],[الإجمالي]]="",Table5101345[[#This Row],[العمر الافتراضي]]=""),"",IF(AND(T32&lt;P32,U32&gt;(P32*Q32),DATE(2016,12,31)&gt;K32),P32*Q32,IF(AND(T32&lt;P32,DATE(2017,12,31)&gt;K32,U32&gt;(P32*Q32)),(DATE(2017,12,31)-K32)/((100%/Q32)*360)*P32,IF(Table5101345[[#This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43472</v>
      </c>
      <c r="X32" s="75">
        <f>IF(OR(Table5101345[[#This Row],[تاريخ الشراء-الاستلام]]="",Table5101345[[#This Row],[الإجمالي]]="",Table5101345[[#This Row],[العمر الافتراضي]]=""),"",T32+V32)</f>
        <v>86824.898630136988</v>
      </c>
      <c r="Y3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الشراء-الاستلام]]&gt;DATE(2016,12,31),0,P32-X32))</f>
        <v>130535.10136986301</v>
      </c>
    </row>
    <row r="33" spans="1:25" ht="30" hidden="1" customHeight="1">
      <c r="A33" s="27">
        <f>IF(C33="","",SUBTOTAL(3,$C$5:C33))</f>
        <v>25</v>
      </c>
      <c r="B33" s="81"/>
      <c r="C33" s="88" t="s">
        <v>34</v>
      </c>
      <c r="D33" s="27" t="s">
        <v>27</v>
      </c>
      <c r="E33" s="84" t="s">
        <v>35</v>
      </c>
      <c r="F33" s="27" t="s">
        <v>76</v>
      </c>
      <c r="G33" s="27"/>
      <c r="H33" s="27" t="s">
        <v>37</v>
      </c>
      <c r="I33" s="27"/>
      <c r="J33" s="84"/>
      <c r="K33" s="96">
        <v>42005</v>
      </c>
      <c r="L33" s="29"/>
      <c r="M33" s="79">
        <v>34</v>
      </c>
      <c r="N33" s="31"/>
      <c r="O33" s="77">
        <v>650</v>
      </c>
      <c r="P33" s="77">
        <f t="shared" si="1"/>
        <v>22100</v>
      </c>
      <c r="Q33" s="35">
        <v>4.4999999999999998E-2</v>
      </c>
      <c r="R33" s="27"/>
      <c r="S33" s="27" t="s">
        <v>32</v>
      </c>
      <c r="T33" s="75">
        <v>2203.9452054794519</v>
      </c>
      <c r="U3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الشراء-الاستلام]]&lt;DATE(2016,1,1),P33-T33,0))</f>
        <v>19896.054794520547</v>
      </c>
      <c r="V33" s="75">
        <f>IF(OR(Table5101345[[#This Row],[تاريخ الشراء-الاستلام]]="",Table5101345[[#This Row],[الإجمالي]]="",Table5101345[[#This Row],[العمر الافتراضي]]=""),"",IF(AND(T33&lt;P33,U33&gt;(P33*Q33),DATE(2015,12,31)&gt;K33),P33*Q33,IF(AND(T33&lt;P33,DATE(2016,12,31)&gt;K33,U33&gt;(P33*Q33)),(DATE(2016,12,31)-K33)/((100%/Q33)*365)*P33,IF(AND(T33&lt;P33,DATE(2016,12,31)&gt;K33,U33=0),(DATE(2016,12,31)-K33)/((100%/Q33)*365)*P33,IF(AND(T33&lt;P33,DATE(2016,12,31)&gt;K33,U33&lt;(P33*Q33)),U33,0)))))</f>
        <v>994.5</v>
      </c>
      <c r="W33" s="75">
        <f>IF(OR(Table5101345[[#This Row],[تاريخ الشراء-الاستلام]]="",Table5101345[[#This Row],[الإجمالي]]="",Table5101345[[#This Row],[العمر الافتراضي]]=""),"",IF(AND(T33&lt;P33,U33&gt;(P33*Q33),DATE(2016,12,31)&gt;K33),P33*Q33,IF(AND(T33&lt;P33,DATE(2017,12,31)&gt;K33,U33&gt;(P33*Q33)),(DATE(2017,12,31)-K33)/((100%/Q33)*360)*P33,IF(Table5101345[[#This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994.5</v>
      </c>
      <c r="X33" s="75">
        <f>IF(OR(Table5101345[[#This Row],[تاريخ الشراء-الاستلام]]="",Table5101345[[#This Row],[الإجمالي]]="",Table5101345[[#This Row],[العمر الافتراضي]]=""),"",T33+V33)</f>
        <v>3198.4452054794519</v>
      </c>
      <c r="Y3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الشراء-الاستلام]]&gt;DATE(2016,12,31),0,P33-X33))</f>
        <v>18901.554794520547</v>
      </c>
    </row>
    <row r="34" spans="1:25" ht="30" hidden="1" customHeight="1">
      <c r="A34" s="27">
        <f>IF(C34="","",SUBTOTAL(3,$C$5:C34))</f>
        <v>25</v>
      </c>
      <c r="B34" s="81"/>
      <c r="C34" s="88" t="s">
        <v>90</v>
      </c>
      <c r="D34" s="27" t="s">
        <v>27</v>
      </c>
      <c r="E34" s="84" t="s">
        <v>35</v>
      </c>
      <c r="F34" s="27" t="s">
        <v>76</v>
      </c>
      <c r="G34" s="27"/>
      <c r="H34" s="27" t="s">
        <v>37</v>
      </c>
      <c r="I34" s="27"/>
      <c r="J34" s="84"/>
      <c r="K34" s="96">
        <v>42005</v>
      </c>
      <c r="L34" s="29"/>
      <c r="M34" s="79">
        <v>71</v>
      </c>
      <c r="N34" s="31"/>
      <c r="O34" s="77">
        <v>800</v>
      </c>
      <c r="P34" s="77">
        <f t="shared" si="1"/>
        <v>56800</v>
      </c>
      <c r="Q34" s="35">
        <v>4.4999999999999998E-2</v>
      </c>
      <c r="R34" s="27"/>
      <c r="S34" s="27" t="s">
        <v>32</v>
      </c>
      <c r="T34" s="75">
        <v>5664.4383561643835</v>
      </c>
      <c r="U3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الشراء-الاستلام]]&lt;DATE(2016,1,1),P34-T34,0))</f>
        <v>51135.561643835616</v>
      </c>
      <c r="V34" s="75">
        <f>IF(OR(Table5101345[[#This Row],[تاريخ الشراء-الاستلام]]="",Table5101345[[#This Row],[الإجمالي]]="",Table5101345[[#This Row],[العمر الافتراضي]]=""),"",IF(AND(T34&lt;P34,U34&gt;(P34*Q34),DATE(2015,12,31)&gt;K34),P34*Q34,IF(AND(T34&lt;P34,DATE(2016,12,31)&gt;K34,U34&gt;(P34*Q34)),(DATE(2016,12,31)-K34)/((100%/Q34)*365)*P34,IF(AND(T34&lt;P34,DATE(2016,12,31)&gt;K34,U34=0),(DATE(2016,12,31)-K34)/((100%/Q34)*365)*P34,IF(AND(T34&lt;P34,DATE(2016,12,31)&gt;K34,U34&lt;(P34*Q34)),U34,0)))))</f>
        <v>2556</v>
      </c>
      <c r="W34" s="75">
        <f>IF(OR(Table5101345[[#This Row],[تاريخ الشراء-الاستلام]]="",Table5101345[[#This Row],[الإجمالي]]="",Table5101345[[#This Row],[العمر الافتراضي]]=""),"",IF(AND(T34&lt;P34,U34&gt;(P34*Q34),DATE(2016,12,31)&gt;K34),P34*Q34,IF(AND(T34&lt;P34,DATE(2017,12,31)&gt;K34,U34&gt;(P34*Q34)),(DATE(2017,12,31)-K34)/((100%/Q34)*360)*P34,IF(Table5101345[[#This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2556</v>
      </c>
      <c r="X34" s="75">
        <f>IF(OR(Table5101345[[#This Row],[تاريخ الشراء-الاستلام]]="",Table5101345[[#This Row],[الإجمالي]]="",Table5101345[[#This Row],[العمر الافتراضي]]=""),"",T34+V34)</f>
        <v>8220.4383561643845</v>
      </c>
      <c r="Y3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الشراء-الاستلام]]&gt;DATE(2016,12,31),0,P34-X34))</f>
        <v>48579.561643835616</v>
      </c>
    </row>
    <row r="35" spans="1:25" ht="30" hidden="1" customHeight="1">
      <c r="A35" s="27">
        <f>IF(C35="","",SUBTOTAL(3,$C$5:C35))</f>
        <v>25</v>
      </c>
      <c r="B35" s="81"/>
      <c r="C35" s="88" t="s">
        <v>91</v>
      </c>
      <c r="D35" s="27" t="s">
        <v>27</v>
      </c>
      <c r="E35" s="84" t="s">
        <v>35</v>
      </c>
      <c r="F35" s="27" t="s">
        <v>76</v>
      </c>
      <c r="G35" s="27"/>
      <c r="H35" s="27" t="s">
        <v>37</v>
      </c>
      <c r="I35" s="27"/>
      <c r="J35" s="84"/>
      <c r="K35" s="96">
        <v>42005</v>
      </c>
      <c r="L35" s="29"/>
      <c r="M35" s="79">
        <v>26</v>
      </c>
      <c r="N35" s="31"/>
      <c r="O35" s="77">
        <v>1200</v>
      </c>
      <c r="P35" s="77">
        <f t="shared" si="1"/>
        <v>31200</v>
      </c>
      <c r="Q35" s="35">
        <v>4.4999999999999998E-2</v>
      </c>
      <c r="R35" s="27"/>
      <c r="S35" s="27" t="s">
        <v>32</v>
      </c>
      <c r="T35" s="75">
        <v>3111.4520547945208</v>
      </c>
      <c r="U3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الشراء-الاستلام]]&lt;DATE(2016,1,1),P35-T35,0))</f>
        <v>28088.547945205479</v>
      </c>
      <c r="V35" s="75">
        <f>IF(OR(Table5101345[[#This Row],[تاريخ الشراء-الاستلام]]="",Table5101345[[#This Row],[الإجمالي]]="",Table5101345[[#This Row],[العمر الافتراضي]]=""),"",IF(AND(T35&lt;P35,U35&gt;(P35*Q35),DATE(2015,12,31)&gt;K35),P35*Q35,IF(AND(T35&lt;P35,DATE(2016,12,31)&gt;K35,U35&gt;(P35*Q35)),(DATE(2016,12,31)-K35)/((100%/Q35)*365)*P35,IF(AND(T35&lt;P35,DATE(2016,12,31)&gt;K35,U35=0),(DATE(2016,12,31)-K35)/((100%/Q35)*365)*P35,IF(AND(T35&lt;P35,DATE(2016,12,31)&gt;K35,U35&lt;(P35*Q35)),U35,0)))))</f>
        <v>1404</v>
      </c>
      <c r="W35" s="75">
        <f>IF(OR(Table5101345[[#This Row],[تاريخ الشراء-الاستلام]]="",Table5101345[[#This Row],[الإجمالي]]="",Table5101345[[#This Row],[العمر الافتراضي]]=""),"",IF(AND(T35&lt;P35,U35&gt;(P35*Q35),DATE(2016,12,31)&gt;K35),P35*Q35,IF(AND(T35&lt;P35,DATE(2017,12,31)&gt;K35,U35&gt;(P35*Q35)),(DATE(2017,12,31)-K35)/((100%/Q35)*360)*P35,IF(Table5101345[[#This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1404</v>
      </c>
      <c r="X35" s="75">
        <f>IF(OR(Table5101345[[#This Row],[تاريخ الشراء-الاستلام]]="",Table5101345[[#This Row],[الإجمالي]]="",Table5101345[[#This Row],[العمر الافتراضي]]=""),"",T35+V35)</f>
        <v>4515.4520547945212</v>
      </c>
      <c r="Y3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الشراء-الاستلام]]&gt;DATE(2016,12,31),0,P35-X35))</f>
        <v>26684.547945205479</v>
      </c>
    </row>
    <row r="36" spans="1:25" ht="39">
      <c r="A36" s="27">
        <f>IF(C36="","",SUBTOTAL(3,$C$5:C36))</f>
        <v>26</v>
      </c>
      <c r="B36" s="92">
        <v>42533</v>
      </c>
      <c r="C36" s="88" t="s">
        <v>92</v>
      </c>
      <c r="D36" s="27" t="s">
        <v>27</v>
      </c>
      <c r="E36" s="84" t="s">
        <v>93</v>
      </c>
      <c r="F36" s="27" t="s">
        <v>76</v>
      </c>
      <c r="G36" s="27"/>
      <c r="H36" s="27" t="s">
        <v>37</v>
      </c>
      <c r="I36" s="27"/>
      <c r="J36" s="84"/>
      <c r="K36" s="96">
        <v>42583</v>
      </c>
      <c r="L36" s="29" t="s">
        <v>94</v>
      </c>
      <c r="M36" s="79">
        <v>3</v>
      </c>
      <c r="N36" s="31"/>
      <c r="O36" s="77">
        <v>66000</v>
      </c>
      <c r="P36" s="77">
        <f t="shared" si="1"/>
        <v>198000</v>
      </c>
      <c r="Q36" s="33">
        <v>0.15</v>
      </c>
      <c r="R36" s="27"/>
      <c r="S36" s="27" t="s">
        <v>32</v>
      </c>
      <c r="T36" s="75">
        <v>0</v>
      </c>
      <c r="U3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الشراء-الاستلام]]&lt;DATE(2016,1,1),P36-T36,0))</f>
        <v>0</v>
      </c>
      <c r="V36" s="75">
        <f>IF(OR(Table5101345[[#This Row],[تاريخ الشراء-الاستلام]]="",Table5101345[[#This Row],[الإجمالي]]="",Table5101345[[#This Row],[العمر الافتراضي]]=""),"",IF(AND(T36&lt;P36,U36&gt;(P36*Q36),DATE(2015,12,31)&gt;K36),P36*Q36,IF(AND(T36&lt;P36,DATE(2016,12,31)&gt;K36,U36&gt;(P36*Q36)),(DATE(2016,12,31)-K36)/((100%/Q36)*365)*P36,IF(AND(T36&lt;P36,DATE(2016,12,31)&gt;K36,U36=0),(DATE(2016,12,31)-K36)/((100%/Q36)*365)*P36,IF(AND(T36&lt;P36,DATE(2016,12,31)&gt;K36,U36&lt;(P36*Q36)),U36,0)))))</f>
        <v>12368.21917808219</v>
      </c>
      <c r="W36" s="75">
        <f>IF(OR(Table5101345[[#This Row],[تاريخ الشراء-الاستلام]]="",Table5101345[[#This Row],[الإجمالي]]="",Table5101345[[#This Row],[العمر الافتراضي]]=""),"",IF(AND(T36&lt;P36,U36&gt;(P36*Q36),DATE(2016,12,31)&gt;K36),P36*Q36,IF(AND(T36&lt;P36,DATE(2017,12,31)&gt;K36,U36&gt;(P36*Q36)),(DATE(2017,12,31)-K36)/((100%/Q36)*360)*P36,IF(Table5101345[[#This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36" s="75">
        <f>IF(OR(Table5101345[[#This Row],[تاريخ الشراء-الاستلام]]="",Table5101345[[#This Row],[الإجمالي]]="",Table5101345[[#This Row],[العمر الافتراضي]]=""),"",T36+V36)</f>
        <v>12368.21917808219</v>
      </c>
      <c r="Y3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الشراء-الاستلام]]&gt;DATE(2016,12,31),0,P36-X36))</f>
        <v>185631.78082191781</v>
      </c>
    </row>
    <row r="37" spans="1:25" ht="48" hidden="1" customHeight="1">
      <c r="A37" s="27">
        <f>IF(C37="","",SUBTOTAL(3,$C$5:C37))</f>
        <v>26</v>
      </c>
      <c r="B37" s="81"/>
      <c r="C37" s="88" t="s">
        <v>95</v>
      </c>
      <c r="D37" s="27" t="s">
        <v>87</v>
      </c>
      <c r="E37" s="84" t="s">
        <v>55</v>
      </c>
      <c r="F37" s="27" t="s">
        <v>29</v>
      </c>
      <c r="G37" s="27" t="s">
        <v>96</v>
      </c>
      <c r="H37" s="27" t="s">
        <v>37</v>
      </c>
      <c r="I37" s="27" t="s">
        <v>97</v>
      </c>
      <c r="J37" s="85" t="s">
        <v>98</v>
      </c>
      <c r="K37" s="96">
        <v>42370</v>
      </c>
      <c r="L37" s="29"/>
      <c r="M37" s="79">
        <v>1</v>
      </c>
      <c r="N37" s="31"/>
      <c r="O37" s="77">
        <v>286752</v>
      </c>
      <c r="P37" s="77">
        <f t="shared" si="1"/>
        <v>286752</v>
      </c>
      <c r="Q37" s="33">
        <v>0.15</v>
      </c>
      <c r="R37" s="27"/>
      <c r="S37" s="27" t="s">
        <v>32</v>
      </c>
      <c r="T37" s="75">
        <v>0</v>
      </c>
      <c r="U3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الشراء-الاستلام]]&lt;DATE(2016,1,1),P37-T37,0))</f>
        <v>0</v>
      </c>
      <c r="V37" s="75">
        <f>IF(OR(Table5101345[[#This Row],[تاريخ الشراء-الاستلام]]="",Table5101345[[#This Row],[الإجمالي]]="",Table5101345[[#This Row],[العمر الافتراضي]]=""),"",IF(AND(T37&lt;P37,U37&gt;(P37*Q37),DATE(2015,12,31)&gt;K37),P37*Q37,IF(AND(T37&lt;P37,DATE(2016,12,31)&gt;K37,U37&gt;(P37*Q37)),(DATE(2016,12,31)-K37)/((100%/Q37)*365)*P37,IF(AND(T37&lt;P37,DATE(2016,12,31)&gt;K37,U37=0),(DATE(2016,12,31)-K37)/((100%/Q37)*365)*P37,IF(AND(T37&lt;P37,DATE(2016,12,31)&gt;K37,U37&lt;(P37*Q37)),U37,0)))))</f>
        <v>43012.799999999996</v>
      </c>
      <c r="W37" s="75">
        <f>IF(OR(Table5101345[[#This Row],[تاريخ الشراء-الاستلام]]="",Table5101345[[#This Row],[الإجمالي]]="",Table5101345[[#This Row],[العمر الافتراضي]]=""),"",IF(AND(T37&lt;P37,U37&gt;(P37*Q37),DATE(2016,12,31)&gt;K37),P37*Q37,IF(AND(T37&lt;P37,DATE(2017,12,31)&gt;K37,U37&gt;(P37*Q37)),(DATE(2017,12,31)-K37)/((100%/Q37)*360)*P37,IF(Table5101345[[#This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37" s="75">
        <f>IF(OR(Table5101345[[#This Row],[تاريخ الشراء-الاستلام]]="",Table5101345[[#This Row],[الإجمالي]]="",Table5101345[[#This Row],[العمر الافتراضي]]=""),"",T37+V37)</f>
        <v>43012.799999999996</v>
      </c>
      <c r="Y3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الشراء-الاستلام]]&gt;DATE(2016,12,31),0,P37-X37))</f>
        <v>243739.2</v>
      </c>
    </row>
    <row r="38" spans="1:25" ht="48" hidden="1" customHeight="1">
      <c r="A38" s="27">
        <f>IF(C38="","",SUBTOTAL(3,$C$5:C38))</f>
        <v>26</v>
      </c>
      <c r="B38" s="81"/>
      <c r="C38" s="88" t="s">
        <v>99</v>
      </c>
      <c r="D38" s="27" t="s">
        <v>87</v>
      </c>
      <c r="E38" s="84" t="s">
        <v>55</v>
      </c>
      <c r="F38" s="27" t="s">
        <v>29</v>
      </c>
      <c r="G38" s="27" t="s">
        <v>56</v>
      </c>
      <c r="H38" s="27" t="s">
        <v>37</v>
      </c>
      <c r="I38" s="27"/>
      <c r="J38" s="85" t="s">
        <v>100</v>
      </c>
      <c r="K38" s="96">
        <v>39813</v>
      </c>
      <c r="L38" s="29"/>
      <c r="M38" s="79">
        <v>1</v>
      </c>
      <c r="N38" s="31"/>
      <c r="O38" s="77">
        <v>585741</v>
      </c>
      <c r="P38" s="77">
        <f t="shared" si="1"/>
        <v>585741</v>
      </c>
      <c r="Q38" s="33">
        <v>0.15</v>
      </c>
      <c r="R38" s="27"/>
      <c r="S38" s="27"/>
      <c r="T38" s="75">
        <v>585741</v>
      </c>
      <c r="U3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الشراء-الاستلام]]&lt;DATE(2016,1,1),P38-T38,0))</f>
        <v>0</v>
      </c>
      <c r="V38" s="75">
        <f>IF(OR(Table5101345[[#This Row],[تاريخ الشراء-الاستلام]]="",Table5101345[[#This Row],[الإجمالي]]="",Table5101345[[#This Row],[العمر الافتراضي]]=""),"",IF(AND(T38&lt;P38,U38&gt;(P38*Q38),DATE(2015,12,31)&gt;K38),P38*Q38,IF(AND(T38&lt;P38,DATE(2016,12,31)&gt;K38,U38&gt;(P38*Q38)),(DATE(2016,12,31)-K38)/((100%/Q38)*365)*P38,IF(AND(T38&lt;P38,DATE(2016,12,31)&gt;K38,U38=0),(DATE(2016,12,31)-K38)/((100%/Q38)*365)*P38,IF(AND(T38&lt;P38,DATE(2016,12,31)&gt;K38,U38&lt;(P38*Q38)),U38,0)))))</f>
        <v>0</v>
      </c>
      <c r="W38" s="75">
        <f>IF(OR(Table5101345[[#This Row],[تاريخ الشراء-الاستلام]]="",Table5101345[[#This Row],[الإجمالي]]="",Table5101345[[#This Row],[العمر الافتراضي]]=""),"",IF(AND(T38&lt;P38,U38&gt;(P38*Q38),DATE(2016,12,31)&gt;K38),P38*Q38,IF(AND(T38&lt;P38,DATE(2017,12,31)&gt;K38,U38&gt;(P38*Q38)),(DATE(2017,12,31)-K38)/((100%/Q38)*360)*P38,IF(Table5101345[[#This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38" s="75">
        <f>IF(OR(Table5101345[[#This Row],[تاريخ الشراء-الاستلام]]="",Table5101345[[#This Row],[الإجمالي]]="",Table5101345[[#This Row],[العمر الافتراضي]]=""),"",T38+V38)</f>
        <v>585741</v>
      </c>
      <c r="Y3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الشراء-الاستلام]]&gt;DATE(2016,12,31),0,P38-X38))</f>
        <v>0</v>
      </c>
    </row>
    <row r="39" spans="1:25" ht="48" hidden="1" customHeight="1">
      <c r="A39" s="27">
        <f>IF(C39="","",SUBTOTAL(3,$C$5:C39))</f>
        <v>26</v>
      </c>
      <c r="B39" s="81"/>
      <c r="C39" s="88" t="s">
        <v>101</v>
      </c>
      <c r="D39" s="27" t="s">
        <v>87</v>
      </c>
      <c r="E39" s="84" t="s">
        <v>51</v>
      </c>
      <c r="F39" s="27" t="s">
        <v>29</v>
      </c>
      <c r="G39" s="27" t="s">
        <v>56</v>
      </c>
      <c r="H39" s="27" t="s">
        <v>37</v>
      </c>
      <c r="I39" s="27"/>
      <c r="J39" s="85" t="s">
        <v>102</v>
      </c>
      <c r="K39" s="96">
        <v>41707</v>
      </c>
      <c r="L39" s="29"/>
      <c r="M39" s="79">
        <v>1</v>
      </c>
      <c r="N39" s="31"/>
      <c r="O39" s="77">
        <v>48400</v>
      </c>
      <c r="P39" s="77">
        <f t="shared" si="1"/>
        <v>48400</v>
      </c>
      <c r="Q39" s="33">
        <v>0.15</v>
      </c>
      <c r="R39" s="27"/>
      <c r="S39" s="27"/>
      <c r="T39" s="75">
        <v>13167.452054794519</v>
      </c>
      <c r="U3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الشراء-الاستلام]]&lt;DATE(2016,1,1),P39-T39,0))</f>
        <v>35232.547945205479</v>
      </c>
      <c r="V39" s="75">
        <f>IF(OR(Table5101345[[#This Row],[تاريخ الشراء-الاستلام]]="",Table5101345[[#This Row],[الإجمالي]]="",Table5101345[[#This Row],[العمر الافتراضي]]=""),"",IF(AND(T39&lt;P39,U39&gt;(P39*Q39),DATE(2015,12,31)&gt;K39),P39*Q39,IF(AND(T39&lt;P39,DATE(2016,12,31)&gt;K39,U39&gt;(P39*Q39)),(DATE(2016,12,31)-K39)/((100%/Q39)*365)*P39,IF(AND(T39&lt;P39,DATE(2016,12,31)&gt;K39,U39=0),(DATE(2016,12,31)-K39)/((100%/Q39)*365)*P39,IF(AND(T39&lt;P39,DATE(2016,12,31)&gt;K39,U39&lt;(P39*Q39)),U39,0)))))</f>
        <v>7260</v>
      </c>
      <c r="W39" s="75">
        <f>IF(OR(Table5101345[[#This Row],[تاريخ الشراء-الاستلام]]="",Table5101345[[#This Row],[الإجمالي]]="",Table5101345[[#This Row],[العمر الافتراضي]]=""),"",IF(AND(T39&lt;P39,U39&gt;(P39*Q39),DATE(2016,12,31)&gt;K39),P39*Q39,IF(AND(T39&lt;P39,DATE(2017,12,31)&gt;K39,U39&gt;(P39*Q39)),(DATE(2017,12,31)-K39)/((100%/Q39)*360)*P39,IF(Table5101345[[#This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7260</v>
      </c>
      <c r="X39" s="75">
        <f>IF(OR(Table5101345[[#This Row],[تاريخ الشراء-الاستلام]]="",Table5101345[[#This Row],[الإجمالي]]="",Table5101345[[#This Row],[العمر الافتراضي]]=""),"",T39+V39)</f>
        <v>20427.452054794521</v>
      </c>
      <c r="Y3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الشراء-الاستلام]]&gt;DATE(2016,12,31),0,P39-X39))</f>
        <v>27972.547945205479</v>
      </c>
    </row>
    <row r="40" spans="1:25" ht="30" customHeight="1">
      <c r="A40" s="27">
        <f>IF(C40="","",SUBTOTAL(3,$C$5:C40))</f>
        <v>27</v>
      </c>
      <c r="B40" s="92" t="s">
        <v>103</v>
      </c>
      <c r="C40" s="90" t="s">
        <v>104</v>
      </c>
      <c r="D40" s="27" t="s">
        <v>27</v>
      </c>
      <c r="E40" s="84" t="s">
        <v>28</v>
      </c>
      <c r="F40" s="27" t="s">
        <v>29</v>
      </c>
      <c r="G40" s="27"/>
      <c r="H40" s="27" t="s">
        <v>37</v>
      </c>
      <c r="I40" s="27"/>
      <c r="J40" s="84"/>
      <c r="K40" s="96">
        <v>42461</v>
      </c>
      <c r="L40" s="29" t="s">
        <v>87</v>
      </c>
      <c r="M40" s="79">
        <v>1</v>
      </c>
      <c r="N40" s="31"/>
      <c r="O40" s="77">
        <v>12500</v>
      </c>
      <c r="P40" s="77">
        <f t="shared" si="1"/>
        <v>12500</v>
      </c>
      <c r="Q40" s="35">
        <v>0.1</v>
      </c>
      <c r="R40" s="27"/>
      <c r="S40" s="27"/>
      <c r="T40" s="75">
        <v>0</v>
      </c>
      <c r="U4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الشراء-الاستلام]]&lt;DATE(2016,1,1),P40-T40,0))</f>
        <v>0</v>
      </c>
      <c r="V40" s="75">
        <f>IF(OR(Table5101345[[#This Row],[تاريخ الشراء-الاستلام]]="",Table5101345[[#This Row],[الإجمالي]]="",Table5101345[[#This Row],[العمر الافتراضي]]=""),"",IF(AND(T40&lt;P40,U40&gt;(P40*Q40),DATE(2015,12,31)&gt;K40),P40*Q40,IF(AND(T40&lt;P40,DATE(2016,12,31)&gt;K40,U40&gt;(P40*Q40)),(DATE(2016,12,31)-K40)/((100%/Q40)*365)*P40,IF(AND(T40&lt;P40,DATE(2016,12,31)&gt;K40,U40=0),(DATE(2016,12,31)-K40)/((100%/Q40)*365)*P40,IF(AND(T40&lt;P40,DATE(2016,12,31)&gt;K40,U40&lt;(P40*Q40)),U40,0)))))</f>
        <v>938.35616438356169</v>
      </c>
      <c r="W40" s="75">
        <f>IF(OR(Table5101345[[#This Row],[تاريخ الشراء-الاستلام]]="",Table5101345[[#This Row],[الإجمالي]]="",Table5101345[[#This Row],[العمر الافتراضي]]=""),"",IF(AND(T40&lt;P40,U40&gt;(P40*Q40),DATE(2016,12,31)&gt;K40),P40*Q40,IF(AND(T40&lt;P40,DATE(2017,12,31)&gt;K40,U40&gt;(P40*Q40)),(DATE(2017,12,31)-K40)/((100%/Q40)*360)*P40,IF(Table5101345[[#This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0" s="75">
        <f>IF(OR(Table5101345[[#This Row],[تاريخ الشراء-الاستلام]]="",Table5101345[[#This Row],[الإجمالي]]="",Table5101345[[#This Row],[العمر الافتراضي]]=""),"",T40+V40)</f>
        <v>938.35616438356169</v>
      </c>
      <c r="Y4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الشراء-الاستلام]]&gt;DATE(2016,12,31),0,P40-X40))</f>
        <v>11561.643835616438</v>
      </c>
    </row>
    <row r="41" spans="1:25" ht="39">
      <c r="A41" s="27">
        <f>IF(C41="","",SUBTOTAL(3,$C$5:C41))</f>
        <v>28</v>
      </c>
      <c r="B41" s="92">
        <v>42533</v>
      </c>
      <c r="C41" s="88" t="s">
        <v>92</v>
      </c>
      <c r="D41" s="27" t="s">
        <v>27</v>
      </c>
      <c r="E41" s="84" t="s">
        <v>93</v>
      </c>
      <c r="F41" s="27" t="s">
        <v>29</v>
      </c>
      <c r="G41" s="27"/>
      <c r="H41" s="27" t="s">
        <v>37</v>
      </c>
      <c r="I41" s="27"/>
      <c r="J41" s="84"/>
      <c r="K41" s="96">
        <v>42583</v>
      </c>
      <c r="L41" s="29" t="s">
        <v>105</v>
      </c>
      <c r="M41" s="79">
        <v>3</v>
      </c>
      <c r="N41" s="31"/>
      <c r="O41" s="77">
        <v>66000</v>
      </c>
      <c r="P41" s="77">
        <f>O41*M41</f>
        <v>198000</v>
      </c>
      <c r="Q41" s="33">
        <v>0.15</v>
      </c>
      <c r="R41" s="27"/>
      <c r="S41" s="27" t="s">
        <v>32</v>
      </c>
      <c r="T41" s="75">
        <v>0</v>
      </c>
      <c r="U4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الشراء-الاستلام]]&lt;DATE(2016,1,1),P41-T41,0))</f>
        <v>0</v>
      </c>
      <c r="V41" s="75">
        <f>IF(OR(Table5101345[[#This Row],[تاريخ الشراء-الاستلام]]="",Table5101345[[#This Row],[الإجمالي]]="",Table5101345[[#This Row],[العمر الافتراضي]]=""),"",IF(AND(T41&lt;P41,U41&gt;(P41*Q41),DATE(2015,12,31)&gt;K41),P41*Q41,IF(AND(T41&lt;P41,DATE(2016,12,31)&gt;K41,U41&gt;(P41*Q41)),(DATE(2016,12,31)-K41)/((100%/Q41)*365)*P41,IF(AND(T41&lt;P41,DATE(2016,12,31)&gt;K41,U41=0),(DATE(2016,12,31)-K41)/((100%/Q41)*365)*P41,IF(AND(T41&lt;P41,DATE(2016,12,31)&gt;K41,U41&lt;(P41*Q41)),U41,0)))))</f>
        <v>12368.21917808219</v>
      </c>
      <c r="W41" s="75">
        <f>IF(OR(Table5101345[[#This Row],[تاريخ الشراء-الاستلام]]="",Table5101345[[#This Row],[الإجمالي]]="",Table5101345[[#This Row],[العمر الافتراضي]]=""),"",IF(AND(T41&lt;P41,U41&gt;(P41*Q41),DATE(2016,12,31)&gt;K41),P41*Q41,IF(AND(T41&lt;P41,DATE(2017,12,31)&gt;K41,U41&gt;(P41*Q41)),(DATE(2017,12,31)-K41)/((100%/Q41)*360)*P41,IF(Table5101345[[#This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1" s="75">
        <f>IF(OR(Table5101345[[#This Row],[تاريخ الشراء-الاستلام]]="",Table5101345[[#This Row],[الإجمالي]]="",Table5101345[[#This Row],[العمر الافتراضي]]=""),"",T41+V41)</f>
        <v>12368.21917808219</v>
      </c>
      <c r="Y4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الشراء-الاستلام]]&gt;DATE(2016,12,31),0,P41-X41))</f>
        <v>185631.78082191781</v>
      </c>
    </row>
    <row r="42" spans="1:25" ht="39">
      <c r="A42" s="27">
        <f>IF(C42="","",SUBTOTAL(3,$C$5:C42))</f>
        <v>29</v>
      </c>
      <c r="B42" s="92">
        <v>42528</v>
      </c>
      <c r="C42" s="88" t="s">
        <v>92</v>
      </c>
      <c r="D42" s="27" t="s">
        <v>27</v>
      </c>
      <c r="E42" s="84" t="s">
        <v>93</v>
      </c>
      <c r="F42" s="27" t="s">
        <v>29</v>
      </c>
      <c r="G42" s="27"/>
      <c r="H42" s="27" t="s">
        <v>37</v>
      </c>
      <c r="I42" s="27"/>
      <c r="J42" s="84"/>
      <c r="K42" s="96">
        <v>42583</v>
      </c>
      <c r="L42" s="29" t="s">
        <v>105</v>
      </c>
      <c r="M42" s="79">
        <v>4</v>
      </c>
      <c r="N42" s="31"/>
      <c r="O42" s="77">
        <v>66000</v>
      </c>
      <c r="P42" s="77">
        <f>O42*M42</f>
        <v>264000</v>
      </c>
      <c r="Q42" s="33">
        <v>0.15</v>
      </c>
      <c r="R42" s="27"/>
      <c r="S42" s="27" t="s">
        <v>32</v>
      </c>
      <c r="T42" s="75">
        <v>0</v>
      </c>
      <c r="U4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الشراء-الاستلام]]&lt;DATE(2016,1,1),P42-T42,0))</f>
        <v>0</v>
      </c>
      <c r="V42" s="75">
        <f>IF(OR(Table5101345[[#This Row],[تاريخ الشراء-الاستلام]]="",Table5101345[[#This Row],[الإجمالي]]="",Table5101345[[#This Row],[العمر الافتراضي]]=""),"",IF(AND(T42&lt;P42,U42&gt;(P42*Q42),DATE(2015,12,31)&gt;K42),P42*Q42,IF(AND(T42&lt;P42,DATE(2016,12,31)&gt;K42,U42&gt;(P42*Q42)),(DATE(2016,12,31)-K42)/((100%/Q42)*365)*P42,IF(AND(T42&lt;P42,DATE(2016,12,31)&gt;K42,U42=0),(DATE(2016,12,31)-K42)/((100%/Q42)*365)*P42,IF(AND(T42&lt;P42,DATE(2016,12,31)&gt;K42,U42&lt;(P42*Q42)),U42,0)))))</f>
        <v>16490.95890410959</v>
      </c>
      <c r="W42" s="75">
        <f>IF(OR(Table5101345[[#This Row],[تاريخ الشراء-الاستلام]]="",Table5101345[[#This Row],[الإجمالي]]="",Table5101345[[#This Row],[العمر الافتراضي]]=""),"",IF(AND(T42&lt;P42,U42&gt;(P42*Q42),DATE(2016,12,31)&gt;K42),P42*Q42,IF(AND(T42&lt;P42,DATE(2017,12,31)&gt;K42,U42&gt;(P42*Q42)),(DATE(2017,12,31)-K42)/((100%/Q42)*360)*P42,IF(Table5101345[[#This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2" s="75">
        <f>IF(OR(Table5101345[[#This Row],[تاريخ الشراء-الاستلام]]="",Table5101345[[#This Row],[الإجمالي]]="",Table5101345[[#This Row],[العمر الافتراضي]]=""),"",T42+V42)</f>
        <v>16490.95890410959</v>
      </c>
      <c r="Y4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الشراء-الاستلام]]&gt;DATE(2016,12,31),0,P42-X42))</f>
        <v>247509.0410958904</v>
      </c>
    </row>
    <row r="43" spans="1:25" ht="39">
      <c r="A43" s="27">
        <f>IF(C43="","",SUBTOTAL(3,$C$5:C43))</f>
        <v>30</v>
      </c>
      <c r="B43" s="92">
        <v>42528</v>
      </c>
      <c r="C43" s="88" t="s">
        <v>92</v>
      </c>
      <c r="D43" s="27" t="s">
        <v>27</v>
      </c>
      <c r="E43" s="84" t="s">
        <v>93</v>
      </c>
      <c r="F43" s="27" t="s">
        <v>29</v>
      </c>
      <c r="G43" s="27"/>
      <c r="H43" s="27" t="s">
        <v>37</v>
      </c>
      <c r="I43" s="27"/>
      <c r="J43" s="84"/>
      <c r="K43" s="96">
        <v>42583</v>
      </c>
      <c r="L43" s="29" t="s">
        <v>105</v>
      </c>
      <c r="M43" s="79">
        <v>2</v>
      </c>
      <c r="N43" s="31"/>
      <c r="O43" s="77">
        <v>50000</v>
      </c>
      <c r="P43" s="77">
        <f>O43*M43</f>
        <v>100000</v>
      </c>
      <c r="Q43" s="33">
        <v>0.15</v>
      </c>
      <c r="R43" s="27"/>
      <c r="S43" s="27" t="s">
        <v>32</v>
      </c>
      <c r="T43" s="75">
        <v>0</v>
      </c>
      <c r="U4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الشراء-الاستلام]]&lt;DATE(2016,1,1),P43-T43,0))</f>
        <v>0</v>
      </c>
      <c r="V43" s="75">
        <f>IF(OR(Table5101345[[#This Row],[تاريخ الشراء-الاستلام]]="",Table5101345[[#This Row],[الإجمالي]]="",Table5101345[[#This Row],[العمر الافتراضي]]=""),"",IF(AND(T43&lt;P43,U43&gt;(P43*Q43),DATE(2015,12,31)&gt;K43),P43*Q43,IF(AND(T43&lt;P43,DATE(2016,12,31)&gt;K43,U43&gt;(P43*Q43)),(DATE(2016,12,31)-K43)/((100%/Q43)*365)*P43,IF(AND(T43&lt;P43,DATE(2016,12,31)&gt;K43,U43=0),(DATE(2016,12,31)-K43)/((100%/Q43)*365)*P43,IF(AND(T43&lt;P43,DATE(2016,12,31)&gt;K43,U43&lt;(P43*Q43)),U43,0)))))</f>
        <v>6246.5753424657532</v>
      </c>
      <c r="W43" s="75">
        <f>IF(OR(Table5101345[[#This Row],[تاريخ الشراء-الاستلام]]="",Table5101345[[#This Row],[الإجمالي]]="",Table5101345[[#This Row],[العمر الافتراضي]]=""),"",IF(AND(T43&lt;P43,U43&gt;(P43*Q43),DATE(2016,12,31)&gt;K43),P43*Q43,IF(AND(T43&lt;P43,DATE(2017,12,31)&gt;K43,U43&gt;(P43*Q43)),(DATE(2017,12,31)-K43)/((100%/Q43)*360)*P43,IF(Table5101345[[#This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3" s="75">
        <f>IF(OR(Table5101345[[#This Row],[تاريخ الشراء-الاستلام]]="",Table5101345[[#This Row],[الإجمالي]]="",Table5101345[[#This Row],[العمر الافتراضي]]=""),"",T43+V43)</f>
        <v>6246.5753424657532</v>
      </c>
      <c r="Y4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الشراء-الاستلام]]&gt;DATE(2016,12,31),0,P43-X43))</f>
        <v>93753.42465753424</v>
      </c>
    </row>
    <row r="44" spans="1:25" ht="39">
      <c r="A44" s="27">
        <f>IF(C44="","",SUBTOTAL(3,$C$5:C44))</f>
        <v>31</v>
      </c>
      <c r="B44" s="92" t="s">
        <v>106</v>
      </c>
      <c r="C44" s="88" t="s">
        <v>92</v>
      </c>
      <c r="D44" s="27" t="s">
        <v>27</v>
      </c>
      <c r="E44" s="84" t="s">
        <v>93</v>
      </c>
      <c r="F44" s="27" t="s">
        <v>29</v>
      </c>
      <c r="G44" s="27"/>
      <c r="H44" s="27" t="s">
        <v>37</v>
      </c>
      <c r="I44" s="27"/>
      <c r="J44" s="84"/>
      <c r="K44" s="96">
        <v>42450</v>
      </c>
      <c r="L44" s="29" t="s">
        <v>87</v>
      </c>
      <c r="M44" s="79">
        <v>3</v>
      </c>
      <c r="N44" s="31"/>
      <c r="O44" s="77">
        <v>80000</v>
      </c>
      <c r="P44" s="77">
        <f t="shared" si="1"/>
        <v>240000</v>
      </c>
      <c r="Q44" s="33">
        <v>0.15</v>
      </c>
      <c r="R44" s="27"/>
      <c r="S44" s="27" t="s">
        <v>32</v>
      </c>
      <c r="T44" s="75">
        <v>0</v>
      </c>
      <c r="U4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الشراء-الاستلام]]&lt;DATE(2016,1,1),P44-T44,0))</f>
        <v>0</v>
      </c>
      <c r="V44" s="75">
        <f>IF(OR(Table5101345[[#This Row],[تاريخ الشراء-الاستلام]]="",Table5101345[[#This Row],[الإجمالي]]="",Table5101345[[#This Row],[العمر الافتراضي]]=""),"",IF(AND(T44&lt;P44,U44&gt;(P44*Q44),DATE(2015,12,31)&gt;K44),P44*Q44,IF(AND(T44&lt;P44,DATE(2016,12,31)&gt;K44,U44&gt;(P44*Q44)),(DATE(2016,12,31)-K44)/((100%/Q44)*365)*P44,IF(AND(T44&lt;P44,DATE(2016,12,31)&gt;K44,U44=0),(DATE(2016,12,31)-K44)/((100%/Q44)*365)*P44,IF(AND(T44&lt;P44,DATE(2016,12,31)&gt;K44,U44&lt;(P44*Q44)),U44,0)))))</f>
        <v>28109.589041095889</v>
      </c>
      <c r="W44" s="75">
        <f>IF(OR(Table5101345[[#This Row],[تاريخ الشراء-الاستلام]]="",Table5101345[[#This Row],[الإجمالي]]="",Table5101345[[#This Row],[العمر الافتراضي]]=""),"",IF(AND(T44&lt;P44,U44&gt;(P44*Q44),DATE(2016,12,31)&gt;K44),P44*Q44,IF(AND(T44&lt;P44,DATE(2017,12,31)&gt;K44,U44&gt;(P44*Q44)),(DATE(2017,12,31)-K44)/((100%/Q44)*360)*P44,IF(Table5101345[[#This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4" s="75">
        <f>IF(OR(Table5101345[[#This Row],[تاريخ الشراء-الاستلام]]="",Table5101345[[#This Row],[الإجمالي]]="",Table5101345[[#This Row],[العمر الافتراضي]]=""),"",T44+V44)</f>
        <v>28109.589041095889</v>
      </c>
      <c r="Y4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الشراء-الاستلام]]&gt;DATE(2016,12,31),0,P44-X44))</f>
        <v>211890.4109589041</v>
      </c>
    </row>
    <row r="45" spans="1:25" ht="48">
      <c r="A45" s="27">
        <f>IF(C45="","",SUBTOTAL(3,$C$5:C45))</f>
        <v>32</v>
      </c>
      <c r="B45" s="92" t="s">
        <v>106</v>
      </c>
      <c r="C45" s="88" t="s">
        <v>92</v>
      </c>
      <c r="D45" s="27" t="s">
        <v>27</v>
      </c>
      <c r="E45" s="84" t="s">
        <v>93</v>
      </c>
      <c r="F45" s="27" t="s">
        <v>29</v>
      </c>
      <c r="G45" s="27"/>
      <c r="H45" s="27" t="s">
        <v>37</v>
      </c>
      <c r="I45" s="27"/>
      <c r="J45" s="84"/>
      <c r="K45" s="96">
        <v>42494</v>
      </c>
      <c r="L45" s="40" t="s">
        <v>107</v>
      </c>
      <c r="M45" s="79">
        <v>4</v>
      </c>
      <c r="N45" s="31"/>
      <c r="O45" s="77">
        <v>66000</v>
      </c>
      <c r="P45" s="77">
        <f t="shared" si="1"/>
        <v>264000</v>
      </c>
      <c r="Q45" s="33">
        <v>0.15</v>
      </c>
      <c r="R45" s="27"/>
      <c r="S45" s="27" t="s">
        <v>32</v>
      </c>
      <c r="T45" s="75">
        <v>0</v>
      </c>
      <c r="U4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الشراء-الاستلام]]&lt;DATE(2016,1,1),P45-T45,0))</f>
        <v>0</v>
      </c>
      <c r="V45" s="75">
        <f>IF(OR(Table5101345[[#This Row],[تاريخ الشراء-الاستلام]]="",Table5101345[[#This Row],[الإجمالي]]="",Table5101345[[#This Row],[العمر الافتراضي]]=""),"",IF(AND(T45&lt;P45,U45&gt;(P45*Q45),DATE(2015,12,31)&gt;K45),P45*Q45,IF(AND(T45&lt;P45,DATE(2016,12,31)&gt;K45,U45&gt;(P45*Q45)),(DATE(2016,12,31)-K45)/((100%/Q45)*365)*P45,IF(AND(T45&lt;P45,DATE(2016,12,31)&gt;K45,U45=0),(DATE(2016,12,31)-K45)/((100%/Q45)*365)*P45,IF(AND(T45&lt;P45,DATE(2016,12,31)&gt;K45,U45&lt;(P45*Q45)),U45,0)))))</f>
        <v>26146.849315068492</v>
      </c>
      <c r="W45" s="75">
        <f>IF(OR(Table5101345[[#This Row],[تاريخ الشراء-الاستلام]]="",Table5101345[[#This Row],[الإجمالي]]="",Table5101345[[#This Row],[العمر الافتراضي]]=""),"",IF(AND(T45&lt;P45,U45&gt;(P45*Q45),DATE(2016,12,31)&gt;K45),P45*Q45,IF(AND(T45&lt;P45,DATE(2017,12,31)&gt;K45,U45&gt;(P45*Q45)),(DATE(2017,12,31)-K45)/((100%/Q45)*360)*P45,IF(Table5101345[[#This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5" s="75">
        <f>IF(OR(Table5101345[[#This Row],[تاريخ الشراء-الاستلام]]="",Table5101345[[#This Row],[الإجمالي]]="",Table5101345[[#This Row],[العمر الافتراضي]]=""),"",T45+V45)</f>
        <v>26146.849315068492</v>
      </c>
      <c r="Y4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الشراء-الاستلام]]&gt;DATE(2016,12,31),0,P45-X45))</f>
        <v>237853.15068493152</v>
      </c>
    </row>
    <row r="46" spans="1:25" ht="48">
      <c r="A46" s="27">
        <f>IF(C46="","",SUBTOTAL(3,$C$5:C46))</f>
        <v>33</v>
      </c>
      <c r="B46" s="92" t="s">
        <v>106</v>
      </c>
      <c r="C46" s="88" t="s">
        <v>92</v>
      </c>
      <c r="D46" s="27" t="s">
        <v>27</v>
      </c>
      <c r="E46" s="84" t="s">
        <v>93</v>
      </c>
      <c r="F46" s="27" t="s">
        <v>29</v>
      </c>
      <c r="G46" s="27"/>
      <c r="H46" s="27" t="s">
        <v>37</v>
      </c>
      <c r="I46" s="27"/>
      <c r="J46" s="84"/>
      <c r="K46" s="96">
        <v>42656</v>
      </c>
      <c r="L46" s="40" t="s">
        <v>108</v>
      </c>
      <c r="M46" s="79">
        <v>12</v>
      </c>
      <c r="N46" s="31"/>
      <c r="O46" s="77">
        <v>66437</v>
      </c>
      <c r="P46" s="77">
        <f t="shared" si="1"/>
        <v>797244</v>
      </c>
      <c r="Q46" s="33">
        <v>0.15</v>
      </c>
      <c r="R46" s="27"/>
      <c r="S46" s="27" t="s">
        <v>32</v>
      </c>
      <c r="T46" s="75">
        <v>0</v>
      </c>
      <c r="U4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الشراء-الاستلام]]&lt;DATE(2016,1,1),P46-T46,0))</f>
        <v>0</v>
      </c>
      <c r="V46" s="75">
        <f>IF(OR(Table5101345[[#This Row],[تاريخ الشراء-الاستلام]]="",Table5101345[[#This Row],[الإجمالي]]="",Table5101345[[#This Row],[العمر الافتراضي]]=""),"",IF(AND(T46&lt;P46,U46&gt;(P46*Q46),DATE(2015,12,31)&gt;K46),P46*Q46,IF(AND(T46&lt;P46,DATE(2016,12,31)&gt;K46,U46&gt;(P46*Q46)),(DATE(2016,12,31)-K46)/((100%/Q46)*365)*P46,IF(AND(T46&lt;P46,DATE(2016,12,31)&gt;K46,U46=0),(DATE(2016,12,31)-K46)/((100%/Q46)*365)*P46,IF(AND(T46&lt;P46,DATE(2016,12,31)&gt;K46,U46&lt;(P46*Q46)),U46,0)))))</f>
        <v>25883.127123287668</v>
      </c>
      <c r="W46" s="75">
        <f>IF(OR(Table5101345[[#This Row],[تاريخ الشراء-الاستلام]]="",Table5101345[[#This Row],[الإجمالي]]="",Table5101345[[#This Row],[العمر الافتراضي]]=""),"",IF(AND(T46&lt;P46,U46&gt;(P46*Q46),DATE(2016,12,31)&gt;K46),P46*Q46,IF(AND(T46&lt;P46,DATE(2017,12,31)&gt;K46,U46&gt;(P46*Q46)),(DATE(2017,12,31)-K46)/((100%/Q46)*360)*P46,IF(Table5101345[[#This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6" s="75">
        <f>IF(OR(Table5101345[[#This Row],[تاريخ الشراء-الاستلام]]="",Table5101345[[#This Row],[الإجمالي]]="",Table5101345[[#This Row],[العمر الافتراضي]]=""),"",T46+V46)</f>
        <v>25883.127123287668</v>
      </c>
      <c r="Y4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الشراء-الاستلام]]&gt;DATE(2016,12,31),0,P46-X46))</f>
        <v>771360.87287671235</v>
      </c>
    </row>
    <row r="47" spans="1:25" ht="48" customHeight="1">
      <c r="A47" s="27">
        <f>IF(C47="","",SUBTOTAL(3,$C$5:C47))</f>
        <v>34</v>
      </c>
      <c r="B47" s="92" t="s">
        <v>109</v>
      </c>
      <c r="C47" s="88" t="s">
        <v>110</v>
      </c>
      <c r="D47" s="27" t="s">
        <v>27</v>
      </c>
      <c r="E47" s="84" t="s">
        <v>55</v>
      </c>
      <c r="F47" s="27" t="s">
        <v>29</v>
      </c>
      <c r="G47" s="27" t="s">
        <v>96</v>
      </c>
      <c r="H47" s="27" t="s">
        <v>37</v>
      </c>
      <c r="I47" s="27" t="s">
        <v>97</v>
      </c>
      <c r="J47" s="85" t="s">
        <v>111</v>
      </c>
      <c r="K47" s="96">
        <v>42457</v>
      </c>
      <c r="L47" s="29" t="s">
        <v>112</v>
      </c>
      <c r="M47" s="79">
        <v>1</v>
      </c>
      <c r="N47" s="31"/>
      <c r="O47" s="77">
        <v>250000</v>
      </c>
      <c r="P47" s="77">
        <f t="shared" si="1"/>
        <v>250000</v>
      </c>
      <c r="Q47" s="33">
        <v>0.15</v>
      </c>
      <c r="R47" s="27"/>
      <c r="S47" s="27" t="s">
        <v>32</v>
      </c>
      <c r="T47" s="75">
        <v>0</v>
      </c>
      <c r="U4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الشراء-الاستلام]]&lt;DATE(2016,1,1),P47-T47,0))</f>
        <v>0</v>
      </c>
      <c r="V47" s="75">
        <f>IF(OR(Table5101345[[#This Row],[تاريخ الشراء-الاستلام]]="",Table5101345[[#This Row],[الإجمالي]]="",Table5101345[[#This Row],[العمر الافتراضي]]=""),"",IF(AND(T47&lt;P47,U47&gt;(P47*Q47),DATE(2015,12,31)&gt;K47),P47*Q47,IF(AND(T47&lt;P47,DATE(2016,12,31)&gt;K47,U47&gt;(P47*Q47)),(DATE(2016,12,31)-K47)/((100%/Q47)*365)*P47,IF(AND(T47&lt;P47,DATE(2016,12,31)&gt;K47,U47=0),(DATE(2016,12,31)-K47)/((100%/Q47)*365)*P47,IF(AND(T47&lt;P47,DATE(2016,12,31)&gt;K47,U47&lt;(P47*Q47)),U47,0)))))</f>
        <v>28561.64383561644</v>
      </c>
      <c r="W47" s="75">
        <f>IF(OR(Table5101345[[#This Row],[تاريخ الشراء-الاستلام]]="",Table5101345[[#This Row],[الإجمالي]]="",Table5101345[[#This Row],[العمر الافتراضي]]=""),"",IF(AND(T47&lt;P47,U47&gt;(P47*Q47),DATE(2016,12,31)&gt;K47),P47*Q47,IF(AND(T47&lt;P47,DATE(2017,12,31)&gt;K47,U47&gt;(P47*Q47)),(DATE(2017,12,31)-K47)/((100%/Q47)*360)*P47,IF(Table5101345[[#This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7" s="75">
        <f>IF(OR(Table5101345[[#This Row],[تاريخ الشراء-الاستلام]]="",Table5101345[[#This Row],[الإجمالي]]="",Table5101345[[#This Row],[العمر الافتراضي]]=""),"",T47+V47)</f>
        <v>28561.64383561644</v>
      </c>
      <c r="Y4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الشراء-الاستلام]]&gt;DATE(2016,12,31),0,P47-X47))</f>
        <v>221438.35616438356</v>
      </c>
    </row>
    <row r="48" spans="1:25" ht="48" customHeight="1">
      <c r="A48" s="27">
        <f>IF(C48="","",SUBTOTAL(3,$C$5:C48))</f>
        <v>35</v>
      </c>
      <c r="B48" s="92" t="s">
        <v>109</v>
      </c>
      <c r="C48" s="88" t="s">
        <v>110</v>
      </c>
      <c r="D48" s="27" t="s">
        <v>27</v>
      </c>
      <c r="E48" s="84" t="s">
        <v>55</v>
      </c>
      <c r="F48" s="27" t="s">
        <v>29</v>
      </c>
      <c r="G48" s="27" t="s">
        <v>96</v>
      </c>
      <c r="H48" s="27" t="s">
        <v>37</v>
      </c>
      <c r="I48" s="27"/>
      <c r="J48" s="85" t="s">
        <v>113</v>
      </c>
      <c r="K48" s="96">
        <v>42457</v>
      </c>
      <c r="L48" s="29" t="s">
        <v>112</v>
      </c>
      <c r="M48" s="79">
        <v>1</v>
      </c>
      <c r="N48" s="31"/>
      <c r="O48" s="77">
        <v>250000</v>
      </c>
      <c r="P48" s="77">
        <f t="shared" si="1"/>
        <v>250000</v>
      </c>
      <c r="Q48" s="33">
        <v>0.15</v>
      </c>
      <c r="R48" s="27"/>
      <c r="S48" s="27" t="s">
        <v>32</v>
      </c>
      <c r="T48" s="75">
        <v>0</v>
      </c>
      <c r="U4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الشراء-الاستلام]]&lt;DATE(2016,1,1),P48-T48,0))</f>
        <v>0</v>
      </c>
      <c r="V48" s="75">
        <f>IF(OR(Table5101345[[#This Row],[تاريخ الشراء-الاستلام]]="",Table5101345[[#This Row],[الإجمالي]]="",Table5101345[[#This Row],[العمر الافتراضي]]=""),"",IF(AND(T48&lt;P48,U48&gt;(P48*Q48),DATE(2015,12,31)&gt;K48),P48*Q48,IF(AND(T48&lt;P48,DATE(2016,12,31)&gt;K48,U48&gt;(P48*Q48)),(DATE(2016,12,31)-K48)/((100%/Q48)*365)*P48,IF(AND(T48&lt;P48,DATE(2016,12,31)&gt;K48,U48=0),(DATE(2016,12,31)-K48)/((100%/Q48)*365)*P48,IF(AND(T48&lt;P48,DATE(2016,12,31)&gt;K48,U48&lt;(P48*Q48)),U48,0)))))</f>
        <v>28561.64383561644</v>
      </c>
      <c r="W48" s="75">
        <f>IF(OR(Table5101345[[#This Row],[تاريخ الشراء-الاستلام]]="",Table5101345[[#This Row],[الإجمالي]]="",Table5101345[[#This Row],[العمر الافتراضي]]=""),"",IF(AND(T48&lt;P48,U48&gt;(P48*Q48),DATE(2016,12,31)&gt;K48),P48*Q48,IF(AND(T48&lt;P48,DATE(2017,12,31)&gt;K48,U48&gt;(P48*Q48)),(DATE(2017,12,31)-K48)/((100%/Q48)*360)*P48,IF(Table5101345[[#This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8" s="75">
        <f>IF(OR(Table5101345[[#This Row],[تاريخ الشراء-الاستلام]]="",Table5101345[[#This Row],[الإجمالي]]="",Table5101345[[#This Row],[العمر الافتراضي]]=""),"",T48+V48)</f>
        <v>28561.64383561644</v>
      </c>
      <c r="Y4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الشراء-الاستلام]]&gt;DATE(2016,12,31),0,P48-X48))</f>
        <v>221438.35616438356</v>
      </c>
    </row>
    <row r="49" spans="1:25" ht="48" customHeight="1">
      <c r="A49" s="27">
        <f>IF(C49="","",SUBTOTAL(3,$C$5:C49))</f>
        <v>36</v>
      </c>
      <c r="B49" s="92" t="s">
        <v>109</v>
      </c>
      <c r="C49" s="88" t="s">
        <v>110</v>
      </c>
      <c r="D49" s="27" t="s">
        <v>27</v>
      </c>
      <c r="E49" s="84" t="s">
        <v>55</v>
      </c>
      <c r="F49" s="27" t="s">
        <v>82</v>
      </c>
      <c r="G49" s="27"/>
      <c r="H49" s="27" t="s">
        <v>37</v>
      </c>
      <c r="I49" s="27"/>
      <c r="J49" s="85" t="s">
        <v>114</v>
      </c>
      <c r="K49" s="96">
        <v>42457</v>
      </c>
      <c r="L49" s="29" t="s">
        <v>112</v>
      </c>
      <c r="M49" s="79">
        <v>1</v>
      </c>
      <c r="N49" s="31"/>
      <c r="O49" s="77">
        <v>250000</v>
      </c>
      <c r="P49" s="77">
        <f t="shared" si="1"/>
        <v>250000</v>
      </c>
      <c r="Q49" s="33">
        <v>0.15</v>
      </c>
      <c r="R49" s="27"/>
      <c r="S49" s="27" t="s">
        <v>32</v>
      </c>
      <c r="T49" s="75">
        <v>0</v>
      </c>
      <c r="U4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الشراء-الاستلام]]&lt;DATE(2016,1,1),P49-T49,0))</f>
        <v>0</v>
      </c>
      <c r="V49" s="75">
        <f>IF(OR(Table5101345[[#This Row],[تاريخ الشراء-الاستلام]]="",Table5101345[[#This Row],[الإجمالي]]="",Table5101345[[#This Row],[العمر الافتراضي]]=""),"",IF(AND(T49&lt;P49,U49&gt;(P49*Q49),DATE(2015,12,31)&gt;K49),P49*Q49,IF(AND(T49&lt;P49,DATE(2016,12,31)&gt;K49,U49&gt;(P49*Q49)),(DATE(2016,12,31)-K49)/((100%/Q49)*365)*P49,IF(AND(T49&lt;P49,DATE(2016,12,31)&gt;K49,U49=0),(DATE(2016,12,31)-K49)/((100%/Q49)*365)*P49,IF(AND(T49&lt;P49,DATE(2016,12,31)&gt;K49,U49&lt;(P49*Q49)),U49,0)))))</f>
        <v>28561.64383561644</v>
      </c>
      <c r="W49" s="75">
        <f>IF(OR(Table5101345[[#This Row],[تاريخ الشراء-الاستلام]]="",Table5101345[[#This Row],[الإجمالي]]="",Table5101345[[#This Row],[العمر الافتراضي]]=""),"",IF(AND(T49&lt;P49,U49&gt;(P49*Q49),DATE(2016,12,31)&gt;K49),P49*Q49,IF(AND(T49&lt;P49,DATE(2017,12,31)&gt;K49,U49&gt;(P49*Q49)),(DATE(2017,12,31)-K49)/((100%/Q49)*360)*P49,IF(Table5101345[[#This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49" s="75">
        <f>IF(OR(Table5101345[[#This Row],[تاريخ الشراء-الاستلام]]="",Table5101345[[#This Row],[الإجمالي]]="",Table5101345[[#This Row],[العمر الافتراضي]]=""),"",T49+V49)</f>
        <v>28561.64383561644</v>
      </c>
      <c r="Y4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الشراء-الاستلام]]&gt;DATE(2016,12,31),0,P49-X49))</f>
        <v>221438.35616438356</v>
      </c>
    </row>
    <row r="50" spans="1:25" ht="30" customHeight="1">
      <c r="A50" s="27">
        <f>IF(C50="","",SUBTOTAL(3,$C$5:C50))</f>
        <v>37</v>
      </c>
      <c r="B50" s="92" t="s">
        <v>115</v>
      </c>
      <c r="C50" s="88" t="s">
        <v>90</v>
      </c>
      <c r="D50" s="27" t="s">
        <v>27</v>
      </c>
      <c r="E50" s="84" t="s">
        <v>35</v>
      </c>
      <c r="F50" s="27" t="s">
        <v>29</v>
      </c>
      <c r="G50" s="27"/>
      <c r="H50" s="27" t="s">
        <v>37</v>
      </c>
      <c r="I50" s="27"/>
      <c r="J50" s="84"/>
      <c r="K50" s="96">
        <v>42490</v>
      </c>
      <c r="L50" s="29" t="s">
        <v>116</v>
      </c>
      <c r="M50" s="79">
        <v>43</v>
      </c>
      <c r="N50" s="31"/>
      <c r="O50" s="77">
        <v>595.4</v>
      </c>
      <c r="P50" s="77">
        <f t="shared" si="1"/>
        <v>25602.2</v>
      </c>
      <c r="Q50" s="35">
        <v>4.4999999999999998E-2</v>
      </c>
      <c r="R50" s="27"/>
      <c r="S50" s="27" t="s">
        <v>32</v>
      </c>
      <c r="T50" s="75">
        <v>0</v>
      </c>
      <c r="U5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الشراء-الاستلام]]&lt;DATE(2016,1,1),P50-T50,0))</f>
        <v>0</v>
      </c>
      <c r="V50" s="75">
        <f>IF(OR(Table5101345[[#This Row],[تاريخ الشراء-الاستلام]]="",Table5101345[[#This Row],[الإجمالي]]="",Table5101345[[#This Row],[العمر الافتراضي]]=""),"",IF(AND(T50&lt;P50,U50&gt;(P50*Q50),DATE(2015,12,31)&gt;K50),P50*Q50,IF(AND(T50&lt;P50,DATE(2016,12,31)&gt;K50,U50&gt;(P50*Q50)),(DATE(2016,12,31)-K50)/((100%/Q50)*365)*P50,IF(AND(T50&lt;P50,DATE(2016,12,31)&gt;K50,U50=0),(DATE(2016,12,31)-K50)/((100%/Q50)*365)*P50,IF(AND(T50&lt;P50,DATE(2016,12,31)&gt;K50,U50&lt;(P50*Q50)),U50,0)))))</f>
        <v>773.32672602739729</v>
      </c>
      <c r="W50" s="75">
        <f>IF(OR(Table5101345[[#This Row],[تاريخ الشراء-الاستلام]]="",Table5101345[[#This Row],[الإجمالي]]="",Table5101345[[#This Row],[العمر الافتراضي]]=""),"",IF(AND(T50&lt;P50,U50&gt;(P50*Q50),DATE(2016,12,31)&gt;K50),P50*Q50,IF(AND(T50&lt;P50,DATE(2017,12,31)&gt;K50,U50&gt;(P50*Q50)),(DATE(2017,12,31)-K50)/((100%/Q50)*360)*P50,IF(Table5101345[[#This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0" s="75">
        <f>IF(OR(Table5101345[[#This Row],[تاريخ الشراء-الاستلام]]="",Table5101345[[#This Row],[الإجمالي]]="",Table5101345[[#This Row],[العمر الافتراضي]]=""),"",T50+V50)</f>
        <v>773.32672602739729</v>
      </c>
      <c r="Y5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الشراء-الاستلام]]&gt;DATE(2016,12,31),0,P50-X50))</f>
        <v>24828.873273972604</v>
      </c>
    </row>
    <row r="51" spans="1:25" ht="30" customHeight="1">
      <c r="A51" s="27">
        <f>IF(C51="","",SUBTOTAL(3,$C$5:C51))</f>
        <v>38</v>
      </c>
      <c r="B51" s="92" t="s">
        <v>115</v>
      </c>
      <c r="C51" s="88" t="s">
        <v>117</v>
      </c>
      <c r="D51" s="27" t="s">
        <v>27</v>
      </c>
      <c r="E51" s="84" t="s">
        <v>35</v>
      </c>
      <c r="F51" s="27" t="s">
        <v>29</v>
      </c>
      <c r="G51" s="27"/>
      <c r="H51" s="27" t="s">
        <v>37</v>
      </c>
      <c r="I51" s="27"/>
      <c r="J51" s="84"/>
      <c r="K51" s="96">
        <v>42490</v>
      </c>
      <c r="L51" s="29" t="s">
        <v>116</v>
      </c>
      <c r="M51" s="79">
        <v>96</v>
      </c>
      <c r="N51" s="31"/>
      <c r="O51" s="77">
        <v>1239.58</v>
      </c>
      <c r="P51" s="77">
        <f t="shared" si="1"/>
        <v>118999.67999999999</v>
      </c>
      <c r="Q51" s="35">
        <v>0.03</v>
      </c>
      <c r="R51" s="27"/>
      <c r="S51" s="27" t="s">
        <v>32</v>
      </c>
      <c r="T51" s="75">
        <v>0</v>
      </c>
      <c r="U5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الشراء-الاستلام]]&lt;DATE(2016,1,1),P51-T51,0))</f>
        <v>0</v>
      </c>
      <c r="V51" s="75">
        <f>IF(OR(Table5101345[[#This Row],[تاريخ الشراء-الاستلام]]="",Table5101345[[#This Row],[الإجمالي]]="",Table5101345[[#This Row],[العمر الافتراضي]]=""),"",IF(AND(T51&lt;P51,U51&gt;(P51*Q51),DATE(2015,12,31)&gt;K51),P51*Q51,IF(AND(T51&lt;P51,DATE(2016,12,31)&gt;K51,U51&gt;(P51*Q51)),(DATE(2016,12,31)-K51)/((100%/Q51)*365)*P51,IF(AND(T51&lt;P51,DATE(2016,12,31)&gt;K51,U51=0),(DATE(2016,12,31)-K51)/((100%/Q51)*365)*P51,IF(AND(T51&lt;P51,DATE(2016,12,31)&gt;K51,U51&lt;(P51*Q51)),U51,0)))))</f>
        <v>2396.2949260273972</v>
      </c>
      <c r="W51" s="75">
        <f>IF(OR(Table5101345[[#This Row],[تاريخ الشراء-الاستلام]]="",Table5101345[[#This Row],[الإجمالي]]="",Table5101345[[#This Row],[العمر الافتراضي]]=""),"",IF(AND(T51&lt;P51,U51&gt;(P51*Q51),DATE(2016,12,31)&gt;K51),P51*Q51,IF(AND(T51&lt;P51,DATE(2017,12,31)&gt;K51,U51&gt;(P51*Q51)),(DATE(2017,12,31)-K51)/((100%/Q51)*360)*P51,IF(Table5101345[[#This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1" s="75">
        <f>IF(OR(Table5101345[[#This Row],[تاريخ الشراء-الاستلام]]="",Table5101345[[#This Row],[الإجمالي]]="",Table5101345[[#This Row],[العمر الافتراضي]]=""),"",T51+V51)</f>
        <v>2396.2949260273972</v>
      </c>
      <c r="Y5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الشراء-الاستلام]]&gt;DATE(2016,12,31),0,P51-X51))</f>
        <v>116603.38507397259</v>
      </c>
    </row>
    <row r="52" spans="1:25" ht="30" customHeight="1">
      <c r="A52" s="27">
        <f>IF(C52="","",SUBTOTAL(3,$C$5:C52))</f>
        <v>39</v>
      </c>
      <c r="B52" s="92" t="s">
        <v>115</v>
      </c>
      <c r="C52" s="88" t="s">
        <v>118</v>
      </c>
      <c r="D52" s="27" t="s">
        <v>27</v>
      </c>
      <c r="E52" s="84" t="s">
        <v>35</v>
      </c>
      <c r="F52" s="27" t="s">
        <v>29</v>
      </c>
      <c r="G52" s="27"/>
      <c r="H52" s="27" t="s">
        <v>37</v>
      </c>
      <c r="I52" s="27"/>
      <c r="J52" s="84" t="s">
        <v>119</v>
      </c>
      <c r="K52" s="96">
        <v>42504</v>
      </c>
      <c r="L52" s="29" t="s">
        <v>116</v>
      </c>
      <c r="M52" s="79">
        <v>5</v>
      </c>
      <c r="N52" s="31"/>
      <c r="O52" s="77">
        <v>23000</v>
      </c>
      <c r="P52" s="77">
        <f t="shared" si="1"/>
        <v>115000</v>
      </c>
      <c r="Q52" s="35">
        <v>4.4999999999999998E-2</v>
      </c>
      <c r="R52" s="27"/>
      <c r="S52" s="27" t="s">
        <v>32</v>
      </c>
      <c r="T52" s="75">
        <v>0</v>
      </c>
      <c r="U5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الشراء-الاستلام]]&lt;DATE(2016,1,1),P52-T52,0))</f>
        <v>0</v>
      </c>
      <c r="V52" s="75">
        <f>IF(OR(Table5101345[[#This Row],[تاريخ الشراء-الاستلام]]="",Table5101345[[#This Row],[الإجمالي]]="",Table5101345[[#This Row],[العمر الافتراضي]]=""),"",IF(AND(T52&lt;P52,U52&gt;(P52*Q52),DATE(2015,12,31)&gt;K52),P52*Q52,IF(AND(T52&lt;P52,DATE(2016,12,31)&gt;K52,U52&gt;(P52*Q52)),(DATE(2016,12,31)-K52)/((100%/Q52)*365)*P52,IF(AND(T52&lt;P52,DATE(2016,12,31)&gt;K52,U52=0),(DATE(2016,12,31)-K52)/((100%/Q52)*365)*P52,IF(AND(T52&lt;P52,DATE(2016,12,31)&gt;K52,U52&lt;(P52*Q52)),U52,0)))))</f>
        <v>3275.1369863013701</v>
      </c>
      <c r="W52" s="75">
        <f>IF(OR(Table5101345[[#This Row],[تاريخ الشراء-الاستلام]]="",Table5101345[[#This Row],[الإجمالي]]="",Table5101345[[#This Row],[العمر الافتراضي]]=""),"",IF(AND(T52&lt;P52,U52&gt;(P52*Q52),DATE(2016,12,31)&gt;K52),P52*Q52,IF(AND(T52&lt;P52,DATE(2017,12,31)&gt;K52,U52&gt;(P52*Q52)),(DATE(2017,12,31)-K52)/((100%/Q52)*360)*P52,IF(Table5101345[[#This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2" s="75">
        <f>IF(OR(Table5101345[[#This Row],[تاريخ الشراء-الاستلام]]="",Table5101345[[#This Row],[الإجمالي]]="",Table5101345[[#This Row],[العمر الافتراضي]]=""),"",T52+V52)</f>
        <v>3275.1369863013701</v>
      </c>
      <c r="Y5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الشراء-الاستلام]]&gt;DATE(2016,12,31),0,P52-X52))</f>
        <v>111724.86301369863</v>
      </c>
    </row>
    <row r="53" spans="1:25" ht="30" customHeight="1">
      <c r="A53" s="27">
        <f>IF(C53="","",SUBTOTAL(3,$C$5:C53))</f>
        <v>40</v>
      </c>
      <c r="B53" s="92" t="s">
        <v>115</v>
      </c>
      <c r="C53" s="88" t="s">
        <v>120</v>
      </c>
      <c r="D53" s="27" t="s">
        <v>27</v>
      </c>
      <c r="E53" s="84" t="s">
        <v>35</v>
      </c>
      <c r="F53" s="27" t="s">
        <v>29</v>
      </c>
      <c r="G53" s="27"/>
      <c r="H53" s="27" t="s">
        <v>37</v>
      </c>
      <c r="I53" s="27"/>
      <c r="J53" s="84"/>
      <c r="K53" s="96">
        <v>42461</v>
      </c>
      <c r="L53" s="29" t="s">
        <v>116</v>
      </c>
      <c r="M53" s="79">
        <v>3</v>
      </c>
      <c r="N53" s="31"/>
      <c r="O53" s="77">
        <v>12000</v>
      </c>
      <c r="P53" s="77">
        <f t="shared" si="1"/>
        <v>36000</v>
      </c>
      <c r="Q53" s="35">
        <v>4.4999999999999998E-2</v>
      </c>
      <c r="R53" s="27"/>
      <c r="S53" s="27" t="s">
        <v>32</v>
      </c>
      <c r="T53" s="75">
        <v>0</v>
      </c>
      <c r="U5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الشراء-الاستلام]]&lt;DATE(2016,1,1),P53-T53,0))</f>
        <v>0</v>
      </c>
      <c r="V53" s="75">
        <f>IF(OR(Table5101345[[#This Row],[تاريخ الشراء-الاستلام]]="",Table5101345[[#This Row],[الإجمالي]]="",Table5101345[[#This Row],[العمر الافتراضي]]=""),"",IF(AND(T53&lt;P53,U53&gt;(P53*Q53),DATE(2015,12,31)&gt;K53),P53*Q53,IF(AND(T53&lt;P53,DATE(2016,12,31)&gt;K53,U53&gt;(P53*Q53)),(DATE(2016,12,31)-K53)/((100%/Q53)*365)*P53,IF(AND(T53&lt;P53,DATE(2016,12,31)&gt;K53,U53=0),(DATE(2016,12,31)-K53)/((100%/Q53)*365)*P53,IF(AND(T53&lt;P53,DATE(2016,12,31)&gt;K53,U53&lt;(P53*Q53)),U53,0)))))</f>
        <v>1216.1095890410959</v>
      </c>
      <c r="W53" s="75">
        <f>IF(OR(Table5101345[[#This Row],[تاريخ الشراء-الاستلام]]="",Table5101345[[#This Row],[الإجمالي]]="",Table5101345[[#This Row],[العمر الافتراضي]]=""),"",IF(AND(T53&lt;P53,U53&gt;(P53*Q53),DATE(2016,12,31)&gt;K53),P53*Q53,IF(AND(T53&lt;P53,DATE(2017,12,31)&gt;K53,U53&gt;(P53*Q53)),(DATE(2017,12,31)-K53)/((100%/Q53)*360)*P53,IF(Table5101345[[#This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3" s="75">
        <f>IF(OR(Table5101345[[#This Row],[تاريخ الشراء-الاستلام]]="",Table5101345[[#This Row],[الإجمالي]]="",Table5101345[[#This Row],[العمر الافتراضي]]=""),"",T53+V53)</f>
        <v>1216.1095890410959</v>
      </c>
      <c r="Y5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الشراء-الاستلام]]&gt;DATE(2016,12,31),0,P53-X53))</f>
        <v>34783.890410958906</v>
      </c>
    </row>
    <row r="54" spans="1:25" ht="30" customHeight="1">
      <c r="A54" s="27">
        <f>IF(C54="","",SUBTOTAL(3,$C$5:C54))</f>
        <v>41</v>
      </c>
      <c r="B54" s="92" t="s">
        <v>115</v>
      </c>
      <c r="C54" s="88" t="s">
        <v>121</v>
      </c>
      <c r="D54" s="27" t="s">
        <v>27</v>
      </c>
      <c r="E54" s="84" t="s">
        <v>35</v>
      </c>
      <c r="F54" s="27" t="s">
        <v>29</v>
      </c>
      <c r="G54" s="27"/>
      <c r="H54" s="27" t="s">
        <v>37</v>
      </c>
      <c r="I54" s="27"/>
      <c r="J54" s="84"/>
      <c r="K54" s="96">
        <v>42461</v>
      </c>
      <c r="L54" s="29" t="s">
        <v>116</v>
      </c>
      <c r="M54" s="79">
        <v>15</v>
      </c>
      <c r="N54" s="31"/>
      <c r="O54" s="77">
        <v>850</v>
      </c>
      <c r="P54" s="77">
        <f t="shared" si="1"/>
        <v>12750</v>
      </c>
      <c r="Q54" s="35">
        <v>4.4999999999999998E-2</v>
      </c>
      <c r="R54" s="27"/>
      <c r="S54" s="27" t="s">
        <v>32</v>
      </c>
      <c r="T54" s="75">
        <v>0</v>
      </c>
      <c r="U5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الشراء-الاستلام]]&lt;DATE(2016,1,1),P54-T54,0))</f>
        <v>0</v>
      </c>
      <c r="V54" s="75">
        <f>IF(OR(Table5101345[[#This Row],[تاريخ الشراء-الاستلام]]="",Table5101345[[#This Row],[الإجمالي]]="",Table5101345[[#This Row],[العمر الافتراضي]]=""),"",IF(AND(T54&lt;P54,U54&gt;(P54*Q54),DATE(2015,12,31)&gt;K54),P54*Q54,IF(AND(T54&lt;P54,DATE(2016,12,31)&gt;K54,U54&gt;(P54*Q54)),(DATE(2016,12,31)-K54)/((100%/Q54)*365)*P54,IF(AND(T54&lt;P54,DATE(2016,12,31)&gt;K54,U54=0),(DATE(2016,12,31)-K54)/((100%/Q54)*365)*P54,IF(AND(T54&lt;P54,DATE(2016,12,31)&gt;K54,U54&lt;(P54*Q54)),U54,0)))))</f>
        <v>430.70547945205482</v>
      </c>
      <c r="W54" s="75">
        <f>IF(OR(Table5101345[[#This Row],[تاريخ الشراء-الاستلام]]="",Table5101345[[#This Row],[الإجمالي]]="",Table5101345[[#This Row],[العمر الافتراضي]]=""),"",IF(AND(T54&lt;P54,U54&gt;(P54*Q54),DATE(2016,12,31)&gt;K54),P54*Q54,IF(AND(T54&lt;P54,DATE(2017,12,31)&gt;K54,U54&gt;(P54*Q54)),(DATE(2017,12,31)-K54)/((100%/Q54)*360)*P54,IF(Table5101345[[#This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4" s="75">
        <f>IF(OR(Table5101345[[#This Row],[تاريخ الشراء-الاستلام]]="",Table5101345[[#This Row],[الإجمالي]]="",Table5101345[[#This Row],[العمر الافتراضي]]=""),"",T54+V54)</f>
        <v>430.70547945205482</v>
      </c>
      <c r="Y5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الشراء-الاستلام]]&gt;DATE(2016,12,31),0,P54-X54))</f>
        <v>12319.294520547945</v>
      </c>
    </row>
    <row r="55" spans="1:25" ht="30" customHeight="1">
      <c r="A55" s="27">
        <f>IF(C55="","",SUBTOTAL(3,$C$5:C55))</f>
        <v>42</v>
      </c>
      <c r="B55" s="92" t="s">
        <v>115</v>
      </c>
      <c r="C55" s="88" t="s">
        <v>122</v>
      </c>
      <c r="D55" s="27" t="s">
        <v>27</v>
      </c>
      <c r="E55" s="84" t="s">
        <v>35</v>
      </c>
      <c r="F55" s="27" t="s">
        <v>29</v>
      </c>
      <c r="G55" s="27"/>
      <c r="H55" s="27" t="s">
        <v>37</v>
      </c>
      <c r="I55" s="27"/>
      <c r="J55" s="84"/>
      <c r="K55" s="96">
        <v>42461</v>
      </c>
      <c r="L55" s="29" t="s">
        <v>116</v>
      </c>
      <c r="M55" s="79">
        <v>4</v>
      </c>
      <c r="N55" s="31"/>
      <c r="O55" s="77">
        <v>1225</v>
      </c>
      <c r="P55" s="77">
        <f t="shared" si="1"/>
        <v>4900</v>
      </c>
      <c r="Q55" s="35">
        <v>4.4999999999999998E-2</v>
      </c>
      <c r="R55" s="27"/>
      <c r="S55" s="27" t="s">
        <v>32</v>
      </c>
      <c r="T55" s="75">
        <v>0</v>
      </c>
      <c r="U5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الشراء-الاستلام]]&lt;DATE(2016,1,1),P55-T55,0))</f>
        <v>0</v>
      </c>
      <c r="V55" s="75">
        <f>IF(OR(Table5101345[[#This Row],[تاريخ الشراء-الاستلام]]="",Table5101345[[#This Row],[الإجمالي]]="",Table5101345[[#This Row],[العمر الافتراضي]]=""),"",IF(AND(T55&lt;P55,U55&gt;(P55*Q55),DATE(2015,12,31)&gt;K55),P55*Q55,IF(AND(T55&lt;P55,DATE(2016,12,31)&gt;K55,U55&gt;(P55*Q55)),(DATE(2016,12,31)-K55)/((100%/Q55)*365)*P55,IF(AND(T55&lt;P55,DATE(2016,12,31)&gt;K55,U55=0),(DATE(2016,12,31)-K55)/((100%/Q55)*365)*P55,IF(AND(T55&lt;P55,DATE(2016,12,31)&gt;K55,U55&lt;(P55*Q55)),U55,0)))))</f>
        <v>165.52602739726029</v>
      </c>
      <c r="W55" s="75">
        <f>IF(OR(Table5101345[[#This Row],[تاريخ الشراء-الاستلام]]="",Table5101345[[#This Row],[الإجمالي]]="",Table5101345[[#This Row],[العمر الافتراضي]]=""),"",IF(AND(T55&lt;P55,U55&gt;(P55*Q55),DATE(2016,12,31)&gt;K55),P55*Q55,IF(AND(T55&lt;P55,DATE(2017,12,31)&gt;K55,U55&gt;(P55*Q55)),(DATE(2017,12,31)-K55)/((100%/Q55)*360)*P55,IF(Table5101345[[#This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5" s="75">
        <f>IF(OR(Table5101345[[#This Row],[تاريخ الشراء-الاستلام]]="",Table5101345[[#This Row],[الإجمالي]]="",Table5101345[[#This Row],[العمر الافتراضي]]=""),"",T55+V55)</f>
        <v>165.52602739726029</v>
      </c>
      <c r="Y5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الشراء-الاستلام]]&gt;DATE(2016,12,31),0,P55-X55))</f>
        <v>4734.4739726027401</v>
      </c>
    </row>
    <row r="56" spans="1:25" ht="30" customHeight="1">
      <c r="A56" s="27">
        <f>IF(C56="","",SUBTOTAL(3,$C$5:C56))</f>
        <v>43</v>
      </c>
      <c r="B56" s="92" t="s">
        <v>115</v>
      </c>
      <c r="C56" s="88" t="s">
        <v>123</v>
      </c>
      <c r="D56" s="27" t="s">
        <v>27</v>
      </c>
      <c r="E56" s="84" t="s">
        <v>35</v>
      </c>
      <c r="F56" s="27" t="s">
        <v>29</v>
      </c>
      <c r="G56" s="27"/>
      <c r="H56" s="27" t="s">
        <v>37</v>
      </c>
      <c r="I56" s="27"/>
      <c r="J56" s="84"/>
      <c r="K56" s="96">
        <v>42461</v>
      </c>
      <c r="L56" s="29" t="s">
        <v>116</v>
      </c>
      <c r="M56" s="79">
        <v>9</v>
      </c>
      <c r="N56" s="31"/>
      <c r="O56" s="77">
        <v>1800</v>
      </c>
      <c r="P56" s="77">
        <f t="shared" si="1"/>
        <v>16200</v>
      </c>
      <c r="Q56" s="35">
        <v>4.4999999999999998E-2</v>
      </c>
      <c r="R56" s="27"/>
      <c r="S56" s="27" t="s">
        <v>32</v>
      </c>
      <c r="T56" s="75">
        <v>0</v>
      </c>
      <c r="U5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الشراء-الاستلام]]&lt;DATE(2016,1,1),P56-T56,0))</f>
        <v>0</v>
      </c>
      <c r="V56" s="75">
        <f>IF(OR(Table5101345[[#This Row],[تاريخ الشراء-الاستلام]]="",Table5101345[[#This Row],[الإجمالي]]="",Table5101345[[#This Row],[العمر الافتراضي]]=""),"",IF(AND(T56&lt;P56,U56&gt;(P56*Q56),DATE(2015,12,31)&gt;K56),P56*Q56,IF(AND(T56&lt;P56,DATE(2016,12,31)&gt;K56,U56&gt;(P56*Q56)),(DATE(2016,12,31)-K56)/((100%/Q56)*365)*P56,IF(AND(T56&lt;P56,DATE(2016,12,31)&gt;K56,U56=0),(DATE(2016,12,31)-K56)/((100%/Q56)*365)*P56,IF(AND(T56&lt;P56,DATE(2016,12,31)&gt;K56,U56&lt;(P56*Q56)),U56,0)))))</f>
        <v>547.24931506849316</v>
      </c>
      <c r="W56" s="75">
        <f>IF(OR(Table5101345[[#This Row],[تاريخ الشراء-الاستلام]]="",Table5101345[[#This Row],[الإجمالي]]="",Table5101345[[#This Row],[العمر الافتراضي]]=""),"",IF(AND(T56&lt;P56,U56&gt;(P56*Q56),DATE(2016,12,31)&gt;K56),P56*Q56,IF(AND(T56&lt;P56,DATE(2017,12,31)&gt;K56,U56&gt;(P56*Q56)),(DATE(2017,12,31)-K56)/((100%/Q56)*360)*P56,IF(Table5101345[[#This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6" s="75">
        <f>IF(OR(Table5101345[[#This Row],[تاريخ الشراء-الاستلام]]="",Table5101345[[#This Row],[الإجمالي]]="",Table5101345[[#This Row],[العمر الافتراضي]]=""),"",T56+V56)</f>
        <v>547.24931506849316</v>
      </c>
      <c r="Y5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الشراء-الاستلام]]&gt;DATE(2016,12,31),0,P56-X56))</f>
        <v>15652.750684931507</v>
      </c>
    </row>
    <row r="57" spans="1:25" ht="30" customHeight="1">
      <c r="A57" s="27">
        <f>IF(C57="","",SUBTOTAL(3,$C$5:C57))</f>
        <v>44</v>
      </c>
      <c r="B57" s="81" t="s">
        <v>115</v>
      </c>
      <c r="C57" s="88" t="s">
        <v>124</v>
      </c>
      <c r="D57" s="27" t="s">
        <v>27</v>
      </c>
      <c r="E57" s="84" t="s">
        <v>35</v>
      </c>
      <c r="F57" s="27" t="s">
        <v>29</v>
      </c>
      <c r="G57" s="27"/>
      <c r="H57" s="27" t="s">
        <v>37</v>
      </c>
      <c r="I57" s="27"/>
      <c r="J57" s="84"/>
      <c r="K57" s="96">
        <v>42461</v>
      </c>
      <c r="L57" s="29" t="s">
        <v>116</v>
      </c>
      <c r="M57" s="79">
        <v>6</v>
      </c>
      <c r="N57" s="31"/>
      <c r="O57" s="77">
        <v>733</v>
      </c>
      <c r="P57" s="77">
        <f t="shared" si="1"/>
        <v>4398</v>
      </c>
      <c r="Q57" s="35">
        <v>4.4999999999999998E-2</v>
      </c>
      <c r="R57" s="27"/>
      <c r="S57" s="27" t="s">
        <v>32</v>
      </c>
      <c r="T57" s="75">
        <v>0</v>
      </c>
      <c r="U5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الشراء-الاستلام]]&lt;DATE(2016,1,1),P57-T57,0))</f>
        <v>0</v>
      </c>
      <c r="V57" s="75">
        <f>IF(OR(Table5101345[[#This Row],[تاريخ الشراء-الاستلام]]="",Table5101345[[#This Row],[الإجمالي]]="",Table5101345[[#This Row],[العمر الافتراضي]]=""),"",IF(AND(T57&lt;P57,U57&gt;(P57*Q57),DATE(2015,12,31)&gt;K57),P57*Q57,IF(AND(T57&lt;P57,DATE(2016,12,31)&gt;K57,U57&gt;(P57*Q57)),(DATE(2016,12,31)-K57)/((100%/Q57)*365)*P57,IF(AND(T57&lt;P57,DATE(2016,12,31)&gt;K57,U57=0),(DATE(2016,12,31)-K57)/((100%/Q57)*365)*P57,IF(AND(T57&lt;P57,DATE(2016,12,31)&gt;K57,U57&lt;(P57*Q57)),U57,0)))))</f>
        <v>148.56805479452055</v>
      </c>
      <c r="W57" s="75">
        <f>IF(OR(Table5101345[[#This Row],[تاريخ الشراء-الاستلام]]="",Table5101345[[#This Row],[الإجمالي]]="",Table5101345[[#This Row],[العمر الافتراضي]]=""),"",IF(AND(T57&lt;P57,U57&gt;(P57*Q57),DATE(2016,12,31)&gt;K57),P57*Q57,IF(AND(T57&lt;P57,DATE(2017,12,31)&gt;K57,U57&gt;(P57*Q57)),(DATE(2017,12,31)-K57)/((100%/Q57)*360)*P57,IF(Table5101345[[#This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7" s="75">
        <f>IF(OR(Table5101345[[#This Row],[تاريخ الشراء-الاستلام]]="",Table5101345[[#This Row],[الإجمالي]]="",Table5101345[[#This Row],[العمر الافتراضي]]=""),"",T57+V57)</f>
        <v>148.56805479452055</v>
      </c>
      <c r="Y5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الشراء-الاستلام]]&gt;DATE(2016,12,31),0,P57-X57))</f>
        <v>4249.4319452054797</v>
      </c>
    </row>
    <row r="58" spans="1:25" ht="30" customHeight="1">
      <c r="A58" s="27">
        <f>IF(C58="","",SUBTOTAL(3,$C$5:C58))</f>
        <v>45</v>
      </c>
      <c r="B58" s="81" t="s">
        <v>115</v>
      </c>
      <c r="C58" s="88" t="s">
        <v>125</v>
      </c>
      <c r="D58" s="27" t="s">
        <v>27</v>
      </c>
      <c r="E58" s="84" t="s">
        <v>35</v>
      </c>
      <c r="F58" s="27" t="s">
        <v>29</v>
      </c>
      <c r="G58" s="27"/>
      <c r="H58" s="27" t="s">
        <v>37</v>
      </c>
      <c r="I58" s="27"/>
      <c r="J58" s="84"/>
      <c r="K58" s="96">
        <v>42461</v>
      </c>
      <c r="L58" s="29" t="s">
        <v>116</v>
      </c>
      <c r="M58" s="79">
        <v>5</v>
      </c>
      <c r="N58" s="31"/>
      <c r="O58" s="77">
        <v>400</v>
      </c>
      <c r="P58" s="77">
        <f t="shared" si="1"/>
        <v>2000</v>
      </c>
      <c r="Q58" s="35">
        <v>4.4999999999999998E-2</v>
      </c>
      <c r="R58" s="27"/>
      <c r="S58" s="27" t="s">
        <v>32</v>
      </c>
      <c r="T58" s="75">
        <v>0</v>
      </c>
      <c r="U5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الشراء-الاستلام]]&lt;DATE(2016,1,1),P58-T58,0))</f>
        <v>0</v>
      </c>
      <c r="V58" s="75">
        <f>IF(OR(Table5101345[[#This Row],[تاريخ الشراء-الاستلام]]="",Table5101345[[#This Row],[الإجمالي]]="",Table5101345[[#This Row],[العمر الافتراضي]]=""),"",IF(AND(T58&lt;P58,U58&gt;(P58*Q58),DATE(2015,12,31)&gt;K58),P58*Q58,IF(AND(T58&lt;P58,DATE(2016,12,31)&gt;K58,U58&gt;(P58*Q58)),(DATE(2016,12,31)-K58)/((100%/Q58)*365)*P58,IF(AND(T58&lt;P58,DATE(2016,12,31)&gt;K58,U58=0),(DATE(2016,12,31)-K58)/((100%/Q58)*365)*P58,IF(AND(T58&lt;P58,DATE(2016,12,31)&gt;K58,U58&lt;(P58*Q58)),U58,0)))))</f>
        <v>67.561643835616437</v>
      </c>
      <c r="W58" s="75">
        <f>IF(OR(Table5101345[[#This Row],[تاريخ الشراء-الاستلام]]="",Table5101345[[#This Row],[الإجمالي]]="",Table5101345[[#This Row],[العمر الافتراضي]]=""),"",IF(AND(T58&lt;P58,U58&gt;(P58*Q58),DATE(2016,12,31)&gt;K58),P58*Q58,IF(AND(T58&lt;P58,DATE(2017,12,31)&gt;K58,U58&gt;(P58*Q58)),(DATE(2017,12,31)-K58)/((100%/Q58)*360)*P58,IF(Table5101345[[#This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8" s="75">
        <f>IF(OR(Table5101345[[#This Row],[تاريخ الشراء-الاستلام]]="",Table5101345[[#This Row],[الإجمالي]]="",Table5101345[[#This Row],[العمر الافتراضي]]=""),"",T58+V58)</f>
        <v>67.561643835616437</v>
      </c>
      <c r="Y5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الشراء-الاستلام]]&gt;DATE(2016,12,31),0,P58-X58))</f>
        <v>1932.4383561643835</v>
      </c>
    </row>
    <row r="59" spans="1:25" ht="30" hidden="1" customHeight="1">
      <c r="A59" s="27">
        <f>IF(C59="","",SUBTOTAL(3,$C$5:C59))</f>
        <v>45</v>
      </c>
      <c r="B59" s="81"/>
      <c r="C59" s="88" t="s">
        <v>34</v>
      </c>
      <c r="D59" s="27" t="s">
        <v>126</v>
      </c>
      <c r="E59" s="84" t="s">
        <v>35</v>
      </c>
      <c r="F59" s="27" t="s">
        <v>127</v>
      </c>
      <c r="G59" s="27"/>
      <c r="H59" s="27" t="s">
        <v>37</v>
      </c>
      <c r="I59" s="27"/>
      <c r="J59" s="84"/>
      <c r="K59" s="96">
        <v>42464</v>
      </c>
      <c r="L59" s="29" t="s">
        <v>38</v>
      </c>
      <c r="M59" s="79">
        <v>50</v>
      </c>
      <c r="N59" s="31"/>
      <c r="O59" s="77">
        <v>700</v>
      </c>
      <c r="P59" s="77">
        <f t="shared" si="1"/>
        <v>35000</v>
      </c>
      <c r="Q59" s="33">
        <v>0.1</v>
      </c>
      <c r="R59" s="27"/>
      <c r="S59" s="27" t="s">
        <v>32</v>
      </c>
      <c r="T59" s="75">
        <v>0</v>
      </c>
      <c r="U5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الشراء-الاستلام]]&lt;DATE(2016,1,1),P59-T59,0))</f>
        <v>0</v>
      </c>
      <c r="V59" s="75">
        <f>IF(OR(Table5101345[[#This Row],[تاريخ الشراء-الاستلام]]="",Table5101345[[#This Row],[الإجمالي]]="",Table5101345[[#This Row],[العمر الافتراضي]]=""),"",IF(AND(T59&lt;P59,U59&gt;(P59*Q59),DATE(2015,12,31)&gt;K59),P59*Q59,IF(AND(T59&lt;P59,DATE(2016,12,31)&gt;K59,U59&gt;(P59*Q59)),(DATE(2016,12,31)-K59)/((100%/Q59)*365)*P59,IF(AND(T59&lt;P59,DATE(2016,12,31)&gt;K59,U59=0),(DATE(2016,12,31)-K59)/((100%/Q59)*365)*P59,IF(AND(T59&lt;P59,DATE(2016,12,31)&gt;K59,U59&lt;(P59*Q59)),U59,0)))))</f>
        <v>2598.6301369863017</v>
      </c>
      <c r="W59" s="75">
        <f>IF(OR(Table5101345[[#This Row],[تاريخ الشراء-الاستلام]]="",Table5101345[[#This Row],[الإجمالي]]="",Table5101345[[#This Row],[العمر الافتراضي]]=""),"",IF(AND(T59&lt;P59,U59&gt;(P59*Q59),DATE(2016,12,31)&gt;K59),P59*Q59,IF(AND(T59&lt;P59,DATE(2017,12,31)&gt;K59,U59&gt;(P59*Q59)),(DATE(2017,12,31)-K59)/((100%/Q59)*360)*P59,IF(Table5101345[[#This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59" s="75">
        <f>IF(OR(Table5101345[[#This Row],[تاريخ الشراء-الاستلام]]="",Table5101345[[#This Row],[الإجمالي]]="",Table5101345[[#This Row],[العمر الافتراضي]]=""),"",T59+V59)</f>
        <v>2598.6301369863017</v>
      </c>
      <c r="Y5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الشراء-الاستلام]]&gt;DATE(2016,12,31),0,P59-X59))</f>
        <v>32401.369863013697</v>
      </c>
    </row>
    <row r="60" spans="1:25" ht="30" customHeight="1">
      <c r="A60" s="27">
        <f>IF(C60="","",SUBTOTAL(3,$C$5:C60))</f>
        <v>46</v>
      </c>
      <c r="B60" s="81" t="s">
        <v>33</v>
      </c>
      <c r="C60" s="88" t="s">
        <v>34</v>
      </c>
      <c r="D60" s="27" t="s">
        <v>27</v>
      </c>
      <c r="E60" s="84" t="s">
        <v>35</v>
      </c>
      <c r="F60" s="27" t="s">
        <v>128</v>
      </c>
      <c r="G60" s="27"/>
      <c r="H60" s="27" t="s">
        <v>37</v>
      </c>
      <c r="I60" s="27"/>
      <c r="J60" s="84"/>
      <c r="K60" s="96">
        <v>42522</v>
      </c>
      <c r="L60" s="29" t="s">
        <v>38</v>
      </c>
      <c r="M60" s="79">
        <v>30</v>
      </c>
      <c r="N60" s="31"/>
      <c r="O60" s="77">
        <v>700</v>
      </c>
      <c r="P60" s="77">
        <f t="shared" si="1"/>
        <v>21000</v>
      </c>
      <c r="Q60" s="35">
        <v>4.4999999999999998E-2</v>
      </c>
      <c r="R60" s="27"/>
      <c r="S60" s="27" t="s">
        <v>32</v>
      </c>
      <c r="T60" s="75">
        <v>0</v>
      </c>
      <c r="U6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الشراء-الاستلام]]&lt;DATE(2016,1,1),P60-T60,0))</f>
        <v>0</v>
      </c>
      <c r="V60" s="75">
        <f>IF(OR(Table5101345[[#This Row],[تاريخ الشراء-الاستلام]]="",Table5101345[[#This Row],[الإجمالي]]="",Table5101345[[#This Row],[العمر الافتراضي]]=""),"",IF(AND(T60&lt;P60,U60&gt;(P60*Q60),DATE(2015,12,31)&gt;K60),P60*Q60,IF(AND(T60&lt;P60,DATE(2016,12,31)&gt;K60,U60&gt;(P60*Q60)),(DATE(2016,12,31)-K60)/((100%/Q60)*365)*P60,IF(AND(T60&lt;P60,DATE(2016,12,31)&gt;K60,U60=0),(DATE(2016,12,31)-K60)/((100%/Q60)*365)*P60,IF(AND(T60&lt;P60,DATE(2016,12,31)&gt;K60,U60&lt;(P60*Q60)),U60,0)))))</f>
        <v>551.46575342465758</v>
      </c>
      <c r="W60" s="75">
        <f>IF(OR(Table5101345[[#This Row],[تاريخ الشراء-الاستلام]]="",Table5101345[[#This Row],[الإجمالي]]="",Table5101345[[#This Row],[العمر الافتراضي]]=""),"",IF(AND(T60&lt;P60,U60&gt;(P60*Q60),DATE(2016,12,31)&gt;K60),P60*Q60,IF(AND(T60&lt;P60,DATE(2017,12,31)&gt;K60,U60&gt;(P60*Q60)),(DATE(2017,12,31)-K60)/((100%/Q60)*360)*P60,IF(Table5101345[[#This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0" s="75">
        <f>IF(OR(Table5101345[[#This Row],[تاريخ الشراء-الاستلام]]="",Table5101345[[#This Row],[الإجمالي]]="",Table5101345[[#This Row],[العمر الافتراضي]]=""),"",T60+V60)</f>
        <v>551.46575342465758</v>
      </c>
      <c r="Y6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الشراء-الاستلام]]&gt;DATE(2016,12,31),0,P60-X60))</f>
        <v>20448.534246575342</v>
      </c>
    </row>
    <row r="61" spans="1:25" ht="30" customHeight="1">
      <c r="A61" s="27">
        <f>IF(C61="","",SUBTOTAL(3,$C$5:C61))</f>
        <v>47</v>
      </c>
      <c r="B61" s="81" t="s">
        <v>33</v>
      </c>
      <c r="C61" s="88" t="s">
        <v>129</v>
      </c>
      <c r="D61" s="27" t="s">
        <v>27</v>
      </c>
      <c r="E61" s="84" t="s">
        <v>35</v>
      </c>
      <c r="F61" s="27" t="s">
        <v>82</v>
      </c>
      <c r="G61" s="27"/>
      <c r="H61" s="27" t="s">
        <v>37</v>
      </c>
      <c r="I61" s="27"/>
      <c r="J61" s="84"/>
      <c r="K61" s="96">
        <v>42614</v>
      </c>
      <c r="L61" s="29" t="s">
        <v>38</v>
      </c>
      <c r="M61" s="79">
        <v>100</v>
      </c>
      <c r="N61" s="31">
        <v>10223</v>
      </c>
      <c r="O61" s="77">
        <v>700</v>
      </c>
      <c r="P61" s="77">
        <f t="shared" si="1"/>
        <v>70000</v>
      </c>
      <c r="Q61" s="35">
        <v>4.4999999999999998E-2</v>
      </c>
      <c r="R61" s="27"/>
      <c r="S61" s="27" t="s">
        <v>32</v>
      </c>
      <c r="T61" s="75">
        <v>0</v>
      </c>
      <c r="U6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الشراء-الاستلام]]&lt;DATE(2016,1,1),P61-T61,0))</f>
        <v>0</v>
      </c>
      <c r="V61" s="75">
        <f>IF(OR(Table5101345[[#This Row],[تاريخ الشراء-الاستلام]]="",Table5101345[[#This Row],[الإجمالي]]="",Table5101345[[#This Row],[العمر الافتراضي]]=""),"",IF(AND(T61&lt;P61,U61&gt;(P61*Q61),DATE(2015,12,31)&gt;K61),P61*Q61,IF(AND(T61&lt;P61,DATE(2016,12,31)&gt;K61,U61&gt;(P61*Q61)),(DATE(2016,12,31)-K61)/((100%/Q61)*365)*P61,IF(AND(T61&lt;P61,DATE(2016,12,31)&gt;K61,U61=0),(DATE(2016,12,31)-K61)/((100%/Q61)*365)*P61,IF(AND(T61&lt;P61,DATE(2016,12,31)&gt;K61,U61&lt;(P61*Q61)),U61,0)))))</f>
        <v>1044.2465753424658</v>
      </c>
      <c r="W61" s="75">
        <f>IF(OR(Table5101345[[#This Row],[تاريخ الشراء-الاستلام]]="",Table5101345[[#This Row],[الإجمالي]]="",Table5101345[[#This Row],[العمر الافتراضي]]=""),"",IF(AND(T61&lt;P61,U61&gt;(P61*Q61),DATE(2016,12,31)&gt;K61),P61*Q61,IF(AND(T61&lt;P61,DATE(2017,12,31)&gt;K61,U61&gt;(P61*Q61)),(DATE(2017,12,31)-K61)/((100%/Q61)*360)*P61,IF(Table5101345[[#This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1" s="75">
        <f>IF(OR(Table5101345[[#This Row],[تاريخ الشراء-الاستلام]]="",Table5101345[[#This Row],[الإجمالي]]="",Table5101345[[#This Row],[العمر الافتراضي]]=""),"",T61+V61)</f>
        <v>1044.2465753424658</v>
      </c>
      <c r="Y6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الشراء-الاستلام]]&gt;DATE(2016,12,31),0,P61-X61))</f>
        <v>68955.753424657538</v>
      </c>
    </row>
    <row r="62" spans="1:25" ht="30" customHeight="1">
      <c r="A62" s="27">
        <f>IF(C62="","",SUBTOTAL(3,$C$5:C62))</f>
        <v>48</v>
      </c>
      <c r="B62" s="81" t="s">
        <v>33</v>
      </c>
      <c r="C62" s="88" t="s">
        <v>129</v>
      </c>
      <c r="D62" s="27" t="s">
        <v>27</v>
      </c>
      <c r="E62" s="84" t="s">
        <v>35</v>
      </c>
      <c r="F62" s="27" t="s">
        <v>127</v>
      </c>
      <c r="G62" s="27"/>
      <c r="H62" s="27" t="s">
        <v>37</v>
      </c>
      <c r="I62" s="27"/>
      <c r="J62" s="84"/>
      <c r="K62" s="96">
        <v>42614</v>
      </c>
      <c r="L62" s="29" t="s">
        <v>38</v>
      </c>
      <c r="M62" s="79">
        <v>50</v>
      </c>
      <c r="N62" s="31">
        <v>10157</v>
      </c>
      <c r="O62" s="77">
        <v>700</v>
      </c>
      <c r="P62" s="77">
        <f>O62*M62</f>
        <v>35000</v>
      </c>
      <c r="Q62" s="35">
        <v>4.4999999999999998E-2</v>
      </c>
      <c r="R62" s="27"/>
      <c r="S62" s="27" t="s">
        <v>32</v>
      </c>
      <c r="T62" s="75">
        <v>0</v>
      </c>
      <c r="U6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الشراء-الاستلام]]&lt;DATE(2016,1,1),P62-T62,0))</f>
        <v>0</v>
      </c>
      <c r="V62" s="75">
        <f>IF(OR(Table5101345[[#This Row],[تاريخ الشراء-الاستلام]]="",Table5101345[[#This Row],[الإجمالي]]="",Table5101345[[#This Row],[العمر الافتراضي]]=""),"",IF(AND(T62&lt;P62,U62&gt;(P62*Q62),DATE(2015,12,31)&gt;K62),P62*Q62,IF(AND(T62&lt;P62,DATE(2016,12,31)&gt;K62,U62&gt;(P62*Q62)),(DATE(2016,12,31)-K62)/((100%/Q62)*365)*P62,IF(AND(T62&lt;P62,DATE(2016,12,31)&gt;K62,U62=0),(DATE(2016,12,31)-K62)/((100%/Q62)*365)*P62,IF(AND(T62&lt;P62,DATE(2016,12,31)&gt;K62,U62&lt;(P62*Q62)),U62,0)))))</f>
        <v>522.1232876712329</v>
      </c>
      <c r="W62" s="75">
        <f>IF(OR(Table5101345[[#This Row],[تاريخ الشراء-الاستلام]]="",Table5101345[[#This Row],[الإجمالي]]="",Table5101345[[#This Row],[العمر الافتراضي]]=""),"",IF(AND(T62&lt;P62,U62&gt;(P62*Q62),DATE(2016,12,31)&gt;K62),P62*Q62,IF(AND(T62&lt;P62,DATE(2017,12,31)&gt;K62,U62&gt;(P62*Q62)),(DATE(2017,12,31)-K62)/((100%/Q62)*360)*P62,IF(Table5101345[[#This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2" s="75">
        <f>IF(OR(Table5101345[[#This Row],[تاريخ الشراء-الاستلام]]="",Table5101345[[#This Row],[الإجمالي]]="",Table5101345[[#This Row],[العمر الافتراضي]]=""),"",T62+V62)</f>
        <v>522.1232876712329</v>
      </c>
      <c r="Y6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الشراء-الاستلام]]&gt;DATE(2016,12,31),0,P62-X62))</f>
        <v>34477.876712328769</v>
      </c>
    </row>
    <row r="63" spans="1:25" ht="48" customHeight="1">
      <c r="A63" s="27">
        <f>IF(C63="","",SUBTOTAL(3,$C$5:C63))</f>
        <v>49</v>
      </c>
      <c r="B63" s="82" t="s">
        <v>130</v>
      </c>
      <c r="C63" s="88" t="s">
        <v>131</v>
      </c>
      <c r="D63" s="27" t="s">
        <v>27</v>
      </c>
      <c r="E63" s="84" t="s">
        <v>132</v>
      </c>
      <c r="F63" s="27" t="s">
        <v>29</v>
      </c>
      <c r="G63" s="27"/>
      <c r="H63" s="27" t="s">
        <v>37</v>
      </c>
      <c r="I63" s="27"/>
      <c r="J63" s="84"/>
      <c r="K63" s="96">
        <v>42432</v>
      </c>
      <c r="L63" s="29"/>
      <c r="M63" s="79">
        <v>1</v>
      </c>
      <c r="N63" s="31"/>
      <c r="O63" s="77">
        <v>1287</v>
      </c>
      <c r="P63" s="77">
        <f>O63*M63</f>
        <v>1287</v>
      </c>
      <c r="Q63" s="35">
        <v>4.4999999999999998E-2</v>
      </c>
      <c r="R63" s="27"/>
      <c r="S63" s="27" t="s">
        <v>32</v>
      </c>
      <c r="T63" s="75">
        <v>0</v>
      </c>
      <c r="U6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الشراء-الاستلام]]&lt;DATE(2016,1,1),P63-T63,0))</f>
        <v>0</v>
      </c>
      <c r="V63" s="75">
        <f>IF(OR(Table5101345[[#This Row],[تاريخ الشراء-الاستلام]]="",Table5101345[[#This Row],[الإجمالي]]="",Table5101345[[#This Row],[العمر الافتراضي]]=""),"",IF(AND(T63&lt;P63,U63&gt;(P63*Q63),DATE(2015,12,31)&gt;K63),P63*Q63,IF(AND(T63&lt;P63,DATE(2016,12,31)&gt;K63,U63&gt;(P63*Q63)),(DATE(2016,12,31)-K63)/((100%/Q63)*365)*P63,IF(AND(T63&lt;P63,DATE(2016,12,31)&gt;K63,U63=0),(DATE(2016,12,31)-K63)/((100%/Q63)*365)*P63,IF(AND(T63&lt;P63,DATE(2016,12,31)&gt;K63,U63&lt;(P63*Q63)),U63,0)))))</f>
        <v>48.077383561643835</v>
      </c>
      <c r="W63" s="75">
        <f>IF(OR(Table5101345[[#This Row],[تاريخ الشراء-الاستلام]]="",Table5101345[[#This Row],[الإجمالي]]="",Table5101345[[#This Row],[العمر الافتراضي]]=""),"",IF(AND(T63&lt;P63,U63&gt;(P63*Q63),DATE(2016,12,31)&gt;K63),P63*Q63,IF(AND(T63&lt;P63,DATE(2017,12,31)&gt;K63,U63&gt;(P63*Q63)),(DATE(2017,12,31)-K63)/((100%/Q63)*360)*P63,IF(Table5101345[[#This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3" s="75">
        <f>IF(OR(Table5101345[[#This Row],[تاريخ الشراء-الاستلام]]="",Table5101345[[#This Row],[الإجمالي]]="",Table5101345[[#This Row],[العمر الافتراضي]]=""),"",T63+V63)</f>
        <v>48.077383561643835</v>
      </c>
      <c r="Y6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الشراء-الاستلام]]&gt;DATE(2016,12,31),0,P63-X63))</f>
        <v>1238.9226164383563</v>
      </c>
    </row>
    <row r="64" spans="1:25" ht="30" customHeight="1">
      <c r="A64" s="27">
        <f>IF(C64="","",SUBTOTAL(3,$C$5:C64))</f>
        <v>50</v>
      </c>
      <c r="B64" s="81" t="s">
        <v>33</v>
      </c>
      <c r="C64" s="88" t="s">
        <v>34</v>
      </c>
      <c r="D64" s="27" t="s">
        <v>27</v>
      </c>
      <c r="E64" s="84" t="s">
        <v>35</v>
      </c>
      <c r="F64" s="27" t="s">
        <v>29</v>
      </c>
      <c r="G64" s="27"/>
      <c r="H64" s="27" t="s">
        <v>37</v>
      </c>
      <c r="I64" s="27"/>
      <c r="J64" s="84"/>
      <c r="K64" s="96">
        <v>42735</v>
      </c>
      <c r="L64" s="29" t="s">
        <v>38</v>
      </c>
      <c r="M64" s="79">
        <v>5</v>
      </c>
      <c r="N64" s="31">
        <v>10297</v>
      </c>
      <c r="O64" s="77">
        <v>700</v>
      </c>
      <c r="P64" s="77">
        <f t="shared" ref="P64:P127" si="3">O64*M64</f>
        <v>3500</v>
      </c>
      <c r="Q64" s="35">
        <v>4.4999999999999998E-2</v>
      </c>
      <c r="R64" s="27"/>
      <c r="S64" s="27" t="s">
        <v>32</v>
      </c>
      <c r="T64" s="75">
        <v>0</v>
      </c>
      <c r="U6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الشراء-الاستلام]]&lt;DATE(2016,1,1),P64-T64,0))</f>
        <v>0</v>
      </c>
      <c r="V64" s="75">
        <f>IF(OR(Table5101345[[#This Row],[تاريخ الشراء-الاستلام]]="",Table5101345[[#This Row],[الإجمالي]]="",Table5101345[[#This Row],[العمر الافتراضي]]=""),"",IF(AND(T64&lt;P64,U64&gt;(P64*Q64),DATE(2015,12,31)&gt;K64),P64*Q64,IF(AND(T64&lt;P64,DATE(2016,12,31)&gt;K64,U64&gt;(P64*Q64)),(DATE(2016,12,31)-K64)/((100%/Q64)*365)*P64,IF(AND(T64&lt;P64,DATE(2016,12,31)&gt;K64,U64=0),(DATE(2016,12,31)-K64)/((100%/Q64)*365)*P64,IF(AND(T64&lt;P64,DATE(2016,12,31)&gt;K64,U64&lt;(P64*Q64)),U64,0)))))</f>
        <v>0</v>
      </c>
      <c r="W64" s="75">
        <f>IF(OR(Table5101345[[#This Row],[تاريخ الشراء-الاستلام]]="",Table5101345[[#This Row],[الإجمالي]]="",Table5101345[[#This Row],[العمر الافتراضي]]=""),"",IF(AND(T64&lt;P64,U64&gt;(P64*Q64),DATE(2016,12,31)&gt;K64),P64*Q64,IF(AND(T64&lt;P64,DATE(2017,12,31)&gt;K64,U64&gt;(P64*Q64)),(DATE(2017,12,31)-K64)/((100%/Q64)*360)*P64,IF(Table5101345[[#This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4" s="75">
        <f>IF(OR(Table5101345[[#This Row],[تاريخ الشراء-الاستلام]]="",Table5101345[[#This Row],[الإجمالي]]="",Table5101345[[#This Row],[العمر الافتراضي]]=""),"",T64+V64)</f>
        <v>0</v>
      </c>
      <c r="Y6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الشراء-الاستلام]]&gt;DATE(2016,12,31),0,P64-X64))</f>
        <v>3500</v>
      </c>
    </row>
    <row r="65" spans="1:25" ht="48" hidden="1" customHeight="1">
      <c r="A65" s="27">
        <f>IF(C65="","",SUBTOTAL(3,$C$5:C65))</f>
        <v>50</v>
      </c>
      <c r="B65" s="81"/>
      <c r="C65" s="88" t="s">
        <v>133</v>
      </c>
      <c r="D65" s="27" t="s">
        <v>87</v>
      </c>
      <c r="E65" s="84" t="s">
        <v>51</v>
      </c>
      <c r="F65" s="27" t="s">
        <v>29</v>
      </c>
      <c r="G65" s="27" t="s">
        <v>96</v>
      </c>
      <c r="H65" s="27" t="s">
        <v>37</v>
      </c>
      <c r="I65" s="27"/>
      <c r="J65" s="85" t="s">
        <v>134</v>
      </c>
      <c r="K65" s="96">
        <v>41562</v>
      </c>
      <c r="L65" s="29" t="s">
        <v>135</v>
      </c>
      <c r="M65" s="79">
        <v>1</v>
      </c>
      <c r="N65" s="31"/>
      <c r="O65" s="77">
        <v>40500</v>
      </c>
      <c r="P65" s="77">
        <f t="shared" si="3"/>
        <v>40500</v>
      </c>
      <c r="Q65" s="33">
        <v>0.25</v>
      </c>
      <c r="R65" s="27"/>
      <c r="S65" s="27" t="s">
        <v>32</v>
      </c>
      <c r="T65" s="75">
        <v>22385.95890410959</v>
      </c>
      <c r="U6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الشراء-الاستلام]]&lt;DATE(2016,1,1),P65-T65,0))</f>
        <v>18114.04109589041</v>
      </c>
      <c r="V65" s="75">
        <f>IF(OR(Table5101345[[#This Row],[تاريخ الشراء-الاستلام]]="",Table5101345[[#This Row],[الإجمالي]]="",Table5101345[[#This Row],[العمر الافتراضي]]=""),"",IF(AND(T65&lt;P65,U65&gt;(P65*Q65),DATE(2015,12,31)&gt;K65),P65*Q65,IF(AND(T65&lt;P65,DATE(2016,12,31)&gt;K65,U65&gt;(P65*Q65)),(DATE(2016,12,31)-K65)/((100%/Q65)*365)*P65,IF(AND(T65&lt;P65,DATE(2016,12,31)&gt;K65,U65=0),(DATE(2016,12,31)-K65)/((100%/Q65)*365)*P65,IF(AND(T65&lt;P65,DATE(2016,12,31)&gt;K65,U65&lt;(P65*Q65)),U65,0)))))</f>
        <v>10125</v>
      </c>
      <c r="W65" s="75">
        <f>IF(OR(Table5101345[[#This Row],[تاريخ الشراء-الاستلام]]="",Table5101345[[#This Row],[الإجمالي]]="",Table5101345[[#This Row],[العمر الافتراضي]]=""),"",IF(AND(T65&lt;P65,U65&gt;(P65*Q65),DATE(2016,12,31)&gt;K65),P65*Q65,IF(AND(T65&lt;P65,DATE(2017,12,31)&gt;K65,U65&gt;(P65*Q65)),(DATE(2017,12,31)-K65)/((100%/Q65)*360)*P65,IF(Table5101345[[#This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10125</v>
      </c>
      <c r="X65" s="75">
        <f>IF(OR(Table5101345[[#This Row],[تاريخ الشراء-الاستلام]]="",Table5101345[[#This Row],[الإجمالي]]="",Table5101345[[#This Row],[العمر الافتراضي]]=""),"",T65+V65)</f>
        <v>32510.95890410959</v>
      </c>
      <c r="Y6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الشراء-الاستلام]]&gt;DATE(2016,12,31),0,P65-X65))</f>
        <v>7989.0410958904104</v>
      </c>
    </row>
    <row r="66" spans="1:25" ht="48" hidden="1" customHeight="1">
      <c r="A66" s="27">
        <f>IF(C66="","",SUBTOTAL(3,$C$5:C66))</f>
        <v>50</v>
      </c>
      <c r="B66" s="81"/>
      <c r="C66" s="88" t="s">
        <v>136</v>
      </c>
      <c r="D66" s="27" t="s">
        <v>87</v>
      </c>
      <c r="E66" s="84" t="s">
        <v>55</v>
      </c>
      <c r="F66" s="27" t="s">
        <v>128</v>
      </c>
      <c r="G66" s="27"/>
      <c r="H66" s="27" t="s">
        <v>37</v>
      </c>
      <c r="I66" s="27"/>
      <c r="J66" s="85" t="s">
        <v>137</v>
      </c>
      <c r="K66" s="96">
        <v>39995</v>
      </c>
      <c r="L66" s="29"/>
      <c r="M66" s="79">
        <v>1</v>
      </c>
      <c r="N66" s="31"/>
      <c r="O66" s="77">
        <v>307357</v>
      </c>
      <c r="P66" s="77">
        <f t="shared" si="3"/>
        <v>307357</v>
      </c>
      <c r="Q66" s="33">
        <v>0.2</v>
      </c>
      <c r="R66" s="27"/>
      <c r="S66" s="27" t="s">
        <v>32</v>
      </c>
      <c r="T66" s="75">
        <v>307357</v>
      </c>
      <c r="U6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الشراء-الاستلام]]&lt;DATE(2016,1,1),P66-T66,0))</f>
        <v>0</v>
      </c>
      <c r="V66" s="75">
        <f>IF(OR(Table5101345[[#This Row],[تاريخ الشراء-الاستلام]]="",Table5101345[[#This Row],[الإجمالي]]="",Table5101345[[#This Row],[العمر الافتراضي]]=""),"",IF(AND(T66&lt;P66,U66&gt;(P66*Q66),DATE(2015,12,31)&gt;K66),P66*Q66,IF(AND(T66&lt;P66,DATE(2016,12,31)&gt;K66,U66&gt;(P66*Q66)),(DATE(2016,12,31)-K66)/((100%/Q66)*365)*P66,IF(AND(T66&lt;P66,DATE(2016,12,31)&gt;K66,U66=0),(DATE(2016,12,31)-K66)/((100%/Q66)*365)*P66,IF(AND(T66&lt;P66,DATE(2016,12,31)&gt;K66,U66&lt;(P66*Q66)),U66,0)))))</f>
        <v>0</v>
      </c>
      <c r="W66" s="75">
        <f>IF(OR(Table5101345[[#This Row],[تاريخ الشراء-الاستلام]]="",Table5101345[[#This Row],[الإجمالي]]="",Table5101345[[#This Row],[العمر الافتراضي]]=""),"",IF(AND(T66&lt;P66,U66&gt;(P66*Q66),DATE(2016,12,31)&gt;K66),P66*Q66,IF(AND(T66&lt;P66,DATE(2017,12,31)&gt;K66,U66&gt;(P66*Q66)),(DATE(2017,12,31)-K66)/((100%/Q66)*360)*P66,IF(Table5101345[[#This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6" s="75">
        <f>IF(OR(Table5101345[[#This Row],[تاريخ الشراء-الاستلام]]="",Table5101345[[#This Row],[الإجمالي]]="",Table5101345[[#This Row],[العمر الافتراضي]]=""),"",T66+V66)</f>
        <v>307357</v>
      </c>
      <c r="Y6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الشراء-الاستلام]]&gt;DATE(2016,12,31),0,P66-X66))</f>
        <v>0</v>
      </c>
    </row>
    <row r="67" spans="1:25" ht="48" hidden="1" customHeight="1">
      <c r="A67" s="27">
        <f>IF(C67="","",SUBTOTAL(3,$C$5:C67))</f>
        <v>50</v>
      </c>
      <c r="B67" s="81"/>
      <c r="C67" s="88" t="s">
        <v>54</v>
      </c>
      <c r="D67" s="27" t="s">
        <v>87</v>
      </c>
      <c r="E67" s="84" t="s">
        <v>55</v>
      </c>
      <c r="F67" s="27" t="s">
        <v>138</v>
      </c>
      <c r="G67" s="27"/>
      <c r="H67" s="27" t="s">
        <v>37</v>
      </c>
      <c r="I67" s="27"/>
      <c r="J67" s="85" t="s">
        <v>139</v>
      </c>
      <c r="K67" s="96">
        <v>40269</v>
      </c>
      <c r="L67" s="29"/>
      <c r="M67" s="79">
        <v>1</v>
      </c>
      <c r="N67" s="31"/>
      <c r="O67" s="77">
        <v>212550</v>
      </c>
      <c r="P67" s="77">
        <f t="shared" si="3"/>
        <v>212550</v>
      </c>
      <c r="Q67" s="33">
        <v>0.2</v>
      </c>
      <c r="R67" s="27"/>
      <c r="S67" s="27" t="s">
        <v>32</v>
      </c>
      <c r="T67" s="75">
        <v>212550</v>
      </c>
      <c r="U6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الشراء-الاستلام]]&lt;DATE(2016,1,1),P67-T67,0))</f>
        <v>0</v>
      </c>
      <c r="V67" s="75">
        <f>IF(OR(Table5101345[[#This Row],[تاريخ الشراء-الاستلام]]="",Table5101345[[#This Row],[الإجمالي]]="",Table5101345[[#This Row],[العمر الافتراضي]]=""),"",IF(AND(T67&lt;P67,U67&gt;(P67*Q67),DATE(2015,12,31)&gt;K67),P67*Q67,IF(AND(T67&lt;P67,DATE(2016,12,31)&gt;K67,U67&gt;(P67*Q67)),(DATE(2016,12,31)-K67)/((100%/Q67)*365)*P67,IF(AND(T67&lt;P67,DATE(2016,12,31)&gt;K67,U67=0),(DATE(2016,12,31)-K67)/((100%/Q67)*365)*P67,IF(AND(T67&lt;P67,DATE(2016,12,31)&gt;K67,U67&lt;(P67*Q67)),U67,0)))))</f>
        <v>0</v>
      </c>
      <c r="W67" s="75">
        <f>IF(OR(Table5101345[[#This Row],[تاريخ الشراء-الاستلام]]="",Table5101345[[#This Row],[الإجمالي]]="",Table5101345[[#This Row],[العمر الافتراضي]]=""),"",IF(AND(T67&lt;P67,U67&gt;(P67*Q67),DATE(2016,12,31)&gt;K67),P67*Q67,IF(AND(T67&lt;P67,DATE(2017,12,31)&gt;K67,U67&gt;(P67*Q67)),(DATE(2017,12,31)-K67)/((100%/Q67)*360)*P67,IF(Table5101345[[#This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7" s="75">
        <f>IF(OR(Table5101345[[#This Row],[تاريخ الشراء-الاستلام]]="",Table5101345[[#This Row],[الإجمالي]]="",Table5101345[[#This Row],[العمر الافتراضي]]=""),"",T67+V67)</f>
        <v>212550</v>
      </c>
      <c r="Y6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الشراء-الاستلام]]&gt;DATE(2016,12,31),0,P67-X67))</f>
        <v>0</v>
      </c>
    </row>
    <row r="68" spans="1:25" ht="48" hidden="1" customHeight="1">
      <c r="A68" s="27">
        <f>IF(C68="","",SUBTOTAL(3,$C$5:C68))</f>
        <v>50</v>
      </c>
      <c r="B68" s="81"/>
      <c r="C68" s="88" t="s">
        <v>136</v>
      </c>
      <c r="D68" s="27" t="s">
        <v>87</v>
      </c>
      <c r="E68" s="84" t="s">
        <v>55</v>
      </c>
      <c r="F68" s="27" t="s">
        <v>138</v>
      </c>
      <c r="G68" s="27"/>
      <c r="H68" s="27" t="s">
        <v>37</v>
      </c>
      <c r="I68" s="27"/>
      <c r="J68" s="85" t="s">
        <v>139</v>
      </c>
      <c r="K68" s="96">
        <v>40298</v>
      </c>
      <c r="L68" s="29"/>
      <c r="M68" s="79">
        <v>1</v>
      </c>
      <c r="N68" s="31"/>
      <c r="O68" s="77">
        <v>82000</v>
      </c>
      <c r="P68" s="77">
        <f t="shared" si="3"/>
        <v>82000</v>
      </c>
      <c r="Q68" s="33">
        <v>0.2</v>
      </c>
      <c r="R68" s="27"/>
      <c r="S68" s="27" t="s">
        <v>32</v>
      </c>
      <c r="T68" s="75">
        <v>82000</v>
      </c>
      <c r="U6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الشراء-الاستلام]]&lt;DATE(2016,1,1),P68-T68,0))</f>
        <v>0</v>
      </c>
      <c r="V68" s="75">
        <f>IF(OR(Table5101345[[#This Row],[تاريخ الشراء-الاستلام]]="",Table5101345[[#This Row],[الإجمالي]]="",Table5101345[[#This Row],[العمر الافتراضي]]=""),"",IF(AND(T68&lt;P68,U68&gt;(P68*Q68),DATE(2015,12,31)&gt;K68),P68*Q68,IF(AND(T68&lt;P68,DATE(2016,12,31)&gt;K68,U68&gt;(P68*Q68)),(DATE(2016,12,31)-K68)/((100%/Q68)*365)*P68,IF(AND(T68&lt;P68,DATE(2016,12,31)&gt;K68,U68=0),(DATE(2016,12,31)-K68)/((100%/Q68)*365)*P68,IF(AND(T68&lt;P68,DATE(2016,12,31)&gt;K68,U68&lt;(P68*Q68)),U68,0)))))</f>
        <v>0</v>
      </c>
      <c r="W68" s="75">
        <f>IF(OR(Table5101345[[#This Row],[تاريخ الشراء-الاستلام]]="",Table5101345[[#This Row],[الإجمالي]]="",Table5101345[[#This Row],[العمر الافتراضي]]=""),"",IF(AND(T68&lt;P68,U68&gt;(P68*Q68),DATE(2016,12,31)&gt;K68),P68*Q68,IF(AND(T68&lt;P68,DATE(2017,12,31)&gt;K68,U68&gt;(P68*Q68)),(DATE(2017,12,31)-K68)/((100%/Q68)*360)*P68,IF(Table5101345[[#This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8" s="75">
        <f>IF(OR(Table5101345[[#This Row],[تاريخ الشراء-الاستلام]]="",Table5101345[[#This Row],[الإجمالي]]="",Table5101345[[#This Row],[العمر الافتراضي]]=""),"",T68+V68)</f>
        <v>82000</v>
      </c>
      <c r="Y6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الشراء-الاستلام]]&gt;DATE(2016,12,31),0,P68-X68))</f>
        <v>0</v>
      </c>
    </row>
    <row r="69" spans="1:25" ht="48" hidden="1" customHeight="1">
      <c r="A69" s="27">
        <f>IF(C69="","",SUBTOTAL(3,$C$5:C69))</f>
        <v>50</v>
      </c>
      <c r="B69" s="81"/>
      <c r="C69" s="88" t="s">
        <v>54</v>
      </c>
      <c r="D69" s="27" t="s">
        <v>87</v>
      </c>
      <c r="E69" s="84" t="s">
        <v>55</v>
      </c>
      <c r="F69" s="27" t="s">
        <v>128</v>
      </c>
      <c r="G69" s="27"/>
      <c r="H69" s="27" t="s">
        <v>37</v>
      </c>
      <c r="I69" s="27"/>
      <c r="J69" s="85" t="s">
        <v>140</v>
      </c>
      <c r="K69" s="96">
        <v>40269</v>
      </c>
      <c r="L69" s="29"/>
      <c r="M69" s="79">
        <v>1</v>
      </c>
      <c r="N69" s="31"/>
      <c r="O69" s="77">
        <v>212550</v>
      </c>
      <c r="P69" s="77">
        <f t="shared" si="3"/>
        <v>212550</v>
      </c>
      <c r="Q69" s="33">
        <v>0.2</v>
      </c>
      <c r="R69" s="27"/>
      <c r="S69" s="27" t="s">
        <v>32</v>
      </c>
      <c r="T69" s="75">
        <v>212550</v>
      </c>
      <c r="U6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الشراء-الاستلام]]&lt;DATE(2016,1,1),P69-T69,0))</f>
        <v>0</v>
      </c>
      <c r="V69" s="75">
        <f>IF(OR(Table5101345[[#This Row],[تاريخ الشراء-الاستلام]]="",Table5101345[[#This Row],[الإجمالي]]="",Table5101345[[#This Row],[العمر الافتراضي]]=""),"",IF(AND(T69&lt;P69,U69&gt;(P69*Q69),DATE(2015,12,31)&gt;K69),P69*Q69,IF(AND(T69&lt;P69,DATE(2016,12,31)&gt;K69,U69&gt;(P69*Q69)),(DATE(2016,12,31)-K69)/((100%/Q69)*365)*P69,IF(AND(T69&lt;P69,DATE(2016,12,31)&gt;K69,U69=0),(DATE(2016,12,31)-K69)/((100%/Q69)*365)*P69,IF(AND(T69&lt;P69,DATE(2016,12,31)&gt;K69,U69&lt;(P69*Q69)),U69,0)))))</f>
        <v>0</v>
      </c>
      <c r="W69" s="75">
        <f>IF(OR(Table5101345[[#This Row],[تاريخ الشراء-الاستلام]]="",Table5101345[[#This Row],[الإجمالي]]="",Table5101345[[#This Row],[العمر الافتراضي]]=""),"",IF(AND(T69&lt;P69,U69&gt;(P69*Q69),DATE(2016,12,31)&gt;K69),P69*Q69,IF(AND(T69&lt;P69,DATE(2017,12,31)&gt;K69,U69&gt;(P69*Q69)),(DATE(2017,12,31)-K69)/((100%/Q69)*360)*P69,IF(Table5101345[[#This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69" s="75">
        <f>IF(OR(Table5101345[[#This Row],[تاريخ الشراء-الاستلام]]="",Table5101345[[#This Row],[الإجمالي]]="",Table5101345[[#This Row],[العمر الافتراضي]]=""),"",T69+V69)</f>
        <v>212550</v>
      </c>
      <c r="Y6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الشراء-الاستلام]]&gt;DATE(2016,12,31),0,P69-X69))</f>
        <v>0</v>
      </c>
    </row>
    <row r="70" spans="1:25" ht="48" hidden="1" customHeight="1">
      <c r="A70" s="27">
        <f>IF(C70="","",SUBTOTAL(3,$C$5:C70))</f>
        <v>50</v>
      </c>
      <c r="B70" s="81"/>
      <c r="C70" s="88" t="s">
        <v>136</v>
      </c>
      <c r="D70" s="27" t="s">
        <v>87</v>
      </c>
      <c r="E70" s="84" t="s">
        <v>55</v>
      </c>
      <c r="F70" s="27" t="s">
        <v>128</v>
      </c>
      <c r="G70" s="27"/>
      <c r="H70" s="27" t="s">
        <v>37</v>
      </c>
      <c r="I70" s="27"/>
      <c r="J70" s="85" t="s">
        <v>140</v>
      </c>
      <c r="K70" s="96">
        <v>40298</v>
      </c>
      <c r="L70" s="29"/>
      <c r="M70" s="79">
        <v>1</v>
      </c>
      <c r="N70" s="31"/>
      <c r="O70" s="77">
        <v>82000</v>
      </c>
      <c r="P70" s="77">
        <f t="shared" si="3"/>
        <v>82000</v>
      </c>
      <c r="Q70" s="33">
        <v>0.2</v>
      </c>
      <c r="R70" s="27"/>
      <c r="S70" s="27" t="s">
        <v>32</v>
      </c>
      <c r="T70" s="75">
        <v>82000</v>
      </c>
      <c r="U7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الشراء-الاستلام]]&lt;DATE(2016,1,1),P70-T70,0))</f>
        <v>0</v>
      </c>
      <c r="V70" s="75">
        <f>IF(OR(Table5101345[[#This Row],[تاريخ الشراء-الاستلام]]="",Table5101345[[#This Row],[الإجمالي]]="",Table5101345[[#This Row],[العمر الافتراضي]]=""),"",IF(AND(T70&lt;P70,U70&gt;(P70*Q70),DATE(2015,12,31)&gt;K70),P70*Q70,IF(AND(T70&lt;P70,DATE(2016,12,31)&gt;K70,U70&gt;(P70*Q70)),(DATE(2016,12,31)-K70)/((100%/Q70)*365)*P70,IF(AND(T70&lt;P70,DATE(2016,12,31)&gt;K70,U70=0),(DATE(2016,12,31)-K70)/((100%/Q70)*365)*P70,IF(AND(T70&lt;P70,DATE(2016,12,31)&gt;K70,U70&lt;(P70*Q70)),U70,0)))))</f>
        <v>0</v>
      </c>
      <c r="W70" s="75">
        <f>IF(OR(Table5101345[[#This Row],[تاريخ الشراء-الاستلام]]="",Table5101345[[#This Row],[الإجمالي]]="",Table5101345[[#This Row],[العمر الافتراضي]]=""),"",IF(AND(T70&lt;P70,U70&gt;(P70*Q70),DATE(2016,12,31)&gt;K70),P70*Q70,IF(AND(T70&lt;P70,DATE(2017,12,31)&gt;K70,U70&gt;(P70*Q70)),(DATE(2017,12,31)-K70)/((100%/Q70)*360)*P70,IF(Table5101345[[#This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70" s="75">
        <f>IF(OR(Table5101345[[#This Row],[تاريخ الشراء-الاستلام]]="",Table5101345[[#This Row],[الإجمالي]]="",Table5101345[[#This Row],[العمر الافتراضي]]=""),"",T70+V70)</f>
        <v>82000</v>
      </c>
      <c r="Y7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الشراء-الاستلام]]&gt;DATE(2016,12,31),0,P70-X70))</f>
        <v>0</v>
      </c>
    </row>
    <row r="71" spans="1:25" ht="48" hidden="1" customHeight="1">
      <c r="A71" s="27">
        <f>IF(C71="","",SUBTOTAL(3,$C$5:C71))</f>
        <v>50</v>
      </c>
      <c r="B71" s="81"/>
      <c r="C71" s="88" t="s">
        <v>141</v>
      </c>
      <c r="D71" s="27" t="s">
        <v>87</v>
      </c>
      <c r="E71" s="84" t="s">
        <v>55</v>
      </c>
      <c r="F71" s="27" t="s">
        <v>29</v>
      </c>
      <c r="G71" s="36" t="s">
        <v>142</v>
      </c>
      <c r="H71" s="27" t="s">
        <v>37</v>
      </c>
      <c r="I71" s="27"/>
      <c r="J71" s="85" t="s">
        <v>143</v>
      </c>
      <c r="K71" s="96">
        <v>40797</v>
      </c>
      <c r="L71" s="29"/>
      <c r="M71" s="79">
        <v>1</v>
      </c>
      <c r="N71" s="31"/>
      <c r="O71" s="77">
        <v>267763</v>
      </c>
      <c r="P71" s="77">
        <f t="shared" si="3"/>
        <v>267763</v>
      </c>
      <c r="Q71" s="33">
        <v>0.15</v>
      </c>
      <c r="R71" s="27"/>
      <c r="S71" s="27" t="s">
        <v>32</v>
      </c>
      <c r="T71" s="75">
        <v>172982.23397260273</v>
      </c>
      <c r="U7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الشراء-الاستلام]]&lt;DATE(2016,1,1),P71-T71,0))</f>
        <v>94780.766027397272</v>
      </c>
      <c r="V71" s="75">
        <f>IF(OR(Table5101345[[#This Row],[تاريخ الشراء-الاستلام]]="",Table5101345[[#This Row],[الإجمالي]]="",Table5101345[[#This Row],[العمر الافتراضي]]=""),"",IF(AND(T71&lt;P71,U71&gt;(P71*Q71),DATE(2015,12,31)&gt;K71),P71*Q71,IF(AND(T71&lt;P71,DATE(2016,12,31)&gt;K71,U71&gt;(P71*Q71)),(DATE(2016,12,31)-K71)/((100%/Q71)*365)*P71,IF(AND(T71&lt;P71,DATE(2016,12,31)&gt;K71,U71=0),(DATE(2016,12,31)-K71)/((100%/Q71)*365)*P71,IF(AND(T71&lt;P71,DATE(2016,12,31)&gt;K71,U71&lt;(P71*Q71)),U71,0)))))</f>
        <v>40164.449999999997</v>
      </c>
      <c r="W71" s="75">
        <f>IF(OR(Table5101345[[#This Row],[تاريخ الشراء-الاستلام]]="",Table5101345[[#This Row],[الإجمالي]]="",Table5101345[[#This Row],[العمر الافتراضي]]=""),"",IF(AND(T71&lt;P71,U71&gt;(P71*Q71),DATE(2016,12,31)&gt;K71),P71*Q71,IF(AND(T71&lt;P71,DATE(2017,12,31)&gt;K71,U71&gt;(P71*Q71)),(DATE(2017,12,31)-K71)/((100%/Q71)*360)*P71,IF(Table5101345[[#This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40164.449999999997</v>
      </c>
      <c r="X71" s="75">
        <f>IF(OR(Table5101345[[#This Row],[تاريخ الشراء-الاستلام]]="",Table5101345[[#This Row],[الإجمالي]]="",Table5101345[[#This Row],[العمر الافتراضي]]=""),"",T71+V71)</f>
        <v>213146.68397260271</v>
      </c>
      <c r="Y7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الشراء-الاستلام]]&gt;DATE(2016,12,31),0,P71-X71))</f>
        <v>54616.31602739729</v>
      </c>
    </row>
    <row r="72" spans="1:25" ht="48" hidden="1" customHeight="1">
      <c r="A72" s="27">
        <f>IF(C72="","",SUBTOTAL(3,$C$5:C72))</f>
        <v>50</v>
      </c>
      <c r="B72" s="81"/>
      <c r="C72" s="88" t="s">
        <v>144</v>
      </c>
      <c r="D72" s="27" t="s">
        <v>87</v>
      </c>
      <c r="E72" s="84" t="s">
        <v>55</v>
      </c>
      <c r="F72" s="27" t="s">
        <v>29</v>
      </c>
      <c r="G72" s="36" t="s">
        <v>142</v>
      </c>
      <c r="H72" s="27" t="s">
        <v>37</v>
      </c>
      <c r="I72" s="27"/>
      <c r="J72" s="85" t="s">
        <v>143</v>
      </c>
      <c r="K72" s="96">
        <v>41028</v>
      </c>
      <c r="L72" s="29"/>
      <c r="M72" s="79">
        <v>1</v>
      </c>
      <c r="N72" s="31"/>
      <c r="O72" s="77">
        <v>79269</v>
      </c>
      <c r="P72" s="77">
        <f t="shared" si="3"/>
        <v>79269</v>
      </c>
      <c r="Q72" s="33">
        <v>0.15</v>
      </c>
      <c r="R72" s="27"/>
      <c r="S72" s="27" t="s">
        <v>32</v>
      </c>
      <c r="T72" s="75">
        <v>43684.820136986295</v>
      </c>
      <c r="U7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الشراء-الاستلام]]&lt;DATE(2016,1,1),P72-T72,0))</f>
        <v>35584.179863013705</v>
      </c>
      <c r="V72" s="75">
        <f>IF(OR(Table5101345[[#This Row],[تاريخ الشراء-الاستلام]]="",Table5101345[[#This Row],[الإجمالي]]="",Table5101345[[#This Row],[العمر الافتراضي]]=""),"",IF(AND(T72&lt;P72,U72&gt;(P72*Q72),DATE(2015,12,31)&gt;K72),P72*Q72,IF(AND(T72&lt;P72,DATE(2016,12,31)&gt;K72,U72&gt;(P72*Q72)),(DATE(2016,12,31)-K72)/((100%/Q72)*365)*P72,IF(AND(T72&lt;P72,DATE(2016,12,31)&gt;K72,U72=0),(DATE(2016,12,31)-K72)/((100%/Q72)*365)*P72,IF(AND(T72&lt;P72,DATE(2016,12,31)&gt;K72,U72&lt;(P72*Q72)),U72,0)))))</f>
        <v>11890.35</v>
      </c>
      <c r="W72" s="75">
        <f>IF(OR(Table5101345[[#This Row],[تاريخ الشراء-الاستلام]]="",Table5101345[[#This Row],[الإجمالي]]="",Table5101345[[#This Row],[العمر الافتراضي]]=""),"",IF(AND(T72&lt;P72,U72&gt;(P72*Q72),DATE(2016,12,31)&gt;K72),P72*Q72,IF(AND(T72&lt;P72,DATE(2017,12,31)&gt;K72,U72&gt;(P72*Q72)),(DATE(2017,12,31)-K72)/((100%/Q72)*360)*P72,IF(Table5101345[[#This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11890.35</v>
      </c>
      <c r="X72" s="75">
        <f>IF(OR(Table5101345[[#This Row],[تاريخ الشراء-الاستلام]]="",Table5101345[[#This Row],[الإجمالي]]="",Table5101345[[#This Row],[العمر الافتراضي]]=""),"",T72+V72)</f>
        <v>55575.170136986293</v>
      </c>
      <c r="Y7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الشراء-الاستلام]]&gt;DATE(2016,12,31),0,P72-X72))</f>
        <v>23693.829863013707</v>
      </c>
    </row>
    <row r="73" spans="1:25" ht="48" hidden="1" customHeight="1">
      <c r="A73" s="27">
        <f>IF(C73="","",SUBTOTAL(3,$C$5:C73))</f>
        <v>50</v>
      </c>
      <c r="B73" s="81"/>
      <c r="C73" s="88" t="s">
        <v>145</v>
      </c>
      <c r="D73" s="27" t="s">
        <v>87</v>
      </c>
      <c r="E73" s="84" t="s">
        <v>55</v>
      </c>
      <c r="F73" s="27" t="s">
        <v>29</v>
      </c>
      <c r="G73" s="36" t="s">
        <v>142</v>
      </c>
      <c r="H73" s="27" t="s">
        <v>37</v>
      </c>
      <c r="I73" s="27"/>
      <c r="J73" s="85" t="s">
        <v>143</v>
      </c>
      <c r="K73" s="96">
        <v>40806</v>
      </c>
      <c r="L73" s="29"/>
      <c r="M73" s="79">
        <v>1</v>
      </c>
      <c r="N73" s="31"/>
      <c r="O73" s="77">
        <v>1500</v>
      </c>
      <c r="P73" s="77">
        <f t="shared" si="3"/>
        <v>1500</v>
      </c>
      <c r="Q73" s="33">
        <v>0.15</v>
      </c>
      <c r="R73" s="27"/>
      <c r="S73" s="27" t="s">
        <v>32</v>
      </c>
      <c r="T73" s="75">
        <v>963.49315068493138</v>
      </c>
      <c r="U7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الشراء-الاستلام]]&lt;DATE(2016,1,1),P73-T73,0))</f>
        <v>536.50684931506862</v>
      </c>
      <c r="V73" s="75">
        <f>IF(OR(Table5101345[[#This Row],[تاريخ الشراء-الاستلام]]="",Table5101345[[#This Row],[الإجمالي]]="",Table5101345[[#This Row],[العمر الافتراضي]]=""),"",IF(AND(T73&lt;P73,U73&gt;(P73*Q73),DATE(2015,12,31)&gt;K73),P73*Q73,IF(AND(T73&lt;P73,DATE(2016,12,31)&gt;K73,U73&gt;(P73*Q73)),(DATE(2016,12,31)-K73)/((100%/Q73)*365)*P73,IF(AND(T73&lt;P73,DATE(2016,12,31)&gt;K73,U73=0),(DATE(2016,12,31)-K73)/((100%/Q73)*365)*P73,IF(AND(T73&lt;P73,DATE(2016,12,31)&gt;K73,U73&lt;(P73*Q73)),U73,0)))))</f>
        <v>225</v>
      </c>
      <c r="W73" s="75">
        <f>IF(OR(Table5101345[[#This Row],[تاريخ الشراء-الاستلام]]="",Table5101345[[#This Row],[الإجمالي]]="",Table5101345[[#This Row],[العمر الافتراضي]]=""),"",IF(AND(T73&lt;P73,U73&gt;(P73*Q73),DATE(2016,12,31)&gt;K73),P73*Q73,IF(AND(T73&lt;P73,DATE(2017,12,31)&gt;K73,U73&gt;(P73*Q73)),(DATE(2017,12,31)-K73)/((100%/Q73)*360)*P73,IF(Table5101345[[#This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225</v>
      </c>
      <c r="X73" s="75">
        <f>IF(OR(Table5101345[[#This Row],[تاريخ الشراء-الاستلام]]="",Table5101345[[#This Row],[الإجمالي]]="",Table5101345[[#This Row],[العمر الافتراضي]]=""),"",T73+V73)</f>
        <v>1188.4931506849314</v>
      </c>
      <c r="Y7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الشراء-الاستلام]]&gt;DATE(2016,12,31),0,P73-X73))</f>
        <v>311.50684931506862</v>
      </c>
    </row>
    <row r="74" spans="1:25" ht="48" hidden="1" customHeight="1">
      <c r="A74" s="27">
        <f>IF(C74="","",SUBTOTAL(3,$C$5:C74))</f>
        <v>50</v>
      </c>
      <c r="B74" s="81"/>
      <c r="C74" s="88" t="s">
        <v>144</v>
      </c>
      <c r="D74" s="27" t="s">
        <v>87</v>
      </c>
      <c r="E74" s="84" t="s">
        <v>55</v>
      </c>
      <c r="F74" s="27" t="s">
        <v>146</v>
      </c>
      <c r="G74" s="27"/>
      <c r="H74" s="27" t="s">
        <v>37</v>
      </c>
      <c r="I74" s="27"/>
      <c r="J74" s="85" t="s">
        <v>147</v>
      </c>
      <c r="K74" s="96">
        <v>40756</v>
      </c>
      <c r="L74" s="29"/>
      <c r="M74" s="79">
        <v>1</v>
      </c>
      <c r="N74" s="31"/>
      <c r="O74" s="77">
        <v>305000</v>
      </c>
      <c r="P74" s="77">
        <f t="shared" si="3"/>
        <v>305000</v>
      </c>
      <c r="Q74" s="33">
        <v>0.15</v>
      </c>
      <c r="R74" s="27"/>
      <c r="S74" s="27" t="s">
        <v>32</v>
      </c>
      <c r="T74" s="75">
        <v>202177.39726027395</v>
      </c>
      <c r="U7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الشراء-الاستلام]]&lt;DATE(2016,1,1),P74-T74,0))</f>
        <v>102822.60273972605</v>
      </c>
      <c r="V74" s="75">
        <f>IF(OR(Table5101345[[#This Row],[تاريخ الشراء-الاستلام]]="",Table5101345[[#This Row],[الإجمالي]]="",Table5101345[[#This Row],[العمر الافتراضي]]=""),"",IF(AND(T74&lt;P74,U74&gt;(P74*Q74),DATE(2015,12,31)&gt;K74),P74*Q74,IF(AND(T74&lt;P74,DATE(2016,12,31)&gt;K74,U74&gt;(P74*Q74)),(DATE(2016,12,31)-K74)/((100%/Q74)*365)*P74,IF(AND(T74&lt;P74,DATE(2016,12,31)&gt;K74,U74=0),(DATE(2016,12,31)-K74)/((100%/Q74)*365)*P74,IF(AND(T74&lt;P74,DATE(2016,12,31)&gt;K74,U74&lt;(P74*Q74)),U74,0)))))</f>
        <v>45750</v>
      </c>
      <c r="W74" s="75">
        <f>IF(OR(Table5101345[[#This Row],[تاريخ الشراء-الاستلام]]="",Table5101345[[#This Row],[الإجمالي]]="",Table5101345[[#This Row],[العمر الافتراضي]]=""),"",IF(AND(T74&lt;P74,U74&gt;(P74*Q74),DATE(2016,12,31)&gt;K74),P74*Q74,IF(AND(T74&lt;P74,DATE(2017,12,31)&gt;K74,U74&gt;(P74*Q74)),(DATE(2017,12,31)-K74)/((100%/Q74)*360)*P74,IF(Table5101345[[#This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45750</v>
      </c>
      <c r="X74" s="75">
        <f>IF(OR(Table5101345[[#This Row],[تاريخ الشراء-الاستلام]]="",Table5101345[[#This Row],[الإجمالي]]="",Table5101345[[#This Row],[العمر الافتراضي]]=""),"",T74+V74)</f>
        <v>247927.39726027395</v>
      </c>
      <c r="Y7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الشراء-الاستلام]]&gt;DATE(2016,12,31),0,P74-X74))</f>
        <v>57072.602739726048</v>
      </c>
    </row>
    <row r="75" spans="1:25" ht="48" hidden="1" customHeight="1">
      <c r="A75" s="27">
        <f>IF(C75="","",SUBTOTAL(3,$C$5:C75))</f>
        <v>50</v>
      </c>
      <c r="B75" s="81"/>
      <c r="C75" s="88" t="s">
        <v>54</v>
      </c>
      <c r="D75" s="27" t="s">
        <v>87</v>
      </c>
      <c r="E75" s="84" t="s">
        <v>55</v>
      </c>
      <c r="F75" s="27" t="s">
        <v>29</v>
      </c>
      <c r="G75" s="27" t="s">
        <v>56</v>
      </c>
      <c r="H75" s="27" t="s">
        <v>37</v>
      </c>
      <c r="I75" s="27"/>
      <c r="J75" s="85" t="s">
        <v>148</v>
      </c>
      <c r="K75" s="96">
        <v>40904</v>
      </c>
      <c r="L75" s="29"/>
      <c r="M75" s="79">
        <v>1</v>
      </c>
      <c r="N75" s="31"/>
      <c r="O75" s="77">
        <v>243070</v>
      </c>
      <c r="P75" s="77">
        <f t="shared" si="3"/>
        <v>243070</v>
      </c>
      <c r="Q75" s="33">
        <v>0.15</v>
      </c>
      <c r="R75" s="27"/>
      <c r="S75" s="27" t="s">
        <v>32</v>
      </c>
      <c r="T75" s="75">
        <v>146341.45890410958</v>
      </c>
      <c r="U7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الشراء-الاستلام]]&lt;DATE(2016,1,1),P75-T75,0))</f>
        <v>96728.541095890425</v>
      </c>
      <c r="V75" s="75">
        <f>IF(OR(Table5101345[[#This Row],[تاريخ الشراء-الاستلام]]="",Table5101345[[#This Row],[الإجمالي]]="",Table5101345[[#This Row],[العمر الافتراضي]]=""),"",IF(AND(T75&lt;P75,U75&gt;(P75*Q75),DATE(2015,12,31)&gt;K75),P75*Q75,IF(AND(T75&lt;P75,DATE(2016,12,31)&gt;K75,U75&gt;(P75*Q75)),(DATE(2016,12,31)-K75)/((100%/Q75)*365)*P75,IF(AND(T75&lt;P75,DATE(2016,12,31)&gt;K75,U75=0),(DATE(2016,12,31)-K75)/((100%/Q75)*365)*P75,IF(AND(T75&lt;P75,DATE(2016,12,31)&gt;K75,U75&lt;(P75*Q75)),U75,0)))))</f>
        <v>36460.5</v>
      </c>
      <c r="W75" s="75">
        <f>IF(OR(Table5101345[[#This Row],[تاريخ الشراء-الاستلام]]="",Table5101345[[#This Row],[الإجمالي]]="",Table5101345[[#This Row],[العمر الافتراضي]]=""),"",IF(AND(T75&lt;P75,U75&gt;(P75*Q75),DATE(2016,12,31)&gt;K75),P75*Q75,IF(AND(T75&lt;P75,DATE(2017,12,31)&gt;K75,U75&gt;(P75*Q75)),(DATE(2017,12,31)-K75)/((100%/Q75)*360)*P75,IF(Table5101345[[#This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36460.5</v>
      </c>
      <c r="X75" s="75">
        <f>IF(OR(Table5101345[[#This Row],[تاريخ الشراء-الاستلام]]="",Table5101345[[#This Row],[الإجمالي]]="",Table5101345[[#This Row],[العمر الافتراضي]]=""),"",T75+V75)</f>
        <v>182801.95890410958</v>
      </c>
      <c r="Y7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الشراء-الاستلام]]&gt;DATE(2016,12,31),0,P75-X75))</f>
        <v>60268.041095890425</v>
      </c>
    </row>
    <row r="76" spans="1:25" ht="48" hidden="1" customHeight="1">
      <c r="A76" s="27">
        <f>IF(C76="","",SUBTOTAL(3,$C$5:C76))</f>
        <v>50</v>
      </c>
      <c r="B76" s="81"/>
      <c r="C76" s="88" t="s">
        <v>149</v>
      </c>
      <c r="D76" s="27" t="s">
        <v>87</v>
      </c>
      <c r="E76" s="84" t="s">
        <v>55</v>
      </c>
      <c r="F76" s="27" t="s">
        <v>29</v>
      </c>
      <c r="G76" s="27" t="s">
        <v>56</v>
      </c>
      <c r="H76" s="27" t="s">
        <v>37</v>
      </c>
      <c r="I76" s="27"/>
      <c r="J76" s="85" t="s">
        <v>148</v>
      </c>
      <c r="K76" s="96">
        <v>40904</v>
      </c>
      <c r="L76" s="29"/>
      <c r="M76" s="79">
        <v>1</v>
      </c>
      <c r="N76" s="31"/>
      <c r="O76" s="77">
        <v>93000</v>
      </c>
      <c r="P76" s="77">
        <f t="shared" si="3"/>
        <v>93000</v>
      </c>
      <c r="Q76" s="33">
        <v>0.15</v>
      </c>
      <c r="R76" s="27"/>
      <c r="S76" s="27" t="s">
        <v>32</v>
      </c>
      <c r="T76" s="75">
        <v>55991.095890410958</v>
      </c>
      <c r="U7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الشراء-الاستلام]]&lt;DATE(2016,1,1),P76-T76,0))</f>
        <v>37008.904109589042</v>
      </c>
      <c r="V76" s="75">
        <f>IF(OR(Table5101345[[#This Row],[تاريخ الشراء-الاستلام]]="",Table5101345[[#This Row],[الإجمالي]]="",Table5101345[[#This Row],[العمر الافتراضي]]=""),"",IF(AND(T76&lt;P76,U76&gt;(P76*Q76),DATE(2015,12,31)&gt;K76),P76*Q76,IF(AND(T76&lt;P76,DATE(2016,12,31)&gt;K76,U76&gt;(P76*Q76)),(DATE(2016,12,31)-K76)/((100%/Q76)*365)*P76,IF(AND(T76&lt;P76,DATE(2016,12,31)&gt;K76,U76=0),(DATE(2016,12,31)-K76)/((100%/Q76)*365)*P76,IF(AND(T76&lt;P76,DATE(2016,12,31)&gt;K76,U76&lt;(P76*Q76)),U76,0)))))</f>
        <v>13950</v>
      </c>
      <c r="W76" s="75">
        <f>IF(OR(Table5101345[[#This Row],[تاريخ الشراء-الاستلام]]="",Table5101345[[#This Row],[الإجمالي]]="",Table5101345[[#This Row],[العمر الافتراضي]]=""),"",IF(AND(T76&lt;P76,U76&gt;(P76*Q76),DATE(2016,12,31)&gt;K76),P76*Q76,IF(AND(T76&lt;P76,DATE(2017,12,31)&gt;K76,U76&gt;(P76*Q76)),(DATE(2017,12,31)-K76)/((100%/Q76)*360)*P76,IF(Table5101345[[#This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76" s="75">
        <f>IF(OR(Table5101345[[#This Row],[تاريخ الشراء-الاستلام]]="",Table5101345[[#This Row],[الإجمالي]]="",Table5101345[[#This Row],[العمر الافتراضي]]=""),"",T76+V76)</f>
        <v>69941.095890410958</v>
      </c>
      <c r="Y7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الشراء-الاستلام]]&gt;DATE(2016,12,31),0,P76-X76))</f>
        <v>23058.904109589042</v>
      </c>
    </row>
    <row r="77" spans="1:25" ht="48" hidden="1" customHeight="1">
      <c r="A77" s="27">
        <f>IF(C77="","",SUBTOTAL(3,$C$5:C77))</f>
        <v>50</v>
      </c>
      <c r="B77" s="81"/>
      <c r="C77" s="88" t="s">
        <v>54</v>
      </c>
      <c r="D77" s="27" t="s">
        <v>87</v>
      </c>
      <c r="E77" s="84" t="s">
        <v>55</v>
      </c>
      <c r="F77" s="27" t="s">
        <v>128</v>
      </c>
      <c r="G77" s="27"/>
      <c r="H77" s="27" t="s">
        <v>37</v>
      </c>
      <c r="I77" s="27"/>
      <c r="J77" s="85" t="s">
        <v>150</v>
      </c>
      <c r="K77" s="96">
        <v>41091</v>
      </c>
      <c r="L77" s="29"/>
      <c r="M77" s="79">
        <v>1</v>
      </c>
      <c r="N77" s="31"/>
      <c r="O77" s="77">
        <v>245826</v>
      </c>
      <c r="P77" s="77">
        <f t="shared" si="3"/>
        <v>245826</v>
      </c>
      <c r="Q77" s="33">
        <v>0.15</v>
      </c>
      <c r="R77" s="27"/>
      <c r="S77" s="27" t="s">
        <v>32</v>
      </c>
      <c r="T77" s="75">
        <v>129109.16219178082</v>
      </c>
      <c r="U7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الشراء-الاستلام]]&lt;DATE(2016,1,1),P77-T77,0))</f>
        <v>116716.83780821918</v>
      </c>
      <c r="V77" s="75">
        <f>IF(OR(Table5101345[[#This Row],[تاريخ الشراء-الاستلام]]="",Table5101345[[#This Row],[الإجمالي]]="",Table5101345[[#This Row],[العمر الافتراضي]]=""),"",IF(AND(T77&lt;P77,U77&gt;(P77*Q77),DATE(2015,12,31)&gt;K77),P77*Q77,IF(AND(T77&lt;P77,DATE(2016,12,31)&gt;K77,U77&gt;(P77*Q77)),(DATE(2016,12,31)-K77)/((100%/Q77)*365)*P77,IF(AND(T77&lt;P77,DATE(2016,12,31)&gt;K77,U77=0),(DATE(2016,12,31)-K77)/((100%/Q77)*365)*P77,IF(AND(T77&lt;P77,DATE(2016,12,31)&gt;K77,U77&lt;(P77*Q77)),U77,0)))))</f>
        <v>36873.9</v>
      </c>
      <c r="W77" s="75">
        <f>IF(OR(Table5101345[[#This Row],[تاريخ الشراء-الاستلام]]="",Table5101345[[#This Row],[الإجمالي]]="",Table5101345[[#This Row],[العمر الافتراضي]]=""),"",IF(AND(T77&lt;P77,U77&gt;(P77*Q77),DATE(2016,12,31)&gt;K77),P77*Q77,IF(AND(T77&lt;P77,DATE(2017,12,31)&gt;K77,U77&gt;(P77*Q77)),(DATE(2017,12,31)-K77)/((100%/Q77)*360)*P77,IF(Table5101345[[#This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36873.9</v>
      </c>
      <c r="X77" s="75">
        <f>IF(OR(Table5101345[[#This Row],[تاريخ الشراء-الاستلام]]="",Table5101345[[#This Row],[الإجمالي]]="",Table5101345[[#This Row],[العمر الافتراضي]]=""),"",T77+V77)</f>
        <v>165983.06219178083</v>
      </c>
      <c r="Y7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الشراء-الاستلام]]&gt;DATE(2016,12,31),0,P77-X77))</f>
        <v>79842.937808219169</v>
      </c>
    </row>
    <row r="78" spans="1:25" ht="48" hidden="1" customHeight="1">
      <c r="A78" s="27">
        <f>IF(C78="","",SUBTOTAL(3,$C$5:C78))</f>
        <v>50</v>
      </c>
      <c r="B78" s="81"/>
      <c r="C78" s="88" t="s">
        <v>149</v>
      </c>
      <c r="D78" s="27" t="s">
        <v>87</v>
      </c>
      <c r="E78" s="84" t="s">
        <v>55</v>
      </c>
      <c r="F78" s="27" t="s">
        <v>128</v>
      </c>
      <c r="G78" s="27"/>
      <c r="H78" s="27" t="s">
        <v>37</v>
      </c>
      <c r="I78" s="27"/>
      <c r="J78" s="85" t="s">
        <v>150</v>
      </c>
      <c r="K78" s="96">
        <v>41265</v>
      </c>
      <c r="L78" s="29"/>
      <c r="M78" s="79">
        <v>1</v>
      </c>
      <c r="N78" s="31"/>
      <c r="O78" s="77">
        <v>93000</v>
      </c>
      <c r="P78" s="77">
        <f t="shared" si="3"/>
        <v>93000</v>
      </c>
      <c r="Q78" s="33">
        <v>0.15</v>
      </c>
      <c r="R78" s="27"/>
      <c r="S78" s="27" t="s">
        <v>32</v>
      </c>
      <c r="T78" s="75">
        <v>42193.972602739726</v>
      </c>
      <c r="U7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الشراء-الاستلام]]&lt;DATE(2016,1,1),P78-T78,0))</f>
        <v>50806.027397260274</v>
      </c>
      <c r="V78" s="75">
        <f>IF(OR(Table5101345[[#This Row],[تاريخ الشراء-الاستلام]]="",Table5101345[[#This Row],[الإجمالي]]="",Table5101345[[#This Row],[العمر الافتراضي]]=""),"",IF(AND(T78&lt;P78,U78&gt;(P78*Q78),DATE(2015,12,31)&gt;K78),P78*Q78,IF(AND(T78&lt;P78,DATE(2016,12,31)&gt;K78,U78&gt;(P78*Q78)),(DATE(2016,12,31)-K78)/((100%/Q78)*365)*P78,IF(AND(T78&lt;P78,DATE(2016,12,31)&gt;K78,U78=0),(DATE(2016,12,31)-K78)/((100%/Q78)*365)*P78,IF(AND(T78&lt;P78,DATE(2016,12,31)&gt;K78,U78&lt;(P78*Q78)),U78,0)))))</f>
        <v>13950</v>
      </c>
      <c r="W78" s="75">
        <f>IF(OR(Table5101345[[#This Row],[تاريخ الشراء-الاستلام]]="",Table5101345[[#This Row],[الإجمالي]]="",Table5101345[[#This Row],[العمر الافتراضي]]=""),"",IF(AND(T78&lt;P78,U78&gt;(P78*Q78),DATE(2016,12,31)&gt;K78),P78*Q78,IF(AND(T78&lt;P78,DATE(2017,12,31)&gt;K78,U78&gt;(P78*Q78)),(DATE(2017,12,31)-K78)/((100%/Q78)*360)*P78,IF(Table5101345[[#This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78" s="75">
        <f>IF(OR(Table5101345[[#This Row],[تاريخ الشراء-الاستلام]]="",Table5101345[[#This Row],[الإجمالي]]="",Table5101345[[#This Row],[العمر الافتراضي]]=""),"",T78+V78)</f>
        <v>56143.972602739726</v>
      </c>
      <c r="Y7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الشراء-الاستلام]]&gt;DATE(2016,12,31),0,P78-X78))</f>
        <v>36856.027397260274</v>
      </c>
    </row>
    <row r="79" spans="1:25" ht="48" hidden="1" customHeight="1">
      <c r="A79" s="27">
        <f>IF(C79="","",SUBTOTAL(3,$C$5:C79))</f>
        <v>50</v>
      </c>
      <c r="B79" s="81"/>
      <c r="C79" s="88" t="s">
        <v>54</v>
      </c>
      <c r="D79" s="27" t="s">
        <v>87</v>
      </c>
      <c r="E79" s="84" t="s">
        <v>55</v>
      </c>
      <c r="F79" s="27" t="s">
        <v>29</v>
      </c>
      <c r="G79" s="27" t="s">
        <v>56</v>
      </c>
      <c r="H79" s="27" t="s">
        <v>37</v>
      </c>
      <c r="I79" s="27"/>
      <c r="J79" s="85" t="s">
        <v>151</v>
      </c>
      <c r="K79" s="96">
        <v>41091</v>
      </c>
      <c r="L79" s="29"/>
      <c r="M79" s="79">
        <v>1</v>
      </c>
      <c r="N79" s="31"/>
      <c r="O79" s="77">
        <v>245826</v>
      </c>
      <c r="P79" s="77">
        <f t="shared" si="3"/>
        <v>245826</v>
      </c>
      <c r="Q79" s="33">
        <v>0.15</v>
      </c>
      <c r="R79" s="27"/>
      <c r="S79" s="27" t="s">
        <v>32</v>
      </c>
      <c r="T79" s="75">
        <v>129109.16219178082</v>
      </c>
      <c r="U7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الشراء-الاستلام]]&lt;DATE(2016,1,1),P79-T79,0))</f>
        <v>116716.83780821918</v>
      </c>
      <c r="V79" s="75">
        <f>IF(OR(Table5101345[[#This Row],[تاريخ الشراء-الاستلام]]="",Table5101345[[#This Row],[الإجمالي]]="",Table5101345[[#This Row],[العمر الافتراضي]]=""),"",IF(AND(T79&lt;P79,U79&gt;(P79*Q79),DATE(2015,12,31)&gt;K79),P79*Q79,IF(AND(T79&lt;P79,DATE(2016,12,31)&gt;K79,U79&gt;(P79*Q79)),(DATE(2016,12,31)-K79)/((100%/Q79)*365)*P79,IF(AND(T79&lt;P79,DATE(2016,12,31)&gt;K79,U79=0),(DATE(2016,12,31)-K79)/((100%/Q79)*365)*P79,IF(AND(T79&lt;P79,DATE(2016,12,31)&gt;K79,U79&lt;(P79*Q79)),U79,0)))))</f>
        <v>36873.9</v>
      </c>
      <c r="W79" s="75">
        <f>IF(OR(Table5101345[[#This Row],[تاريخ الشراء-الاستلام]]="",Table5101345[[#This Row],[الإجمالي]]="",Table5101345[[#This Row],[العمر الافتراضي]]=""),"",IF(AND(T79&lt;P79,U79&gt;(P79*Q79),DATE(2016,12,31)&gt;K79),P79*Q79,IF(AND(T79&lt;P79,DATE(2017,12,31)&gt;K79,U79&gt;(P79*Q79)),(DATE(2017,12,31)-K79)/((100%/Q79)*360)*P79,IF(Table5101345[[#This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36873.9</v>
      </c>
      <c r="X79" s="75">
        <f>IF(OR(Table5101345[[#This Row],[تاريخ الشراء-الاستلام]]="",Table5101345[[#This Row],[الإجمالي]]="",Table5101345[[#This Row],[العمر الافتراضي]]=""),"",T79+V79)</f>
        <v>165983.06219178083</v>
      </c>
      <c r="Y7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الشراء-الاستلام]]&gt;DATE(2016,12,31),0,P79-X79))</f>
        <v>79842.937808219169</v>
      </c>
    </row>
    <row r="80" spans="1:25" ht="48" hidden="1" customHeight="1">
      <c r="A80" s="27">
        <f>IF(C80="","",SUBTOTAL(3,$C$5:C80))</f>
        <v>50</v>
      </c>
      <c r="B80" s="81"/>
      <c r="C80" s="88" t="s">
        <v>149</v>
      </c>
      <c r="D80" s="27" t="s">
        <v>87</v>
      </c>
      <c r="E80" s="84" t="s">
        <v>55</v>
      </c>
      <c r="F80" s="27" t="s">
        <v>29</v>
      </c>
      <c r="G80" s="27" t="s">
        <v>56</v>
      </c>
      <c r="H80" s="27" t="s">
        <v>37</v>
      </c>
      <c r="I80" s="27"/>
      <c r="J80" s="85" t="s">
        <v>151</v>
      </c>
      <c r="K80" s="96">
        <v>41265</v>
      </c>
      <c r="L80" s="29"/>
      <c r="M80" s="79">
        <v>1</v>
      </c>
      <c r="N80" s="31"/>
      <c r="O80" s="77">
        <v>93000</v>
      </c>
      <c r="P80" s="77">
        <f t="shared" si="3"/>
        <v>93000</v>
      </c>
      <c r="Q80" s="33">
        <v>0.15</v>
      </c>
      <c r="R80" s="27"/>
      <c r="S80" s="27" t="s">
        <v>32</v>
      </c>
      <c r="T80" s="75">
        <v>42193.972602739726</v>
      </c>
      <c r="U8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الشراء-الاستلام]]&lt;DATE(2016,1,1),P80-T80,0))</f>
        <v>50806.027397260274</v>
      </c>
      <c r="V80" s="75">
        <f>IF(OR(Table5101345[[#This Row],[تاريخ الشراء-الاستلام]]="",Table5101345[[#This Row],[الإجمالي]]="",Table5101345[[#This Row],[العمر الافتراضي]]=""),"",IF(AND(T80&lt;P80,U80&gt;(P80*Q80),DATE(2015,12,31)&gt;K80),P80*Q80,IF(AND(T80&lt;P80,DATE(2016,12,31)&gt;K80,U80&gt;(P80*Q80)),(DATE(2016,12,31)-K80)/((100%/Q80)*365)*P80,IF(AND(T80&lt;P80,DATE(2016,12,31)&gt;K80,U80=0),(DATE(2016,12,31)-K80)/((100%/Q80)*365)*P80,IF(AND(T80&lt;P80,DATE(2016,12,31)&gt;K80,U80&lt;(P80*Q80)),U80,0)))))</f>
        <v>13950</v>
      </c>
      <c r="W80" s="75">
        <f>IF(OR(Table5101345[[#This Row],[تاريخ الشراء-الاستلام]]="",Table5101345[[#This Row],[الإجمالي]]="",Table5101345[[#This Row],[العمر الافتراضي]]=""),"",IF(AND(T80&lt;P80,U80&gt;(P80*Q80),DATE(2016,12,31)&gt;K80),P80*Q80,IF(AND(T80&lt;P80,DATE(2017,12,31)&gt;K80,U80&gt;(P80*Q80)),(DATE(2017,12,31)-K80)/((100%/Q80)*360)*P80,IF(Table5101345[[#This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80" s="75">
        <f>IF(OR(Table5101345[[#This Row],[تاريخ الشراء-الاستلام]]="",Table5101345[[#This Row],[الإجمالي]]="",Table5101345[[#This Row],[العمر الافتراضي]]=""),"",T80+V80)</f>
        <v>56143.972602739726</v>
      </c>
      <c r="Y8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الشراء-الاستلام]]&gt;DATE(2016,12,31),0,P80-X80))</f>
        <v>36856.027397260274</v>
      </c>
    </row>
    <row r="81" spans="1:25" ht="48" hidden="1" customHeight="1">
      <c r="A81" s="27">
        <f>IF(C81="","",SUBTOTAL(3,$C$5:C81))</f>
        <v>50</v>
      </c>
      <c r="B81" s="81"/>
      <c r="C81" s="88" t="s">
        <v>54</v>
      </c>
      <c r="D81" s="27" t="s">
        <v>87</v>
      </c>
      <c r="E81" s="84" t="s">
        <v>55</v>
      </c>
      <c r="F81" s="27" t="s">
        <v>29</v>
      </c>
      <c r="G81" s="27" t="s">
        <v>56</v>
      </c>
      <c r="H81" s="27" t="s">
        <v>37</v>
      </c>
      <c r="I81" s="27"/>
      <c r="J81" s="85" t="s">
        <v>152</v>
      </c>
      <c r="K81" s="96">
        <v>41091</v>
      </c>
      <c r="L81" s="29"/>
      <c r="M81" s="79">
        <v>1</v>
      </c>
      <c r="N81" s="31"/>
      <c r="O81" s="77">
        <v>245826</v>
      </c>
      <c r="P81" s="77">
        <f t="shared" si="3"/>
        <v>245826</v>
      </c>
      <c r="Q81" s="33">
        <v>0.15</v>
      </c>
      <c r="R81" s="27"/>
      <c r="S81" s="27" t="s">
        <v>32</v>
      </c>
      <c r="T81" s="75">
        <v>129109.16219178082</v>
      </c>
      <c r="U8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الشراء-الاستلام]]&lt;DATE(2016,1,1),P81-T81,0))</f>
        <v>116716.83780821918</v>
      </c>
      <c r="V81" s="75">
        <f>IF(OR(Table5101345[[#This Row],[تاريخ الشراء-الاستلام]]="",Table5101345[[#This Row],[الإجمالي]]="",Table5101345[[#This Row],[العمر الافتراضي]]=""),"",IF(AND(T81&lt;P81,U81&gt;(P81*Q81),DATE(2015,12,31)&gt;K81),P81*Q81,IF(AND(T81&lt;P81,DATE(2016,12,31)&gt;K81,U81&gt;(P81*Q81)),(DATE(2016,12,31)-K81)/((100%/Q81)*365)*P81,IF(AND(T81&lt;P81,DATE(2016,12,31)&gt;K81,U81=0),(DATE(2016,12,31)-K81)/((100%/Q81)*365)*P81,IF(AND(T81&lt;P81,DATE(2016,12,31)&gt;K81,U81&lt;(P81*Q81)),U81,0)))))</f>
        <v>36873.9</v>
      </c>
      <c r="W81" s="75">
        <f>IF(OR(Table5101345[[#This Row],[تاريخ الشراء-الاستلام]]="",Table5101345[[#This Row],[الإجمالي]]="",Table5101345[[#This Row],[العمر الافتراضي]]=""),"",IF(AND(T81&lt;P81,U81&gt;(P81*Q81),DATE(2016,12,31)&gt;K81),P81*Q81,IF(AND(T81&lt;P81,DATE(2017,12,31)&gt;K81,U81&gt;(P81*Q81)),(DATE(2017,12,31)-K81)/((100%/Q81)*360)*P81,IF(Table5101345[[#This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36873.9</v>
      </c>
      <c r="X81" s="75">
        <f>IF(OR(Table5101345[[#This Row],[تاريخ الشراء-الاستلام]]="",Table5101345[[#This Row],[الإجمالي]]="",Table5101345[[#This Row],[العمر الافتراضي]]=""),"",T81+V81)</f>
        <v>165983.06219178083</v>
      </c>
      <c r="Y8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الشراء-الاستلام]]&gt;DATE(2016,12,31),0,P81-X81))</f>
        <v>79842.937808219169</v>
      </c>
    </row>
    <row r="82" spans="1:25" ht="48" hidden="1" customHeight="1">
      <c r="A82" s="27">
        <f>IF(C82="","",SUBTOTAL(3,$C$5:C82))</f>
        <v>50</v>
      </c>
      <c r="B82" s="81"/>
      <c r="C82" s="88" t="s">
        <v>149</v>
      </c>
      <c r="D82" s="27" t="s">
        <v>87</v>
      </c>
      <c r="E82" s="84" t="s">
        <v>55</v>
      </c>
      <c r="F82" s="27" t="s">
        <v>29</v>
      </c>
      <c r="G82" s="27" t="s">
        <v>56</v>
      </c>
      <c r="H82" s="27" t="s">
        <v>37</v>
      </c>
      <c r="I82" s="27"/>
      <c r="J82" s="85" t="s">
        <v>152</v>
      </c>
      <c r="K82" s="96">
        <v>41265</v>
      </c>
      <c r="L82" s="29"/>
      <c r="M82" s="79">
        <v>1</v>
      </c>
      <c r="N82" s="31"/>
      <c r="O82" s="77">
        <v>93000</v>
      </c>
      <c r="P82" s="77">
        <f t="shared" si="3"/>
        <v>93000</v>
      </c>
      <c r="Q82" s="33">
        <v>0.15</v>
      </c>
      <c r="R82" s="27"/>
      <c r="S82" s="27" t="s">
        <v>32</v>
      </c>
      <c r="T82" s="75">
        <v>42193.972602739726</v>
      </c>
      <c r="U8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الشراء-الاستلام]]&lt;DATE(2016,1,1),P82-T82,0))</f>
        <v>50806.027397260274</v>
      </c>
      <c r="V82" s="75">
        <f>IF(OR(Table5101345[[#This Row],[تاريخ الشراء-الاستلام]]="",Table5101345[[#This Row],[الإجمالي]]="",Table5101345[[#This Row],[العمر الافتراضي]]=""),"",IF(AND(T82&lt;P82,U82&gt;(P82*Q82),DATE(2015,12,31)&gt;K82),P82*Q82,IF(AND(T82&lt;P82,DATE(2016,12,31)&gt;K82,U82&gt;(P82*Q82)),(DATE(2016,12,31)-K82)/((100%/Q82)*365)*P82,IF(AND(T82&lt;P82,DATE(2016,12,31)&gt;K82,U82=0),(DATE(2016,12,31)-K82)/((100%/Q82)*365)*P82,IF(AND(T82&lt;P82,DATE(2016,12,31)&gt;K82,U82&lt;(P82*Q82)),U82,0)))))</f>
        <v>13950</v>
      </c>
      <c r="W82" s="75">
        <f>IF(OR(Table5101345[[#This Row],[تاريخ الشراء-الاستلام]]="",Table5101345[[#This Row],[الإجمالي]]="",Table5101345[[#This Row],[العمر الافتراضي]]=""),"",IF(AND(T82&lt;P82,U82&gt;(P82*Q82),DATE(2016,12,31)&gt;K82),P82*Q82,IF(AND(T82&lt;P82,DATE(2017,12,31)&gt;K82,U82&gt;(P82*Q82)),(DATE(2017,12,31)-K82)/((100%/Q82)*360)*P82,IF(Table5101345[[#This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82" s="75">
        <f>IF(OR(Table5101345[[#This Row],[تاريخ الشراء-الاستلام]]="",Table5101345[[#This Row],[الإجمالي]]="",Table5101345[[#This Row],[العمر الافتراضي]]=""),"",T82+V82)</f>
        <v>56143.972602739726</v>
      </c>
      <c r="Y8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الشراء-الاستلام]]&gt;DATE(2016,12,31),0,P82-X82))</f>
        <v>36856.027397260274</v>
      </c>
    </row>
    <row r="83" spans="1:25" ht="48" hidden="1" customHeight="1">
      <c r="A83" s="27">
        <f>IF(C83="","",SUBTOTAL(3,$C$5:C83))</f>
        <v>50</v>
      </c>
      <c r="B83" s="81"/>
      <c r="C83" s="88" t="s">
        <v>54</v>
      </c>
      <c r="D83" s="27" t="s">
        <v>87</v>
      </c>
      <c r="E83" s="84" t="s">
        <v>55</v>
      </c>
      <c r="F83" s="27" t="s">
        <v>69</v>
      </c>
      <c r="G83" s="27"/>
      <c r="H83" s="27" t="s">
        <v>37</v>
      </c>
      <c r="I83" s="27"/>
      <c r="J83" s="85" t="s">
        <v>153</v>
      </c>
      <c r="K83" s="96">
        <v>41091</v>
      </c>
      <c r="L83" s="29"/>
      <c r="M83" s="79">
        <v>1</v>
      </c>
      <c r="N83" s="31"/>
      <c r="O83" s="77">
        <v>245825</v>
      </c>
      <c r="P83" s="77">
        <f t="shared" si="3"/>
        <v>245825</v>
      </c>
      <c r="Q83" s="33">
        <v>0.15</v>
      </c>
      <c r="R83" s="27"/>
      <c r="S83" s="27" t="s">
        <v>32</v>
      </c>
      <c r="T83" s="75">
        <v>129108.63698630135</v>
      </c>
      <c r="U8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الشراء-الاستلام]]&lt;DATE(2016,1,1),P83-T83,0))</f>
        <v>116716.36301369865</v>
      </c>
      <c r="V83" s="75">
        <f>IF(OR(Table5101345[[#This Row],[تاريخ الشراء-الاستلام]]="",Table5101345[[#This Row],[الإجمالي]]="",Table5101345[[#This Row],[العمر الافتراضي]]=""),"",IF(AND(T83&lt;P83,U83&gt;(P83*Q83),DATE(2015,12,31)&gt;K83),P83*Q83,IF(AND(T83&lt;P83,DATE(2016,12,31)&gt;K83,U83&gt;(P83*Q83)),(DATE(2016,12,31)-K83)/((100%/Q83)*365)*P83,IF(AND(T83&lt;P83,DATE(2016,12,31)&gt;K83,U83=0),(DATE(2016,12,31)-K83)/((100%/Q83)*365)*P83,IF(AND(T83&lt;P83,DATE(2016,12,31)&gt;K83,U83&lt;(P83*Q83)),U83,0)))))</f>
        <v>36873.75</v>
      </c>
      <c r="W83" s="75">
        <f>IF(OR(Table5101345[[#This Row],[تاريخ الشراء-الاستلام]]="",Table5101345[[#This Row],[الإجمالي]]="",Table5101345[[#This Row],[العمر الافتراضي]]=""),"",IF(AND(T83&lt;P83,U83&gt;(P83*Q83),DATE(2016,12,31)&gt;K83),P83*Q83,IF(AND(T83&lt;P83,DATE(2017,12,31)&gt;K83,U83&gt;(P83*Q83)),(DATE(2017,12,31)-K83)/((100%/Q83)*360)*P83,IF(Table5101345[[#This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36873.75</v>
      </c>
      <c r="X83" s="75">
        <f>IF(OR(Table5101345[[#This Row],[تاريخ الشراء-الاستلام]]="",Table5101345[[#This Row],[الإجمالي]]="",Table5101345[[#This Row],[العمر الافتراضي]]=""),"",T83+V83)</f>
        <v>165982.38698630134</v>
      </c>
      <c r="Y8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الشراء-الاستلام]]&gt;DATE(2016,12,31),0,P83-X83))</f>
        <v>79842.613013698661</v>
      </c>
    </row>
    <row r="84" spans="1:25" ht="48" hidden="1" customHeight="1">
      <c r="A84" s="27">
        <f>IF(C84="","",SUBTOTAL(3,$C$5:C84))</f>
        <v>50</v>
      </c>
      <c r="B84" s="81"/>
      <c r="C84" s="88" t="s">
        <v>149</v>
      </c>
      <c r="D84" s="27" t="s">
        <v>87</v>
      </c>
      <c r="E84" s="84" t="s">
        <v>55</v>
      </c>
      <c r="F84" s="27" t="s">
        <v>69</v>
      </c>
      <c r="G84" s="27"/>
      <c r="H84" s="27" t="s">
        <v>37</v>
      </c>
      <c r="I84" s="27"/>
      <c r="J84" s="85" t="s">
        <v>153</v>
      </c>
      <c r="K84" s="96">
        <v>41265</v>
      </c>
      <c r="L84" s="29"/>
      <c r="M84" s="79">
        <v>1</v>
      </c>
      <c r="N84" s="31"/>
      <c r="O84" s="77">
        <v>93000</v>
      </c>
      <c r="P84" s="77">
        <f t="shared" si="3"/>
        <v>93000</v>
      </c>
      <c r="Q84" s="33">
        <v>0.15</v>
      </c>
      <c r="R84" s="27"/>
      <c r="S84" s="27" t="s">
        <v>32</v>
      </c>
      <c r="T84" s="75">
        <v>42193.972602739726</v>
      </c>
      <c r="U8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الشراء-الاستلام]]&lt;DATE(2016,1,1),P84-T84,0))</f>
        <v>50806.027397260274</v>
      </c>
      <c r="V84" s="75">
        <f>IF(OR(Table5101345[[#This Row],[تاريخ الشراء-الاستلام]]="",Table5101345[[#This Row],[الإجمالي]]="",Table5101345[[#This Row],[العمر الافتراضي]]=""),"",IF(AND(T84&lt;P84,U84&gt;(P84*Q84),DATE(2015,12,31)&gt;K84),P84*Q84,IF(AND(T84&lt;P84,DATE(2016,12,31)&gt;K84,U84&gt;(P84*Q84)),(DATE(2016,12,31)-K84)/((100%/Q84)*365)*P84,IF(AND(T84&lt;P84,DATE(2016,12,31)&gt;K84,U84=0),(DATE(2016,12,31)-K84)/((100%/Q84)*365)*P84,IF(AND(T84&lt;P84,DATE(2016,12,31)&gt;K84,U84&lt;(P84*Q84)),U84,0)))))</f>
        <v>13950</v>
      </c>
      <c r="W84" s="75">
        <f>IF(OR(Table5101345[[#This Row],[تاريخ الشراء-الاستلام]]="",Table5101345[[#This Row],[الإجمالي]]="",Table5101345[[#This Row],[العمر الافتراضي]]=""),"",IF(AND(T84&lt;P84,U84&gt;(P84*Q84),DATE(2016,12,31)&gt;K84),P84*Q84,IF(AND(T84&lt;P84,DATE(2017,12,31)&gt;K84,U84&gt;(P84*Q84)),(DATE(2017,12,31)-K84)/((100%/Q84)*360)*P84,IF(Table5101345[[#This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84" s="75">
        <f>IF(OR(Table5101345[[#This Row],[تاريخ الشراء-الاستلام]]="",Table5101345[[#This Row],[الإجمالي]]="",Table5101345[[#This Row],[العمر الافتراضي]]=""),"",T84+V84)</f>
        <v>56143.972602739726</v>
      </c>
      <c r="Y8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الشراء-الاستلام]]&gt;DATE(2016,12,31),0,P84-X84))</f>
        <v>36856.027397260274</v>
      </c>
    </row>
    <row r="85" spans="1:25" ht="48" hidden="1" customHeight="1">
      <c r="A85" s="27">
        <f>IF(C85="","",SUBTOTAL(3,$C$5:C85))</f>
        <v>50</v>
      </c>
      <c r="B85" s="81"/>
      <c r="C85" s="88" t="s">
        <v>54</v>
      </c>
      <c r="D85" s="27" t="s">
        <v>87</v>
      </c>
      <c r="E85" s="84" t="s">
        <v>55</v>
      </c>
      <c r="F85" s="27" t="s">
        <v>36</v>
      </c>
      <c r="G85" s="27"/>
      <c r="H85" s="27" t="s">
        <v>37</v>
      </c>
      <c r="I85" s="27"/>
      <c r="J85" s="85" t="s">
        <v>154</v>
      </c>
      <c r="K85" s="96">
        <v>41091</v>
      </c>
      <c r="L85" s="29"/>
      <c r="M85" s="79">
        <v>1</v>
      </c>
      <c r="N85" s="31"/>
      <c r="O85" s="77">
        <v>245825</v>
      </c>
      <c r="P85" s="77">
        <f t="shared" si="3"/>
        <v>245825</v>
      </c>
      <c r="Q85" s="33">
        <v>0.15</v>
      </c>
      <c r="R85" s="27"/>
      <c r="S85" s="27" t="s">
        <v>32</v>
      </c>
      <c r="T85" s="75">
        <v>129108.63698630135</v>
      </c>
      <c r="U8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الشراء-الاستلام]]&lt;DATE(2016,1,1),P85-T85,0))</f>
        <v>116716.36301369865</v>
      </c>
      <c r="V85" s="75">
        <f>IF(OR(Table5101345[[#This Row],[تاريخ الشراء-الاستلام]]="",Table5101345[[#This Row],[الإجمالي]]="",Table5101345[[#This Row],[العمر الافتراضي]]=""),"",IF(AND(T85&lt;P85,U85&gt;(P85*Q85),DATE(2015,12,31)&gt;K85),P85*Q85,IF(AND(T85&lt;P85,DATE(2016,12,31)&gt;K85,U85&gt;(P85*Q85)),(DATE(2016,12,31)-K85)/((100%/Q85)*365)*P85,IF(AND(T85&lt;P85,DATE(2016,12,31)&gt;K85,U85=0),(DATE(2016,12,31)-K85)/((100%/Q85)*365)*P85,IF(AND(T85&lt;P85,DATE(2016,12,31)&gt;K85,U85&lt;(P85*Q85)),U85,0)))))</f>
        <v>36873.75</v>
      </c>
      <c r="W85" s="75">
        <f>IF(OR(Table5101345[[#This Row],[تاريخ الشراء-الاستلام]]="",Table5101345[[#This Row],[الإجمالي]]="",Table5101345[[#This Row],[العمر الافتراضي]]=""),"",IF(AND(T85&lt;P85,U85&gt;(P85*Q85),DATE(2016,12,31)&gt;K85),P85*Q85,IF(AND(T85&lt;P85,DATE(2017,12,31)&gt;K85,U85&gt;(P85*Q85)),(DATE(2017,12,31)-K85)/((100%/Q85)*360)*P85,IF(Table5101345[[#This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36873.75</v>
      </c>
      <c r="X85" s="75">
        <f>IF(OR(Table5101345[[#This Row],[تاريخ الشراء-الاستلام]]="",Table5101345[[#This Row],[الإجمالي]]="",Table5101345[[#This Row],[العمر الافتراضي]]=""),"",T85+V85)</f>
        <v>165982.38698630134</v>
      </c>
      <c r="Y8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الشراء-الاستلام]]&gt;DATE(2016,12,31),0,P85-X85))</f>
        <v>79842.613013698661</v>
      </c>
    </row>
    <row r="86" spans="1:25" ht="48" hidden="1" customHeight="1">
      <c r="A86" s="27">
        <f>IF(C86="","",SUBTOTAL(3,$C$5:C86))</f>
        <v>50</v>
      </c>
      <c r="B86" s="81"/>
      <c r="C86" s="88" t="s">
        <v>149</v>
      </c>
      <c r="D86" s="27" t="s">
        <v>87</v>
      </c>
      <c r="E86" s="84" t="s">
        <v>55</v>
      </c>
      <c r="F86" s="27" t="s">
        <v>36</v>
      </c>
      <c r="G86" s="27"/>
      <c r="H86" s="27" t="s">
        <v>37</v>
      </c>
      <c r="I86" s="27"/>
      <c r="J86" s="85" t="s">
        <v>154</v>
      </c>
      <c r="K86" s="96">
        <v>41265</v>
      </c>
      <c r="L86" s="29"/>
      <c r="M86" s="79">
        <v>1</v>
      </c>
      <c r="N86" s="31"/>
      <c r="O86" s="77">
        <v>93000</v>
      </c>
      <c r="P86" s="77">
        <f t="shared" si="3"/>
        <v>93000</v>
      </c>
      <c r="Q86" s="33">
        <v>0.15</v>
      </c>
      <c r="R86" s="27"/>
      <c r="S86" s="27" t="s">
        <v>32</v>
      </c>
      <c r="T86" s="75">
        <v>42193.972602739726</v>
      </c>
      <c r="U8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الشراء-الاستلام]]&lt;DATE(2016,1,1),P86-T86,0))</f>
        <v>50806.027397260274</v>
      </c>
      <c r="V86" s="75">
        <f>IF(OR(Table5101345[[#This Row],[تاريخ الشراء-الاستلام]]="",Table5101345[[#This Row],[الإجمالي]]="",Table5101345[[#This Row],[العمر الافتراضي]]=""),"",IF(AND(T86&lt;P86,U86&gt;(P86*Q86),DATE(2015,12,31)&gt;K86),P86*Q86,IF(AND(T86&lt;P86,DATE(2016,12,31)&gt;K86,U86&gt;(P86*Q86)),(DATE(2016,12,31)-K86)/((100%/Q86)*365)*P86,IF(AND(T86&lt;P86,DATE(2016,12,31)&gt;K86,U86=0),(DATE(2016,12,31)-K86)/((100%/Q86)*365)*P86,IF(AND(T86&lt;P86,DATE(2016,12,31)&gt;K86,U86&lt;(P86*Q86)),U86,0)))))</f>
        <v>13950</v>
      </c>
      <c r="W86" s="75">
        <f>IF(OR(Table5101345[[#This Row],[تاريخ الشراء-الاستلام]]="",Table5101345[[#This Row],[الإجمالي]]="",Table5101345[[#This Row],[العمر الافتراضي]]=""),"",IF(AND(T86&lt;P86,U86&gt;(P86*Q86),DATE(2016,12,31)&gt;K86),P86*Q86,IF(AND(T86&lt;P86,DATE(2017,12,31)&gt;K86,U86&gt;(P86*Q86)),(DATE(2017,12,31)-K86)/((100%/Q86)*360)*P86,IF(Table5101345[[#This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86" s="75">
        <f>IF(OR(Table5101345[[#This Row],[تاريخ الشراء-الاستلام]]="",Table5101345[[#This Row],[الإجمالي]]="",Table5101345[[#This Row],[العمر الافتراضي]]=""),"",T86+V86)</f>
        <v>56143.972602739726</v>
      </c>
      <c r="Y8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الشراء-الاستلام]]&gt;DATE(2016,12,31),0,P86-X86))</f>
        <v>36856.027397260274</v>
      </c>
    </row>
    <row r="87" spans="1:25" ht="48" hidden="1" customHeight="1">
      <c r="A87" s="27">
        <f>IF(C87="","",SUBTOTAL(3,$C$5:C87))</f>
        <v>50</v>
      </c>
      <c r="B87" s="81"/>
      <c r="C87" s="88" t="s">
        <v>54</v>
      </c>
      <c r="D87" s="27" t="s">
        <v>87</v>
      </c>
      <c r="E87" s="84" t="s">
        <v>55</v>
      </c>
      <c r="F87" s="27" t="s">
        <v>29</v>
      </c>
      <c r="G87" s="36" t="s">
        <v>142</v>
      </c>
      <c r="H87" s="27" t="s">
        <v>37</v>
      </c>
      <c r="I87" s="27"/>
      <c r="J87" s="85" t="s">
        <v>155</v>
      </c>
      <c r="K87" s="96">
        <v>41091</v>
      </c>
      <c r="L87" s="29"/>
      <c r="M87" s="79">
        <v>1</v>
      </c>
      <c r="N87" s="31"/>
      <c r="O87" s="77">
        <v>245825</v>
      </c>
      <c r="P87" s="77">
        <f t="shared" si="3"/>
        <v>245825</v>
      </c>
      <c r="Q87" s="33">
        <v>0.15</v>
      </c>
      <c r="R87" s="27"/>
      <c r="S87" s="27" t="s">
        <v>32</v>
      </c>
      <c r="T87" s="75">
        <v>129108.63698630135</v>
      </c>
      <c r="U8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الشراء-الاستلام]]&lt;DATE(2016,1,1),P87-T87,0))</f>
        <v>116716.36301369865</v>
      </c>
      <c r="V87" s="75">
        <f>IF(OR(Table5101345[[#This Row],[تاريخ الشراء-الاستلام]]="",Table5101345[[#This Row],[الإجمالي]]="",Table5101345[[#This Row],[العمر الافتراضي]]=""),"",IF(AND(T87&lt;P87,U87&gt;(P87*Q87),DATE(2015,12,31)&gt;K87),P87*Q87,IF(AND(T87&lt;P87,DATE(2016,12,31)&gt;K87,U87&gt;(P87*Q87)),(DATE(2016,12,31)-K87)/((100%/Q87)*365)*P87,IF(AND(T87&lt;P87,DATE(2016,12,31)&gt;K87,U87=0),(DATE(2016,12,31)-K87)/((100%/Q87)*365)*P87,IF(AND(T87&lt;P87,DATE(2016,12,31)&gt;K87,U87&lt;(P87*Q87)),U87,0)))))</f>
        <v>36873.75</v>
      </c>
      <c r="W87" s="75">
        <f>IF(OR(Table5101345[[#This Row],[تاريخ الشراء-الاستلام]]="",Table5101345[[#This Row],[الإجمالي]]="",Table5101345[[#This Row],[العمر الافتراضي]]=""),"",IF(AND(T87&lt;P87,U87&gt;(P87*Q87),DATE(2016,12,31)&gt;K87),P87*Q87,IF(AND(T87&lt;P87,DATE(2017,12,31)&gt;K87,U87&gt;(P87*Q87)),(DATE(2017,12,31)-K87)/((100%/Q87)*360)*P87,IF(Table5101345[[#This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36873.75</v>
      </c>
      <c r="X87" s="75">
        <f>IF(OR(Table5101345[[#This Row],[تاريخ الشراء-الاستلام]]="",Table5101345[[#This Row],[الإجمالي]]="",Table5101345[[#This Row],[العمر الافتراضي]]=""),"",T87+V87)</f>
        <v>165982.38698630134</v>
      </c>
      <c r="Y8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الشراء-الاستلام]]&gt;DATE(2016,12,31),0,P87-X87))</f>
        <v>79842.613013698661</v>
      </c>
    </row>
    <row r="88" spans="1:25" ht="48" hidden="1" customHeight="1">
      <c r="A88" s="27">
        <f>IF(C88="","",SUBTOTAL(3,$C$5:C88))</f>
        <v>50</v>
      </c>
      <c r="B88" s="81"/>
      <c r="C88" s="88" t="s">
        <v>149</v>
      </c>
      <c r="D88" s="27" t="s">
        <v>87</v>
      </c>
      <c r="E88" s="84" t="s">
        <v>55</v>
      </c>
      <c r="F88" s="27" t="s">
        <v>29</v>
      </c>
      <c r="G88" s="36" t="s">
        <v>142</v>
      </c>
      <c r="H88" s="27" t="s">
        <v>37</v>
      </c>
      <c r="I88" s="27"/>
      <c r="J88" s="85" t="s">
        <v>155</v>
      </c>
      <c r="K88" s="96">
        <v>41265</v>
      </c>
      <c r="L88" s="29"/>
      <c r="M88" s="79">
        <v>1</v>
      </c>
      <c r="N88" s="31"/>
      <c r="O88" s="77">
        <v>93000</v>
      </c>
      <c r="P88" s="77">
        <f t="shared" si="3"/>
        <v>93000</v>
      </c>
      <c r="Q88" s="33">
        <v>0.15</v>
      </c>
      <c r="R88" s="27"/>
      <c r="S88" s="27" t="s">
        <v>32</v>
      </c>
      <c r="T88" s="75">
        <v>42193.972602739726</v>
      </c>
      <c r="U8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الشراء-الاستلام]]&lt;DATE(2016,1,1),P88-T88,0))</f>
        <v>50806.027397260274</v>
      </c>
      <c r="V88" s="75">
        <f>IF(OR(Table5101345[[#This Row],[تاريخ الشراء-الاستلام]]="",Table5101345[[#This Row],[الإجمالي]]="",Table5101345[[#This Row],[العمر الافتراضي]]=""),"",IF(AND(T88&lt;P88,U88&gt;(P88*Q88),DATE(2015,12,31)&gt;K88),P88*Q88,IF(AND(T88&lt;P88,DATE(2016,12,31)&gt;K88,U88&gt;(P88*Q88)),(DATE(2016,12,31)-K88)/((100%/Q88)*365)*P88,IF(AND(T88&lt;P88,DATE(2016,12,31)&gt;K88,U88=0),(DATE(2016,12,31)-K88)/((100%/Q88)*365)*P88,IF(AND(T88&lt;P88,DATE(2016,12,31)&gt;K88,U88&lt;(P88*Q88)),U88,0)))))</f>
        <v>13950</v>
      </c>
      <c r="W88" s="75">
        <f>IF(OR(Table5101345[[#This Row],[تاريخ الشراء-الاستلام]]="",Table5101345[[#This Row],[الإجمالي]]="",Table5101345[[#This Row],[العمر الافتراضي]]=""),"",IF(AND(T88&lt;P88,U88&gt;(P88*Q88),DATE(2016,12,31)&gt;K88),P88*Q88,IF(AND(T88&lt;P88,DATE(2017,12,31)&gt;K88,U88&gt;(P88*Q88)),(DATE(2017,12,31)-K88)/((100%/Q88)*360)*P88,IF(Table5101345[[#This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88" s="75">
        <f>IF(OR(Table5101345[[#This Row],[تاريخ الشراء-الاستلام]]="",Table5101345[[#This Row],[الإجمالي]]="",Table5101345[[#This Row],[العمر الافتراضي]]=""),"",T88+V88)</f>
        <v>56143.972602739726</v>
      </c>
      <c r="Y8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الشراء-الاستلام]]&gt;DATE(2016,12,31),0,P88-X88))</f>
        <v>36856.027397260274</v>
      </c>
    </row>
    <row r="89" spans="1:25" ht="48" hidden="1" customHeight="1">
      <c r="A89" s="27">
        <f>IF(C89="","",SUBTOTAL(3,$C$5:C89))</f>
        <v>50</v>
      </c>
      <c r="B89" s="81"/>
      <c r="C89" s="88" t="s">
        <v>54</v>
      </c>
      <c r="D89" s="27" t="s">
        <v>87</v>
      </c>
      <c r="E89" s="84" t="s">
        <v>55</v>
      </c>
      <c r="F89" s="27" t="s">
        <v>29</v>
      </c>
      <c r="G89" s="27" t="s">
        <v>56</v>
      </c>
      <c r="H89" s="27" t="s">
        <v>37</v>
      </c>
      <c r="I89" s="27"/>
      <c r="J89" s="85" t="s">
        <v>156</v>
      </c>
      <c r="K89" s="96">
        <v>41091</v>
      </c>
      <c r="L89" s="29"/>
      <c r="M89" s="79">
        <v>1</v>
      </c>
      <c r="N89" s="31"/>
      <c r="O89" s="77">
        <v>245825</v>
      </c>
      <c r="P89" s="77">
        <f t="shared" si="3"/>
        <v>245825</v>
      </c>
      <c r="Q89" s="33">
        <v>0.15</v>
      </c>
      <c r="R89" s="27"/>
      <c r="S89" s="27" t="s">
        <v>32</v>
      </c>
      <c r="T89" s="75">
        <v>129108.63698630135</v>
      </c>
      <c r="U8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الشراء-الاستلام]]&lt;DATE(2016,1,1),P89-T89,0))</f>
        <v>116716.36301369865</v>
      </c>
      <c r="V89" s="75">
        <f>IF(OR(Table5101345[[#This Row],[تاريخ الشراء-الاستلام]]="",Table5101345[[#This Row],[الإجمالي]]="",Table5101345[[#This Row],[العمر الافتراضي]]=""),"",IF(AND(T89&lt;P89,U89&gt;(P89*Q89),DATE(2015,12,31)&gt;K89),P89*Q89,IF(AND(T89&lt;P89,DATE(2016,12,31)&gt;K89,U89&gt;(P89*Q89)),(DATE(2016,12,31)-K89)/((100%/Q89)*365)*P89,IF(AND(T89&lt;P89,DATE(2016,12,31)&gt;K89,U89=0),(DATE(2016,12,31)-K89)/((100%/Q89)*365)*P89,IF(AND(T89&lt;P89,DATE(2016,12,31)&gt;K89,U89&lt;(P89*Q89)),U89,0)))))</f>
        <v>36873.75</v>
      </c>
      <c r="W89" s="75">
        <f>IF(OR(Table5101345[[#This Row],[تاريخ الشراء-الاستلام]]="",Table5101345[[#This Row],[الإجمالي]]="",Table5101345[[#This Row],[العمر الافتراضي]]=""),"",IF(AND(T89&lt;P89,U89&gt;(P89*Q89),DATE(2016,12,31)&gt;K89),P89*Q89,IF(AND(T89&lt;P89,DATE(2017,12,31)&gt;K89,U89&gt;(P89*Q89)),(DATE(2017,12,31)-K89)/((100%/Q89)*360)*P89,IF(Table5101345[[#This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36873.75</v>
      </c>
      <c r="X89" s="75">
        <f>IF(OR(Table5101345[[#This Row],[تاريخ الشراء-الاستلام]]="",Table5101345[[#This Row],[الإجمالي]]="",Table5101345[[#This Row],[العمر الافتراضي]]=""),"",T89+V89)</f>
        <v>165982.38698630134</v>
      </c>
      <c r="Y8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الشراء-الاستلام]]&gt;DATE(2016,12,31),0,P89-X89))</f>
        <v>79842.613013698661</v>
      </c>
    </row>
    <row r="90" spans="1:25" ht="48" hidden="1" customHeight="1">
      <c r="A90" s="27">
        <f>IF(C90="","",SUBTOTAL(3,$C$5:C90))</f>
        <v>50</v>
      </c>
      <c r="B90" s="81"/>
      <c r="C90" s="88" t="s">
        <v>149</v>
      </c>
      <c r="D90" s="27" t="s">
        <v>87</v>
      </c>
      <c r="E90" s="84" t="s">
        <v>55</v>
      </c>
      <c r="F90" s="27" t="s">
        <v>29</v>
      </c>
      <c r="G90" s="27" t="s">
        <v>56</v>
      </c>
      <c r="H90" s="27" t="s">
        <v>37</v>
      </c>
      <c r="I90" s="27"/>
      <c r="J90" s="85" t="s">
        <v>156</v>
      </c>
      <c r="K90" s="96">
        <v>41265</v>
      </c>
      <c r="L90" s="29"/>
      <c r="M90" s="79">
        <v>1</v>
      </c>
      <c r="N90" s="31"/>
      <c r="O90" s="77">
        <v>93000</v>
      </c>
      <c r="P90" s="77">
        <f t="shared" si="3"/>
        <v>93000</v>
      </c>
      <c r="Q90" s="33">
        <v>0.15</v>
      </c>
      <c r="R90" s="27"/>
      <c r="S90" s="27" t="s">
        <v>32</v>
      </c>
      <c r="T90" s="75">
        <v>42193.972602739726</v>
      </c>
      <c r="U9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الشراء-الاستلام]]&lt;DATE(2016,1,1),P90-T90,0))</f>
        <v>50806.027397260274</v>
      </c>
      <c r="V90" s="75">
        <f>IF(OR(Table5101345[[#This Row],[تاريخ الشراء-الاستلام]]="",Table5101345[[#This Row],[الإجمالي]]="",Table5101345[[#This Row],[العمر الافتراضي]]=""),"",IF(AND(T90&lt;P90,U90&gt;(P90*Q90),DATE(2015,12,31)&gt;K90),P90*Q90,IF(AND(T90&lt;P90,DATE(2016,12,31)&gt;K90,U90&gt;(P90*Q90)),(DATE(2016,12,31)-K90)/((100%/Q90)*365)*P90,IF(AND(T90&lt;P90,DATE(2016,12,31)&gt;K90,U90=0),(DATE(2016,12,31)-K90)/((100%/Q90)*365)*P90,IF(AND(T90&lt;P90,DATE(2016,12,31)&gt;K90,U90&lt;(P90*Q90)),U90,0)))))</f>
        <v>13950</v>
      </c>
      <c r="W90" s="75">
        <f>IF(OR(Table5101345[[#This Row],[تاريخ الشراء-الاستلام]]="",Table5101345[[#This Row],[الإجمالي]]="",Table5101345[[#This Row],[العمر الافتراضي]]=""),"",IF(AND(T90&lt;P90,U90&gt;(P90*Q90),DATE(2016,12,31)&gt;K90),P90*Q90,IF(AND(T90&lt;P90,DATE(2017,12,31)&gt;K90,U90&gt;(P90*Q90)),(DATE(2017,12,31)-K90)/((100%/Q90)*360)*P90,IF(Table5101345[[#This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90" s="75">
        <f>IF(OR(Table5101345[[#This Row],[تاريخ الشراء-الاستلام]]="",Table5101345[[#This Row],[الإجمالي]]="",Table5101345[[#This Row],[العمر الافتراضي]]=""),"",T90+V90)</f>
        <v>56143.972602739726</v>
      </c>
      <c r="Y9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الشراء-الاستلام]]&gt;DATE(2016,12,31),0,P90-X90))</f>
        <v>36856.027397260274</v>
      </c>
    </row>
    <row r="91" spans="1:25" ht="48" hidden="1" customHeight="1">
      <c r="A91" s="27">
        <f>IF(C91="","",SUBTOTAL(3,$C$5:C91))</f>
        <v>50</v>
      </c>
      <c r="B91" s="81"/>
      <c r="C91" s="88" t="s">
        <v>54</v>
      </c>
      <c r="D91" s="27" t="s">
        <v>87</v>
      </c>
      <c r="E91" s="84" t="s">
        <v>55</v>
      </c>
      <c r="F91" s="27" t="s">
        <v>29</v>
      </c>
      <c r="G91" s="36" t="s">
        <v>142</v>
      </c>
      <c r="H91" s="27" t="s">
        <v>37</v>
      </c>
      <c r="I91" s="27"/>
      <c r="J91" s="85" t="s">
        <v>157</v>
      </c>
      <c r="K91" s="96">
        <v>41260</v>
      </c>
      <c r="L91" s="29"/>
      <c r="M91" s="79">
        <v>1</v>
      </c>
      <c r="N91" s="31"/>
      <c r="O91" s="77">
        <v>319410</v>
      </c>
      <c r="P91" s="77">
        <f t="shared" si="3"/>
        <v>319410</v>
      </c>
      <c r="Q91" s="33">
        <v>0.15</v>
      </c>
      <c r="R91" s="27"/>
      <c r="S91" s="27" t="s">
        <v>32</v>
      </c>
      <c r="T91" s="75">
        <v>145572.201369863</v>
      </c>
      <c r="U9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الشراء-الاستلام]]&lt;DATE(2016,1,1),P91-T91,0))</f>
        <v>173837.798630137</v>
      </c>
      <c r="V91" s="75">
        <f>IF(OR(Table5101345[[#This Row],[تاريخ الشراء-الاستلام]]="",Table5101345[[#This Row],[الإجمالي]]="",Table5101345[[#This Row],[العمر الافتراضي]]=""),"",IF(AND(T91&lt;P91,U91&gt;(P91*Q91),DATE(2015,12,31)&gt;K91),P91*Q91,IF(AND(T91&lt;P91,DATE(2016,12,31)&gt;K91,U91&gt;(P91*Q91)),(DATE(2016,12,31)-K91)/((100%/Q91)*365)*P91,IF(AND(T91&lt;P91,DATE(2016,12,31)&gt;K91,U91=0),(DATE(2016,12,31)-K91)/((100%/Q91)*365)*P91,IF(AND(T91&lt;P91,DATE(2016,12,31)&gt;K91,U91&lt;(P91*Q91)),U91,0)))))</f>
        <v>47911.5</v>
      </c>
      <c r="W91" s="75">
        <f>IF(OR(Table5101345[[#This Row],[تاريخ الشراء-الاستلام]]="",Table5101345[[#This Row],[الإجمالي]]="",Table5101345[[#This Row],[العمر الافتراضي]]=""),"",IF(AND(T91&lt;P91,U91&gt;(P91*Q91),DATE(2016,12,31)&gt;K91),P91*Q91,IF(AND(T91&lt;P91,DATE(2017,12,31)&gt;K91,U91&gt;(P91*Q91)),(DATE(2017,12,31)-K91)/((100%/Q91)*360)*P91,IF(Table5101345[[#This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47911.5</v>
      </c>
      <c r="X91" s="75">
        <f>IF(OR(Table5101345[[#This Row],[تاريخ الشراء-الاستلام]]="",Table5101345[[#This Row],[الإجمالي]]="",Table5101345[[#This Row],[العمر الافتراضي]]=""),"",T91+V91)</f>
        <v>193483.701369863</v>
      </c>
      <c r="Y9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الشراء-الاستلام]]&gt;DATE(2016,12,31),0,P91-X91))</f>
        <v>125926.298630137</v>
      </c>
    </row>
    <row r="92" spans="1:25" ht="48" hidden="1" customHeight="1">
      <c r="A92" s="27">
        <f>IF(C92="","",SUBTOTAL(3,$C$5:C92))</f>
        <v>50</v>
      </c>
      <c r="B92" s="81"/>
      <c r="C92" s="88" t="s">
        <v>149</v>
      </c>
      <c r="D92" s="27" t="s">
        <v>87</v>
      </c>
      <c r="E92" s="84" t="s">
        <v>55</v>
      </c>
      <c r="F92" s="27" t="s">
        <v>29</v>
      </c>
      <c r="G92" s="36" t="s">
        <v>142</v>
      </c>
      <c r="H92" s="27" t="s">
        <v>37</v>
      </c>
      <c r="I92" s="27"/>
      <c r="J92" s="85" t="s">
        <v>157</v>
      </c>
      <c r="K92" s="96">
        <v>41265</v>
      </c>
      <c r="L92" s="29"/>
      <c r="M92" s="79">
        <v>1</v>
      </c>
      <c r="N92" s="31"/>
      <c r="O92" s="77">
        <v>93000</v>
      </c>
      <c r="P92" s="77">
        <f t="shared" si="3"/>
        <v>93000</v>
      </c>
      <c r="Q92" s="33">
        <v>0.15</v>
      </c>
      <c r="R92" s="27"/>
      <c r="S92" s="27" t="s">
        <v>32</v>
      </c>
      <c r="T92" s="75">
        <v>42193.972602739726</v>
      </c>
      <c r="U9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الشراء-الاستلام]]&lt;DATE(2016,1,1),P92-T92,0))</f>
        <v>50806.027397260274</v>
      </c>
      <c r="V92" s="75">
        <f>IF(OR(Table5101345[[#This Row],[تاريخ الشراء-الاستلام]]="",Table5101345[[#This Row],[الإجمالي]]="",Table5101345[[#This Row],[العمر الافتراضي]]=""),"",IF(AND(T92&lt;P92,U92&gt;(P92*Q92),DATE(2015,12,31)&gt;K92),P92*Q92,IF(AND(T92&lt;P92,DATE(2016,12,31)&gt;K92,U92&gt;(P92*Q92)),(DATE(2016,12,31)-K92)/((100%/Q92)*365)*P92,IF(AND(T92&lt;P92,DATE(2016,12,31)&gt;K92,U92=0),(DATE(2016,12,31)-K92)/((100%/Q92)*365)*P92,IF(AND(T92&lt;P92,DATE(2016,12,31)&gt;K92,U92&lt;(P92*Q92)),U92,0)))))</f>
        <v>13950</v>
      </c>
      <c r="W92" s="75">
        <f>IF(OR(Table5101345[[#This Row],[تاريخ الشراء-الاستلام]]="",Table5101345[[#This Row],[الإجمالي]]="",Table5101345[[#This Row],[العمر الافتراضي]]=""),"",IF(AND(T92&lt;P92,U92&gt;(P92*Q92),DATE(2016,12,31)&gt;K92),P92*Q92,IF(AND(T92&lt;P92,DATE(2017,12,31)&gt;K92,U92&gt;(P92*Q92)),(DATE(2017,12,31)-K92)/((100%/Q92)*360)*P92,IF(Table5101345[[#This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92" s="75">
        <f>IF(OR(Table5101345[[#This Row],[تاريخ الشراء-الاستلام]]="",Table5101345[[#This Row],[الإجمالي]]="",Table5101345[[#This Row],[العمر الافتراضي]]=""),"",T92+V92)</f>
        <v>56143.972602739726</v>
      </c>
      <c r="Y9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الشراء-الاستلام]]&gt;DATE(2016,12,31),0,P92-X92))</f>
        <v>36856.027397260274</v>
      </c>
    </row>
    <row r="93" spans="1:25" ht="48" hidden="1" customHeight="1">
      <c r="A93" s="27">
        <f>IF(C93="","",SUBTOTAL(3,$C$5:C93))</f>
        <v>50</v>
      </c>
      <c r="B93" s="81"/>
      <c r="C93" s="88" t="s">
        <v>158</v>
      </c>
      <c r="D93" s="27" t="s">
        <v>87</v>
      </c>
      <c r="E93" s="84" t="s">
        <v>55</v>
      </c>
      <c r="F93" s="27" t="s">
        <v>29</v>
      </c>
      <c r="G93" s="27"/>
      <c r="H93" s="27" t="s">
        <v>37</v>
      </c>
      <c r="I93" s="27"/>
      <c r="J93" s="85" t="s">
        <v>159</v>
      </c>
      <c r="K93" s="96">
        <v>42370</v>
      </c>
      <c r="L93" s="29"/>
      <c r="M93" s="79">
        <v>1</v>
      </c>
      <c r="N93" s="31"/>
      <c r="O93" s="77">
        <v>189471</v>
      </c>
      <c r="P93" s="77">
        <f t="shared" si="3"/>
        <v>189471</v>
      </c>
      <c r="Q93" s="33">
        <v>0.15</v>
      </c>
      <c r="R93" s="27"/>
      <c r="S93" s="27" t="s">
        <v>32</v>
      </c>
      <c r="T93" s="75">
        <v>0</v>
      </c>
      <c r="U9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الشراء-الاستلام]]&lt;DATE(2016,1,1),P93-T93,0))</f>
        <v>0</v>
      </c>
      <c r="V93" s="75">
        <f>IF(OR(Table5101345[[#This Row],[تاريخ الشراء-الاستلام]]="",Table5101345[[#This Row],[الإجمالي]]="",Table5101345[[#This Row],[العمر الافتراضي]]=""),"",IF(AND(T93&lt;P93,U93&gt;(P93*Q93),DATE(2015,12,31)&gt;K93),P93*Q93,IF(AND(T93&lt;P93,DATE(2016,12,31)&gt;K93,U93&gt;(P93*Q93)),(DATE(2016,12,31)-K93)/((100%/Q93)*365)*P93,IF(AND(T93&lt;P93,DATE(2016,12,31)&gt;K93,U93=0),(DATE(2016,12,31)-K93)/((100%/Q93)*365)*P93,IF(AND(T93&lt;P93,DATE(2016,12,31)&gt;K93,U93&lt;(P93*Q93)),U93,0)))))</f>
        <v>28420.649999999998</v>
      </c>
      <c r="W93" s="75">
        <f>IF(OR(Table5101345[[#This Row],[تاريخ الشراء-الاستلام]]="",Table5101345[[#This Row],[الإجمالي]]="",Table5101345[[#This Row],[العمر الافتراضي]]=""),"",IF(AND(T93&lt;P93,U93&gt;(P93*Q93),DATE(2016,12,31)&gt;K93),P93*Q93,IF(AND(T93&lt;P93,DATE(2017,12,31)&gt;K93,U93&gt;(P93*Q93)),(DATE(2017,12,31)-K93)/((100%/Q93)*360)*P93,IF(Table5101345[[#This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93" s="75">
        <f>IF(OR(Table5101345[[#This Row],[تاريخ الشراء-الاستلام]]="",Table5101345[[#This Row],[الإجمالي]]="",Table5101345[[#This Row],[العمر الافتراضي]]=""),"",T93+V93)</f>
        <v>28420.649999999998</v>
      </c>
      <c r="Y9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الشراء-الاستلام]]&gt;DATE(2016,12,31),0,P93-X93))</f>
        <v>161050.35</v>
      </c>
    </row>
    <row r="94" spans="1:25" ht="48" hidden="1" customHeight="1">
      <c r="A94" s="27">
        <f>IF(C94="","",SUBTOTAL(3,$C$5:C94))</f>
        <v>50</v>
      </c>
      <c r="B94" s="81"/>
      <c r="C94" s="88" t="s">
        <v>158</v>
      </c>
      <c r="D94" s="27" t="s">
        <v>87</v>
      </c>
      <c r="E94" s="84" t="s">
        <v>55</v>
      </c>
      <c r="F94" s="27" t="s">
        <v>29</v>
      </c>
      <c r="G94" s="27"/>
      <c r="H94" s="27" t="s">
        <v>37</v>
      </c>
      <c r="I94" s="27"/>
      <c r="J94" s="85" t="s">
        <v>160</v>
      </c>
      <c r="K94" s="96">
        <v>42370</v>
      </c>
      <c r="L94" s="29"/>
      <c r="M94" s="79">
        <v>1</v>
      </c>
      <c r="N94" s="31"/>
      <c r="O94" s="77">
        <v>189470</v>
      </c>
      <c r="P94" s="77">
        <f t="shared" si="3"/>
        <v>189470</v>
      </c>
      <c r="Q94" s="33">
        <v>0.15</v>
      </c>
      <c r="R94" s="27"/>
      <c r="S94" s="27" t="s">
        <v>32</v>
      </c>
      <c r="T94" s="75">
        <v>0</v>
      </c>
      <c r="U9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الشراء-الاستلام]]&lt;DATE(2016,1,1),P94-T94,0))</f>
        <v>0</v>
      </c>
      <c r="V94" s="75">
        <f>IF(OR(Table5101345[[#This Row],[تاريخ الشراء-الاستلام]]="",Table5101345[[#This Row],[الإجمالي]]="",Table5101345[[#This Row],[العمر الافتراضي]]=""),"",IF(AND(T94&lt;P94,U94&gt;(P94*Q94),DATE(2015,12,31)&gt;K94),P94*Q94,IF(AND(T94&lt;P94,DATE(2016,12,31)&gt;K94,U94&gt;(P94*Q94)),(DATE(2016,12,31)-K94)/((100%/Q94)*365)*P94,IF(AND(T94&lt;P94,DATE(2016,12,31)&gt;K94,U94=0),(DATE(2016,12,31)-K94)/((100%/Q94)*365)*P94,IF(AND(T94&lt;P94,DATE(2016,12,31)&gt;K94,U94&lt;(P94*Q94)),U94,0)))))</f>
        <v>28420.5</v>
      </c>
      <c r="W94" s="75">
        <f>IF(OR(Table5101345[[#This Row],[تاريخ الشراء-الاستلام]]="",Table5101345[[#This Row],[الإجمالي]]="",Table5101345[[#This Row],[العمر الافتراضي]]=""),"",IF(AND(T94&lt;P94,U94&gt;(P94*Q94),DATE(2016,12,31)&gt;K94),P94*Q94,IF(AND(T94&lt;P94,DATE(2017,12,31)&gt;K94,U94&gt;(P94*Q94)),(DATE(2017,12,31)-K94)/((100%/Q94)*360)*P94,IF(Table5101345[[#This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94" s="75">
        <f>IF(OR(Table5101345[[#This Row],[تاريخ الشراء-الاستلام]]="",Table5101345[[#This Row],[الإجمالي]]="",Table5101345[[#This Row],[العمر الافتراضي]]=""),"",T94+V94)</f>
        <v>28420.5</v>
      </c>
      <c r="Y9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الشراء-الاستلام]]&gt;DATE(2016,12,31),0,P94-X94))</f>
        <v>161049.5</v>
      </c>
    </row>
    <row r="95" spans="1:25" ht="48" hidden="1" customHeight="1">
      <c r="A95" s="27">
        <f>IF(C95="","",SUBTOTAL(3,$C$5:C95))</f>
        <v>50</v>
      </c>
      <c r="B95" s="81"/>
      <c r="C95" s="88" t="s">
        <v>110</v>
      </c>
      <c r="D95" s="27" t="s">
        <v>87</v>
      </c>
      <c r="E95" s="84" t="s">
        <v>55</v>
      </c>
      <c r="F95" s="27" t="s">
        <v>128</v>
      </c>
      <c r="G95" s="27"/>
      <c r="H95" s="27" t="s">
        <v>37</v>
      </c>
      <c r="I95" s="27" t="s">
        <v>161</v>
      </c>
      <c r="J95" s="85" t="s">
        <v>162</v>
      </c>
      <c r="K95" s="96">
        <v>39814</v>
      </c>
      <c r="L95" s="29"/>
      <c r="M95" s="79">
        <v>1</v>
      </c>
      <c r="N95" s="31"/>
      <c r="O95" s="77">
        <v>90000</v>
      </c>
      <c r="P95" s="77">
        <f t="shared" si="3"/>
        <v>90000</v>
      </c>
      <c r="Q95" s="33">
        <v>0.15</v>
      </c>
      <c r="R95" s="27"/>
      <c r="S95" s="27" t="s">
        <v>32</v>
      </c>
      <c r="T95" s="75">
        <v>90000</v>
      </c>
      <c r="U9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الشراء-الاستلام]]&lt;DATE(2016,1,1),P95-T95,0))</f>
        <v>0</v>
      </c>
      <c r="V95" s="75">
        <f>IF(OR(Table5101345[[#This Row],[تاريخ الشراء-الاستلام]]="",Table5101345[[#This Row],[الإجمالي]]="",Table5101345[[#This Row],[العمر الافتراضي]]=""),"",IF(AND(T95&lt;P95,U95&gt;(P95*Q95),DATE(2015,12,31)&gt;K95),P95*Q95,IF(AND(T95&lt;P95,DATE(2016,12,31)&gt;K95,U95&gt;(P95*Q95)),(DATE(2016,12,31)-K95)/((100%/Q95)*365)*P95,IF(AND(T95&lt;P95,DATE(2016,12,31)&gt;K95,U95=0),(DATE(2016,12,31)-K95)/((100%/Q95)*365)*P95,IF(AND(T95&lt;P95,DATE(2016,12,31)&gt;K95,U95&lt;(P95*Q95)),U95,0)))))</f>
        <v>0</v>
      </c>
      <c r="W95" s="75">
        <f>IF(OR(Table5101345[[#This Row],[تاريخ الشراء-الاستلام]]="",Table5101345[[#This Row],[الإجمالي]]="",Table5101345[[#This Row],[العمر الافتراضي]]=""),"",IF(AND(T95&lt;P95,U95&gt;(P95*Q95),DATE(2016,12,31)&gt;K95),P95*Q95,IF(AND(T95&lt;P95,DATE(2017,12,31)&gt;K95,U95&gt;(P95*Q95)),(DATE(2017,12,31)-K95)/((100%/Q95)*360)*P95,IF(Table5101345[[#This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95" s="75">
        <f>IF(OR(Table5101345[[#This Row],[تاريخ الشراء-الاستلام]]="",Table5101345[[#This Row],[الإجمالي]]="",Table5101345[[#This Row],[العمر الافتراضي]]=""),"",T95+V95)</f>
        <v>90000</v>
      </c>
      <c r="Y9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الشراء-الاستلام]]&gt;DATE(2016,12,31),0,P95-X95))</f>
        <v>0</v>
      </c>
    </row>
    <row r="96" spans="1:25" ht="48" hidden="1" customHeight="1">
      <c r="A96" s="27">
        <f>IF(C96="","",SUBTOTAL(3,$C$5:C96))</f>
        <v>50</v>
      </c>
      <c r="B96" s="81"/>
      <c r="C96" s="88" t="s">
        <v>163</v>
      </c>
      <c r="D96" s="27" t="s">
        <v>27</v>
      </c>
      <c r="E96" s="84" t="s">
        <v>51</v>
      </c>
      <c r="F96" s="27" t="s">
        <v>29</v>
      </c>
      <c r="G96" s="27" t="s">
        <v>78</v>
      </c>
      <c r="H96" s="27" t="s">
        <v>45</v>
      </c>
      <c r="I96" s="27" t="s">
        <v>164</v>
      </c>
      <c r="J96" s="85" t="s">
        <v>165</v>
      </c>
      <c r="K96" s="96">
        <v>42309</v>
      </c>
      <c r="L96" s="29"/>
      <c r="M96" s="79">
        <v>1</v>
      </c>
      <c r="N96" s="31"/>
      <c r="O96" s="77">
        <v>160000</v>
      </c>
      <c r="P96" s="77">
        <f t="shared" si="3"/>
        <v>160000</v>
      </c>
      <c r="Q96" s="35">
        <v>0.25</v>
      </c>
      <c r="R96" s="27"/>
      <c r="S96" s="27" t="s">
        <v>32</v>
      </c>
      <c r="T96" s="75">
        <v>27000</v>
      </c>
      <c r="U9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الشراء-الاستلام]]&lt;DATE(2016,1,1),P96-T96,0))</f>
        <v>133000</v>
      </c>
      <c r="V96" s="75">
        <f>IF(OR(Table5101345[[#This Row],[تاريخ الشراء-الاستلام]]="",Table5101345[[#This Row],[الإجمالي]]="",Table5101345[[#This Row],[العمر الافتراضي]]=""),"",IF(AND(T96&lt;P96,U96&gt;(P96*Q96),DATE(2015,12,31)&gt;K96),P96*Q96,IF(AND(T96&lt;P96,DATE(2016,12,31)&gt;K96,U96&gt;(P96*Q96)),(DATE(2016,12,31)-K96)/((100%/Q96)*365)*P96,IF(AND(T96&lt;P96,DATE(2016,12,31)&gt;K96,U96=0),(DATE(2016,12,31)-K96)/((100%/Q96)*365)*P96,IF(AND(T96&lt;P96,DATE(2016,12,31)&gt;K96,U96&lt;(P96*Q96)),U96,0)))))</f>
        <v>40000</v>
      </c>
      <c r="W96" s="75">
        <f>IF(OR(Table5101345[[#This Row],[تاريخ الشراء-الاستلام]]="",Table5101345[[#This Row],[الإجمالي]]="",Table5101345[[#This Row],[العمر الافتراضي]]=""),"",IF(AND(T96&lt;P96,U96&gt;(P96*Q96),DATE(2016,12,31)&gt;K96),P96*Q96,IF(AND(T96&lt;P96,DATE(2017,12,31)&gt;K96,U96&gt;(P96*Q96)),(DATE(2017,12,31)-K96)/((100%/Q96)*360)*P96,IF(Table5101345[[#This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40000</v>
      </c>
      <c r="X96" s="75">
        <f>IF(OR(Table5101345[[#This Row],[تاريخ الشراء-الاستلام]]="",Table5101345[[#This Row],[الإجمالي]]="",Table5101345[[#This Row],[العمر الافتراضي]]=""),"",T96+V96)</f>
        <v>67000</v>
      </c>
      <c r="Y9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الشراء-الاستلام]]&gt;DATE(2016,12,31),0,P96-X96))</f>
        <v>93000</v>
      </c>
    </row>
    <row r="97" spans="1:25" ht="48" hidden="1" customHeight="1">
      <c r="A97" s="27">
        <f>IF(C97="","",SUBTOTAL(3,$C$5:C97))</f>
        <v>50</v>
      </c>
      <c r="B97" s="81"/>
      <c r="C97" s="88" t="s">
        <v>166</v>
      </c>
      <c r="D97" s="27" t="s">
        <v>87</v>
      </c>
      <c r="E97" s="84" t="s">
        <v>51</v>
      </c>
      <c r="F97" s="27" t="s">
        <v>29</v>
      </c>
      <c r="G97" s="27" t="s">
        <v>78</v>
      </c>
      <c r="H97" s="27" t="s">
        <v>30</v>
      </c>
      <c r="I97" s="27"/>
      <c r="J97" s="85" t="s">
        <v>167</v>
      </c>
      <c r="K97" s="96">
        <v>40544</v>
      </c>
      <c r="L97" s="29"/>
      <c r="M97" s="79">
        <v>1</v>
      </c>
      <c r="N97" s="31"/>
      <c r="O97" s="77">
        <f>20500+10000</f>
        <v>30500</v>
      </c>
      <c r="P97" s="77">
        <f t="shared" si="3"/>
        <v>30500</v>
      </c>
      <c r="Q97" s="33">
        <v>0.25</v>
      </c>
      <c r="R97" s="27"/>
      <c r="S97" s="27" t="s">
        <v>32</v>
      </c>
      <c r="T97" s="75">
        <v>30500</v>
      </c>
      <c r="U9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الشراء-الاستلام]]&lt;DATE(2016,1,1),P97-T97,0))</f>
        <v>0</v>
      </c>
      <c r="V97" s="75">
        <f>IF(OR(Table5101345[[#This Row],[تاريخ الشراء-الاستلام]]="",Table5101345[[#This Row],[الإجمالي]]="",Table5101345[[#This Row],[العمر الافتراضي]]=""),"",IF(AND(T97&lt;P97,U97&gt;(P97*Q97),DATE(2015,12,31)&gt;K97),P97*Q97,IF(AND(T97&lt;P97,DATE(2016,12,31)&gt;K97,U97&gt;(P97*Q97)),(DATE(2016,12,31)-K97)/((100%/Q97)*365)*P97,IF(AND(T97&lt;P97,DATE(2016,12,31)&gt;K97,U97=0),(DATE(2016,12,31)-K97)/((100%/Q97)*365)*P97,IF(AND(T97&lt;P97,DATE(2016,12,31)&gt;K97,U97&lt;(P97*Q97)),U97,0)))))</f>
        <v>0</v>
      </c>
      <c r="W97" s="75">
        <f>IF(OR(Table5101345[[#This Row],[تاريخ الشراء-الاستلام]]="",Table5101345[[#This Row],[الإجمالي]]="",Table5101345[[#This Row],[العمر الافتراضي]]=""),"",IF(AND(T97&lt;P97,U97&gt;(P97*Q97),DATE(2016,12,31)&gt;K97),P97*Q97,IF(AND(T97&lt;P97,DATE(2017,12,31)&gt;K97,U97&gt;(P97*Q97)),(DATE(2017,12,31)-K97)/((100%/Q97)*360)*P97,IF(Table5101345[[#This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97" s="75">
        <f>IF(OR(Table5101345[[#This Row],[تاريخ الشراء-الاستلام]]="",Table5101345[[#This Row],[الإجمالي]]="",Table5101345[[#This Row],[العمر الافتراضي]]=""),"",T97+V97)</f>
        <v>30500</v>
      </c>
      <c r="Y9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الشراء-الاستلام]]&gt;DATE(2016,12,31),0,P97-X97))</f>
        <v>0</v>
      </c>
    </row>
    <row r="98" spans="1:25" ht="48" hidden="1" customHeight="1">
      <c r="A98" s="27">
        <f>IF(C98="","",SUBTOTAL(3,$C$5:C98))</f>
        <v>50</v>
      </c>
      <c r="B98" s="81"/>
      <c r="C98" s="88" t="s">
        <v>110</v>
      </c>
      <c r="D98" s="27" t="s">
        <v>27</v>
      </c>
      <c r="E98" s="84" t="s">
        <v>55</v>
      </c>
      <c r="F98" s="27" t="s">
        <v>29</v>
      </c>
      <c r="G98" s="27" t="s">
        <v>96</v>
      </c>
      <c r="H98" s="27" t="s">
        <v>37</v>
      </c>
      <c r="I98" s="27"/>
      <c r="J98" s="85" t="s">
        <v>168</v>
      </c>
      <c r="K98" s="96">
        <f>DATE(2015,6,5)-0.22</f>
        <v>42159.78</v>
      </c>
      <c r="L98" s="29"/>
      <c r="M98" s="79">
        <v>1</v>
      </c>
      <c r="N98" s="31"/>
      <c r="O98" s="77">
        <v>285000</v>
      </c>
      <c r="P98" s="77">
        <f t="shared" si="3"/>
        <v>285000</v>
      </c>
      <c r="Q98" s="33">
        <v>0.15</v>
      </c>
      <c r="R98" s="27"/>
      <c r="S98" s="27" t="s">
        <v>32</v>
      </c>
      <c r="T98" s="75">
        <v>24504.534246575477</v>
      </c>
      <c r="U9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الشراء-الاستلام]]&lt;DATE(2016,1,1),P98-T98,0))</f>
        <v>260495.46575342453</v>
      </c>
      <c r="V98" s="75">
        <f>IF(OR(Table5101345[[#This Row],[تاريخ الشراء-الاستلام]]="",Table5101345[[#This Row],[الإجمالي]]="",Table5101345[[#This Row],[العمر الافتراضي]]=""),"",IF(AND(T98&lt;P98,U98&gt;(P98*Q98),DATE(2015,12,31)&gt;K98),P98*Q98,IF(AND(T98&lt;P98,DATE(2016,12,31)&gt;K98,U98&gt;(P98*Q98)),(DATE(2016,12,31)-K98)/((100%/Q98)*365)*P98,IF(AND(T98&lt;P98,DATE(2016,12,31)&gt;K98,U98=0),(DATE(2016,12,31)-K98)/((100%/Q98)*365)*P98,IF(AND(T98&lt;P98,DATE(2016,12,31)&gt;K98,U98&lt;(P98*Q98)),U98,0)))))</f>
        <v>42750</v>
      </c>
      <c r="W98" s="75">
        <f>IF(OR(Table5101345[[#This Row],[تاريخ الشراء-الاستلام]]="",Table5101345[[#This Row],[الإجمالي]]="",Table5101345[[#This Row],[العمر الافتراضي]]=""),"",IF(AND(T98&lt;P98,U98&gt;(P98*Q98),DATE(2016,12,31)&gt;K98),P98*Q98,IF(AND(T98&lt;P98,DATE(2017,12,31)&gt;K98,U98&gt;(P98*Q98)),(DATE(2017,12,31)-K98)/((100%/Q98)*360)*P98,IF(Table5101345[[#This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42750</v>
      </c>
      <c r="X98" s="75">
        <f>IF(OR(Table5101345[[#This Row],[تاريخ الشراء-الاستلام]]="",Table5101345[[#This Row],[الإجمالي]]="",Table5101345[[#This Row],[العمر الافتراضي]]=""),"",T98+V98)</f>
        <v>67254.53424657548</v>
      </c>
      <c r="Y9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الشراء-الاستلام]]&gt;DATE(2016,12,31),0,P98-X98))</f>
        <v>217745.46575342451</v>
      </c>
    </row>
    <row r="99" spans="1:25" ht="48" hidden="1" customHeight="1">
      <c r="A99" s="27">
        <f>IF(C99="","",SUBTOTAL(3,$C$5:C99))</f>
        <v>50</v>
      </c>
      <c r="B99" s="81"/>
      <c r="C99" s="88" t="s">
        <v>110</v>
      </c>
      <c r="D99" s="27" t="s">
        <v>27</v>
      </c>
      <c r="E99" s="84" t="s">
        <v>55</v>
      </c>
      <c r="F99" s="27" t="s">
        <v>29</v>
      </c>
      <c r="G99" s="27" t="s">
        <v>96</v>
      </c>
      <c r="H99" s="27" t="s">
        <v>37</v>
      </c>
      <c r="I99" s="27"/>
      <c r="J99" s="85" t="s">
        <v>169</v>
      </c>
      <c r="K99" s="96">
        <v>42159</v>
      </c>
      <c r="L99" s="29"/>
      <c r="M99" s="79">
        <v>1</v>
      </c>
      <c r="N99" s="31"/>
      <c r="O99" s="77">
        <v>285000</v>
      </c>
      <c r="P99" s="77">
        <f t="shared" si="3"/>
        <v>285000</v>
      </c>
      <c r="Q99" s="33">
        <v>0.15</v>
      </c>
      <c r="R99" s="27"/>
      <c r="S99" s="27" t="s">
        <v>32</v>
      </c>
      <c r="T99" s="75">
        <v>24595.890410958902</v>
      </c>
      <c r="U9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الشراء-الاستلام]]&lt;DATE(2016,1,1),P99-T99,0))</f>
        <v>260404.10958904109</v>
      </c>
      <c r="V99" s="75">
        <f>IF(OR(Table5101345[[#This Row],[تاريخ الشراء-الاستلام]]="",Table5101345[[#This Row],[الإجمالي]]="",Table5101345[[#This Row],[العمر الافتراضي]]=""),"",IF(AND(T99&lt;P99,U99&gt;(P99*Q99),DATE(2015,12,31)&gt;K99),P99*Q99,IF(AND(T99&lt;P99,DATE(2016,12,31)&gt;K99,U99&gt;(P99*Q99)),(DATE(2016,12,31)-K99)/((100%/Q99)*365)*P99,IF(AND(T99&lt;P99,DATE(2016,12,31)&gt;K99,U99=0),(DATE(2016,12,31)-K99)/((100%/Q99)*365)*P99,IF(AND(T99&lt;P99,DATE(2016,12,31)&gt;K99,U99&lt;(P99*Q99)),U99,0)))))</f>
        <v>42750</v>
      </c>
      <c r="W99" s="75">
        <f>IF(OR(Table5101345[[#This Row],[تاريخ الشراء-الاستلام]]="",Table5101345[[#This Row],[الإجمالي]]="",Table5101345[[#This Row],[العمر الافتراضي]]=""),"",IF(AND(T99&lt;P99,U99&gt;(P99*Q99),DATE(2016,12,31)&gt;K99),P99*Q99,IF(AND(T99&lt;P99,DATE(2017,12,31)&gt;K99,U99&gt;(P99*Q99)),(DATE(2017,12,31)-K99)/((100%/Q99)*360)*P99,IF(Table5101345[[#This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42750</v>
      </c>
      <c r="X99" s="75">
        <f>IF(OR(Table5101345[[#This Row],[تاريخ الشراء-الاستلام]]="",Table5101345[[#This Row],[الإجمالي]]="",Table5101345[[#This Row],[العمر الافتراضي]]=""),"",T99+V99)</f>
        <v>67345.890410958906</v>
      </c>
      <c r="Y9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الشراء-الاستلام]]&gt;DATE(2016,12,31),0,P99-X99))</f>
        <v>217654.10958904109</v>
      </c>
    </row>
    <row r="100" spans="1:25" ht="48" hidden="1" customHeight="1">
      <c r="A100" s="27">
        <f>IF(C100="","",SUBTOTAL(3,$C$5:C100))</f>
        <v>50</v>
      </c>
      <c r="B100" s="81"/>
      <c r="C100" s="88" t="s">
        <v>110</v>
      </c>
      <c r="D100" s="27" t="s">
        <v>27</v>
      </c>
      <c r="E100" s="84" t="s">
        <v>55</v>
      </c>
      <c r="F100" s="27" t="s">
        <v>29</v>
      </c>
      <c r="G100" s="27" t="s">
        <v>96</v>
      </c>
      <c r="H100" s="27" t="s">
        <v>37</v>
      </c>
      <c r="I100" s="27"/>
      <c r="J100" s="85" t="s">
        <v>170</v>
      </c>
      <c r="K100" s="96">
        <v>42158</v>
      </c>
      <c r="L100" s="29"/>
      <c r="M100" s="79">
        <v>1</v>
      </c>
      <c r="N100" s="31"/>
      <c r="O100" s="77">
        <v>285000</v>
      </c>
      <c r="P100" s="77">
        <f t="shared" si="3"/>
        <v>285000</v>
      </c>
      <c r="Q100" s="33">
        <v>0.15</v>
      </c>
      <c r="R100" s="27"/>
      <c r="S100" s="27" t="s">
        <v>32</v>
      </c>
      <c r="T100" s="75">
        <v>24713.013698630137</v>
      </c>
      <c r="U10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الشراء-الاستلام]]&lt;DATE(2016,1,1),P100-T100,0))</f>
        <v>260286.98630136985</v>
      </c>
      <c r="V100" s="75">
        <f>IF(OR(Table5101345[[#This Row],[تاريخ الشراء-الاستلام]]="",Table5101345[[#This Row],[الإجمالي]]="",Table5101345[[#This Row],[العمر الافتراضي]]=""),"",IF(AND(T100&lt;P100,U100&gt;(P100*Q100),DATE(2015,12,31)&gt;K100),P100*Q100,IF(AND(T100&lt;P100,DATE(2016,12,31)&gt;K100,U100&gt;(P100*Q100)),(DATE(2016,12,31)-K100)/((100%/Q100)*365)*P100,IF(AND(T100&lt;P100,DATE(2016,12,31)&gt;K100,U100=0),(DATE(2016,12,31)-K100)/((100%/Q100)*365)*P100,IF(AND(T100&lt;P100,DATE(2016,12,31)&gt;K100,U100&lt;(P100*Q100)),U100,0)))))</f>
        <v>42750</v>
      </c>
      <c r="W100" s="75">
        <f>IF(OR(Table5101345[[#This Row],[تاريخ الشراء-الاستلام]]="",Table5101345[[#This Row],[الإجمالي]]="",Table5101345[[#This Row],[العمر الافتراضي]]=""),"",IF(AND(T100&lt;P100,U100&gt;(P100*Q100),DATE(2016,12,31)&gt;K100),P100*Q100,IF(AND(T100&lt;P100,DATE(2017,12,31)&gt;K100,U100&gt;(P100*Q100)),(DATE(2017,12,31)-K100)/((100%/Q100)*360)*P100,IF(Table5101345[[#This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42750</v>
      </c>
      <c r="X100" s="75">
        <f>IF(OR(Table5101345[[#This Row],[تاريخ الشراء-الاستلام]]="",Table5101345[[#This Row],[الإجمالي]]="",Table5101345[[#This Row],[العمر الافتراضي]]=""),"",T100+V100)</f>
        <v>67463.013698630137</v>
      </c>
      <c r="Y10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الشراء-الاستلام]]&gt;DATE(2016,12,31),0,P100-X100))</f>
        <v>217536.98630136985</v>
      </c>
    </row>
    <row r="101" spans="1:25" ht="48" hidden="1" customHeight="1">
      <c r="A101" s="27">
        <f>IF(C101="","",SUBTOTAL(3,$C$5:C101))</f>
        <v>50</v>
      </c>
      <c r="B101" s="81"/>
      <c r="C101" s="88" t="s">
        <v>110</v>
      </c>
      <c r="D101" s="27" t="s">
        <v>27</v>
      </c>
      <c r="E101" s="84" t="s">
        <v>55</v>
      </c>
      <c r="F101" s="27" t="s">
        <v>69</v>
      </c>
      <c r="G101" s="27"/>
      <c r="H101" s="27" t="s">
        <v>37</v>
      </c>
      <c r="I101" s="27"/>
      <c r="J101" s="85" t="s">
        <v>171</v>
      </c>
      <c r="K101" s="96">
        <v>42157</v>
      </c>
      <c r="L101" s="29"/>
      <c r="M101" s="79">
        <v>1</v>
      </c>
      <c r="N101" s="31"/>
      <c r="O101" s="77">
        <v>285000</v>
      </c>
      <c r="P101" s="77">
        <f t="shared" si="3"/>
        <v>285000</v>
      </c>
      <c r="Q101" s="33">
        <v>0.15</v>
      </c>
      <c r="R101" s="27"/>
      <c r="S101" s="27" t="s">
        <v>32</v>
      </c>
      <c r="T101" s="75">
        <v>24830.136986301368</v>
      </c>
      <c r="U10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الشراء-الاستلام]]&lt;DATE(2016,1,1),P101-T101,0))</f>
        <v>260169.86301369863</v>
      </c>
      <c r="V101" s="75">
        <f>IF(OR(Table5101345[[#This Row],[تاريخ الشراء-الاستلام]]="",Table5101345[[#This Row],[الإجمالي]]="",Table5101345[[#This Row],[العمر الافتراضي]]=""),"",IF(AND(T101&lt;P101,U101&gt;(P101*Q101),DATE(2015,12,31)&gt;K101),P101*Q101,IF(AND(T101&lt;P101,DATE(2016,12,31)&gt;K101,U101&gt;(P101*Q101)),(DATE(2016,12,31)-K101)/((100%/Q101)*365)*P101,IF(AND(T101&lt;P101,DATE(2016,12,31)&gt;K101,U101=0),(DATE(2016,12,31)-K101)/((100%/Q101)*365)*P101,IF(AND(T101&lt;P101,DATE(2016,12,31)&gt;K101,U101&lt;(P101*Q101)),U101,0)))))</f>
        <v>42750</v>
      </c>
      <c r="W101" s="75">
        <f>IF(OR(Table5101345[[#This Row],[تاريخ الشراء-الاستلام]]="",Table5101345[[#This Row],[الإجمالي]]="",Table5101345[[#This Row],[العمر الافتراضي]]=""),"",IF(AND(T101&lt;P101,U101&gt;(P101*Q101),DATE(2016,12,31)&gt;K101),P101*Q101,IF(AND(T101&lt;P101,DATE(2017,12,31)&gt;K101,U101&gt;(P101*Q101)),(DATE(2017,12,31)-K101)/((100%/Q101)*360)*P101,IF(Table5101345[[#This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42750</v>
      </c>
      <c r="X101" s="75">
        <f>IF(OR(Table5101345[[#This Row],[تاريخ الشراء-الاستلام]]="",Table5101345[[#This Row],[الإجمالي]]="",Table5101345[[#This Row],[العمر الافتراضي]]=""),"",T101+V101)</f>
        <v>67580.136986301368</v>
      </c>
      <c r="Y10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الشراء-الاستلام]]&gt;DATE(2016,12,31),0,P101-X101))</f>
        <v>217419.86301369863</v>
      </c>
    </row>
    <row r="102" spans="1:25" ht="48" hidden="1" customHeight="1">
      <c r="A102" s="27">
        <f>IF(C102="","",SUBTOTAL(3,$C$5:C102))</f>
        <v>50</v>
      </c>
      <c r="B102" s="81"/>
      <c r="C102" s="88" t="s">
        <v>172</v>
      </c>
      <c r="D102" s="27" t="s">
        <v>173</v>
      </c>
      <c r="E102" s="84" t="s">
        <v>51</v>
      </c>
      <c r="F102" s="27" t="s">
        <v>29</v>
      </c>
      <c r="G102" s="27" t="s">
        <v>96</v>
      </c>
      <c r="H102" s="27" t="s">
        <v>37</v>
      </c>
      <c r="I102" s="27"/>
      <c r="J102" s="85" t="s">
        <v>174</v>
      </c>
      <c r="K102" s="96">
        <v>40544</v>
      </c>
      <c r="L102" s="29"/>
      <c r="M102" s="79">
        <v>1</v>
      </c>
      <c r="N102" s="31"/>
      <c r="O102" s="77">
        <f>50000+10500</f>
        <v>60500</v>
      </c>
      <c r="P102" s="77">
        <f t="shared" si="3"/>
        <v>60500</v>
      </c>
      <c r="Q102" s="35">
        <v>0.2</v>
      </c>
      <c r="R102" s="27"/>
      <c r="S102" s="27" t="s">
        <v>32</v>
      </c>
      <c r="T102" s="75">
        <v>60500</v>
      </c>
      <c r="U10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الشراء-الاستلام]]&lt;DATE(2016,1,1),P102-T102,0))</f>
        <v>0</v>
      </c>
      <c r="V102" s="75">
        <f>IF(OR(Table5101345[[#This Row],[تاريخ الشراء-الاستلام]]="",Table5101345[[#This Row],[الإجمالي]]="",Table5101345[[#This Row],[العمر الافتراضي]]=""),"",IF(AND(T102&lt;P102,U102&gt;(P102*Q102),DATE(2015,12,31)&gt;K102),P102*Q102,IF(AND(T102&lt;P102,DATE(2016,12,31)&gt;K102,U102&gt;(P102*Q102)),(DATE(2016,12,31)-K102)/((100%/Q102)*365)*P102,IF(AND(T102&lt;P102,DATE(2016,12,31)&gt;K102,U102=0),(DATE(2016,12,31)-K102)/((100%/Q102)*365)*P102,IF(AND(T102&lt;P102,DATE(2016,12,31)&gt;K102,U102&lt;(P102*Q102)),U102,0)))))</f>
        <v>0</v>
      </c>
      <c r="W102" s="75">
        <f>IF(OR(Table5101345[[#This Row],[تاريخ الشراء-الاستلام]]="",Table5101345[[#This Row],[الإجمالي]]="",Table5101345[[#This Row],[العمر الافتراضي]]=""),"",IF(AND(T102&lt;P102,U102&gt;(P102*Q102),DATE(2016,12,31)&gt;K102),P102*Q102,IF(AND(T102&lt;P102,DATE(2017,12,31)&gt;K102,U102&gt;(P102*Q102)),(DATE(2017,12,31)-K102)/((100%/Q102)*360)*P102,IF(Table5101345[[#This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02" s="75">
        <f>IF(OR(Table5101345[[#This Row],[تاريخ الشراء-الاستلام]]="",Table5101345[[#This Row],[الإجمالي]]="",Table5101345[[#This Row],[العمر الافتراضي]]=""),"",T102+V102)</f>
        <v>60500</v>
      </c>
      <c r="Y10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الشراء-الاستلام]]&gt;DATE(2016,12,31),0,P102-X102))</f>
        <v>0</v>
      </c>
    </row>
    <row r="103" spans="1:25" ht="48" hidden="1" customHeight="1">
      <c r="A103" s="27">
        <f>IF(C103="","",SUBTOTAL(3,$C$5:C103))</f>
        <v>50</v>
      </c>
      <c r="B103" s="81"/>
      <c r="C103" s="88" t="s">
        <v>175</v>
      </c>
      <c r="D103" s="27" t="s">
        <v>87</v>
      </c>
      <c r="E103" s="84" t="s">
        <v>51</v>
      </c>
      <c r="F103" s="27" t="s">
        <v>29</v>
      </c>
      <c r="G103" s="27" t="s">
        <v>96</v>
      </c>
      <c r="H103" s="27" t="s">
        <v>37</v>
      </c>
      <c r="I103" s="27"/>
      <c r="J103" s="85" t="s">
        <v>176</v>
      </c>
      <c r="K103" s="96">
        <v>42156</v>
      </c>
      <c r="L103" s="29"/>
      <c r="M103" s="79">
        <v>1</v>
      </c>
      <c r="N103" s="31"/>
      <c r="O103" s="77">
        <v>50000</v>
      </c>
      <c r="P103" s="77">
        <f t="shared" si="3"/>
        <v>50000</v>
      </c>
      <c r="Q103" s="33">
        <v>0.15</v>
      </c>
      <c r="R103" s="27"/>
      <c r="S103" s="27" t="s">
        <v>32</v>
      </c>
      <c r="T103" s="75">
        <v>4376.7123287671229</v>
      </c>
      <c r="U10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الشراء-الاستلام]]&lt;DATE(2016,1,1),P103-T103,0))</f>
        <v>45623.28767123288</v>
      </c>
      <c r="V103" s="75">
        <f>IF(OR(Table5101345[[#This Row],[تاريخ الشراء-الاستلام]]="",Table5101345[[#This Row],[الإجمالي]]="",Table5101345[[#This Row],[العمر الافتراضي]]=""),"",IF(AND(T103&lt;P103,U103&gt;(P103*Q103),DATE(2015,12,31)&gt;K103),P103*Q103,IF(AND(T103&lt;P103,DATE(2016,12,31)&gt;K103,U103&gt;(P103*Q103)),(DATE(2016,12,31)-K103)/((100%/Q103)*365)*P103,IF(AND(T103&lt;P103,DATE(2016,12,31)&gt;K103,U103=0),(DATE(2016,12,31)-K103)/((100%/Q103)*365)*P103,IF(AND(T103&lt;P103,DATE(2016,12,31)&gt;K103,U103&lt;(P103*Q103)),U103,0)))))</f>
        <v>7500</v>
      </c>
      <c r="W103" s="75">
        <f>IF(OR(Table5101345[[#This Row],[تاريخ الشراء-الاستلام]]="",Table5101345[[#This Row],[الإجمالي]]="",Table5101345[[#This Row],[العمر الافتراضي]]=""),"",IF(AND(T103&lt;P103,U103&gt;(P103*Q103),DATE(2016,12,31)&gt;K103),P103*Q103,IF(AND(T103&lt;P103,DATE(2017,12,31)&gt;K103,U103&gt;(P103*Q103)),(DATE(2017,12,31)-K103)/((100%/Q103)*360)*P103,IF(Table5101345[[#This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7500</v>
      </c>
      <c r="X103" s="75">
        <f>IF(OR(Table5101345[[#This Row],[تاريخ الشراء-الاستلام]]="",Table5101345[[#This Row],[الإجمالي]]="",Table5101345[[#This Row],[العمر الافتراضي]]=""),"",T103+V103)</f>
        <v>11876.712328767124</v>
      </c>
      <c r="Y10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الشراء-الاستلام]]&gt;DATE(2016,12,31),0,P103-X103))</f>
        <v>38123.287671232873</v>
      </c>
    </row>
    <row r="104" spans="1:25" ht="48" customHeight="1">
      <c r="A104" s="27">
        <f>IF(C104="","",SUBTOTAL(3,$C$5:C104))</f>
        <v>51</v>
      </c>
      <c r="B104" s="92">
        <v>42431</v>
      </c>
      <c r="C104" s="88" t="s">
        <v>177</v>
      </c>
      <c r="D104" s="27" t="s">
        <v>27</v>
      </c>
      <c r="E104" s="84" t="s">
        <v>55</v>
      </c>
      <c r="F104" s="27" t="s">
        <v>29</v>
      </c>
      <c r="G104" s="27" t="s">
        <v>56</v>
      </c>
      <c r="H104" s="27" t="s">
        <v>37</v>
      </c>
      <c r="I104" s="27"/>
      <c r="J104" s="85" t="s">
        <v>100</v>
      </c>
      <c r="K104" s="96">
        <v>42430</v>
      </c>
      <c r="L104" s="29"/>
      <c r="M104" s="79">
        <v>1</v>
      </c>
      <c r="N104" s="31"/>
      <c r="O104" s="77">
        <v>10350</v>
      </c>
      <c r="P104" s="77">
        <f t="shared" si="3"/>
        <v>10350</v>
      </c>
      <c r="Q104" s="33">
        <v>0.15</v>
      </c>
      <c r="R104" s="27"/>
      <c r="S104" s="27" t="s">
        <v>32</v>
      </c>
      <c r="T104" s="75">
        <v>0</v>
      </c>
      <c r="U10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الشراء-الاستلام]]&lt;DATE(2016,1,1),P104-T104,0))</f>
        <v>0</v>
      </c>
      <c r="V104" s="75">
        <f>IF(OR(Table5101345[[#This Row],[تاريخ الشراء-الاستلام]]="",Table5101345[[#This Row],[الإجمالي]]="",Table5101345[[#This Row],[العمر الافتراضي]]=""),"",IF(AND(T104&lt;P104,U104&gt;(P104*Q104),DATE(2015,12,31)&gt;K104),P104*Q104,IF(AND(T104&lt;P104,DATE(2016,12,31)&gt;K104,U104&gt;(P104*Q104)),(DATE(2016,12,31)-K104)/((100%/Q104)*365)*P104,IF(AND(T104&lt;P104,DATE(2016,12,31)&gt;K104,U104=0),(DATE(2016,12,31)-K104)/((100%/Q104)*365)*P104,IF(AND(T104&lt;P104,DATE(2016,12,31)&gt;K104,U104&lt;(P104*Q104)),U104,0)))))</f>
        <v>1297.294520547945</v>
      </c>
      <c r="W104" s="75">
        <f>IF(OR(Table5101345[[#This Row],[تاريخ الشراء-الاستلام]]="",Table5101345[[#This Row],[الإجمالي]]="",Table5101345[[#This Row],[العمر الافتراضي]]=""),"",IF(AND(T104&lt;P104,U104&gt;(P104*Q104),DATE(2016,12,31)&gt;K104),P104*Q104,IF(AND(T104&lt;P104,DATE(2017,12,31)&gt;K104,U104&gt;(P104*Q104)),(DATE(2017,12,31)-K104)/((100%/Q104)*360)*P104,IF(Table5101345[[#This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04" s="75">
        <f>IF(OR(Table5101345[[#This Row],[تاريخ الشراء-الاستلام]]="",Table5101345[[#This Row],[الإجمالي]]="",Table5101345[[#This Row],[العمر الافتراضي]]=""),"",T104+V104)</f>
        <v>1297.294520547945</v>
      </c>
      <c r="Y10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الشراء-الاستلام]]&gt;DATE(2016,12,31),0,P104-X104))</f>
        <v>9052.7054794520554</v>
      </c>
    </row>
    <row r="105" spans="1:25" ht="30" customHeight="1">
      <c r="A105" s="27">
        <f>IF(C105="","",SUBTOTAL(3,$C$5:C105))</f>
        <v>52</v>
      </c>
      <c r="B105" s="92">
        <v>42614</v>
      </c>
      <c r="C105" s="88" t="s">
        <v>178</v>
      </c>
      <c r="D105" s="27" t="s">
        <v>27</v>
      </c>
      <c r="E105" s="84" t="s">
        <v>55</v>
      </c>
      <c r="F105" s="27" t="s">
        <v>29</v>
      </c>
      <c r="G105" s="27"/>
      <c r="H105" s="27" t="s">
        <v>37</v>
      </c>
      <c r="I105" s="27"/>
      <c r="J105" s="84">
        <v>3473</v>
      </c>
      <c r="K105" s="96">
        <v>42614</v>
      </c>
      <c r="L105" s="29"/>
      <c r="M105" s="79">
        <v>1</v>
      </c>
      <c r="N105" s="31"/>
      <c r="O105" s="77">
        <v>6578</v>
      </c>
      <c r="P105" s="77">
        <f t="shared" si="3"/>
        <v>6578</v>
      </c>
      <c r="Q105" s="33">
        <v>0.15</v>
      </c>
      <c r="R105" s="27"/>
      <c r="S105" s="27" t="s">
        <v>32</v>
      </c>
      <c r="T105" s="75">
        <v>0</v>
      </c>
      <c r="U10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الشراء-الاستلام]]&lt;DATE(2016,1,1),P105-T105,0))</f>
        <v>0</v>
      </c>
      <c r="V105" s="75">
        <f>IF(OR(Table5101345[[#This Row],[تاريخ الشراء-الاستلام]]="",Table5101345[[#This Row],[الإجمالي]]="",Table5101345[[#This Row],[العمر الافتراضي]]=""),"",IF(AND(T105&lt;P105,U105&gt;(P105*Q105),DATE(2015,12,31)&gt;K105),P105*Q105,IF(AND(T105&lt;P105,DATE(2016,12,31)&gt;K105,U105&gt;(P105*Q105)),(DATE(2016,12,31)-K105)/((100%/Q105)*365)*P105,IF(AND(T105&lt;P105,DATE(2016,12,31)&gt;K105,U105=0),(DATE(2016,12,31)-K105)/((100%/Q105)*365)*P105,IF(AND(T105&lt;P105,DATE(2016,12,31)&gt;K105,U105&lt;(P105*Q105)),U105,0)))))</f>
        <v>327.09780821917809</v>
      </c>
      <c r="W105" s="75">
        <f>IF(OR(Table5101345[[#This Row],[تاريخ الشراء-الاستلام]]="",Table5101345[[#This Row],[الإجمالي]]="",Table5101345[[#This Row],[العمر الافتراضي]]=""),"",IF(AND(T105&lt;P105,U105&gt;(P105*Q105),DATE(2016,12,31)&gt;K105),P105*Q105,IF(AND(T105&lt;P105,DATE(2017,12,31)&gt;K105,U105&gt;(P105*Q105)),(DATE(2017,12,31)-K105)/((100%/Q105)*360)*P105,IF(Table5101345[[#This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05" s="75">
        <f>IF(OR(Table5101345[[#This Row],[تاريخ الشراء-الاستلام]]="",Table5101345[[#This Row],[الإجمالي]]="",Table5101345[[#This Row],[العمر الافتراضي]]=""),"",T105+V105)</f>
        <v>327.09780821917809</v>
      </c>
      <c r="Y10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الشراء-الاستلام]]&gt;DATE(2016,12,31),0,P105-X105))</f>
        <v>6250.9021917808222</v>
      </c>
    </row>
    <row r="106" spans="1:25" ht="96" customHeight="1">
      <c r="A106" s="27">
        <f>IF(C106="","",SUBTOTAL(3,$C$5:C106))</f>
        <v>53</v>
      </c>
      <c r="B106" s="81" t="s">
        <v>33</v>
      </c>
      <c r="C106" s="88" t="s">
        <v>178</v>
      </c>
      <c r="D106" s="27" t="s">
        <v>27</v>
      </c>
      <c r="E106" s="84" t="s">
        <v>55</v>
      </c>
      <c r="F106" s="27" t="s">
        <v>29</v>
      </c>
      <c r="G106" s="27" t="s">
        <v>96</v>
      </c>
      <c r="H106" s="27" t="s">
        <v>37</v>
      </c>
      <c r="I106" s="27"/>
      <c r="J106" s="85" t="s">
        <v>179</v>
      </c>
      <c r="K106" s="96">
        <v>42653</v>
      </c>
      <c r="L106" s="29" t="s">
        <v>38</v>
      </c>
      <c r="M106" s="79">
        <v>2</v>
      </c>
      <c r="N106" s="31">
        <v>10286</v>
      </c>
      <c r="O106" s="77">
        <v>7000</v>
      </c>
      <c r="P106" s="77">
        <f t="shared" si="3"/>
        <v>14000</v>
      </c>
      <c r="Q106" s="33">
        <v>0.15</v>
      </c>
      <c r="R106" s="27"/>
      <c r="S106" s="27" t="s">
        <v>32</v>
      </c>
      <c r="T106" s="75">
        <v>0</v>
      </c>
      <c r="U10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الشراء-الاستلام]]&lt;DATE(2016,1,1),P106-T106,0))</f>
        <v>0</v>
      </c>
      <c r="V106" s="75">
        <f>IF(OR(Table5101345[[#This Row],[تاريخ الشراء-الاستلام]]="",Table5101345[[#This Row],[الإجمالي]]="",Table5101345[[#This Row],[العمر الافتراضي]]=""),"",IF(AND(T106&lt;P106,U106&gt;(P106*Q106),DATE(2015,12,31)&gt;K106),P106*Q106,IF(AND(T106&lt;P106,DATE(2016,12,31)&gt;K106,U106&gt;(P106*Q106)),(DATE(2016,12,31)-K106)/((100%/Q106)*365)*P106,IF(AND(T106&lt;P106,DATE(2016,12,31)&gt;K106,U106=0),(DATE(2016,12,31)-K106)/((100%/Q106)*365)*P106,IF(AND(T106&lt;P106,DATE(2016,12,31)&gt;K106,U106&lt;(P106*Q106)),U106,0)))))</f>
        <v>471.78082191780817</v>
      </c>
      <c r="W106" s="75">
        <f>IF(OR(Table5101345[[#This Row],[تاريخ الشراء-الاستلام]]="",Table5101345[[#This Row],[الإجمالي]]="",Table5101345[[#This Row],[العمر الافتراضي]]=""),"",IF(AND(T106&lt;P106,U106&gt;(P106*Q106),DATE(2016,12,31)&gt;K106),P106*Q106,IF(AND(T106&lt;P106,DATE(2017,12,31)&gt;K106,U106&gt;(P106*Q106)),(DATE(2017,12,31)-K106)/((100%/Q106)*360)*P106,IF(Table5101345[[#This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06" s="75">
        <f>IF(OR(Table5101345[[#This Row],[تاريخ الشراء-الاستلام]]="",Table5101345[[#This Row],[الإجمالي]]="",Table5101345[[#This Row],[العمر الافتراضي]]=""),"",T106+V106)</f>
        <v>471.78082191780817</v>
      </c>
      <c r="Y10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الشراء-الاستلام]]&gt;DATE(2016,12,31),0,P106-X106))</f>
        <v>13528.219178082192</v>
      </c>
    </row>
    <row r="107" spans="1:25" ht="48" hidden="1" customHeight="1">
      <c r="A107" s="27">
        <f>IF(C107="","",SUBTOTAL(3,$C$5:C107))</f>
        <v>53</v>
      </c>
      <c r="B107" s="81"/>
      <c r="C107" s="88" t="s">
        <v>180</v>
      </c>
      <c r="D107" s="27" t="s">
        <v>87</v>
      </c>
      <c r="E107" s="84" t="s">
        <v>55</v>
      </c>
      <c r="F107" s="27" t="s">
        <v>29</v>
      </c>
      <c r="G107" s="27" t="s">
        <v>56</v>
      </c>
      <c r="H107" s="27" t="s">
        <v>37</v>
      </c>
      <c r="I107" s="27"/>
      <c r="J107" s="85" t="s">
        <v>181</v>
      </c>
      <c r="K107" s="96">
        <v>41260</v>
      </c>
      <c r="L107" s="29"/>
      <c r="M107" s="79">
        <v>1</v>
      </c>
      <c r="N107" s="31"/>
      <c r="O107" s="77">
        <v>166400</v>
      </c>
      <c r="P107" s="77">
        <f t="shared" si="3"/>
        <v>166400</v>
      </c>
      <c r="Q107" s="33">
        <v>0.15</v>
      </c>
      <c r="R107" s="27"/>
      <c r="S107" s="27" t="s">
        <v>32</v>
      </c>
      <c r="T107" s="75">
        <v>75837.369863013693</v>
      </c>
      <c r="U10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الشراء-الاستلام]]&lt;DATE(2016,1,1),P107-T107,0))</f>
        <v>90562.630136986307</v>
      </c>
      <c r="V107" s="75">
        <f>IF(OR(Table5101345[[#This Row],[تاريخ الشراء-الاستلام]]="",Table5101345[[#This Row],[الإجمالي]]="",Table5101345[[#This Row],[العمر الافتراضي]]=""),"",IF(AND(T107&lt;P107,U107&gt;(P107*Q107),DATE(2015,12,31)&gt;K107),P107*Q107,IF(AND(T107&lt;P107,DATE(2016,12,31)&gt;K107,U107&gt;(P107*Q107)),(DATE(2016,12,31)-K107)/((100%/Q107)*365)*P107,IF(AND(T107&lt;P107,DATE(2016,12,31)&gt;K107,U107=0),(DATE(2016,12,31)-K107)/((100%/Q107)*365)*P107,IF(AND(T107&lt;P107,DATE(2016,12,31)&gt;K107,U107&lt;(P107*Q107)),U107,0)))))</f>
        <v>24960</v>
      </c>
      <c r="W107" s="75">
        <f>IF(OR(Table5101345[[#This Row],[تاريخ الشراء-الاستلام]]="",Table5101345[[#This Row],[الإجمالي]]="",Table5101345[[#This Row],[العمر الافتراضي]]=""),"",IF(AND(T107&lt;P107,U107&gt;(P107*Q107),DATE(2016,12,31)&gt;K107),P107*Q107,IF(AND(T107&lt;P107,DATE(2017,12,31)&gt;K107,U107&gt;(P107*Q107)),(DATE(2017,12,31)-K107)/((100%/Q107)*360)*P107,IF(Table5101345[[#This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24960</v>
      </c>
      <c r="X107" s="75">
        <f>IF(OR(Table5101345[[#This Row],[تاريخ الشراء-الاستلام]]="",Table5101345[[#This Row],[الإجمالي]]="",Table5101345[[#This Row],[العمر الافتراضي]]=""),"",T107+V107)</f>
        <v>100797.36986301369</v>
      </c>
      <c r="Y10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الشراء-الاستلام]]&gt;DATE(2016,12,31),0,P107-X107))</f>
        <v>65602.630136986307</v>
      </c>
    </row>
    <row r="108" spans="1:25" ht="48" hidden="1" customHeight="1">
      <c r="A108" s="27">
        <f>IF(C108="","",SUBTOTAL(3,$C$5:C108))</f>
        <v>53</v>
      </c>
      <c r="B108" s="81"/>
      <c r="C108" s="88" t="s">
        <v>180</v>
      </c>
      <c r="D108" s="27" t="s">
        <v>87</v>
      </c>
      <c r="E108" s="84" t="s">
        <v>55</v>
      </c>
      <c r="F108" s="27" t="s">
        <v>29</v>
      </c>
      <c r="G108" s="27" t="s">
        <v>56</v>
      </c>
      <c r="H108" s="27" t="s">
        <v>37</v>
      </c>
      <c r="I108" s="27"/>
      <c r="J108" s="85" t="s">
        <v>181</v>
      </c>
      <c r="K108" s="96">
        <v>41412</v>
      </c>
      <c r="L108" s="29"/>
      <c r="M108" s="79">
        <v>1</v>
      </c>
      <c r="N108" s="31"/>
      <c r="O108" s="77">
        <v>87000</v>
      </c>
      <c r="P108" s="77">
        <f t="shared" si="3"/>
        <v>87000</v>
      </c>
      <c r="Q108" s="33">
        <v>0.15</v>
      </c>
      <c r="R108" s="27"/>
      <c r="S108" s="27" t="s">
        <v>32</v>
      </c>
      <c r="T108" s="75">
        <v>34216.027397260274</v>
      </c>
      <c r="U10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الشراء-الاستلام]]&lt;DATE(2016,1,1),P108-T108,0))</f>
        <v>52783.972602739726</v>
      </c>
      <c r="V108" s="75">
        <f>IF(OR(Table5101345[[#This Row],[تاريخ الشراء-الاستلام]]="",Table5101345[[#This Row],[الإجمالي]]="",Table5101345[[#This Row],[العمر الافتراضي]]=""),"",IF(AND(T108&lt;P108,U108&gt;(P108*Q108),DATE(2015,12,31)&gt;K108),P108*Q108,IF(AND(T108&lt;P108,DATE(2016,12,31)&gt;K108,U108&gt;(P108*Q108)),(DATE(2016,12,31)-K108)/((100%/Q108)*365)*P108,IF(AND(T108&lt;P108,DATE(2016,12,31)&gt;K108,U108=0),(DATE(2016,12,31)-K108)/((100%/Q108)*365)*P108,IF(AND(T108&lt;P108,DATE(2016,12,31)&gt;K108,U108&lt;(P108*Q108)),U108,0)))))</f>
        <v>13050</v>
      </c>
      <c r="W108" s="75">
        <f>IF(OR(Table5101345[[#This Row],[تاريخ الشراء-الاستلام]]="",Table5101345[[#This Row],[الإجمالي]]="",Table5101345[[#This Row],[العمر الافتراضي]]=""),"",IF(AND(T108&lt;P108,U108&gt;(P108*Q108),DATE(2016,12,31)&gt;K108),P108*Q108,IF(AND(T108&lt;P108,DATE(2017,12,31)&gt;K108,U108&gt;(P108*Q108)),(DATE(2017,12,31)-K108)/((100%/Q108)*360)*P108,IF(Table5101345[[#This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13050</v>
      </c>
      <c r="X108" s="75">
        <f>IF(OR(Table5101345[[#This Row],[تاريخ الشراء-الاستلام]]="",Table5101345[[#This Row],[الإجمالي]]="",Table5101345[[#This Row],[العمر الافتراضي]]=""),"",T108+V108)</f>
        <v>47266.027397260274</v>
      </c>
      <c r="Y10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الشراء-الاستلام]]&gt;DATE(2016,12,31),0,P108-X108))</f>
        <v>39733.972602739726</v>
      </c>
    </row>
    <row r="109" spans="1:25" ht="48" hidden="1" customHeight="1">
      <c r="A109" s="27">
        <f>IF(C109="","",SUBTOTAL(3,$C$5:C109))</f>
        <v>53</v>
      </c>
      <c r="B109" s="81"/>
      <c r="C109" s="88" t="s">
        <v>110</v>
      </c>
      <c r="D109" s="27" t="s">
        <v>87</v>
      </c>
      <c r="E109" s="84" t="s">
        <v>55</v>
      </c>
      <c r="F109" s="27" t="s">
        <v>29</v>
      </c>
      <c r="G109" s="27" t="s">
        <v>56</v>
      </c>
      <c r="H109" s="27" t="s">
        <v>37</v>
      </c>
      <c r="I109" s="27"/>
      <c r="J109" s="85" t="s">
        <v>182</v>
      </c>
      <c r="K109" s="96">
        <v>41260</v>
      </c>
      <c r="L109" s="29"/>
      <c r="M109" s="79">
        <v>1</v>
      </c>
      <c r="N109" s="31"/>
      <c r="O109" s="77">
        <v>166400</v>
      </c>
      <c r="P109" s="77">
        <f t="shared" si="3"/>
        <v>166400</v>
      </c>
      <c r="Q109" s="33">
        <v>0.15</v>
      </c>
      <c r="R109" s="27"/>
      <c r="S109" s="27" t="s">
        <v>32</v>
      </c>
      <c r="T109" s="75">
        <v>75837.369863013693</v>
      </c>
      <c r="U10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الشراء-الاستلام]]&lt;DATE(2016,1,1),P109-T109,0))</f>
        <v>90562.630136986307</v>
      </c>
      <c r="V109" s="75">
        <f>IF(OR(Table5101345[[#This Row],[تاريخ الشراء-الاستلام]]="",Table5101345[[#This Row],[الإجمالي]]="",Table5101345[[#This Row],[العمر الافتراضي]]=""),"",IF(AND(T109&lt;P109,U109&gt;(P109*Q109),DATE(2015,12,31)&gt;K109),P109*Q109,IF(AND(T109&lt;P109,DATE(2016,12,31)&gt;K109,U109&gt;(P109*Q109)),(DATE(2016,12,31)-K109)/((100%/Q109)*365)*P109,IF(AND(T109&lt;P109,DATE(2016,12,31)&gt;K109,U109=0),(DATE(2016,12,31)-K109)/((100%/Q109)*365)*P109,IF(AND(T109&lt;P109,DATE(2016,12,31)&gt;K109,U109&lt;(P109*Q109)),U109,0)))))</f>
        <v>24960</v>
      </c>
      <c r="W109" s="75">
        <f>IF(OR(Table5101345[[#This Row],[تاريخ الشراء-الاستلام]]="",Table5101345[[#This Row],[الإجمالي]]="",Table5101345[[#This Row],[العمر الافتراضي]]=""),"",IF(AND(T109&lt;P109,U109&gt;(P109*Q109),DATE(2016,12,31)&gt;K109),P109*Q109,IF(AND(T109&lt;P109,DATE(2017,12,31)&gt;K109,U109&gt;(P109*Q109)),(DATE(2017,12,31)-K109)/((100%/Q109)*360)*P109,IF(Table5101345[[#This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24960</v>
      </c>
      <c r="X109" s="75">
        <f>IF(OR(Table5101345[[#This Row],[تاريخ الشراء-الاستلام]]="",Table5101345[[#This Row],[الإجمالي]]="",Table5101345[[#This Row],[العمر الافتراضي]]=""),"",T109+V109)</f>
        <v>100797.36986301369</v>
      </c>
      <c r="Y10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الشراء-الاستلام]]&gt;DATE(2016,12,31),0,P109-X109))</f>
        <v>65602.630136986307</v>
      </c>
    </row>
    <row r="110" spans="1:25" ht="48" hidden="1" customHeight="1">
      <c r="A110" s="27">
        <f>IF(C110="","",SUBTOTAL(3,$C$5:C110))</f>
        <v>53</v>
      </c>
      <c r="B110" s="81"/>
      <c r="C110" s="88" t="s">
        <v>110</v>
      </c>
      <c r="D110" s="27" t="s">
        <v>87</v>
      </c>
      <c r="E110" s="84" t="s">
        <v>55</v>
      </c>
      <c r="F110" s="27" t="s">
        <v>29</v>
      </c>
      <c r="G110" s="27" t="s">
        <v>56</v>
      </c>
      <c r="H110" s="27" t="s">
        <v>37</v>
      </c>
      <c r="I110" s="27"/>
      <c r="J110" s="85" t="s">
        <v>182</v>
      </c>
      <c r="K110" s="96">
        <v>41412</v>
      </c>
      <c r="L110" s="29"/>
      <c r="M110" s="79">
        <v>1</v>
      </c>
      <c r="N110" s="31"/>
      <c r="O110" s="77">
        <v>55000</v>
      </c>
      <c r="P110" s="77">
        <f t="shared" si="3"/>
        <v>55000</v>
      </c>
      <c r="Q110" s="33">
        <v>0.15</v>
      </c>
      <c r="R110" s="27"/>
      <c r="S110" s="27" t="s">
        <v>32</v>
      </c>
      <c r="T110" s="75">
        <v>21630.821917808218</v>
      </c>
      <c r="U11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الشراء-الاستلام]]&lt;DATE(2016,1,1),P110-T110,0))</f>
        <v>33369.178082191778</v>
      </c>
      <c r="V110" s="75">
        <f>IF(OR(Table5101345[[#This Row],[تاريخ الشراء-الاستلام]]="",Table5101345[[#This Row],[الإجمالي]]="",Table5101345[[#This Row],[العمر الافتراضي]]=""),"",IF(AND(T110&lt;P110,U110&gt;(P110*Q110),DATE(2015,12,31)&gt;K110),P110*Q110,IF(AND(T110&lt;P110,DATE(2016,12,31)&gt;K110,U110&gt;(P110*Q110)),(DATE(2016,12,31)-K110)/((100%/Q110)*365)*P110,IF(AND(T110&lt;P110,DATE(2016,12,31)&gt;K110,U110=0),(DATE(2016,12,31)-K110)/((100%/Q110)*365)*P110,IF(AND(T110&lt;P110,DATE(2016,12,31)&gt;K110,U110&lt;(P110*Q110)),U110,0)))))</f>
        <v>8250</v>
      </c>
      <c r="W110" s="75">
        <f>IF(OR(Table5101345[[#This Row],[تاريخ الشراء-الاستلام]]="",Table5101345[[#This Row],[الإجمالي]]="",Table5101345[[#This Row],[العمر الافتراضي]]=""),"",IF(AND(T110&lt;P110,U110&gt;(P110*Q110),DATE(2016,12,31)&gt;K110),P110*Q110,IF(AND(T110&lt;P110,DATE(2017,12,31)&gt;K110,U110&gt;(P110*Q110)),(DATE(2017,12,31)-K110)/((100%/Q110)*360)*P110,IF(Table5101345[[#This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8250</v>
      </c>
      <c r="X110" s="75">
        <f>IF(OR(Table5101345[[#This Row],[تاريخ الشراء-الاستلام]]="",Table5101345[[#This Row],[الإجمالي]]="",Table5101345[[#This Row],[العمر الافتراضي]]=""),"",T110+V110)</f>
        <v>29880.821917808218</v>
      </c>
      <c r="Y11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الشراء-الاستلام]]&gt;DATE(2016,12,31),0,P110-X110))</f>
        <v>25119.178082191782</v>
      </c>
    </row>
    <row r="111" spans="1:25" ht="30" customHeight="1">
      <c r="A111" s="27">
        <f>IF(C111="","",SUBTOTAL(3,$C$5:C111))</f>
        <v>54</v>
      </c>
      <c r="B111" s="81"/>
      <c r="C111" s="88" t="s">
        <v>183</v>
      </c>
      <c r="D111" s="27" t="s">
        <v>27</v>
      </c>
      <c r="E111" s="84" t="s">
        <v>55</v>
      </c>
      <c r="F111" s="27" t="s">
        <v>29</v>
      </c>
      <c r="G111" s="27"/>
      <c r="H111" s="27" t="s">
        <v>37</v>
      </c>
      <c r="I111" s="27"/>
      <c r="J111" s="84"/>
      <c r="K111" s="96">
        <v>42623</v>
      </c>
      <c r="L111" s="29"/>
      <c r="M111" s="79">
        <v>1</v>
      </c>
      <c r="N111" s="31">
        <v>10269</v>
      </c>
      <c r="O111" s="77">
        <v>9500</v>
      </c>
      <c r="P111" s="77">
        <f t="shared" si="3"/>
        <v>9500</v>
      </c>
      <c r="Q111" s="33">
        <v>0.15</v>
      </c>
      <c r="R111" s="27"/>
      <c r="S111" s="27" t="s">
        <v>32</v>
      </c>
      <c r="T111" s="75">
        <v>0</v>
      </c>
      <c r="U11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الشراء-الاستلام]]&lt;DATE(2016,1,1),P111-T111,0))</f>
        <v>0</v>
      </c>
      <c r="V111" s="75">
        <f>IF(OR(Table5101345[[#This Row],[تاريخ الشراء-الاستلام]]="",Table5101345[[#This Row],[الإجمالي]]="",Table5101345[[#This Row],[العمر الافتراضي]]=""),"",IF(AND(T111&lt;P111,U111&gt;(P111*Q111),DATE(2015,12,31)&gt;K111),P111*Q111,IF(AND(T111&lt;P111,DATE(2016,12,31)&gt;K111,U111&gt;(P111*Q111)),(DATE(2016,12,31)-K111)/((100%/Q111)*365)*P111,IF(AND(T111&lt;P111,DATE(2016,12,31)&gt;K111,U111=0),(DATE(2016,12,31)-K111)/((100%/Q111)*365)*P111,IF(AND(T111&lt;P111,DATE(2016,12,31)&gt;K111,U111&lt;(P111*Q111)),U111,0)))))</f>
        <v>437.2602739726027</v>
      </c>
      <c r="W111" s="75">
        <f>IF(OR(Table5101345[[#This Row],[تاريخ الشراء-الاستلام]]="",Table5101345[[#This Row],[الإجمالي]]="",Table5101345[[#This Row],[العمر الافتراضي]]=""),"",IF(AND(T111&lt;P111,U111&gt;(P111*Q111),DATE(2016,12,31)&gt;K111),P111*Q111,IF(AND(T111&lt;P111,DATE(2017,12,31)&gt;K111,U111&gt;(P111*Q111)),(DATE(2017,12,31)-K111)/((100%/Q111)*360)*P111,IF(Table5101345[[#This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1" s="75">
        <f>IF(OR(Table5101345[[#This Row],[تاريخ الشراء-الاستلام]]="",Table5101345[[#This Row],[الإجمالي]]="",Table5101345[[#This Row],[العمر الافتراضي]]=""),"",T111+V111)</f>
        <v>437.2602739726027</v>
      </c>
      <c r="Y11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الشراء-الاستلام]]&gt;DATE(2016,12,31),0,P111-X111))</f>
        <v>9062.7397260273974</v>
      </c>
    </row>
    <row r="112" spans="1:25" ht="30" customHeight="1">
      <c r="A112" s="27">
        <f>IF(C112="","",SUBTOTAL(3,$C$5:C112))</f>
        <v>55</v>
      </c>
      <c r="B112" s="81"/>
      <c r="C112" s="88" t="s">
        <v>184</v>
      </c>
      <c r="D112" s="27" t="s">
        <v>27</v>
      </c>
      <c r="E112" s="84" t="s">
        <v>55</v>
      </c>
      <c r="F112" s="27" t="s">
        <v>29</v>
      </c>
      <c r="G112" s="27"/>
      <c r="H112" s="27" t="s">
        <v>37</v>
      </c>
      <c r="I112" s="27"/>
      <c r="J112" s="84"/>
      <c r="K112" s="96">
        <v>42623</v>
      </c>
      <c r="L112" s="29" t="s">
        <v>38</v>
      </c>
      <c r="M112" s="79">
        <v>6</v>
      </c>
      <c r="N112" s="31">
        <v>10249</v>
      </c>
      <c r="O112" s="77">
        <v>90000</v>
      </c>
      <c r="P112" s="77">
        <f t="shared" si="3"/>
        <v>540000</v>
      </c>
      <c r="Q112" s="33">
        <v>0.15</v>
      </c>
      <c r="R112" s="27"/>
      <c r="S112" s="27" t="s">
        <v>32</v>
      </c>
      <c r="T112" s="75">
        <v>0</v>
      </c>
      <c r="U11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الشراء-الاستلام]]&lt;DATE(2016,1,1),P112-T112,0))</f>
        <v>0</v>
      </c>
      <c r="V112" s="75">
        <f>IF(OR(Table5101345[[#This Row],[تاريخ الشراء-الاستلام]]="",Table5101345[[#This Row],[الإجمالي]]="",Table5101345[[#This Row],[العمر الافتراضي]]=""),"",IF(AND(T112&lt;P112,U112&gt;(P112*Q112),DATE(2015,12,31)&gt;K112),P112*Q112,IF(AND(T112&lt;P112,DATE(2016,12,31)&gt;K112,U112&gt;(P112*Q112)),(DATE(2016,12,31)-K112)/((100%/Q112)*365)*P112,IF(AND(T112&lt;P112,DATE(2016,12,31)&gt;K112,U112=0),(DATE(2016,12,31)-K112)/((100%/Q112)*365)*P112,IF(AND(T112&lt;P112,DATE(2016,12,31)&gt;K112,U112&lt;(P112*Q112)),U112,0)))))</f>
        <v>24854.794520547941</v>
      </c>
      <c r="W112" s="75">
        <f>IF(OR(Table5101345[[#This Row],[تاريخ الشراء-الاستلام]]="",Table5101345[[#This Row],[الإجمالي]]="",Table5101345[[#This Row],[العمر الافتراضي]]=""),"",IF(AND(T112&lt;P112,U112&gt;(P112*Q112),DATE(2016,12,31)&gt;K112),P112*Q112,IF(AND(T112&lt;P112,DATE(2017,12,31)&gt;K112,U112&gt;(P112*Q112)),(DATE(2017,12,31)-K112)/((100%/Q112)*360)*P112,IF(Table5101345[[#This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2" s="75">
        <f>IF(OR(Table5101345[[#This Row],[تاريخ الشراء-الاستلام]]="",Table5101345[[#This Row],[الإجمالي]]="",Table5101345[[#This Row],[العمر الافتراضي]]=""),"",T112+V112)</f>
        <v>24854.794520547941</v>
      </c>
      <c r="Y11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الشراء-الاستلام]]&gt;DATE(2016,12,31),0,P112-X112))</f>
        <v>515145.20547945204</v>
      </c>
    </row>
    <row r="113" spans="1:25" ht="48" hidden="1" customHeight="1">
      <c r="A113" s="27">
        <f>IF(C113="","",SUBTOTAL(3,$C$5:C113))</f>
        <v>55</v>
      </c>
      <c r="B113" s="81"/>
      <c r="C113" s="88" t="s">
        <v>184</v>
      </c>
      <c r="D113" s="27" t="s">
        <v>27</v>
      </c>
      <c r="E113" s="84" t="s">
        <v>55</v>
      </c>
      <c r="F113" s="27" t="s">
        <v>138</v>
      </c>
      <c r="G113" s="27"/>
      <c r="H113" s="27" t="s">
        <v>37</v>
      </c>
      <c r="I113" s="27"/>
      <c r="J113" s="85" t="s">
        <v>185</v>
      </c>
      <c r="K113" s="96">
        <v>39448</v>
      </c>
      <c r="L113" s="29" t="s">
        <v>87</v>
      </c>
      <c r="M113" s="79">
        <v>1</v>
      </c>
      <c r="N113" s="31"/>
      <c r="O113" s="77">
        <v>285000</v>
      </c>
      <c r="P113" s="77">
        <f t="shared" si="3"/>
        <v>285000</v>
      </c>
      <c r="Q113" s="33">
        <v>0.15</v>
      </c>
      <c r="R113" s="27"/>
      <c r="S113" s="27" t="s">
        <v>32</v>
      </c>
      <c r="T113" s="75">
        <v>285000</v>
      </c>
      <c r="U11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الشراء-الاستلام]]&lt;DATE(2016,1,1),P113-T113,0))</f>
        <v>0</v>
      </c>
      <c r="V113" s="75">
        <f>IF(OR(Table5101345[[#This Row],[تاريخ الشراء-الاستلام]]="",Table5101345[[#This Row],[الإجمالي]]="",Table5101345[[#This Row],[العمر الافتراضي]]=""),"",IF(AND(T113&lt;P113,U113&gt;(P113*Q113),DATE(2015,12,31)&gt;K113),P113*Q113,IF(AND(T113&lt;P113,DATE(2016,12,31)&gt;K113,U113&gt;(P113*Q113)),(DATE(2016,12,31)-K113)/((100%/Q113)*365)*P113,IF(AND(T113&lt;P113,DATE(2016,12,31)&gt;K113,U113=0),(DATE(2016,12,31)-K113)/((100%/Q113)*365)*P113,IF(AND(T113&lt;P113,DATE(2016,12,31)&gt;K113,U113&lt;(P113*Q113)),U113,0)))))</f>
        <v>0</v>
      </c>
      <c r="W113" s="75">
        <f>IF(OR(Table5101345[[#This Row],[تاريخ الشراء-الاستلام]]="",Table5101345[[#This Row],[الإجمالي]]="",Table5101345[[#This Row],[العمر الافتراضي]]=""),"",IF(AND(T113&lt;P113,U113&gt;(P113*Q113),DATE(2016,12,31)&gt;K113),P113*Q113,IF(AND(T113&lt;P113,DATE(2017,12,31)&gt;K113,U113&gt;(P113*Q113)),(DATE(2017,12,31)-K113)/((100%/Q113)*360)*P113,IF(Table5101345[[#This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3" s="75">
        <f>IF(OR(Table5101345[[#This Row],[تاريخ الشراء-الاستلام]]="",Table5101345[[#This Row],[الإجمالي]]="",Table5101345[[#This Row],[العمر الافتراضي]]=""),"",T113+V113)</f>
        <v>285000</v>
      </c>
      <c r="Y11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الشراء-الاستلام]]&gt;DATE(2016,12,31),0,P113-X113))</f>
        <v>0</v>
      </c>
    </row>
    <row r="114" spans="1:25" ht="48" hidden="1" customHeight="1">
      <c r="A114" s="27">
        <f>IF(C114="","",SUBTOTAL(3,$C$5:C114))</f>
        <v>55</v>
      </c>
      <c r="B114" s="81"/>
      <c r="C114" s="88" t="s">
        <v>184</v>
      </c>
      <c r="D114" s="27" t="s">
        <v>27</v>
      </c>
      <c r="E114" s="84" t="s">
        <v>55</v>
      </c>
      <c r="F114" s="27" t="s">
        <v>138</v>
      </c>
      <c r="G114" s="27"/>
      <c r="H114" s="27" t="s">
        <v>37</v>
      </c>
      <c r="I114" s="27"/>
      <c r="J114" s="85" t="s">
        <v>186</v>
      </c>
      <c r="K114" s="96">
        <v>39814</v>
      </c>
      <c r="L114" s="29" t="s">
        <v>87</v>
      </c>
      <c r="M114" s="79">
        <v>1</v>
      </c>
      <c r="N114" s="31"/>
      <c r="O114" s="77">
        <v>132494.99999899999</v>
      </c>
      <c r="P114" s="77">
        <f t="shared" si="3"/>
        <v>132494.99999899999</v>
      </c>
      <c r="Q114" s="33">
        <v>0.15</v>
      </c>
      <c r="R114" s="27"/>
      <c r="S114" s="27" t="s">
        <v>32</v>
      </c>
      <c r="T114" s="75">
        <v>132494.99999899999</v>
      </c>
      <c r="U11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الشراء-الاستلام]]&lt;DATE(2016,1,1),P114-T114,0))</f>
        <v>0</v>
      </c>
      <c r="V114" s="75">
        <f>IF(OR(Table5101345[[#This Row],[تاريخ الشراء-الاستلام]]="",Table5101345[[#This Row],[الإجمالي]]="",Table5101345[[#This Row],[العمر الافتراضي]]=""),"",IF(AND(T114&lt;P114,U114&gt;(P114*Q114),DATE(2015,12,31)&gt;K114),P114*Q114,IF(AND(T114&lt;P114,DATE(2016,12,31)&gt;K114,U114&gt;(P114*Q114)),(DATE(2016,12,31)-K114)/((100%/Q114)*365)*P114,IF(AND(T114&lt;P114,DATE(2016,12,31)&gt;K114,U114=0),(DATE(2016,12,31)-K114)/((100%/Q114)*365)*P114,IF(AND(T114&lt;P114,DATE(2016,12,31)&gt;K114,U114&lt;(P114*Q114)),U114,0)))))</f>
        <v>0</v>
      </c>
      <c r="W114" s="75">
        <f>IF(OR(Table5101345[[#This Row],[تاريخ الشراء-الاستلام]]="",Table5101345[[#This Row],[الإجمالي]]="",Table5101345[[#This Row],[العمر الافتراضي]]=""),"",IF(AND(T114&lt;P114,U114&gt;(P114*Q114),DATE(2016,12,31)&gt;K114),P114*Q114,IF(AND(T114&lt;P114,DATE(2017,12,31)&gt;K114,U114&gt;(P114*Q114)),(DATE(2017,12,31)-K114)/((100%/Q114)*360)*P114,IF(Table5101345[[#This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4" s="75">
        <f>IF(OR(Table5101345[[#This Row],[تاريخ الشراء-الاستلام]]="",Table5101345[[#This Row],[الإجمالي]]="",Table5101345[[#This Row],[العمر الافتراضي]]=""),"",T114+V114)</f>
        <v>132494.99999899999</v>
      </c>
      <c r="Y11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الشراء-الاستلام]]&gt;DATE(2016,12,31),0,P114-X114))</f>
        <v>0</v>
      </c>
    </row>
    <row r="115" spans="1:25" ht="48" hidden="1" customHeight="1">
      <c r="A115" s="27">
        <f>IF(C115="","",SUBTOTAL(3,$C$5:C115))</f>
        <v>55</v>
      </c>
      <c r="B115" s="81"/>
      <c r="C115" s="88" t="s">
        <v>187</v>
      </c>
      <c r="D115" s="27" t="s">
        <v>27</v>
      </c>
      <c r="E115" s="84" t="s">
        <v>55</v>
      </c>
      <c r="F115" s="27" t="s">
        <v>138</v>
      </c>
      <c r="G115" s="27"/>
      <c r="H115" s="27" t="s">
        <v>37</v>
      </c>
      <c r="I115" s="27"/>
      <c r="J115" s="85" t="s">
        <v>188</v>
      </c>
      <c r="K115" s="96">
        <v>39692</v>
      </c>
      <c r="L115" s="29" t="s">
        <v>87</v>
      </c>
      <c r="M115" s="79">
        <v>1</v>
      </c>
      <c r="N115" s="31"/>
      <c r="O115" s="77">
        <v>132493.99999899999</v>
      </c>
      <c r="P115" s="77">
        <f t="shared" si="3"/>
        <v>132493.99999899999</v>
      </c>
      <c r="Q115" s="33">
        <v>0.15</v>
      </c>
      <c r="R115" s="27"/>
      <c r="S115" s="27" t="s">
        <v>32</v>
      </c>
      <c r="T115" s="75">
        <v>132493.99999899999</v>
      </c>
      <c r="U11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الشراء-الاستلام]]&lt;DATE(2016,1,1),P115-T115,0))</f>
        <v>0</v>
      </c>
      <c r="V115" s="75">
        <f>IF(OR(Table5101345[[#This Row],[تاريخ الشراء-الاستلام]]="",Table5101345[[#This Row],[الإجمالي]]="",Table5101345[[#This Row],[العمر الافتراضي]]=""),"",IF(AND(T115&lt;P115,U115&gt;(P115*Q115),DATE(2015,12,31)&gt;K115),P115*Q115,IF(AND(T115&lt;P115,DATE(2016,12,31)&gt;K115,U115&gt;(P115*Q115)),(DATE(2016,12,31)-K115)/((100%/Q115)*365)*P115,IF(AND(T115&lt;P115,DATE(2016,12,31)&gt;K115,U115=0),(DATE(2016,12,31)-K115)/((100%/Q115)*365)*P115,IF(AND(T115&lt;P115,DATE(2016,12,31)&gt;K115,U115&lt;(P115*Q115)),U115,0)))))</f>
        <v>0</v>
      </c>
      <c r="W115" s="75">
        <f>IF(OR(Table5101345[[#This Row],[تاريخ الشراء-الاستلام]]="",Table5101345[[#This Row],[الإجمالي]]="",Table5101345[[#This Row],[العمر الافتراضي]]=""),"",IF(AND(T115&lt;P115,U115&gt;(P115*Q115),DATE(2016,12,31)&gt;K115),P115*Q115,IF(AND(T115&lt;P115,DATE(2017,12,31)&gt;K115,U115&gt;(P115*Q115)),(DATE(2017,12,31)-K115)/((100%/Q115)*360)*P115,IF(Table5101345[[#This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5" s="75">
        <f>IF(OR(Table5101345[[#This Row],[تاريخ الشراء-الاستلام]]="",Table5101345[[#This Row],[الإجمالي]]="",Table5101345[[#This Row],[العمر الافتراضي]]=""),"",T115+V115)</f>
        <v>132493.99999899999</v>
      </c>
      <c r="Y11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الشراء-الاستلام]]&gt;DATE(2016,12,31),0,P115-X115))</f>
        <v>0</v>
      </c>
    </row>
    <row r="116" spans="1:25" ht="48" hidden="1" customHeight="1">
      <c r="A116" s="27">
        <f>IF(C116="","",SUBTOTAL(3,$C$5:C116))</f>
        <v>55</v>
      </c>
      <c r="B116" s="81"/>
      <c r="C116" s="88" t="s">
        <v>110</v>
      </c>
      <c r="D116" s="27" t="s">
        <v>27</v>
      </c>
      <c r="E116" s="84" t="s">
        <v>55</v>
      </c>
      <c r="F116" s="27" t="s">
        <v>138</v>
      </c>
      <c r="G116" s="27"/>
      <c r="H116" s="27" t="s">
        <v>37</v>
      </c>
      <c r="I116" s="27"/>
      <c r="J116" s="85" t="s">
        <v>189</v>
      </c>
      <c r="K116" s="96">
        <v>39692</v>
      </c>
      <c r="L116" s="29" t="s">
        <v>87</v>
      </c>
      <c r="M116" s="79">
        <v>1</v>
      </c>
      <c r="N116" s="31"/>
      <c r="O116" s="77">
        <v>132493.99999899999</v>
      </c>
      <c r="P116" s="77">
        <f t="shared" si="3"/>
        <v>132493.99999899999</v>
      </c>
      <c r="Q116" s="33">
        <v>0.15</v>
      </c>
      <c r="R116" s="27"/>
      <c r="S116" s="27" t="s">
        <v>32</v>
      </c>
      <c r="T116" s="75">
        <v>132493.99999899999</v>
      </c>
      <c r="U11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الشراء-الاستلام]]&lt;DATE(2016,1,1),P116-T116,0))</f>
        <v>0</v>
      </c>
      <c r="V116" s="75">
        <f>IF(OR(Table5101345[[#This Row],[تاريخ الشراء-الاستلام]]="",Table5101345[[#This Row],[الإجمالي]]="",Table5101345[[#This Row],[العمر الافتراضي]]=""),"",IF(AND(T116&lt;P116,U116&gt;(P116*Q116),DATE(2015,12,31)&gt;K116),P116*Q116,IF(AND(T116&lt;P116,DATE(2016,12,31)&gt;K116,U116&gt;(P116*Q116)),(DATE(2016,12,31)-K116)/((100%/Q116)*365)*P116,IF(AND(T116&lt;P116,DATE(2016,12,31)&gt;K116,U116=0),(DATE(2016,12,31)-K116)/((100%/Q116)*365)*P116,IF(AND(T116&lt;P116,DATE(2016,12,31)&gt;K116,U116&lt;(P116*Q116)),U116,0)))))</f>
        <v>0</v>
      </c>
      <c r="W116" s="75">
        <f>IF(OR(Table5101345[[#This Row],[تاريخ الشراء-الاستلام]]="",Table5101345[[#This Row],[الإجمالي]]="",Table5101345[[#This Row],[العمر الافتراضي]]=""),"",IF(AND(T116&lt;P116,U116&gt;(P116*Q116),DATE(2016,12,31)&gt;K116),P116*Q116,IF(AND(T116&lt;P116,DATE(2017,12,31)&gt;K116,U116&gt;(P116*Q116)),(DATE(2017,12,31)-K116)/((100%/Q116)*360)*P116,IF(Table5101345[[#This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6" s="75">
        <f>IF(OR(Table5101345[[#This Row],[تاريخ الشراء-الاستلام]]="",Table5101345[[#This Row],[الإجمالي]]="",Table5101345[[#This Row],[العمر الافتراضي]]=""),"",T116+V116)</f>
        <v>132493.99999899999</v>
      </c>
      <c r="Y11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الشراء-الاستلام]]&gt;DATE(2016,12,31),0,P116-X116))</f>
        <v>0</v>
      </c>
    </row>
    <row r="117" spans="1:25" ht="48" hidden="1" customHeight="1">
      <c r="A117" s="27">
        <f>IF(C117="","",SUBTOTAL(3,$C$5:C117))</f>
        <v>55</v>
      </c>
      <c r="B117" s="81"/>
      <c r="C117" s="88" t="s">
        <v>190</v>
      </c>
      <c r="D117" s="27" t="s">
        <v>87</v>
      </c>
      <c r="E117" s="84" t="s">
        <v>55</v>
      </c>
      <c r="F117" s="27" t="s">
        <v>138</v>
      </c>
      <c r="G117" s="27"/>
      <c r="H117" s="27" t="s">
        <v>37</v>
      </c>
      <c r="I117" s="27"/>
      <c r="J117" s="85" t="s">
        <v>191</v>
      </c>
      <c r="K117" s="96">
        <v>40269</v>
      </c>
      <c r="L117" s="29"/>
      <c r="M117" s="79">
        <v>1</v>
      </c>
      <c r="N117" s="31"/>
      <c r="O117" s="77">
        <v>61225</v>
      </c>
      <c r="P117" s="77">
        <f t="shared" si="3"/>
        <v>61225</v>
      </c>
      <c r="Q117" s="33">
        <v>0.2</v>
      </c>
      <c r="R117" s="27"/>
      <c r="S117" s="27" t="s">
        <v>32</v>
      </c>
      <c r="T117" s="75">
        <v>61225</v>
      </c>
      <c r="U11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الشراء-الاستلام]]&lt;DATE(2016,1,1),P117-T117,0))</f>
        <v>0</v>
      </c>
      <c r="V117" s="75">
        <f>IF(OR(Table5101345[[#This Row],[تاريخ الشراء-الاستلام]]="",Table5101345[[#This Row],[الإجمالي]]="",Table5101345[[#This Row],[العمر الافتراضي]]=""),"",IF(AND(T117&lt;P117,U117&gt;(P117*Q117),DATE(2015,12,31)&gt;K117),P117*Q117,IF(AND(T117&lt;P117,DATE(2016,12,31)&gt;K117,U117&gt;(P117*Q117)),(DATE(2016,12,31)-K117)/((100%/Q117)*365)*P117,IF(AND(T117&lt;P117,DATE(2016,12,31)&gt;K117,U117=0),(DATE(2016,12,31)-K117)/((100%/Q117)*365)*P117,IF(AND(T117&lt;P117,DATE(2016,12,31)&gt;K117,U117&lt;(P117*Q117)),U117,0)))))</f>
        <v>0</v>
      </c>
      <c r="W117" s="75">
        <f>IF(OR(Table5101345[[#This Row],[تاريخ الشراء-الاستلام]]="",Table5101345[[#This Row],[الإجمالي]]="",Table5101345[[#This Row],[العمر الافتراضي]]=""),"",IF(AND(T117&lt;P117,U117&gt;(P117*Q117),DATE(2016,12,31)&gt;K117),P117*Q117,IF(AND(T117&lt;P117,DATE(2017,12,31)&gt;K117,U117&gt;(P117*Q117)),(DATE(2017,12,31)-K117)/((100%/Q117)*360)*P117,IF(Table5101345[[#This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7" s="75">
        <f>IF(OR(Table5101345[[#This Row],[تاريخ الشراء-الاستلام]]="",Table5101345[[#This Row],[الإجمالي]]="",Table5101345[[#This Row],[العمر الافتراضي]]=""),"",T117+V117)</f>
        <v>61225</v>
      </c>
      <c r="Y11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الشراء-الاستلام]]&gt;DATE(2016,12,31),0,P117-X117))</f>
        <v>0</v>
      </c>
    </row>
    <row r="118" spans="1:25" ht="48" hidden="1" customHeight="1">
      <c r="A118" s="27">
        <f>IF(C118="","",SUBTOTAL(3,$C$5:C118))</f>
        <v>55</v>
      </c>
      <c r="B118" s="81"/>
      <c r="C118" s="88" t="s">
        <v>184</v>
      </c>
      <c r="D118" s="27" t="s">
        <v>27</v>
      </c>
      <c r="E118" s="84" t="s">
        <v>55</v>
      </c>
      <c r="F118" s="27" t="s">
        <v>127</v>
      </c>
      <c r="G118" s="27"/>
      <c r="H118" s="27" t="s">
        <v>37</v>
      </c>
      <c r="I118" s="27"/>
      <c r="J118" s="85" t="s">
        <v>192</v>
      </c>
      <c r="K118" s="96">
        <v>39692</v>
      </c>
      <c r="L118" s="29"/>
      <c r="M118" s="79">
        <v>1</v>
      </c>
      <c r="N118" s="31"/>
      <c r="O118" s="77">
        <v>132493.99999899999</v>
      </c>
      <c r="P118" s="77">
        <f t="shared" si="3"/>
        <v>132493.99999899999</v>
      </c>
      <c r="Q118" s="33">
        <v>0.15</v>
      </c>
      <c r="R118" s="27"/>
      <c r="S118" s="27" t="s">
        <v>32</v>
      </c>
      <c r="T118" s="75">
        <v>132493.99999899999</v>
      </c>
      <c r="U11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الشراء-الاستلام]]&lt;DATE(2016,1,1),P118-T118,0))</f>
        <v>0</v>
      </c>
      <c r="V118" s="75">
        <f>IF(OR(Table5101345[[#This Row],[تاريخ الشراء-الاستلام]]="",Table5101345[[#This Row],[الإجمالي]]="",Table5101345[[#This Row],[العمر الافتراضي]]=""),"",IF(AND(T118&lt;P118,U118&gt;(P118*Q118),DATE(2015,12,31)&gt;K118),P118*Q118,IF(AND(T118&lt;P118,DATE(2016,12,31)&gt;K118,U118&gt;(P118*Q118)),(DATE(2016,12,31)-K118)/((100%/Q118)*365)*P118,IF(AND(T118&lt;P118,DATE(2016,12,31)&gt;K118,U118=0),(DATE(2016,12,31)-K118)/((100%/Q118)*365)*P118,IF(AND(T118&lt;P118,DATE(2016,12,31)&gt;K118,U118&lt;(P118*Q118)),U118,0)))))</f>
        <v>0</v>
      </c>
      <c r="W118" s="75">
        <f>IF(OR(Table5101345[[#This Row],[تاريخ الشراء-الاستلام]]="",Table5101345[[#This Row],[الإجمالي]]="",Table5101345[[#This Row],[العمر الافتراضي]]=""),"",IF(AND(T118&lt;P118,U118&gt;(P118*Q118),DATE(2016,12,31)&gt;K118),P118*Q118,IF(AND(T118&lt;P118,DATE(2017,12,31)&gt;K118,U118&gt;(P118*Q118)),(DATE(2017,12,31)-K118)/((100%/Q118)*360)*P118,IF(Table5101345[[#This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8" s="75">
        <f>IF(OR(Table5101345[[#This Row],[تاريخ الشراء-الاستلام]]="",Table5101345[[#This Row],[الإجمالي]]="",Table5101345[[#This Row],[العمر الافتراضي]]=""),"",T118+V118)</f>
        <v>132493.99999899999</v>
      </c>
      <c r="Y11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الشراء-الاستلام]]&gt;DATE(2016,12,31),0,P118-X118))</f>
        <v>0</v>
      </c>
    </row>
    <row r="119" spans="1:25" ht="48" hidden="1" customHeight="1">
      <c r="A119" s="27">
        <f>IF(C119="","",SUBTOTAL(3,$C$5:C119))</f>
        <v>55</v>
      </c>
      <c r="B119" s="81"/>
      <c r="C119" s="88" t="s">
        <v>184</v>
      </c>
      <c r="D119" s="27" t="s">
        <v>27</v>
      </c>
      <c r="E119" s="84" t="s">
        <v>55</v>
      </c>
      <c r="F119" s="27" t="s">
        <v>127</v>
      </c>
      <c r="G119" s="27"/>
      <c r="H119" s="27" t="s">
        <v>37</v>
      </c>
      <c r="I119" s="27"/>
      <c r="J119" s="85" t="s">
        <v>193</v>
      </c>
      <c r="K119" s="96">
        <v>39692</v>
      </c>
      <c r="L119" s="29"/>
      <c r="M119" s="79">
        <v>1</v>
      </c>
      <c r="N119" s="31"/>
      <c r="O119" s="77">
        <v>132493.99999899999</v>
      </c>
      <c r="P119" s="77">
        <f t="shared" si="3"/>
        <v>132493.99999899999</v>
      </c>
      <c r="Q119" s="33">
        <v>0.15</v>
      </c>
      <c r="R119" s="27"/>
      <c r="S119" s="27" t="s">
        <v>32</v>
      </c>
      <c r="T119" s="75">
        <v>132493.99999899999</v>
      </c>
      <c r="U11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الشراء-الاستلام]]&lt;DATE(2016,1,1),P119-T119,0))</f>
        <v>0</v>
      </c>
      <c r="V119" s="75">
        <f>IF(OR(Table5101345[[#This Row],[تاريخ الشراء-الاستلام]]="",Table5101345[[#This Row],[الإجمالي]]="",Table5101345[[#This Row],[العمر الافتراضي]]=""),"",IF(AND(T119&lt;P119,U119&gt;(P119*Q119),DATE(2015,12,31)&gt;K119),P119*Q119,IF(AND(T119&lt;P119,DATE(2016,12,31)&gt;K119,U119&gt;(P119*Q119)),(DATE(2016,12,31)-K119)/((100%/Q119)*365)*P119,IF(AND(T119&lt;P119,DATE(2016,12,31)&gt;K119,U119=0),(DATE(2016,12,31)-K119)/((100%/Q119)*365)*P119,IF(AND(T119&lt;P119,DATE(2016,12,31)&gt;K119,U119&lt;(P119*Q119)),U119,0)))))</f>
        <v>0</v>
      </c>
      <c r="W119" s="75">
        <f>IF(OR(Table5101345[[#This Row],[تاريخ الشراء-الاستلام]]="",Table5101345[[#This Row],[الإجمالي]]="",Table5101345[[#This Row],[العمر الافتراضي]]=""),"",IF(AND(T119&lt;P119,U119&gt;(P119*Q119),DATE(2016,12,31)&gt;K119),P119*Q119,IF(AND(T119&lt;P119,DATE(2017,12,31)&gt;K119,U119&gt;(P119*Q119)),(DATE(2017,12,31)-K119)/((100%/Q119)*360)*P119,IF(Table5101345[[#This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19" s="75">
        <f>IF(OR(Table5101345[[#This Row],[تاريخ الشراء-الاستلام]]="",Table5101345[[#This Row],[الإجمالي]]="",Table5101345[[#This Row],[العمر الافتراضي]]=""),"",T119+V119)</f>
        <v>132493.99999899999</v>
      </c>
      <c r="Y11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الشراء-الاستلام]]&gt;DATE(2016,12,31),0,P119-X119))</f>
        <v>0</v>
      </c>
    </row>
    <row r="120" spans="1:25" ht="48" hidden="1" customHeight="1">
      <c r="A120" s="27">
        <f>IF(C120="","",SUBTOTAL(3,$C$5:C120))</f>
        <v>55</v>
      </c>
      <c r="B120" s="81"/>
      <c r="C120" s="88" t="s">
        <v>194</v>
      </c>
      <c r="D120" s="27" t="s">
        <v>87</v>
      </c>
      <c r="E120" s="84" t="s">
        <v>55</v>
      </c>
      <c r="F120" s="27" t="s">
        <v>127</v>
      </c>
      <c r="G120" s="27"/>
      <c r="H120" s="27" t="s">
        <v>37</v>
      </c>
      <c r="I120" s="27"/>
      <c r="J120" s="85" t="s">
        <v>195</v>
      </c>
      <c r="K120" s="96">
        <v>41274</v>
      </c>
      <c r="L120" s="29"/>
      <c r="M120" s="79">
        <v>1</v>
      </c>
      <c r="N120" s="31"/>
      <c r="O120" s="77">
        <v>63600</v>
      </c>
      <c r="P120" s="77">
        <f t="shared" si="3"/>
        <v>63600</v>
      </c>
      <c r="Q120" s="33">
        <v>0.15</v>
      </c>
      <c r="R120" s="27"/>
      <c r="S120" s="27" t="s">
        <v>32</v>
      </c>
      <c r="T120" s="75">
        <v>28620</v>
      </c>
      <c r="U12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الشراء-الاستلام]]&lt;DATE(2016,1,1),P120-T120,0))</f>
        <v>34980</v>
      </c>
      <c r="V120" s="75">
        <f>IF(OR(Table5101345[[#This Row],[تاريخ الشراء-الاستلام]]="",Table5101345[[#This Row],[الإجمالي]]="",Table5101345[[#This Row],[العمر الافتراضي]]=""),"",IF(AND(T120&lt;P120,U120&gt;(P120*Q120),DATE(2015,12,31)&gt;K120),P120*Q120,IF(AND(T120&lt;P120,DATE(2016,12,31)&gt;K120,U120&gt;(P120*Q120)),(DATE(2016,12,31)-K120)/((100%/Q120)*365)*P120,IF(AND(T120&lt;P120,DATE(2016,12,31)&gt;K120,U120=0),(DATE(2016,12,31)-K120)/((100%/Q120)*365)*P120,IF(AND(T120&lt;P120,DATE(2016,12,31)&gt;K120,U120&lt;(P120*Q120)),U120,0)))))</f>
        <v>9540</v>
      </c>
      <c r="W120" s="75">
        <f>IF(OR(Table5101345[[#This Row],[تاريخ الشراء-الاستلام]]="",Table5101345[[#This Row],[الإجمالي]]="",Table5101345[[#This Row],[العمر الافتراضي]]=""),"",IF(AND(T120&lt;P120,U120&gt;(P120*Q120),DATE(2016,12,31)&gt;K120),P120*Q120,IF(AND(T120&lt;P120,DATE(2017,12,31)&gt;K120,U120&gt;(P120*Q120)),(DATE(2017,12,31)-K120)/((100%/Q120)*360)*P120,IF(Table5101345[[#This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9540</v>
      </c>
      <c r="X120" s="75">
        <f>IF(OR(Table5101345[[#This Row],[تاريخ الشراء-الاستلام]]="",Table5101345[[#This Row],[الإجمالي]]="",Table5101345[[#This Row],[العمر الافتراضي]]=""),"",T120+V120)</f>
        <v>38160</v>
      </c>
      <c r="Y12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الشراء-الاستلام]]&gt;DATE(2016,12,31),0,P120-X120))</f>
        <v>25440</v>
      </c>
    </row>
    <row r="121" spans="1:25" ht="48" hidden="1" customHeight="1">
      <c r="A121" s="27">
        <f>IF(C121="","",SUBTOTAL(3,$C$5:C121))</f>
        <v>55</v>
      </c>
      <c r="B121" s="81"/>
      <c r="C121" s="88" t="s">
        <v>184</v>
      </c>
      <c r="D121" s="27" t="s">
        <v>87</v>
      </c>
      <c r="E121" s="84" t="s">
        <v>55</v>
      </c>
      <c r="F121" s="27" t="s">
        <v>127</v>
      </c>
      <c r="G121" s="27"/>
      <c r="H121" s="27" t="s">
        <v>37</v>
      </c>
      <c r="I121" s="27"/>
      <c r="J121" s="85" t="s">
        <v>196</v>
      </c>
      <c r="K121" s="96">
        <v>41091</v>
      </c>
      <c r="L121" s="29"/>
      <c r="M121" s="79">
        <v>1</v>
      </c>
      <c r="N121" s="31"/>
      <c r="O121" s="77">
        <v>245825</v>
      </c>
      <c r="P121" s="77">
        <f t="shared" si="3"/>
        <v>245825</v>
      </c>
      <c r="Q121" s="33">
        <v>0.15</v>
      </c>
      <c r="R121" s="27"/>
      <c r="S121" s="27" t="s">
        <v>32</v>
      </c>
      <c r="T121" s="75">
        <v>129108.63698630135</v>
      </c>
      <c r="U12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الشراء-الاستلام]]&lt;DATE(2016,1,1),P121-T121,0))</f>
        <v>116716.36301369865</v>
      </c>
      <c r="V121" s="75">
        <f>IF(OR(Table5101345[[#This Row],[تاريخ الشراء-الاستلام]]="",Table5101345[[#This Row],[الإجمالي]]="",Table5101345[[#This Row],[العمر الافتراضي]]=""),"",IF(AND(T121&lt;P121,U121&gt;(P121*Q121),DATE(2015,12,31)&gt;K121),P121*Q121,IF(AND(T121&lt;P121,DATE(2016,12,31)&gt;K121,U121&gt;(P121*Q121)),(DATE(2016,12,31)-K121)/((100%/Q121)*365)*P121,IF(AND(T121&lt;P121,DATE(2016,12,31)&gt;K121,U121=0),(DATE(2016,12,31)-K121)/((100%/Q121)*365)*P121,IF(AND(T121&lt;P121,DATE(2016,12,31)&gt;K121,U121&lt;(P121*Q121)),U121,0)))))</f>
        <v>36873.75</v>
      </c>
      <c r="W121" s="75">
        <f>IF(OR(Table5101345[[#This Row],[تاريخ الشراء-الاستلام]]="",Table5101345[[#This Row],[الإجمالي]]="",Table5101345[[#This Row],[العمر الافتراضي]]=""),"",IF(AND(T121&lt;P121,U121&gt;(P121*Q121),DATE(2016,12,31)&gt;K121),P121*Q121,IF(AND(T121&lt;P121,DATE(2017,12,31)&gt;K121,U121&gt;(P121*Q121)),(DATE(2017,12,31)-K121)/((100%/Q121)*360)*P121,IF(Table5101345[[#This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36873.75</v>
      </c>
      <c r="X121" s="75">
        <f>IF(OR(Table5101345[[#This Row],[تاريخ الشراء-الاستلام]]="",Table5101345[[#This Row],[الإجمالي]]="",Table5101345[[#This Row],[العمر الافتراضي]]=""),"",T121+V121)</f>
        <v>165982.38698630134</v>
      </c>
      <c r="Y12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الشراء-الاستلام]]&gt;DATE(2016,12,31),0,P121-X121))</f>
        <v>79842.613013698661</v>
      </c>
    </row>
    <row r="122" spans="1:25" ht="48" hidden="1" customHeight="1">
      <c r="A122" s="27">
        <f>IF(C122="","",SUBTOTAL(3,$C$5:C122))</f>
        <v>55</v>
      </c>
      <c r="B122" s="81"/>
      <c r="C122" s="88" t="s">
        <v>184</v>
      </c>
      <c r="D122" s="27" t="s">
        <v>87</v>
      </c>
      <c r="E122" s="84" t="s">
        <v>55</v>
      </c>
      <c r="F122" s="27" t="s">
        <v>127</v>
      </c>
      <c r="G122" s="27"/>
      <c r="H122" s="27" t="s">
        <v>37</v>
      </c>
      <c r="I122" s="27"/>
      <c r="J122" s="85" t="s">
        <v>196</v>
      </c>
      <c r="K122" s="96">
        <v>41091</v>
      </c>
      <c r="L122" s="29"/>
      <c r="M122" s="79">
        <v>1</v>
      </c>
      <c r="N122" s="31"/>
      <c r="O122" s="77">
        <v>93000</v>
      </c>
      <c r="P122" s="77">
        <f t="shared" si="3"/>
        <v>93000</v>
      </c>
      <c r="Q122" s="33">
        <v>0.15</v>
      </c>
      <c r="R122" s="27"/>
      <c r="S122" s="27" t="s">
        <v>32</v>
      </c>
      <c r="T122" s="75">
        <v>48844.109589041094</v>
      </c>
      <c r="U12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الشراء-الاستلام]]&lt;DATE(2016,1,1),P122-T122,0))</f>
        <v>44155.890410958906</v>
      </c>
      <c r="V122" s="75">
        <f>IF(OR(Table5101345[[#This Row],[تاريخ الشراء-الاستلام]]="",Table5101345[[#This Row],[الإجمالي]]="",Table5101345[[#This Row],[العمر الافتراضي]]=""),"",IF(AND(T122&lt;P122,U122&gt;(P122*Q122),DATE(2015,12,31)&gt;K122),P122*Q122,IF(AND(T122&lt;P122,DATE(2016,12,31)&gt;K122,U122&gt;(P122*Q122)),(DATE(2016,12,31)-K122)/((100%/Q122)*365)*P122,IF(AND(T122&lt;P122,DATE(2016,12,31)&gt;K122,U122=0),(DATE(2016,12,31)-K122)/((100%/Q122)*365)*P122,IF(AND(T122&lt;P122,DATE(2016,12,31)&gt;K122,U122&lt;(P122*Q122)),U122,0)))))</f>
        <v>13950</v>
      </c>
      <c r="W122" s="75">
        <f>IF(OR(Table5101345[[#This Row],[تاريخ الشراء-الاستلام]]="",Table5101345[[#This Row],[الإجمالي]]="",Table5101345[[#This Row],[العمر الافتراضي]]=""),"",IF(AND(T122&lt;P122,U122&gt;(P122*Q122),DATE(2016,12,31)&gt;K122),P122*Q122,IF(AND(T122&lt;P122,DATE(2017,12,31)&gt;K122,U122&gt;(P122*Q122)),(DATE(2017,12,31)-K122)/((100%/Q122)*360)*P122,IF(Table5101345[[#This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13950</v>
      </c>
      <c r="X122" s="75">
        <f>IF(OR(Table5101345[[#This Row],[تاريخ الشراء-الاستلام]]="",Table5101345[[#This Row],[الإجمالي]]="",Table5101345[[#This Row],[العمر الافتراضي]]=""),"",T122+V122)</f>
        <v>62794.109589041094</v>
      </c>
      <c r="Y12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الشراء-الاستلام]]&gt;DATE(2016,12,31),0,P122-X122))</f>
        <v>30205.890410958906</v>
      </c>
    </row>
    <row r="123" spans="1:25" ht="30" customHeight="1">
      <c r="A123" s="27">
        <f>IF(C123="","",SUBTOTAL(3,$C$5:C123))</f>
        <v>56</v>
      </c>
      <c r="B123" s="92">
        <v>42438</v>
      </c>
      <c r="C123" s="88" t="s">
        <v>197</v>
      </c>
      <c r="D123" s="27" t="s">
        <v>27</v>
      </c>
      <c r="E123" s="84" t="s">
        <v>28</v>
      </c>
      <c r="F123" s="27" t="s">
        <v>69</v>
      </c>
      <c r="G123" s="27"/>
      <c r="H123" s="27" t="s">
        <v>37</v>
      </c>
      <c r="I123" s="27" t="s">
        <v>198</v>
      </c>
      <c r="J123" s="84"/>
      <c r="K123" s="96">
        <v>42487</v>
      </c>
      <c r="L123" s="29" t="s">
        <v>199</v>
      </c>
      <c r="M123" s="79">
        <v>1</v>
      </c>
      <c r="N123" s="31">
        <v>8296</v>
      </c>
      <c r="O123" s="77">
        <v>2243</v>
      </c>
      <c r="P123" s="77">
        <f t="shared" si="3"/>
        <v>2243</v>
      </c>
      <c r="Q123" s="35">
        <v>0.1</v>
      </c>
      <c r="R123" s="27"/>
      <c r="S123" s="27" t="s">
        <v>32</v>
      </c>
      <c r="T123" s="75">
        <v>0</v>
      </c>
      <c r="U12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الشراء-الاستلام]]&lt;DATE(2016,1,1),P123-T123,0))</f>
        <v>0</v>
      </c>
      <c r="V123" s="75">
        <f>IF(OR(Table5101345[[#This Row],[تاريخ الشراء-الاستلام]]="",Table5101345[[#This Row],[الإجمالي]]="",Table5101345[[#This Row],[العمر الافتراضي]]=""),"",IF(AND(T123&lt;P123,U123&gt;(P123*Q123),DATE(2015,12,31)&gt;K123),P123*Q123,IF(AND(T123&lt;P123,DATE(2016,12,31)&gt;K123,U123&gt;(P123*Q123)),(DATE(2016,12,31)-K123)/((100%/Q123)*365)*P123,IF(AND(T123&lt;P123,DATE(2016,12,31)&gt;K123,U123=0),(DATE(2016,12,31)-K123)/((100%/Q123)*365)*P123,IF(AND(T123&lt;P123,DATE(2016,12,31)&gt;K123,U123&lt;(P123*Q123)),U123,0)))))</f>
        <v>152.40109589041097</v>
      </c>
      <c r="W123" s="75">
        <f>IF(OR(Table5101345[[#This Row],[تاريخ الشراء-الاستلام]]="",Table5101345[[#This Row],[الإجمالي]]="",Table5101345[[#This Row],[العمر الافتراضي]]=""),"",IF(AND(T123&lt;P123,U123&gt;(P123*Q123),DATE(2016,12,31)&gt;K123),P123*Q123,IF(AND(T123&lt;P123,DATE(2017,12,31)&gt;K123,U123&gt;(P123*Q123)),(DATE(2017,12,31)-K123)/((100%/Q123)*360)*P123,IF(Table5101345[[#This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23" s="75">
        <f>IF(OR(Table5101345[[#This Row],[تاريخ الشراء-الاستلام]]="",Table5101345[[#This Row],[الإجمالي]]="",Table5101345[[#This Row],[العمر الافتراضي]]=""),"",T123+V123)</f>
        <v>152.40109589041097</v>
      </c>
      <c r="Y12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الشراء-الاستلام]]&gt;DATE(2016,12,31),0,P123-X123))</f>
        <v>2090.5989041095891</v>
      </c>
    </row>
    <row r="124" spans="1:25" ht="30" customHeight="1">
      <c r="A124" s="27">
        <f>IF(C124="","",SUBTOTAL(3,$C$5:C124))</f>
        <v>57</v>
      </c>
      <c r="B124" s="92">
        <v>42690</v>
      </c>
      <c r="C124" s="88" t="s">
        <v>200</v>
      </c>
      <c r="D124" s="27" t="s">
        <v>27</v>
      </c>
      <c r="E124" s="84" t="s">
        <v>28</v>
      </c>
      <c r="F124" s="27" t="s">
        <v>36</v>
      </c>
      <c r="G124" s="27"/>
      <c r="H124" s="27" t="s">
        <v>37</v>
      </c>
      <c r="I124" s="27"/>
      <c r="J124" s="84"/>
      <c r="K124" s="96">
        <v>42675</v>
      </c>
      <c r="L124" s="29"/>
      <c r="M124" s="79">
        <v>1</v>
      </c>
      <c r="N124" s="31"/>
      <c r="O124" s="77">
        <v>40</v>
      </c>
      <c r="P124" s="77">
        <f t="shared" si="3"/>
        <v>40</v>
      </c>
      <c r="Q124" s="35">
        <v>0.1</v>
      </c>
      <c r="R124" s="27"/>
      <c r="S124" s="27" t="s">
        <v>32</v>
      </c>
      <c r="T124" s="75">
        <v>0</v>
      </c>
      <c r="U12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الشراء-الاستلام]]&lt;DATE(2016,1,1),P124-T124,0))</f>
        <v>0</v>
      </c>
      <c r="V124" s="75">
        <f>IF(OR(Table5101345[[#This Row],[تاريخ الشراء-الاستلام]]="",Table5101345[[#This Row],[الإجمالي]]="",Table5101345[[#This Row],[العمر الافتراضي]]=""),"",IF(AND(T124&lt;P124,U124&gt;(P124*Q124),DATE(2015,12,31)&gt;K124),P124*Q124,IF(AND(T124&lt;P124,DATE(2016,12,31)&gt;K124,U124&gt;(P124*Q124)),(DATE(2016,12,31)-K124)/((100%/Q124)*365)*P124,IF(AND(T124&lt;P124,DATE(2016,12,31)&gt;K124,U124=0),(DATE(2016,12,31)-K124)/((100%/Q124)*365)*P124,IF(AND(T124&lt;P124,DATE(2016,12,31)&gt;K124,U124&lt;(P124*Q124)),U124,0)))))</f>
        <v>0.65753424657534243</v>
      </c>
      <c r="W124" s="75">
        <f>IF(OR(Table5101345[[#This Row],[تاريخ الشراء-الاستلام]]="",Table5101345[[#This Row],[الإجمالي]]="",Table5101345[[#This Row],[العمر الافتراضي]]=""),"",IF(AND(T124&lt;P124,U124&gt;(P124*Q124),DATE(2016,12,31)&gt;K124),P124*Q124,IF(AND(T124&lt;P124,DATE(2017,12,31)&gt;K124,U124&gt;(P124*Q124)),(DATE(2017,12,31)-K124)/((100%/Q124)*360)*P124,IF(Table5101345[[#This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24" s="75">
        <f>IF(OR(Table5101345[[#This Row],[تاريخ الشراء-الاستلام]]="",Table5101345[[#This Row],[الإجمالي]]="",Table5101345[[#This Row],[العمر الافتراضي]]=""),"",T124+V124)</f>
        <v>0.65753424657534243</v>
      </c>
      <c r="Y12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الشراء-الاستلام]]&gt;DATE(2016,12,31),0,P124-X124))</f>
        <v>39.342465753424655</v>
      </c>
    </row>
    <row r="125" spans="1:25" ht="30" customHeight="1">
      <c r="A125" s="27">
        <f>IF(C125="","",SUBTOTAL(3,$C$5:C125))</f>
        <v>58</v>
      </c>
      <c r="B125" s="92">
        <v>42555</v>
      </c>
      <c r="C125" s="88" t="s">
        <v>201</v>
      </c>
      <c r="D125" s="27" t="s">
        <v>27</v>
      </c>
      <c r="E125" s="84" t="s">
        <v>28</v>
      </c>
      <c r="F125" s="27" t="s">
        <v>84</v>
      </c>
      <c r="G125" s="27"/>
      <c r="H125" s="27" t="s">
        <v>37</v>
      </c>
      <c r="I125" s="27"/>
      <c r="J125" s="84"/>
      <c r="K125" s="96">
        <v>42583</v>
      </c>
      <c r="L125" s="29"/>
      <c r="M125" s="79">
        <v>1</v>
      </c>
      <c r="N125" s="31"/>
      <c r="O125" s="77">
        <v>2950</v>
      </c>
      <c r="P125" s="77">
        <f t="shared" si="3"/>
        <v>2950</v>
      </c>
      <c r="Q125" s="35">
        <v>0.1</v>
      </c>
      <c r="R125" s="27"/>
      <c r="S125" s="27" t="s">
        <v>32</v>
      </c>
      <c r="T125" s="75">
        <v>0</v>
      </c>
      <c r="U12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الشراء-الاستلام]]&lt;DATE(2016,1,1),P125-T125,0))</f>
        <v>0</v>
      </c>
      <c r="V125" s="75">
        <f>IF(OR(Table5101345[[#This Row],[تاريخ الشراء-الاستلام]]="",Table5101345[[#This Row],[الإجمالي]]="",Table5101345[[#This Row],[العمر الافتراضي]]=""),"",IF(AND(T125&lt;P125,U125&gt;(P125*Q125),DATE(2015,12,31)&gt;K125),P125*Q125,IF(AND(T125&lt;P125,DATE(2016,12,31)&gt;K125,U125&gt;(P125*Q125)),(DATE(2016,12,31)-K125)/((100%/Q125)*365)*P125,IF(AND(T125&lt;P125,DATE(2016,12,31)&gt;K125,U125=0),(DATE(2016,12,31)-K125)/((100%/Q125)*365)*P125,IF(AND(T125&lt;P125,DATE(2016,12,31)&gt;K125,U125&lt;(P125*Q125)),U125,0)))))</f>
        <v>122.84931506849315</v>
      </c>
      <c r="W125" s="75">
        <f>IF(OR(Table5101345[[#This Row],[تاريخ الشراء-الاستلام]]="",Table5101345[[#This Row],[الإجمالي]]="",Table5101345[[#This Row],[العمر الافتراضي]]=""),"",IF(AND(T125&lt;P125,U125&gt;(P125*Q125),DATE(2016,12,31)&gt;K125),P125*Q125,IF(AND(T125&lt;P125,DATE(2017,12,31)&gt;K125,U125&gt;(P125*Q125)),(DATE(2017,12,31)-K125)/((100%/Q125)*360)*P125,IF(Table5101345[[#This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25" s="75">
        <f>IF(OR(Table5101345[[#This Row],[تاريخ الشراء-الاستلام]]="",Table5101345[[#This Row],[الإجمالي]]="",Table5101345[[#This Row],[العمر الافتراضي]]=""),"",T125+V125)</f>
        <v>122.84931506849315</v>
      </c>
      <c r="Y12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الشراء-الاستلام]]&gt;DATE(2016,12,31),0,P125-X125))</f>
        <v>2827.1506849315069</v>
      </c>
    </row>
    <row r="126" spans="1:25" ht="30" customHeight="1">
      <c r="A126" s="27">
        <f>IF(C126="","",SUBTOTAL(3,$C$5:C126))</f>
        <v>59</v>
      </c>
      <c r="B126" s="92">
        <v>42558</v>
      </c>
      <c r="C126" s="88" t="s">
        <v>202</v>
      </c>
      <c r="D126" s="27" t="s">
        <v>27</v>
      </c>
      <c r="E126" s="84" t="s">
        <v>28</v>
      </c>
      <c r="F126" s="27" t="s">
        <v>29</v>
      </c>
      <c r="G126" s="27"/>
      <c r="H126" s="27" t="s">
        <v>37</v>
      </c>
      <c r="I126" s="27"/>
      <c r="J126" s="84"/>
      <c r="K126" s="96">
        <v>42569</v>
      </c>
      <c r="L126" s="29" t="s">
        <v>203</v>
      </c>
      <c r="M126" s="79">
        <v>1</v>
      </c>
      <c r="N126" s="31">
        <v>1603869</v>
      </c>
      <c r="O126" s="77">
        <v>4600</v>
      </c>
      <c r="P126" s="77">
        <f t="shared" si="3"/>
        <v>4600</v>
      </c>
      <c r="Q126" s="35">
        <v>0.1</v>
      </c>
      <c r="R126" s="27"/>
      <c r="S126" s="27" t="s">
        <v>32</v>
      </c>
      <c r="T126" s="75">
        <v>0</v>
      </c>
      <c r="U12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الشراء-الاستلام]]&lt;DATE(2016,1,1),P126-T126,0))</f>
        <v>0</v>
      </c>
      <c r="V126" s="75">
        <f>IF(OR(Table5101345[[#This Row],[تاريخ الشراء-الاستلام]]="",Table5101345[[#This Row],[الإجمالي]]="",Table5101345[[#This Row],[العمر الافتراضي]]=""),"",IF(AND(T126&lt;P126,U126&gt;(P126*Q126),DATE(2015,12,31)&gt;K126),P126*Q126,IF(AND(T126&lt;P126,DATE(2016,12,31)&gt;K126,U126&gt;(P126*Q126)),(DATE(2016,12,31)-K126)/((100%/Q126)*365)*P126,IF(AND(T126&lt;P126,DATE(2016,12,31)&gt;K126,U126=0),(DATE(2016,12,31)-K126)/((100%/Q126)*365)*P126,IF(AND(T126&lt;P126,DATE(2016,12,31)&gt;K126,U126&lt;(P126*Q126)),U126,0)))))</f>
        <v>209.20547945205479</v>
      </c>
      <c r="W126" s="75">
        <f>IF(OR(Table5101345[[#This Row],[تاريخ الشراء-الاستلام]]="",Table5101345[[#This Row],[الإجمالي]]="",Table5101345[[#This Row],[العمر الافتراضي]]=""),"",IF(AND(T126&lt;P126,U126&gt;(P126*Q126),DATE(2016,12,31)&gt;K126),P126*Q126,IF(AND(T126&lt;P126,DATE(2017,12,31)&gt;K126,U126&gt;(P126*Q126)),(DATE(2017,12,31)-K126)/((100%/Q126)*360)*P126,IF(Table5101345[[#This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26" s="75">
        <f>IF(OR(Table5101345[[#This Row],[تاريخ الشراء-الاستلام]]="",Table5101345[[#This Row],[الإجمالي]]="",Table5101345[[#This Row],[العمر الافتراضي]]=""),"",T126+V126)</f>
        <v>209.20547945205479</v>
      </c>
      <c r="Y126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الشراء-الاستلام]]&gt;DATE(2016,12,31),0,P126-X126))</f>
        <v>4390.7945205479455</v>
      </c>
    </row>
    <row r="127" spans="1:25" ht="30" customHeight="1">
      <c r="A127" s="27">
        <f>IF(C127="","",SUBTOTAL(3,$C$5:C127))</f>
        <v>60</v>
      </c>
      <c r="B127" s="92">
        <v>42617</v>
      </c>
      <c r="C127" s="88" t="s">
        <v>204</v>
      </c>
      <c r="D127" s="27" t="s">
        <v>27</v>
      </c>
      <c r="E127" s="84" t="s">
        <v>28</v>
      </c>
      <c r="F127" s="27" t="s">
        <v>29</v>
      </c>
      <c r="G127" s="27"/>
      <c r="H127" s="27" t="s">
        <v>37</v>
      </c>
      <c r="I127" s="27"/>
      <c r="J127" s="84"/>
      <c r="K127" s="96">
        <v>42593</v>
      </c>
      <c r="L127" s="29" t="s">
        <v>205</v>
      </c>
      <c r="M127" s="79">
        <v>2</v>
      </c>
      <c r="N127" s="31">
        <v>1691</v>
      </c>
      <c r="O127" s="77">
        <v>600</v>
      </c>
      <c r="P127" s="77">
        <f t="shared" si="3"/>
        <v>1200</v>
      </c>
      <c r="Q127" s="35">
        <v>0.1</v>
      </c>
      <c r="R127" s="27"/>
      <c r="S127" s="27" t="s">
        <v>32</v>
      </c>
      <c r="T127" s="75">
        <v>0</v>
      </c>
      <c r="U12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الشراء-الاستلام]]&lt;DATE(2016,1,1),P127-T127,0))</f>
        <v>0</v>
      </c>
      <c r="V127" s="75">
        <f>IF(OR(Table5101345[[#This Row],[تاريخ الشراء-الاستلام]]="",Table5101345[[#This Row],[الإجمالي]]="",Table5101345[[#This Row],[العمر الافتراضي]]=""),"",IF(AND(T127&lt;P127,U127&gt;(P127*Q127),DATE(2015,12,31)&gt;K127),P127*Q127,IF(AND(T127&lt;P127,DATE(2016,12,31)&gt;K127,U127&gt;(P127*Q127)),(DATE(2016,12,31)-K127)/((100%/Q127)*365)*P127,IF(AND(T127&lt;P127,DATE(2016,12,31)&gt;K127,U127=0),(DATE(2016,12,31)-K127)/((100%/Q127)*365)*P127,IF(AND(T127&lt;P127,DATE(2016,12,31)&gt;K127,U127&lt;(P127*Q127)),U127,0)))))</f>
        <v>46.68493150684931</v>
      </c>
      <c r="W127" s="75">
        <f>IF(OR(Table5101345[[#This Row],[تاريخ الشراء-الاستلام]]="",Table5101345[[#This Row],[الإجمالي]]="",Table5101345[[#This Row],[العمر الافتراضي]]=""),"",IF(AND(T127&lt;P127,U127&gt;(P127*Q127),DATE(2016,12,31)&gt;K127),P127*Q127,IF(AND(T127&lt;P127,DATE(2017,12,31)&gt;K127,U127&gt;(P127*Q127)),(DATE(2017,12,31)-K127)/((100%/Q127)*360)*P127,IF(Table5101345[[#This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27" s="75">
        <f>IF(OR(Table5101345[[#This Row],[تاريخ الشراء-الاستلام]]="",Table5101345[[#This Row],[الإجمالي]]="",Table5101345[[#This Row],[العمر الافتراضي]]=""),"",T127+V127)</f>
        <v>46.68493150684931</v>
      </c>
      <c r="Y12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الشراء-الاستلام]]&gt;DATE(2016,12,31),0,P127-X127))</f>
        <v>1153.3150684931506</v>
      </c>
    </row>
    <row r="128" spans="1:25" ht="30" customHeight="1">
      <c r="A128" s="41">
        <f>IF(C128="","",SUBTOTAL(3,$C$5:C156))</f>
        <v>67</v>
      </c>
      <c r="B128" s="95">
        <v>42724</v>
      </c>
      <c r="C128" s="91" t="s">
        <v>206</v>
      </c>
      <c r="D128" s="27" t="s">
        <v>27</v>
      </c>
      <c r="E128" s="84" t="s">
        <v>28</v>
      </c>
      <c r="F128" s="27" t="s">
        <v>29</v>
      </c>
      <c r="G128" s="27"/>
      <c r="H128" s="27" t="s">
        <v>37</v>
      </c>
      <c r="I128" s="43"/>
      <c r="J128" s="86"/>
      <c r="K128" s="97">
        <v>42724</v>
      </c>
      <c r="L128" s="44"/>
      <c r="M128" s="80">
        <v>2</v>
      </c>
      <c r="N128" s="46"/>
      <c r="O128" s="78">
        <v>1750</v>
      </c>
      <c r="P128" s="78">
        <f t="shared" ref="P128:P153" si="4">O128*M128</f>
        <v>3500</v>
      </c>
      <c r="Q128" s="35">
        <v>0.1</v>
      </c>
      <c r="R128" s="43"/>
      <c r="S128" s="27" t="s">
        <v>32</v>
      </c>
      <c r="T128" s="75">
        <v>0</v>
      </c>
      <c r="U128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الشراء-الاستلام]]&lt;DATE(2016,1,1),P128-T128,0))</f>
        <v>0</v>
      </c>
      <c r="V128" s="75">
        <f>IF(OR(Table5101345[[#This Row],[تاريخ الشراء-الاستلام]]="",Table5101345[[#This Row],[الإجمالي]]="",Table5101345[[#This Row],[العمر الافتراضي]]=""),"",IF(AND(T128&lt;P128,U128&gt;(P128*Q128),DATE(2015,12,31)&gt;K128),P128*Q128,IF(AND(T128&lt;P128,DATE(2016,12,31)&gt;K128,U128&gt;(P128*Q128)),(DATE(2016,12,31)-K128)/((100%/Q128)*365)*P128,IF(AND(T128&lt;P128,DATE(2016,12,31)&gt;K128,U128=0),(DATE(2016,12,31)-K128)/((100%/Q128)*365)*P128,IF(AND(T128&lt;P128,DATE(2016,12,31)&gt;K128,U128&lt;(P128*Q128)),U128,0)))))</f>
        <v>10.547945205479452</v>
      </c>
      <c r="W128" s="75">
        <f>IF(OR(Table5101345[[#This Row],[تاريخ الشراء-الاستلام]]="",Table5101345[[#This Row],[الإجمالي]]="",Table5101345[[#This Row],[العمر الافتراضي]]=""),"",IF(AND(T128&lt;P128,U128&gt;(P128*Q128),DATE(2016,12,31)&gt;K128),P128*Q128,IF(AND(T128&lt;P128,DATE(2017,12,31)&gt;K128,U128&gt;(P128*Q128)),(DATE(2017,12,31)-K128)/((100%/Q128)*360)*P128,IF(Table5101345[[#This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28" s="76">
        <f>IF(OR(Table5101345[[#This Row],[تاريخ الشراء-الاستلام]]="",Table5101345[[#This Row],[الإجمالي]]="",Table5101345[[#This Row],[العمر الافتراضي]]=""),"",T128+V128)</f>
        <v>10.547945205479452</v>
      </c>
      <c r="Y128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الشراء-الاستلام]]&gt;DATE(2016,12,31),0,P128-X128))</f>
        <v>3489.4520547945203</v>
      </c>
    </row>
    <row r="129" spans="1:25" ht="30" hidden="1" customHeight="1">
      <c r="A129" s="27">
        <f>IF(C129="","",SUBTOTAL(3,$C$5:C129))</f>
        <v>61</v>
      </c>
      <c r="B129" s="81"/>
      <c r="C129" s="88" t="s">
        <v>207</v>
      </c>
      <c r="D129" s="27" t="s">
        <v>27</v>
      </c>
      <c r="E129" s="84" t="s">
        <v>28</v>
      </c>
      <c r="F129" s="27" t="s">
        <v>29</v>
      </c>
      <c r="G129" s="27"/>
      <c r="H129" s="27" t="s">
        <v>37</v>
      </c>
      <c r="I129" s="27"/>
      <c r="J129" s="84"/>
      <c r="K129" s="97">
        <v>40725</v>
      </c>
      <c r="L129" s="29"/>
      <c r="M129" s="80">
        <v>1</v>
      </c>
      <c r="N129" s="31"/>
      <c r="O129" s="78">
        <v>37500</v>
      </c>
      <c r="P129" s="77">
        <f t="shared" si="4"/>
        <v>37500</v>
      </c>
      <c r="Q129" s="35">
        <v>0.1</v>
      </c>
      <c r="R129" s="27"/>
      <c r="S129" s="27" t="s">
        <v>32</v>
      </c>
      <c r="T129" s="75">
        <v>25335.616438356163</v>
      </c>
      <c r="U12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الشراء-الاستلام]]&lt;DATE(2016,1,1),P129-T129,0))</f>
        <v>12164.383561643837</v>
      </c>
      <c r="V129" s="75">
        <f>IF(OR(Table5101345[[#This Row],[تاريخ الشراء-الاستلام]]="",Table5101345[[#This Row],[الإجمالي]]="",Table5101345[[#This Row],[العمر الافتراضي]]=""),"",IF(AND(T129&lt;P129,U129&gt;(P129*Q129),DATE(2015,12,31)&gt;K129),P129*Q129,IF(AND(T129&lt;P129,DATE(2016,12,31)&gt;K129,U129&gt;(P129*Q129)),(DATE(2016,12,31)-K129)/((100%/Q129)*365)*P129,IF(AND(T129&lt;P129,DATE(2016,12,31)&gt;K129,U129=0),(DATE(2016,12,31)-K129)/((100%/Q129)*365)*P129,IF(AND(T129&lt;P129,DATE(2016,12,31)&gt;K129,U129&lt;(P129*Q129)),U129,0)))))</f>
        <v>3750</v>
      </c>
      <c r="W129" s="75">
        <f>IF(OR(Table5101345[[#This Row],[تاريخ الشراء-الاستلام]]="",Table5101345[[#This Row],[الإجمالي]]="",Table5101345[[#This Row],[العمر الافتراضي]]=""),"",IF(AND(T129&lt;P129,U129&gt;(P129*Q129),DATE(2016,12,31)&gt;K129),P129*Q129,IF(AND(T129&lt;P129,DATE(2017,12,31)&gt;K129,U129&gt;(P129*Q129)),(DATE(2017,12,31)-K129)/((100%/Q129)*360)*P129,IF(Table5101345[[#This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3750</v>
      </c>
      <c r="X129" s="75">
        <f>IF(OR(Table5101345[[#This Row],[تاريخ الشراء-الاستلام]]="",Table5101345[[#This Row],[الإجمالي]]="",Table5101345[[#This Row],[العمر الافتراضي]]=""),"",T129+V129)</f>
        <v>29085.616438356163</v>
      </c>
      <c r="Y12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الشراء-الاستلام]]&gt;DATE(2016,12,31),0,P129-X129))</f>
        <v>8414.3835616438373</v>
      </c>
    </row>
    <row r="130" spans="1:25" ht="30" hidden="1" customHeight="1">
      <c r="A130" s="27">
        <f>IF(C130="","",SUBTOTAL(3,$C$5:C130))</f>
        <v>61</v>
      </c>
      <c r="B130" s="81"/>
      <c r="C130" s="88" t="s">
        <v>208</v>
      </c>
      <c r="D130" s="27" t="s">
        <v>27</v>
      </c>
      <c r="E130" s="84" t="s">
        <v>28</v>
      </c>
      <c r="F130" s="27" t="s">
        <v>29</v>
      </c>
      <c r="G130" s="27"/>
      <c r="H130" s="27" t="s">
        <v>37</v>
      </c>
      <c r="I130" s="27"/>
      <c r="J130" s="84"/>
      <c r="K130" s="97">
        <v>40787</v>
      </c>
      <c r="L130" s="29"/>
      <c r="M130" s="80">
        <v>1</v>
      </c>
      <c r="N130" s="31"/>
      <c r="O130" s="77">
        <v>5820</v>
      </c>
      <c r="P130" s="77">
        <f t="shared" si="4"/>
        <v>5820</v>
      </c>
      <c r="Q130" s="35">
        <v>0.1</v>
      </c>
      <c r="R130" s="27"/>
      <c r="S130" s="27"/>
      <c r="T130" s="75">
        <v>3783.7972602739728</v>
      </c>
      <c r="U13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الشراء-الاستلام]]&lt;DATE(2016,1,1),P130-T130,0))</f>
        <v>2036.2027397260272</v>
      </c>
      <c r="V130" s="75">
        <f>IF(OR(Table5101345[[#This Row],[تاريخ الشراء-الاستلام]]="",Table5101345[[#This Row],[الإجمالي]]="",Table5101345[[#This Row],[العمر الافتراضي]]=""),"",IF(AND(T130&lt;P130,U130&gt;(P130*Q130),DATE(2015,12,31)&gt;K130),P130*Q130,IF(AND(T130&lt;P130,DATE(2016,12,31)&gt;K130,U130&gt;(P130*Q130)),(DATE(2016,12,31)-K130)/((100%/Q130)*365)*P130,IF(AND(T130&lt;P130,DATE(2016,12,31)&gt;K130,U130=0),(DATE(2016,12,31)-K130)/((100%/Q130)*365)*P130,IF(AND(T130&lt;P130,DATE(2016,12,31)&gt;K130,U130&lt;(P130*Q130)),U130,0)))))</f>
        <v>582</v>
      </c>
      <c r="W130" s="75">
        <f>IF(OR(Table5101345[[#This Row],[تاريخ الشراء-الاستلام]]="",Table5101345[[#This Row],[الإجمالي]]="",Table5101345[[#This Row],[العمر الافتراضي]]=""),"",IF(AND(T130&lt;P130,U130&gt;(P130*Q130),DATE(2016,12,31)&gt;K130),P130*Q130,IF(AND(T130&lt;P130,DATE(2017,12,31)&gt;K130,U130&gt;(P130*Q130)),(DATE(2017,12,31)-K130)/((100%/Q130)*360)*P130,IF(Table5101345[[#This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582</v>
      </c>
      <c r="X130" s="75">
        <f>IF(OR(Table5101345[[#This Row],[تاريخ الشراء-الاستلام]]="",Table5101345[[#This Row],[الإجمالي]]="",Table5101345[[#This Row],[العمر الافتراضي]]=""),"",T130+V130)</f>
        <v>4365.7972602739728</v>
      </c>
      <c r="Y130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الشراء-الاستلام]]&gt;DATE(2016,12,31),0,P130-X130))</f>
        <v>1454.2027397260272</v>
      </c>
    </row>
    <row r="131" spans="1:25" ht="30" hidden="1" customHeight="1">
      <c r="A131" s="27">
        <f>IF(C131="","",SUBTOTAL(3,$C$5:C131))</f>
        <v>61</v>
      </c>
      <c r="B131" s="81"/>
      <c r="C131" s="88" t="s">
        <v>209</v>
      </c>
      <c r="D131" s="27" t="s">
        <v>27</v>
      </c>
      <c r="E131" s="84" t="s">
        <v>28</v>
      </c>
      <c r="F131" s="27" t="s">
        <v>29</v>
      </c>
      <c r="G131" s="27"/>
      <c r="H131" s="27" t="s">
        <v>37</v>
      </c>
      <c r="I131" s="27"/>
      <c r="J131" s="84"/>
      <c r="K131" s="97">
        <v>40695</v>
      </c>
      <c r="L131" s="29"/>
      <c r="M131" s="80">
        <v>4</v>
      </c>
      <c r="N131" s="31"/>
      <c r="O131" s="77">
        <v>20186.2</v>
      </c>
      <c r="P131" s="77">
        <f t="shared" si="4"/>
        <v>80744.800000000003</v>
      </c>
      <c r="Q131" s="35">
        <v>9.6259999999999998E-2</v>
      </c>
      <c r="R131" s="27"/>
      <c r="S131" s="27" t="s">
        <v>32</v>
      </c>
      <c r="T131" s="75">
        <v>55548</v>
      </c>
      <c r="U13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الشراء-الاستلام]]&lt;DATE(2016,1,1),P131-T131,0))</f>
        <v>25196.800000000003</v>
      </c>
      <c r="V131" s="75">
        <f>IF(OR(Table5101345[[#This Row],[تاريخ الشراء-الاستلام]]="",Table5101345[[#This Row],[الإجمالي]]="",Table5101345[[#This Row],[العمر الافتراضي]]=""),"",IF(AND(T131&lt;P131,U131&gt;(P131*Q131),DATE(2015,12,31)&gt;K131),P131*Q131,IF(AND(T131&lt;P131,DATE(2016,12,31)&gt;K131,U131&gt;(P131*Q131)),(DATE(2016,12,31)-K131)/((100%/Q131)*365)*P131,IF(AND(T131&lt;P131,DATE(2016,12,31)&gt;K131,U131=0),(DATE(2016,12,31)-K131)/((100%/Q131)*365)*P131,IF(AND(T131&lt;P131,DATE(2016,12,31)&gt;K131,U131&lt;(P131*Q131)),U131,0)))))</f>
        <v>7772.4944480000004</v>
      </c>
      <c r="W131" s="75">
        <f>IF(OR(Table5101345[[#This Row],[تاريخ الشراء-الاستلام]]="",Table5101345[[#This Row],[الإجمالي]]="",Table5101345[[#This Row],[العمر الافتراضي]]=""),"",IF(AND(T131&lt;P131,U131&gt;(P131*Q131),DATE(2016,12,31)&gt;K131),P131*Q131,IF(AND(T131&lt;P131,DATE(2017,12,31)&gt;K131,U131&gt;(P131*Q131)),(DATE(2017,12,31)-K131)/((100%/Q131)*360)*P131,IF(Table5101345[[#This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7772.4944480000004</v>
      </c>
      <c r="X131" s="75">
        <f>IF(OR(Table5101345[[#This Row],[تاريخ الشراء-الاستلام]]="",Table5101345[[#This Row],[الإجمالي]]="",Table5101345[[#This Row],[العمر الافتراضي]]=""),"",T131+V131)</f>
        <v>63320.494447999998</v>
      </c>
      <c r="Y13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الشراء-الاستلام]]&gt;DATE(2016,12,31),0,P131-X131))</f>
        <v>17424.305552000005</v>
      </c>
    </row>
    <row r="132" spans="1:25" ht="30" hidden="1" customHeight="1">
      <c r="A132" s="27">
        <f>IF(C132="","",SUBTOTAL(3,$C$5:C132))</f>
        <v>61</v>
      </c>
      <c r="B132" s="81"/>
      <c r="C132" s="88" t="s">
        <v>210</v>
      </c>
      <c r="D132" s="27" t="s">
        <v>27</v>
      </c>
      <c r="E132" s="84" t="s">
        <v>28</v>
      </c>
      <c r="F132" s="27" t="s">
        <v>29</v>
      </c>
      <c r="G132" s="27"/>
      <c r="H132" s="27" t="s">
        <v>37</v>
      </c>
      <c r="I132" s="27"/>
      <c r="J132" s="84"/>
      <c r="K132" s="97">
        <v>40787</v>
      </c>
      <c r="L132" s="29"/>
      <c r="M132" s="80">
        <v>1</v>
      </c>
      <c r="N132" s="31"/>
      <c r="O132" s="77">
        <v>4000</v>
      </c>
      <c r="P132" s="77">
        <f t="shared" si="4"/>
        <v>4000</v>
      </c>
      <c r="Q132" s="35">
        <v>0.1</v>
      </c>
      <c r="R132" s="27"/>
      <c r="S132" s="27"/>
      <c r="T132" s="75">
        <v>2600.5479452054792</v>
      </c>
      <c r="U13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الشراء-الاستلام]]&lt;DATE(2016,1,1),P132-T132,0))</f>
        <v>1399.4520547945208</v>
      </c>
      <c r="V132" s="75">
        <f>IF(OR(Table5101345[[#This Row],[تاريخ الشراء-الاستلام]]="",Table5101345[[#This Row],[الإجمالي]]="",Table5101345[[#This Row],[العمر الافتراضي]]=""),"",IF(AND(T132&lt;P132,U132&gt;(P132*Q132),DATE(2015,12,31)&gt;K132),P132*Q132,IF(AND(T132&lt;P132,DATE(2016,12,31)&gt;K132,U132&gt;(P132*Q132)),(DATE(2016,12,31)-K132)/((100%/Q132)*365)*P132,IF(AND(T132&lt;P132,DATE(2016,12,31)&gt;K132,U132=0),(DATE(2016,12,31)-K132)/((100%/Q132)*365)*P132,IF(AND(T132&lt;P132,DATE(2016,12,31)&gt;K132,U132&lt;(P132*Q132)),U132,0)))))</f>
        <v>400</v>
      </c>
      <c r="W132" s="75">
        <f>IF(OR(Table5101345[[#This Row],[تاريخ الشراء-الاستلام]]="",Table5101345[[#This Row],[الإجمالي]]="",Table5101345[[#This Row],[العمر الافتراضي]]=""),"",IF(AND(T132&lt;P132,U132&gt;(P132*Q132),DATE(2016,12,31)&gt;K132),P132*Q132,IF(AND(T132&lt;P132,DATE(2017,12,31)&gt;K132,U132&gt;(P132*Q132)),(DATE(2017,12,31)-K132)/((100%/Q132)*360)*P132,IF(Table5101345[[#This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400</v>
      </c>
      <c r="X132" s="75">
        <f>IF(OR(Table5101345[[#This Row],[تاريخ الشراء-الاستلام]]="",Table5101345[[#This Row],[الإجمالي]]="",Table5101345[[#This Row],[العمر الافتراضي]]=""),"",T132+V132)</f>
        <v>3000.5479452054792</v>
      </c>
      <c r="Y13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الشراء-الاستلام]]&gt;DATE(2016,12,31),0,P132-X132))</f>
        <v>999.45205479452079</v>
      </c>
    </row>
    <row r="133" spans="1:25" ht="30" hidden="1" customHeight="1">
      <c r="A133" s="27">
        <f>IF(C133="","",SUBTOTAL(3,$C$5:C133))</f>
        <v>61</v>
      </c>
      <c r="B133" s="81"/>
      <c r="C133" s="88" t="s">
        <v>211</v>
      </c>
      <c r="D133" s="27" t="s">
        <v>27</v>
      </c>
      <c r="E133" s="84" t="s">
        <v>28</v>
      </c>
      <c r="F133" s="27" t="s">
        <v>29</v>
      </c>
      <c r="G133" s="27"/>
      <c r="H133" s="27" t="s">
        <v>37</v>
      </c>
      <c r="I133" s="27"/>
      <c r="J133" s="84"/>
      <c r="K133" s="97">
        <v>41030</v>
      </c>
      <c r="L133" s="29"/>
      <c r="M133" s="80">
        <v>1</v>
      </c>
      <c r="N133" s="31"/>
      <c r="O133" s="77">
        <v>16872</v>
      </c>
      <c r="P133" s="77">
        <f t="shared" si="4"/>
        <v>16872</v>
      </c>
      <c r="Q133" s="35">
        <v>0.1</v>
      </c>
      <c r="R133" s="27"/>
      <c r="S133" s="27"/>
      <c r="T133" s="75">
        <v>9284.2224657534243</v>
      </c>
      <c r="U13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الشراء-الاستلام]]&lt;DATE(2016,1,1),P133-T133,0))</f>
        <v>7587.7775342465757</v>
      </c>
      <c r="V133" s="75">
        <f>IF(OR(Table5101345[[#This Row],[تاريخ الشراء-الاستلام]]="",Table5101345[[#This Row],[الإجمالي]]="",Table5101345[[#This Row],[العمر الافتراضي]]=""),"",IF(AND(T133&lt;P133,U133&gt;(P133*Q133),DATE(2015,12,31)&gt;K133),P133*Q133,IF(AND(T133&lt;P133,DATE(2016,12,31)&gt;K133,U133&gt;(P133*Q133)),(DATE(2016,12,31)-K133)/((100%/Q133)*365)*P133,IF(AND(T133&lt;P133,DATE(2016,12,31)&gt;K133,U133=0),(DATE(2016,12,31)-K133)/((100%/Q133)*365)*P133,IF(AND(T133&lt;P133,DATE(2016,12,31)&gt;K133,U133&lt;(P133*Q133)),U133,0)))))</f>
        <v>1687.2</v>
      </c>
      <c r="W133" s="75">
        <f>IF(OR(Table5101345[[#This Row],[تاريخ الشراء-الاستلام]]="",Table5101345[[#This Row],[الإجمالي]]="",Table5101345[[#This Row],[العمر الافتراضي]]=""),"",IF(AND(T133&lt;P133,U133&gt;(P133*Q133),DATE(2016,12,31)&gt;K133),P133*Q133,IF(AND(T133&lt;P133,DATE(2017,12,31)&gt;K133,U133&gt;(P133*Q133)),(DATE(2017,12,31)-K133)/((100%/Q133)*360)*P133,IF(Table5101345[[#This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1687.2</v>
      </c>
      <c r="X133" s="75">
        <f>IF(OR(Table5101345[[#This Row],[تاريخ الشراء-الاستلام]]="",Table5101345[[#This Row],[الإجمالي]]="",Table5101345[[#This Row],[العمر الافتراضي]]=""),"",T133+V133)</f>
        <v>10971.422465753425</v>
      </c>
      <c r="Y133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الشراء-الاستلام]]&gt;DATE(2016,12,31),0,P133-X133))</f>
        <v>5900.5775342465749</v>
      </c>
    </row>
    <row r="134" spans="1:25" ht="30" hidden="1" customHeight="1">
      <c r="A134" s="27">
        <f>IF(C134="","",SUBTOTAL(3,$C$5:C134))</f>
        <v>61</v>
      </c>
      <c r="B134" s="81"/>
      <c r="C134" s="88" t="s">
        <v>212</v>
      </c>
      <c r="D134" s="27" t="s">
        <v>27</v>
      </c>
      <c r="E134" s="84" t="s">
        <v>28</v>
      </c>
      <c r="F134" s="27" t="s">
        <v>29</v>
      </c>
      <c r="G134" s="27"/>
      <c r="H134" s="27" t="s">
        <v>37</v>
      </c>
      <c r="I134" s="27"/>
      <c r="J134" s="84"/>
      <c r="K134" s="97">
        <v>41122</v>
      </c>
      <c r="L134" s="29"/>
      <c r="M134" s="80">
        <v>1</v>
      </c>
      <c r="N134" s="31"/>
      <c r="O134" s="77">
        <v>1480</v>
      </c>
      <c r="P134" s="77">
        <f t="shared" si="4"/>
        <v>1480</v>
      </c>
      <c r="Q134" s="35">
        <v>0.1</v>
      </c>
      <c r="R134" s="27"/>
      <c r="S134" s="27"/>
      <c r="T134" s="75">
        <v>758.44931506849309</v>
      </c>
      <c r="U13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الشراء-الاستلام]]&lt;DATE(2016,1,1),P134-T134,0))</f>
        <v>721.55068493150691</v>
      </c>
      <c r="V134" s="75">
        <f>IF(OR(Table5101345[[#This Row],[تاريخ الشراء-الاستلام]]="",Table5101345[[#This Row],[الإجمالي]]="",Table5101345[[#This Row],[العمر الافتراضي]]=""),"",IF(AND(T134&lt;P134,U134&gt;(P134*Q134),DATE(2015,12,31)&gt;K134),P134*Q134,IF(AND(T134&lt;P134,DATE(2016,12,31)&gt;K134,U134&gt;(P134*Q134)),(DATE(2016,12,31)-K134)/((100%/Q134)*365)*P134,IF(AND(T134&lt;P134,DATE(2016,12,31)&gt;K134,U134=0),(DATE(2016,12,31)-K134)/((100%/Q134)*365)*P134,IF(AND(T134&lt;P134,DATE(2016,12,31)&gt;K134,U134&lt;(P134*Q134)),U134,0)))))</f>
        <v>148</v>
      </c>
      <c r="W134" s="75">
        <f>IF(OR(Table5101345[[#This Row],[تاريخ الشراء-الاستلام]]="",Table5101345[[#This Row],[الإجمالي]]="",Table5101345[[#This Row],[العمر الافتراضي]]=""),"",IF(AND(T134&lt;P134,U134&gt;(P134*Q134),DATE(2016,12,31)&gt;K134),P134*Q134,IF(AND(T134&lt;P134,DATE(2017,12,31)&gt;K134,U134&gt;(P134*Q134)),(DATE(2017,12,31)-K134)/((100%/Q134)*360)*P134,IF(Table5101345[[#This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148</v>
      </c>
      <c r="X134" s="75">
        <f>IF(OR(Table5101345[[#This Row],[تاريخ الشراء-الاستلام]]="",Table5101345[[#This Row],[الإجمالي]]="",Table5101345[[#This Row],[العمر الافتراضي]]=""),"",T134+V134)</f>
        <v>906.44931506849309</v>
      </c>
      <c r="Y134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الشراء-الاستلام]]&gt;DATE(2016,12,31),0,P134-X134))</f>
        <v>573.55068493150691</v>
      </c>
    </row>
    <row r="135" spans="1:25" ht="30" hidden="1" customHeight="1">
      <c r="A135" s="41">
        <f>IF(C135="","",SUBTOTAL(3,$C$5:C135))</f>
        <v>61</v>
      </c>
      <c r="B135" s="83"/>
      <c r="C135" s="91" t="s">
        <v>213</v>
      </c>
      <c r="D135" s="27" t="s">
        <v>27</v>
      </c>
      <c r="E135" s="84" t="s">
        <v>28</v>
      </c>
      <c r="F135" s="27" t="s">
        <v>29</v>
      </c>
      <c r="G135" s="27"/>
      <c r="H135" s="27" t="s">
        <v>37</v>
      </c>
      <c r="I135" s="43"/>
      <c r="J135" s="86"/>
      <c r="K135" s="97">
        <v>42012</v>
      </c>
      <c r="L135" s="44"/>
      <c r="M135" s="80">
        <v>2</v>
      </c>
      <c r="N135" s="46"/>
      <c r="O135" s="78">
        <v>3250</v>
      </c>
      <c r="P135" s="78">
        <f t="shared" si="4"/>
        <v>6500</v>
      </c>
      <c r="Q135" s="35">
        <v>0.1</v>
      </c>
      <c r="R135" s="43"/>
      <c r="S135" s="43"/>
      <c r="T135" s="75">
        <v>953.63013698630141</v>
      </c>
      <c r="U135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الشراء-الاستلام]]&lt;DATE(2016,1,1),P135-T135,0))</f>
        <v>5546.3698630136987</v>
      </c>
      <c r="V135" s="76">
        <f>IF(OR(Table5101345[[#This Row],[تاريخ الشراء-الاستلام]]="",Table5101345[[#This Row],[الإجمالي]]="",Table5101345[[#This Row],[العمر الافتراضي]]=""),"",IF(AND(T135&lt;P135,U135&gt;(P135*Q135),DATE(2015,12,31)&gt;K135),P135*Q135,IF(AND(T135&lt;P135,DATE(2016,12,31)&gt;K135,U135&gt;(P135*Q135)),(DATE(2016,12,31)-K135)/((100%/Q135)*365)*P135,IF(AND(T135&lt;P135,DATE(2016,12,31)&gt;K135,U135=0),(DATE(2016,12,31)-K135)/((100%/Q135)*365)*P135,IF(AND(T135&lt;P135,DATE(2016,12,31)&gt;K135,U135&lt;(P135*Q135)),U135,0)))))</f>
        <v>650</v>
      </c>
      <c r="W135" s="75">
        <f>IF(OR(Table5101345[[#This Row],[تاريخ الشراء-الاستلام]]="",Table5101345[[#This Row],[الإجمالي]]="",Table5101345[[#This Row],[العمر الافتراضي]]=""),"",IF(AND(T135&lt;P135,U135&gt;(P135*Q135),DATE(2016,12,31)&gt;K135),P135*Q135,IF(AND(T135&lt;P135,DATE(2017,12,31)&gt;K135,U135&gt;(P135*Q135)),(DATE(2017,12,31)-K135)/((100%/Q135)*360)*P135,IF(Table5101345[[#This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650</v>
      </c>
      <c r="X135" s="76">
        <f>IF(OR(Table5101345[[#This Row],[تاريخ الشراء-الاستلام]]="",Table5101345[[#This Row],[الإجمالي]]="",Table5101345[[#This Row],[العمر الافتراضي]]=""),"",T135+V135)</f>
        <v>1603.6301369863013</v>
      </c>
      <c r="Y135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الشراء-الاستلام]]&gt;DATE(2016,12,31),0,P135-X135))</f>
        <v>4896.3698630136987</v>
      </c>
    </row>
    <row r="136" spans="1:25" ht="39">
      <c r="A136" s="41">
        <f>IF(C136="","",SUBTOTAL(3,$C$5:C136))</f>
        <v>62</v>
      </c>
      <c r="B136" s="95">
        <v>42689</v>
      </c>
      <c r="C136" s="91" t="s">
        <v>41</v>
      </c>
      <c r="D136" s="43" t="s">
        <v>27</v>
      </c>
      <c r="E136" s="86" t="s">
        <v>41</v>
      </c>
      <c r="F136" s="43" t="s">
        <v>29</v>
      </c>
      <c r="G136" s="43"/>
      <c r="H136" s="43"/>
      <c r="I136" s="43"/>
      <c r="J136" s="86" t="s">
        <v>214</v>
      </c>
      <c r="K136" s="97">
        <v>42675</v>
      </c>
      <c r="L136" s="44"/>
      <c r="M136" s="80">
        <v>2</v>
      </c>
      <c r="N136" s="46"/>
      <c r="O136" s="78">
        <v>800</v>
      </c>
      <c r="P136" s="78">
        <f t="shared" si="4"/>
        <v>1600</v>
      </c>
      <c r="Q136" s="49">
        <v>0.2</v>
      </c>
      <c r="R136" s="43"/>
      <c r="S136" s="43" t="s">
        <v>32</v>
      </c>
      <c r="T136" s="75">
        <v>0</v>
      </c>
      <c r="U136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الشراء-الاستلام]]&lt;DATE(2016,1,1),P136-T136,0))</f>
        <v>0</v>
      </c>
      <c r="V136" s="76">
        <f>IF(OR(Table5101345[[#This Row],[تاريخ الشراء-الاستلام]]="",Table5101345[[#This Row],[الإجمالي]]="",Table5101345[[#This Row],[العمر الافتراضي]]=""),"",IF(AND(T136&lt;P136,U136&gt;(P136*Q136),DATE(2015,12,31)&gt;K136),P136*Q136,IF(AND(T136&lt;P136,DATE(2016,12,31)&gt;K136,U136&gt;(P136*Q136)),(DATE(2016,12,31)-K136)/((100%/Q136)*365)*P136,IF(AND(T136&lt;P136,DATE(2016,12,31)&gt;K136,U136=0),(DATE(2016,12,31)-K136)/((100%/Q136)*365)*P136,IF(AND(T136&lt;P136,DATE(2016,12,31)&gt;K136,U136&lt;(P136*Q136)),U136,0)))))</f>
        <v>52.602739726027394</v>
      </c>
      <c r="W136" s="75">
        <f>IF(OR(Table5101345[[#This Row],[تاريخ الشراء-الاستلام]]="",Table5101345[[#This Row],[الإجمالي]]="",Table5101345[[#This Row],[العمر الافتراضي]]=""),"",IF(AND(T136&lt;P136,U136&gt;(P136*Q136),DATE(2016,12,31)&gt;K136),P136*Q136,IF(AND(T136&lt;P136,DATE(2017,12,31)&gt;K136,U136&gt;(P136*Q136)),(DATE(2017,12,31)-K136)/((100%/Q136)*360)*P136,IF(Table5101345[[#This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36" s="76">
        <f>IF(OR(Table5101345[[#This Row],[تاريخ الشراء-الاستلام]]="",Table5101345[[#This Row],[الإجمالي]]="",Table5101345[[#This Row],[العمر الافتراضي]]=""),"",T136+V136)</f>
        <v>52.602739726027394</v>
      </c>
      <c r="Y136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الشراء-الاستلام]]&gt;DATE(2016,12,31),0,P136-X136))</f>
        <v>1547.3972602739725</v>
      </c>
    </row>
    <row r="137" spans="1:25" ht="30" customHeight="1">
      <c r="A137" s="41">
        <f>IF(C137="","",SUBTOTAL(3,$C$5:C137))</f>
        <v>63</v>
      </c>
      <c r="B137" s="95">
        <v>42431</v>
      </c>
      <c r="C137" s="91" t="s">
        <v>215</v>
      </c>
      <c r="D137" s="43" t="s">
        <v>27</v>
      </c>
      <c r="E137" s="86" t="s">
        <v>216</v>
      </c>
      <c r="F137" s="43" t="s">
        <v>29</v>
      </c>
      <c r="G137" s="43"/>
      <c r="H137" s="43"/>
      <c r="I137" s="43"/>
      <c r="J137" s="86"/>
      <c r="K137" s="97">
        <v>42675</v>
      </c>
      <c r="L137" s="44"/>
      <c r="M137" s="80">
        <v>3</v>
      </c>
      <c r="N137" s="46"/>
      <c r="O137" s="78">
        <v>300</v>
      </c>
      <c r="P137" s="78">
        <f t="shared" si="4"/>
        <v>900</v>
      </c>
      <c r="Q137" s="35">
        <v>4.4999999999999998E-2</v>
      </c>
      <c r="R137" s="43"/>
      <c r="S137" s="43" t="s">
        <v>32</v>
      </c>
      <c r="T137" s="75">
        <v>0</v>
      </c>
      <c r="U137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الشراء-الاستلام]]&lt;DATE(2016,1,1),P137-T137,0))</f>
        <v>0</v>
      </c>
      <c r="V137" s="76">
        <f>IF(OR(Table5101345[[#This Row],[تاريخ الشراء-الاستلام]]="",Table5101345[[#This Row],[الإجمالي]]="",Table5101345[[#This Row],[العمر الافتراضي]]=""),"",IF(AND(T137&lt;P137,U137&gt;(P137*Q137),DATE(2015,12,31)&gt;K137),P137*Q137,IF(AND(T137&lt;P137,DATE(2016,12,31)&gt;K137,U137&gt;(P137*Q137)),(DATE(2016,12,31)-K137)/((100%/Q137)*365)*P137,IF(AND(T137&lt;P137,DATE(2016,12,31)&gt;K137,U137=0),(DATE(2016,12,31)-K137)/((100%/Q137)*365)*P137,IF(AND(T137&lt;P137,DATE(2016,12,31)&gt;K137,U137&lt;(P137*Q137)),U137,0)))))</f>
        <v>6.6575342465753433</v>
      </c>
      <c r="W137" s="75">
        <f>IF(OR(Table5101345[[#This Row],[تاريخ الشراء-الاستلام]]="",Table5101345[[#This Row],[الإجمالي]]="",Table5101345[[#This Row],[العمر الافتراضي]]=""),"",IF(AND(T137&lt;P137,U137&gt;(P137*Q137),DATE(2016,12,31)&gt;K137),P137*Q137,IF(AND(T137&lt;P137,DATE(2017,12,31)&gt;K137,U137&gt;(P137*Q137)),(DATE(2017,12,31)-K137)/((100%/Q137)*360)*P137,IF(Table5101345[[#This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37" s="76">
        <f>IF(OR(Table5101345[[#This Row],[تاريخ الشراء-الاستلام]]="",Table5101345[[#This Row],[الإجمالي]]="",Table5101345[[#This Row],[العمر الافتراضي]]=""),"",T137+V137)</f>
        <v>6.6575342465753433</v>
      </c>
      <c r="Y137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الشراء-الاستلام]]&gt;DATE(2016,12,31),0,P137-X137))</f>
        <v>893.34246575342468</v>
      </c>
    </row>
    <row r="138" spans="1:25" ht="30" customHeight="1">
      <c r="A138" s="41">
        <f>IF(C138="","",SUBTOTAL(3,$C$5:C138))</f>
        <v>64</v>
      </c>
      <c r="B138" s="83" t="s">
        <v>217</v>
      </c>
      <c r="C138" s="91" t="s">
        <v>218</v>
      </c>
      <c r="D138" s="43" t="s">
        <v>27</v>
      </c>
      <c r="E138" s="86" t="s">
        <v>55</v>
      </c>
      <c r="F138" s="43" t="s">
        <v>29</v>
      </c>
      <c r="G138" s="43" t="s">
        <v>96</v>
      </c>
      <c r="H138" s="43" t="s">
        <v>37</v>
      </c>
      <c r="I138" s="43" t="s">
        <v>97</v>
      </c>
      <c r="J138" s="86" t="s">
        <v>98</v>
      </c>
      <c r="K138" s="97">
        <v>42430</v>
      </c>
      <c r="L138" s="44"/>
      <c r="M138" s="80">
        <v>1</v>
      </c>
      <c r="N138" s="46"/>
      <c r="O138" s="78">
        <v>53430</v>
      </c>
      <c r="P138" s="78">
        <f t="shared" si="4"/>
        <v>53430</v>
      </c>
      <c r="Q138" s="49">
        <v>0.15</v>
      </c>
      <c r="R138" s="43"/>
      <c r="S138" s="43" t="s">
        <v>32</v>
      </c>
      <c r="T138" s="75">
        <v>0</v>
      </c>
      <c r="U138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الشراء-الاستلام]]&lt;DATE(2016,1,1),P138-T138,0))</f>
        <v>0</v>
      </c>
      <c r="V138" s="76">
        <f>IF(OR(Table5101345[[#This Row],[تاريخ الشراء-الاستلام]]="",Table5101345[[#This Row],[الإجمالي]]="",Table5101345[[#This Row],[العمر الافتراضي]]=""),"",IF(AND(T138&lt;P138,U138&gt;(P138*Q138),DATE(2015,12,31)&gt;K138),P138*Q138,IF(AND(T138&lt;P138,DATE(2016,12,31)&gt;K138,U138&gt;(P138*Q138)),(DATE(2016,12,31)-K138)/((100%/Q138)*365)*P138,IF(AND(T138&lt;P138,DATE(2016,12,31)&gt;K138,U138=0),(DATE(2016,12,31)-K138)/((100%/Q138)*365)*P138,IF(AND(T138&lt;P138,DATE(2016,12,31)&gt;K138,U138&lt;(P138*Q138)),U138,0)))))</f>
        <v>6697.0479452054788</v>
      </c>
      <c r="W138" s="75">
        <f>IF(OR(Table5101345[[#This Row],[تاريخ الشراء-الاستلام]]="",Table5101345[[#This Row],[الإجمالي]]="",Table5101345[[#This Row],[العمر الافتراضي]]=""),"",IF(AND(T138&lt;P138,U138&gt;(P138*Q138),DATE(2016,12,31)&gt;K138),P138*Q138,IF(AND(T138&lt;P138,DATE(2017,12,31)&gt;K138,U138&gt;(P138*Q138)),(DATE(2017,12,31)-K138)/((100%/Q138)*360)*P138,IF(Table5101345[[#This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38" s="76">
        <f>IF(OR(Table5101345[[#This Row],[تاريخ الشراء-الاستلام]]="",Table5101345[[#This Row],[الإجمالي]]="",Table5101345[[#This Row],[العمر الافتراضي]]=""),"",T138+V138)</f>
        <v>6697.0479452054788</v>
      </c>
      <c r="Y138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الشراء-الاستلام]]&gt;DATE(2016,12,31),0,P138-X138))</f>
        <v>46732.952054794521</v>
      </c>
    </row>
    <row r="139" spans="1:25" ht="39">
      <c r="A139" s="41">
        <f>IF(C139="","",SUBTOTAL(3,$C$5:C139))</f>
        <v>65</v>
      </c>
      <c r="B139" s="95" t="s">
        <v>219</v>
      </c>
      <c r="C139" s="91" t="s">
        <v>92</v>
      </c>
      <c r="D139" s="43" t="s">
        <v>27</v>
      </c>
      <c r="E139" s="86" t="s">
        <v>93</v>
      </c>
      <c r="F139" s="43" t="s">
        <v>29</v>
      </c>
      <c r="G139" s="43"/>
      <c r="H139" s="43" t="s">
        <v>37</v>
      </c>
      <c r="I139" s="43"/>
      <c r="J139" s="86" t="s">
        <v>220</v>
      </c>
      <c r="K139" s="97">
        <v>42494</v>
      </c>
      <c r="L139" s="44" t="s">
        <v>221</v>
      </c>
      <c r="M139" s="80">
        <v>4</v>
      </c>
      <c r="N139" s="46"/>
      <c r="O139" s="78">
        <v>66000</v>
      </c>
      <c r="P139" s="78">
        <f t="shared" si="4"/>
        <v>264000</v>
      </c>
      <c r="Q139" s="49">
        <v>0.15</v>
      </c>
      <c r="R139" s="43"/>
      <c r="S139" s="43" t="s">
        <v>32</v>
      </c>
      <c r="T139" s="75">
        <v>0</v>
      </c>
      <c r="U139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الشراء-الاستلام]]&lt;DATE(2016,1,1),P139-T139,0))</f>
        <v>0</v>
      </c>
      <c r="V139" s="76">
        <f>IF(OR(Table5101345[[#This Row],[تاريخ الشراء-الاستلام]]="",Table5101345[[#This Row],[الإجمالي]]="",Table5101345[[#This Row],[العمر الافتراضي]]=""),"",IF(AND(T139&lt;P139,U139&gt;(P139*Q139),DATE(2015,12,31)&gt;K139),P139*Q139,IF(AND(T139&lt;P139,DATE(2016,12,31)&gt;K139,U139&gt;(P139*Q139)),(DATE(2016,12,31)-K139)/((100%/Q139)*365)*P139,IF(AND(T139&lt;P139,DATE(2016,12,31)&gt;K139,U139=0),(DATE(2016,12,31)-K139)/((100%/Q139)*365)*P139,IF(AND(T139&lt;P139,DATE(2016,12,31)&gt;K139,U139&lt;(P139*Q139)),U139,0)))))</f>
        <v>26146.849315068492</v>
      </c>
      <c r="W139" s="75">
        <f>IF(OR(Table5101345[[#This Row],[تاريخ الشراء-الاستلام]]="",Table5101345[[#This Row],[الإجمالي]]="",Table5101345[[#This Row],[العمر الافتراضي]]=""),"",IF(AND(T139&lt;P139,U139&gt;(P139*Q139),DATE(2016,12,31)&gt;K139),P139*Q139,IF(AND(T139&lt;P139,DATE(2017,12,31)&gt;K139,U139&gt;(P139*Q139)),(DATE(2017,12,31)-K139)/((100%/Q139)*360)*P139,IF(Table5101345[[#This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39" s="76">
        <f>IF(OR(Table5101345[[#This Row],[تاريخ الشراء-الاستلام]]="",Table5101345[[#This Row],[الإجمالي]]="",Table5101345[[#This Row],[العمر الافتراضي]]=""),"",T139+V139)</f>
        <v>26146.849315068492</v>
      </c>
      <c r="Y139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الشراء-الاستلام]]&gt;DATE(2016,12,31),0,P139-X139))</f>
        <v>237853.15068493152</v>
      </c>
    </row>
    <row r="140" spans="1:25" ht="63" hidden="1">
      <c r="A140" s="41">
        <f>IF(C140="","",SUBTOTAL(3,$C$5:C140))</f>
        <v>65</v>
      </c>
      <c r="B140" s="83"/>
      <c r="C140" s="91" t="s">
        <v>187</v>
      </c>
      <c r="D140" s="43" t="s">
        <v>27</v>
      </c>
      <c r="E140" s="86" t="s">
        <v>55</v>
      </c>
      <c r="F140" s="43" t="s">
        <v>29</v>
      </c>
      <c r="G140" s="43" t="s">
        <v>96</v>
      </c>
      <c r="H140" s="43" t="s">
        <v>37</v>
      </c>
      <c r="I140" s="43"/>
      <c r="J140" s="87" t="s">
        <v>222</v>
      </c>
      <c r="K140" s="97">
        <v>39813</v>
      </c>
      <c r="L140" s="44" t="s">
        <v>87</v>
      </c>
      <c r="M140" s="80">
        <v>1</v>
      </c>
      <c r="N140" s="46"/>
      <c r="O140" s="78">
        <v>222529</v>
      </c>
      <c r="P140" s="78">
        <f t="shared" si="4"/>
        <v>222529</v>
      </c>
      <c r="Q140" s="49">
        <v>0.15</v>
      </c>
      <c r="R140" s="43"/>
      <c r="S140" s="43" t="s">
        <v>32</v>
      </c>
      <c r="T140" s="75">
        <v>222529</v>
      </c>
      <c r="U140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الشراء-الاستلام]]&lt;DATE(2016,1,1),P140-T140,0))</f>
        <v>0</v>
      </c>
      <c r="V140" s="76">
        <f>IF(OR(Table5101345[[#This Row],[تاريخ الشراء-الاستلام]]="",Table5101345[[#This Row],[الإجمالي]]="",Table5101345[[#This Row],[العمر الافتراضي]]=""),"",IF(AND(T140&lt;P140,U140&gt;(P140*Q140),DATE(2015,12,31)&gt;K140),P140*Q140,IF(AND(T140&lt;P140,DATE(2016,12,31)&gt;K140,U140&gt;(P140*Q140)),(DATE(2016,12,31)-K140)/((100%/Q140)*365)*P140,IF(AND(T140&lt;P140,DATE(2016,12,31)&gt;K140,U140=0),(DATE(2016,12,31)-K140)/((100%/Q140)*365)*P140,IF(AND(T140&lt;P140,DATE(2016,12,31)&gt;K140,U140&lt;(P140*Q140)),U140,0)))))</f>
        <v>0</v>
      </c>
      <c r="W140" s="75">
        <f>IF(OR(Table5101345[[#This Row],[تاريخ الشراء-الاستلام]]="",Table5101345[[#This Row],[الإجمالي]]="",Table5101345[[#This Row],[العمر الافتراضي]]=""),"",IF(AND(T140&lt;P140,U140&gt;(P140*Q140),DATE(2016,12,31)&gt;K140),P140*Q140,IF(AND(T140&lt;P140,DATE(2017,12,31)&gt;K140,U140&gt;(P140*Q140)),(DATE(2017,12,31)-K140)/((100%/Q140)*360)*P140,IF(Table5101345[[#This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40" s="76">
        <f>IF(OR(Table5101345[[#This Row],[تاريخ الشراء-الاستلام]]="",Table5101345[[#This Row],[الإجمالي]]="",Table5101345[[#This Row],[العمر الافتراضي]]=""),"",T140+V140)</f>
        <v>222529</v>
      </c>
      <c r="Y140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الشراء-الاستلام]]&gt;DATE(2016,12,31),0,P140-X140))</f>
        <v>0</v>
      </c>
    </row>
    <row r="141" spans="1:25" ht="39">
      <c r="A141" s="27">
        <f>IF(C141="","",SUBTOTAL(3,$C$5:C141))</f>
        <v>66</v>
      </c>
      <c r="B141" s="83" t="s">
        <v>115</v>
      </c>
      <c r="C141" s="88" t="s">
        <v>90</v>
      </c>
      <c r="D141" s="27" t="s">
        <v>27</v>
      </c>
      <c r="E141" s="86" t="s">
        <v>35</v>
      </c>
      <c r="F141" s="27" t="s">
        <v>29</v>
      </c>
      <c r="G141" s="43"/>
      <c r="H141" s="27" t="s">
        <v>37</v>
      </c>
      <c r="I141" s="27"/>
      <c r="J141" s="84"/>
      <c r="K141" s="97">
        <v>42370</v>
      </c>
      <c r="L141" s="44" t="s">
        <v>116</v>
      </c>
      <c r="M141" s="79">
        <v>68</v>
      </c>
      <c r="N141" s="31"/>
      <c r="O141" s="77">
        <f>1200-0.74</f>
        <v>1199.26</v>
      </c>
      <c r="P141" s="77">
        <f>O141*M141</f>
        <v>81549.679999999993</v>
      </c>
      <c r="Q141" s="35">
        <v>4.4999999999999998E-2</v>
      </c>
      <c r="R141" s="27"/>
      <c r="S141" s="43" t="s">
        <v>32</v>
      </c>
      <c r="T141" s="75">
        <v>0</v>
      </c>
      <c r="U141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الشراء-الاستلام]]&lt;DATE(2016,1,1),P141-T141,0))</f>
        <v>0</v>
      </c>
      <c r="V141" s="76">
        <f>IF(OR(Table5101345[[#This Row],[تاريخ الشراء-الاستلام]]="",Table5101345[[#This Row],[الإجمالي]]="",Table5101345[[#This Row],[العمر الافتراضي]]=""),"",IF(AND(T141&lt;P141,U141&gt;(P141*Q141),DATE(2015,12,31)&gt;K141),P141*Q141,IF(AND(T141&lt;P141,DATE(2016,12,31)&gt;K141,U141&gt;(P141*Q141)),(DATE(2016,12,31)-K141)/((100%/Q141)*365)*P141,IF(AND(T141&lt;P141,DATE(2016,12,31)&gt;K141,U141=0),(DATE(2016,12,31)-K141)/((100%/Q141)*365)*P141,IF(AND(T141&lt;P141,DATE(2016,12,31)&gt;K141,U141&lt;(P141*Q141)),U141,0)))))</f>
        <v>3669.7356</v>
      </c>
      <c r="W141" s="75">
        <f>IF(OR(Table5101345[[#This Row],[تاريخ الشراء-الاستلام]]="",Table5101345[[#This Row],[الإجمالي]]="",Table5101345[[#This Row],[العمر الافتراضي]]=""),"",IF(AND(T141&lt;P141,U141&gt;(P141*Q141),DATE(2016,12,31)&gt;K141),P141*Q141,IF(AND(T141&lt;P141,DATE(2017,12,31)&gt;K141,U141&gt;(P141*Q141)),(DATE(2017,12,31)-K141)/((100%/Q141)*360)*P141,IF(Table5101345[[#This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41" s="75">
        <f>IF(OR(Table5101345[[#This Row],[تاريخ الشراء-الاستلام]]="",Table5101345[[#This Row],[الإجمالي]]="",Table5101345[[#This Row],[العمر الافتراضي]]=""),"",T141+V141)</f>
        <v>3669.7356</v>
      </c>
      <c r="Y14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الشراء-الاستلام]]&gt;DATE(2016,12,31),0,P141-X141))</f>
        <v>77879.944399999993</v>
      </c>
    </row>
    <row r="142" spans="1:25" ht="39">
      <c r="A142" s="27">
        <f>IF(C142="","",SUBTOTAL(3,$C$5:C142))</f>
        <v>67</v>
      </c>
      <c r="B142" s="83" t="s">
        <v>115</v>
      </c>
      <c r="C142" s="88" t="s">
        <v>117</v>
      </c>
      <c r="D142" s="27" t="s">
        <v>27</v>
      </c>
      <c r="E142" s="86" t="s">
        <v>35</v>
      </c>
      <c r="F142" s="27" t="s">
        <v>29</v>
      </c>
      <c r="G142" s="43"/>
      <c r="H142" s="27" t="s">
        <v>37</v>
      </c>
      <c r="I142" s="27"/>
      <c r="J142" s="84"/>
      <c r="K142" s="97">
        <v>42371</v>
      </c>
      <c r="L142" s="44" t="s">
        <v>116</v>
      </c>
      <c r="M142" s="79">
        <v>75</v>
      </c>
      <c r="N142" s="31"/>
      <c r="O142" s="77">
        <v>1600</v>
      </c>
      <c r="P142" s="77">
        <f>O142*M142</f>
        <v>120000</v>
      </c>
      <c r="Q142" s="35">
        <v>0.03</v>
      </c>
      <c r="R142" s="27"/>
      <c r="S142" s="43" t="s">
        <v>32</v>
      </c>
      <c r="T142" s="75">
        <v>0</v>
      </c>
      <c r="U14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الشراء-الاستلام]]&lt;DATE(2016,1,1),P142-T142,0))</f>
        <v>0</v>
      </c>
      <c r="V142" s="75">
        <f>IF(OR(Table5101345[[#This Row],[تاريخ الشراء-الاستلام]]="",Table5101345[[#This Row],[الإجمالي]]="",Table5101345[[#This Row],[العمر الافتراضي]]=""),"",IF(AND(T142&lt;P142,U142&gt;(P142*Q142),DATE(2015,12,31)&gt;K142),P142*Q142,IF(AND(T142&lt;P142,DATE(2016,12,31)&gt;K142,U142&gt;(P142*Q142)),(DATE(2016,12,31)-K142)/((100%/Q142)*365)*P142,IF(AND(T142&lt;P142,DATE(2016,12,31)&gt;K142,U142=0),(DATE(2016,12,31)-K142)/((100%/Q142)*365)*P142,IF(AND(T142&lt;P142,DATE(2016,12,31)&gt;K142,U142&lt;(P142*Q142)),U142,0)))))</f>
        <v>3590.1369863013697</v>
      </c>
      <c r="W142" s="75">
        <f>IF(OR(Table5101345[[#This Row],[تاريخ الشراء-الاستلام]]="",Table5101345[[#This Row],[الإجمالي]]="",Table5101345[[#This Row],[العمر الافتراضي]]=""),"",IF(AND(T142&lt;P142,U142&gt;(P142*Q142),DATE(2016,12,31)&gt;K142),P142*Q142,IF(AND(T142&lt;P142,DATE(2017,12,31)&gt;K142,U142&gt;(P142*Q142)),(DATE(2017,12,31)-K142)/((100%/Q142)*360)*P142,IF(Table5101345[[#This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42" s="75">
        <f>IF(OR(Table5101345[[#This Row],[تاريخ الشراء-الاستلام]]="",Table5101345[[#This Row],[الإجمالي]]="",Table5101345[[#This Row],[العمر الافتراضي]]=""),"",T142+V142)</f>
        <v>3590.1369863013697</v>
      </c>
      <c r="Y14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الشراء-الاستلام]]&gt;DATE(2016,12,31),0,P142-X142))</f>
        <v>116409.86301369863</v>
      </c>
    </row>
    <row r="143" spans="1:25" ht="39" hidden="1">
      <c r="A143" s="41">
        <f>IF(C143="","",SUBTOTAL(3,$C$5:C143))</f>
        <v>67</v>
      </c>
      <c r="B143" s="83"/>
      <c r="C143" s="91" t="s">
        <v>223</v>
      </c>
      <c r="D143" s="43" t="s">
        <v>27</v>
      </c>
      <c r="E143" s="86" t="s">
        <v>224</v>
      </c>
      <c r="F143" s="43" t="s">
        <v>29</v>
      </c>
      <c r="G143" s="43" t="s">
        <v>96</v>
      </c>
      <c r="H143" s="43" t="s">
        <v>37</v>
      </c>
      <c r="I143" s="43"/>
      <c r="J143" s="86"/>
      <c r="K143" s="97">
        <v>38718</v>
      </c>
      <c r="L143" s="44"/>
      <c r="M143" s="80">
        <v>113</v>
      </c>
      <c r="N143" s="46"/>
      <c r="O143" s="78">
        <v>9000</v>
      </c>
      <c r="P143" s="78">
        <f t="shared" si="4"/>
        <v>1017000</v>
      </c>
      <c r="Q143" s="35">
        <v>4.4999999999999998E-2</v>
      </c>
      <c r="R143" s="43"/>
      <c r="S143" s="43" t="s">
        <v>32</v>
      </c>
      <c r="T143" s="75">
        <v>1017000</v>
      </c>
      <c r="U143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الشراء-الاستلام]]&lt;DATE(2016,1,1),P143-T143,0))</f>
        <v>0</v>
      </c>
      <c r="V143" s="76">
        <f>IF(OR(Table5101345[[#This Row],[تاريخ الشراء-الاستلام]]="",Table5101345[[#This Row],[الإجمالي]]="",Table5101345[[#This Row],[العمر الافتراضي]]=""),"",IF(AND(T143&lt;P143,U143&gt;(P143*Q143),DATE(2015,12,31)&gt;K143),P143*Q143,IF(AND(T143&lt;P143,DATE(2016,12,31)&gt;K143,U143&gt;(P143*Q143)),(DATE(2016,12,31)-K143)/((100%/Q143)*365)*P143,IF(AND(T143&lt;P143,DATE(2016,12,31)&gt;K143,U143=0),(DATE(2016,12,31)-K143)/((100%/Q143)*365)*P143,IF(AND(T143&lt;P143,DATE(2016,12,31)&gt;K143,U143&lt;(P143*Q143)),U143,0)))))</f>
        <v>0</v>
      </c>
      <c r="W143" s="75">
        <f>IF(OR(Table5101345[[#This Row],[تاريخ الشراء-الاستلام]]="",Table5101345[[#This Row],[الإجمالي]]="",Table5101345[[#This Row],[العمر الافتراضي]]=""),"",IF(AND(T143&lt;P143,U143&gt;(P143*Q143),DATE(2016,12,31)&gt;K143),P143*Q143,IF(AND(T143&lt;P143,DATE(2017,12,31)&gt;K143,U143&gt;(P143*Q143)),(DATE(2017,12,31)-K143)/((100%/Q143)*360)*P143,IF(Table5101345[[#This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43" s="76">
        <f>IF(OR(Table5101345[[#This Row],[تاريخ الشراء-الاستلام]]="",Table5101345[[#This Row],[الإجمالي]]="",Table5101345[[#This Row],[العمر الافتراضي]]=""),"",T143+V143)</f>
        <v>1017000</v>
      </c>
      <c r="Y143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الشراء-الاستلام]]&gt;DATE(2016,12,31),0,P143-X143))</f>
        <v>0</v>
      </c>
    </row>
    <row r="144" spans="1:25" ht="39" hidden="1">
      <c r="A144" s="41">
        <f>IF(C144="","",SUBTOTAL(3,$C$5:C156))</f>
        <v>67</v>
      </c>
      <c r="B144" s="83"/>
      <c r="C144" s="91" t="s">
        <v>225</v>
      </c>
      <c r="D144" s="43" t="s">
        <v>27</v>
      </c>
      <c r="E144" s="86" t="s">
        <v>224</v>
      </c>
      <c r="F144" s="43" t="s">
        <v>29</v>
      </c>
      <c r="G144" s="43" t="s">
        <v>96</v>
      </c>
      <c r="H144" s="43" t="s">
        <v>37</v>
      </c>
      <c r="I144" s="43"/>
      <c r="J144" s="86"/>
      <c r="K144" s="97">
        <f>DATE(2012,7,20)-0.48</f>
        <v>41109.519999999997</v>
      </c>
      <c r="L144" s="44"/>
      <c r="M144" s="80">
        <v>47</v>
      </c>
      <c r="N144" s="46"/>
      <c r="O144" s="78">
        <v>5767.02</v>
      </c>
      <c r="P144" s="78">
        <f t="shared" si="4"/>
        <v>271049.94</v>
      </c>
      <c r="Q144" s="35">
        <v>3.7619E-2</v>
      </c>
      <c r="R144" s="43"/>
      <c r="S144" s="43" t="s">
        <v>32</v>
      </c>
      <c r="T144" s="75">
        <v>93529.309159233118</v>
      </c>
      <c r="U144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الشراء-الاستلام]]&lt;DATE(2016,1,1),P144-T144,0))</f>
        <v>177520.63084076688</v>
      </c>
      <c r="V144" s="76">
        <f>IF(OR(Table5101345[[#This Row],[تاريخ الشراء-الاستلام]]="",Table5101345[[#This Row],[الإجمالي]]="",Table5101345[[#This Row],[العمر الافتراضي]]=""),"",IF(AND(T144&lt;P144,U144&gt;(P144*Q144),DATE(2015,12,31)&gt;K144),P144*Q144,IF(AND(T144&lt;P144,DATE(2016,12,31)&gt;K144,U144&gt;(P144*Q144)),(DATE(2016,12,31)-K144)/((100%/Q144)*365)*P144,IF(AND(T144&lt;P144,DATE(2016,12,31)&gt;K144,U144=0),(DATE(2016,12,31)-K144)/((100%/Q144)*365)*P144,IF(AND(T144&lt;P144,DATE(2016,12,31)&gt;K144,U144&lt;(P144*Q144)),U144,0)))))</f>
        <v>10196.62769286</v>
      </c>
      <c r="W144" s="75">
        <f>IF(OR(Table5101345[[#This Row],[تاريخ الشراء-الاستلام]]="",Table5101345[[#This Row],[الإجمالي]]="",Table5101345[[#This Row],[العمر الافتراضي]]=""),"",IF(AND(T144&lt;P144,U144&gt;(P144*Q144),DATE(2016,12,31)&gt;K144),P144*Q144,IF(AND(T144&lt;P144,DATE(2017,12,31)&gt;K144,U144&gt;(P144*Q144)),(DATE(2017,12,31)-K144)/((100%/Q144)*360)*P144,IF(Table5101345[[#This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10196.62769286</v>
      </c>
      <c r="X144" s="76">
        <f>IF(OR(Table5101345[[#This Row],[تاريخ الشراء-الاستلام]]="",Table5101345[[#This Row],[الإجمالي]]="",Table5101345[[#This Row],[العمر الافتراضي]]=""),"",T144+V144)</f>
        <v>103725.93685209312</v>
      </c>
      <c r="Y144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الشراء-الاستلام]]&gt;DATE(2016,12,31),0,P144-X144))</f>
        <v>167324.00314790689</v>
      </c>
    </row>
    <row r="145" spans="1:25" ht="39" hidden="1">
      <c r="A145" s="38">
        <f>IF(C145="","",SUBTOTAL(3,$C$5:C156))</f>
        <v>67</v>
      </c>
      <c r="B145" s="81"/>
      <c r="C145" s="88" t="s">
        <v>226</v>
      </c>
      <c r="D145" s="27" t="s">
        <v>27</v>
      </c>
      <c r="E145" s="84" t="s">
        <v>51</v>
      </c>
      <c r="F145" s="27" t="s">
        <v>29</v>
      </c>
      <c r="G145" s="43" t="s">
        <v>37</v>
      </c>
      <c r="H145" s="27"/>
      <c r="I145" s="27"/>
      <c r="J145" s="84">
        <v>9277</v>
      </c>
      <c r="K145" s="97">
        <v>40544</v>
      </c>
      <c r="L145" s="44"/>
      <c r="M145" s="80">
        <v>1</v>
      </c>
      <c r="N145" s="46"/>
      <c r="O145" s="78">
        <f>57000-20000</f>
        <v>37000</v>
      </c>
      <c r="P145" s="78">
        <f t="shared" si="4"/>
        <v>37000</v>
      </c>
      <c r="Q145" s="35">
        <v>0.2</v>
      </c>
      <c r="R145" s="27"/>
      <c r="S145" s="27" t="s">
        <v>32</v>
      </c>
      <c r="T145" s="75">
        <v>37000</v>
      </c>
      <c r="U14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الشراء-الاستلام]]&lt;DATE(2016,1,1),P145-T145,0))</f>
        <v>0</v>
      </c>
      <c r="V145" s="75">
        <f>IF(OR(Table5101345[[#This Row],[تاريخ الشراء-الاستلام]]="",Table5101345[[#This Row],[الإجمالي]]="",Table5101345[[#This Row],[العمر الافتراضي]]=""),"",IF(AND(T145&lt;P145,U145&gt;(P145*Q145),DATE(2015,12,31)&gt;K145),P145*Q145,IF(AND(T145&lt;P145,DATE(2016,12,31)&gt;K145,U145&gt;(P145*Q145)),(DATE(2016,12,31)-K145)/((100%/Q145)*365)*P145,IF(AND(T145&lt;P145,DATE(2016,12,31)&gt;K145,U145=0),(DATE(2016,12,31)-K145)/((100%/Q145)*365)*P145,IF(AND(T145&lt;P145,DATE(2016,12,31)&gt;K145,U145&lt;(P145*Q145)),U145,0)))))</f>
        <v>0</v>
      </c>
      <c r="W145" s="75">
        <f>IF(OR(Table5101345[[#This Row],[تاريخ الشراء-الاستلام]]="",Table5101345[[#This Row],[الإجمالي]]="",Table5101345[[#This Row],[العمر الافتراضي]]=""),"",IF(AND(T145&lt;P145,U145&gt;(P145*Q145),DATE(2016,12,31)&gt;K145),P145*Q145,IF(AND(T145&lt;P145,DATE(2017,12,31)&gt;K145,U145&gt;(P145*Q145)),(DATE(2017,12,31)-K145)/((100%/Q145)*360)*P145,IF(Table5101345[[#This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0</v>
      </c>
      <c r="X145" s="75">
        <f>IF(OR(Table5101345[[#This Row],[تاريخ الشراء-الاستلام]]="",Table5101345[[#This Row],[الإجمالي]]="",Table5101345[[#This Row],[العمر الافتراضي]]=""),"",T145+V145)</f>
        <v>37000</v>
      </c>
      <c r="Y14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الشراء-الاستلام]]&gt;DATE(2016,12,31),0,P145-X145))</f>
        <v>0</v>
      </c>
    </row>
    <row r="146" spans="1:25" ht="39" hidden="1">
      <c r="A146" s="41">
        <f>IF(C146="","",SUBTOTAL(3,$C$5:C156))</f>
        <v>67</v>
      </c>
      <c r="B146" s="83"/>
      <c r="C146" s="91" t="s">
        <v>34</v>
      </c>
      <c r="D146" s="43" t="s">
        <v>27</v>
      </c>
      <c r="E146" s="84" t="s">
        <v>35</v>
      </c>
      <c r="F146" s="43" t="s">
        <v>128</v>
      </c>
      <c r="G146" s="43"/>
      <c r="H146" s="43" t="s">
        <v>37</v>
      </c>
      <c r="I146" s="43"/>
      <c r="J146" s="86"/>
      <c r="K146" s="98">
        <f>DATE(2013,8,6)-0.001</f>
        <v>41491.999000000003</v>
      </c>
      <c r="L146" s="51"/>
      <c r="M146" s="79">
        <f>156-30</f>
        <v>126</v>
      </c>
      <c r="N146" s="46"/>
      <c r="O146" s="78">
        <v>700</v>
      </c>
      <c r="P146" s="78">
        <f t="shared" si="4"/>
        <v>88200</v>
      </c>
      <c r="Q146" s="35">
        <v>4.4999999999999998E-2</v>
      </c>
      <c r="R146" s="43"/>
      <c r="S146" s="43" t="s">
        <v>32</v>
      </c>
      <c r="T146" s="76">
        <v>21192.188547945123</v>
      </c>
      <c r="U146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الشراء-الاستلام]]&lt;DATE(2016,1,1),P146-T146,0))</f>
        <v>67007.811452054884</v>
      </c>
      <c r="V146" s="76">
        <f>IF(OR(Table5101345[[#This Row],[تاريخ الشراء-الاستلام]]="",Table5101345[[#This Row],[الإجمالي]]="",Table5101345[[#This Row],[العمر الافتراضي]]=""),"",IF(AND(T146&lt;P146,U146&gt;(P146*Q146),DATE(2015,12,31)&gt;K146),P146*Q146,IF(AND(T146&lt;P146,DATE(2016,12,31)&gt;K146,U146&gt;(P146*Q146)),(DATE(2016,12,31)-K146)/((100%/Q146)*365)*P146,IF(AND(T146&lt;P146,DATE(2016,12,31)&gt;K146,U146=0),(DATE(2016,12,31)-K146)/((100%/Q146)*365)*P146,IF(AND(T146&lt;P146,DATE(2016,12,31)&gt;K146,U146&lt;(P146*Q146)),U146,0)))))</f>
        <v>3969</v>
      </c>
      <c r="W146" s="76">
        <f>IF(OR(Table5101345[[#This Row],[تاريخ الشراء-الاستلام]]="",Table5101345[[#This Row],[الإجمالي]]="",Table5101345[[#This Row],[العمر الافتراضي]]=""),"",IF(AND(T146&lt;P146,U146&gt;(P146*Q146),DATE(2016,12,31)&gt;K146),P146*Q146,IF(AND(T146&lt;P146,DATE(2017,12,31)&gt;K146,U146&gt;(P146*Q146)),(DATE(2017,12,31)-K146)/((100%/Q146)*360)*P146,IF(Table5101345[[#This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3969</v>
      </c>
      <c r="X146" s="76">
        <f>IF(OR(Table5101345[[#This Row],[تاريخ الشراء-الاستلام]]="",Table5101345[[#This Row],[الإجمالي]]="",Table5101345[[#This Row],[العمر الافتراضي]]=""),"",T146+V146)</f>
        <v>25161.188547945123</v>
      </c>
      <c r="Y146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الشراء-الاستلام]]&gt;DATE(2016,12,31),0,P146-X146))</f>
        <v>63038.811452054877</v>
      </c>
    </row>
    <row r="147" spans="1:25" ht="39" hidden="1">
      <c r="A147" s="38">
        <f>IF(C147="","",SUBTOTAL(3,$C$5:C156))</f>
        <v>67</v>
      </c>
      <c r="B147" s="81"/>
      <c r="C147" s="88" t="s">
        <v>90</v>
      </c>
      <c r="D147" s="43" t="s">
        <v>27</v>
      </c>
      <c r="E147" s="84" t="s">
        <v>35</v>
      </c>
      <c r="F147" s="43" t="s">
        <v>128</v>
      </c>
      <c r="G147" s="43"/>
      <c r="H147" s="43" t="s">
        <v>37</v>
      </c>
      <c r="I147" s="27"/>
      <c r="J147" s="84"/>
      <c r="K147" s="98">
        <f t="shared" ref="K147:K149" si="5">DATE(2013,8,6)-0.001</f>
        <v>41491.999000000003</v>
      </c>
      <c r="L147" s="52"/>
      <c r="M147" s="79">
        <v>48</v>
      </c>
      <c r="N147" s="31"/>
      <c r="O147" s="77">
        <v>1100</v>
      </c>
      <c r="P147" s="77">
        <f t="shared" si="4"/>
        <v>52800</v>
      </c>
      <c r="Q147" s="35">
        <v>4.4999999999999998E-2</v>
      </c>
      <c r="R147" s="27"/>
      <c r="S147" s="43" t="s">
        <v>32</v>
      </c>
      <c r="T147" s="75">
        <v>12686.480219178033</v>
      </c>
      <c r="U14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الشراء-الاستلام]]&lt;DATE(2016,1,1),P147-T147,0))</f>
        <v>40113.519780821967</v>
      </c>
      <c r="V147" s="75">
        <f>IF(OR(Table5101345[[#This Row],[تاريخ الشراء-الاستلام]]="",Table5101345[[#This Row],[الإجمالي]]="",Table5101345[[#This Row],[العمر الافتراضي]]=""),"",IF(AND(T147&lt;P147,U147&gt;(P147*Q147),DATE(2015,12,31)&gt;K147),P147*Q147,IF(AND(T147&lt;P147,DATE(2016,12,31)&gt;K147,U147&gt;(P147*Q147)),(DATE(2016,12,31)-K147)/((100%/Q147)*365)*P147,IF(AND(T147&lt;P147,DATE(2016,12,31)&gt;K147,U147=0),(DATE(2016,12,31)-K147)/((100%/Q147)*365)*P147,IF(AND(T147&lt;P147,DATE(2016,12,31)&gt;K147,U147&lt;(P147*Q147)),U147,0)))))</f>
        <v>2376</v>
      </c>
      <c r="W147" s="75">
        <f>IF(OR(Table5101345[[#This Row],[تاريخ الشراء-الاستلام]]="",Table5101345[[#This Row],[الإجمالي]]="",Table5101345[[#This Row],[العمر الافتراضي]]=""),"",IF(AND(T147&lt;P147,U147&gt;(P147*Q147),DATE(2016,12,31)&gt;K147),P147*Q147,IF(AND(T147&lt;P147,DATE(2017,12,31)&gt;K147,U147&gt;(P147*Q147)),(DATE(2017,12,31)-K147)/((100%/Q147)*360)*P147,IF(Table5101345[[#This Row],[القيمة الدفترية 
في 01-01-2016]]&lt;Table5101345[[#This Row],[الإجمالي]]/Table5101345[[#This Row],[العمر الافتراضي]],Table5101345[[#This Row],[القيمة الدفترية 
في 01-01-2016]]))))</f>
        <v>2376</v>
      </c>
      <c r="X147" s="75">
        <f>IF(OR(Table5101345[[#This Row],[تاريخ الشراء-الاستلام]]="",Table5101345[[#This Row],[الإجمالي]]="",Table5101345[[#This Row],[العمر الافتراضي]]=""),"",T147+V147)</f>
        <v>15062.480219178033</v>
      </c>
      <c r="Y147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الشراء-الاستلام]]&gt;DATE(2016,12,31),0,P147-X147))</f>
        <v>37737.519780821967</v>
      </c>
    </row>
    <row r="148" spans="1:25" ht="39" hidden="1">
      <c r="A148" s="38">
        <f>IF(C148="","",SUBTOTAL(3,$C$5:C156))</f>
        <v>67</v>
      </c>
      <c r="B148" s="81"/>
      <c r="C148" s="88" t="s">
        <v>117</v>
      </c>
      <c r="D148" s="43" t="s">
        <v>27</v>
      </c>
      <c r="E148" s="84" t="s">
        <v>35</v>
      </c>
      <c r="F148" s="43" t="s">
        <v>128</v>
      </c>
      <c r="G148" s="43"/>
      <c r="H148" s="27" t="s">
        <v>37</v>
      </c>
      <c r="I148" s="27"/>
      <c r="J148" s="84"/>
      <c r="K148" s="98">
        <f t="shared" si="5"/>
        <v>41491.999000000003</v>
      </c>
      <c r="L148" s="52"/>
      <c r="M148" s="79">
        <v>24</v>
      </c>
      <c r="N148" s="31"/>
      <c r="O148" s="77">
        <v>1300</v>
      </c>
      <c r="P148" s="77">
        <f t="shared" si="4"/>
        <v>31200</v>
      </c>
      <c r="Q148" s="35">
        <v>4.4999999999999998E-2</v>
      </c>
      <c r="R148" s="27"/>
      <c r="S148" s="43" t="s">
        <v>32</v>
      </c>
      <c r="T148" s="75">
        <v>7496.556493150656</v>
      </c>
      <c r="U14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الشراء-الاستلام]]&lt;DATE(2016,1,1),P148-T148,0))</f>
        <v>23703.443506849344</v>
      </c>
      <c r="V148" s="75">
        <f>IF(OR(Table5101345[[#This Row],[تاريخ الشراء-الاستلام]]="",Table5101345[[#This Row],[الإجمالي]]="",Table5101345[[#This Row],[العمر الافتراضي]]=""),"",IF(AND(T148&lt;P148,U148&gt;(P148*Q148),DATE(2015,12,31)&gt;K148),P148*Q148,IF(AND(T148&lt;P148,DATE(2016,12,31)&gt;K148,U148&gt;(P148*Q148)),(DATE(2016,12,31)-K148)/((100%/Q148)*365)*P148,IF(AND(T148&lt;P148,DATE(2016,12,31)&gt;K148,U148=0),(DATE(2016,12,31)-K148)/((100%/Q148)*365)*P148,IF(AND(T148&lt;P148,DATE(2016,12,31)&gt;K148,U148&lt;(P148*Q148)),U148,0)))))</f>
        <v>1404</v>
      </c>
      <c r="W148" s="75">
        <f>IF(OR(Table5101345[[#This Row],[تاريخ الشراء-الاستلام]]="",Table5101345[[#This Row],[الإجمالي]]="",Table5101345[[#This Row],[العمر الافتراضي]]=""),"",IF(AND(T148&lt;P148,U148&gt;(P148*Q148),DATE(2016,12,31)&gt;K148),P148*Q148,IF(AND(T148&lt;P148,DATE(2017,12,31)&gt;K148,U148&gt;(P148*Q148)),(DATE(2017,12,31)-K148)/((100%/Q148)*360)*P148,IF(Table5101345[[#This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1404</v>
      </c>
      <c r="X148" s="75">
        <f>IF(OR(Table5101345[[#This Row],[تاريخ الشراء-الاستلام]]="",Table5101345[[#This Row],[الإجمالي]]="",Table5101345[[#This Row],[العمر الافتراضي]]=""),"",T148+V148)</f>
        <v>8900.556493150656</v>
      </c>
      <c r="Y148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الشراء-الاستلام]]&gt;DATE(2016,12,31),0,P148-X148))</f>
        <v>22299.443506849344</v>
      </c>
    </row>
    <row r="149" spans="1:25" ht="39" hidden="1">
      <c r="A149" s="38">
        <f>IF(C149="","",SUBTOTAL(3,$C$5:C156))</f>
        <v>67</v>
      </c>
      <c r="B149" s="81"/>
      <c r="C149" s="88" t="s">
        <v>227</v>
      </c>
      <c r="D149" s="43" t="s">
        <v>27</v>
      </c>
      <c r="E149" s="84" t="s">
        <v>224</v>
      </c>
      <c r="F149" s="43" t="s">
        <v>128</v>
      </c>
      <c r="G149" s="43"/>
      <c r="H149" s="27" t="s">
        <v>37</v>
      </c>
      <c r="I149" s="27"/>
      <c r="J149" s="84"/>
      <c r="K149" s="98">
        <f t="shared" si="5"/>
        <v>41491.999000000003</v>
      </c>
      <c r="L149" s="52"/>
      <c r="M149" s="79">
        <v>21</v>
      </c>
      <c r="N149" s="31"/>
      <c r="O149" s="77">
        <v>7000</v>
      </c>
      <c r="P149" s="77">
        <f t="shared" si="4"/>
        <v>147000</v>
      </c>
      <c r="Q149" s="35">
        <v>4.4999999999999998E-2</v>
      </c>
      <c r="R149" s="27"/>
      <c r="S149" s="43" t="s">
        <v>32</v>
      </c>
      <c r="T149" s="75">
        <v>35320.314246575203</v>
      </c>
      <c r="U14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الشراء-الاستلام]]&lt;DATE(2016,1,1),P149-T149,0))</f>
        <v>111679.6857534248</v>
      </c>
      <c r="V149" s="75">
        <f>IF(OR(Table5101345[[#This Row],[تاريخ الشراء-الاستلام]]="",Table5101345[[#This Row],[الإجمالي]]="",Table5101345[[#This Row],[العمر الافتراضي]]=""),"",IF(AND(T149&lt;P149,U149&gt;(P149*Q149),DATE(2015,12,31)&gt;K149),P149*Q149,IF(AND(T149&lt;P149,DATE(2016,12,31)&gt;K149,U149&gt;(P149*Q149)),(DATE(2016,12,31)-K149)/((100%/Q149)*365)*P149,IF(AND(T149&lt;P149,DATE(2016,12,31)&gt;K149,U149=0),(DATE(2016,12,31)-K149)/((100%/Q149)*365)*P149,IF(AND(T149&lt;P149,DATE(2016,12,31)&gt;K149,U149&lt;(P149*Q149)),U149,0)))))</f>
        <v>6615</v>
      </c>
      <c r="W149" s="75">
        <f>IF(OR(Table5101345[[#This Row],[تاريخ الشراء-الاستلام]]="",Table5101345[[#This Row],[الإجمالي]]="",Table5101345[[#This Row],[العمر الافتراضي]]=""),"",IF(AND(T149&lt;P149,U149&gt;(P149*Q149),DATE(2016,12,31)&gt;K149),P149*Q149,IF(AND(T149&lt;P149,DATE(2017,12,31)&gt;K149,U149&gt;(P149*Q149)),(DATE(2017,12,31)-K149)/((100%/Q149)*360)*P149,IF(Table5101345[[#This Row],[القيمة الدفترية 
في 01-01-2016]]&lt;Table5101345[[#This Row],[الإجمالي]]/Table5101345[[#This Row],[العمر الافتراضي]],Table5101345[[#This Row],[القيمة الدفترية 
في 01-01-2016]]))))</f>
        <v>6615</v>
      </c>
      <c r="X149" s="75">
        <f>IF(OR(Table5101345[[#This Row],[تاريخ الشراء-الاستلام]]="",Table5101345[[#This Row],[الإجمالي]]="",Table5101345[[#This Row],[العمر الافتراضي]]=""),"",T149+V149)</f>
        <v>41935.314246575203</v>
      </c>
      <c r="Y149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الشراء-الاستلام]]&gt;DATE(2016,12,31),0,P149-X149))</f>
        <v>105064.6857534248</v>
      </c>
    </row>
    <row r="150" spans="1:25" ht="39" hidden="1">
      <c r="A150" s="41">
        <f>IF(C150="","",SUBTOTAL(3,$C$5:C156))</f>
        <v>67</v>
      </c>
      <c r="B150" s="83"/>
      <c r="C150" s="91" t="s">
        <v>34</v>
      </c>
      <c r="D150" s="43" t="s">
        <v>27</v>
      </c>
      <c r="E150" s="86" t="s">
        <v>35</v>
      </c>
      <c r="F150" s="43" t="s">
        <v>138</v>
      </c>
      <c r="G150" s="43"/>
      <c r="H150" s="43" t="s">
        <v>37</v>
      </c>
      <c r="I150" s="43"/>
      <c r="J150" s="86"/>
      <c r="K150" s="98">
        <v>41475</v>
      </c>
      <c r="L150" s="51"/>
      <c r="M150" s="80">
        <v>260</v>
      </c>
      <c r="N150" s="46"/>
      <c r="O150" s="78">
        <v>650</v>
      </c>
      <c r="P150" s="78">
        <f t="shared" si="4"/>
        <v>169000</v>
      </c>
      <c r="Q150" s="35">
        <v>4.4999999999999998E-2</v>
      </c>
      <c r="R150" s="43"/>
      <c r="S150" s="43" t="s">
        <v>32</v>
      </c>
      <c r="T150" s="76">
        <v>41393.424657534248</v>
      </c>
      <c r="U150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الشراء-الاستلام]]&lt;DATE(2016,1,1),P150-T150,0))</f>
        <v>127606.57534246575</v>
      </c>
      <c r="V150" s="76">
        <f>IF(OR(Table5101345[[#This Row],[تاريخ الشراء-الاستلام]]="",Table5101345[[#This Row],[الإجمالي]]="",Table5101345[[#This Row],[العمر الافتراضي]]=""),"",IF(AND(T150&lt;P150,U150&gt;(P150*Q150),DATE(2015,12,31)&gt;K150),P150*Q150,IF(AND(T150&lt;P150,DATE(2016,12,31)&gt;K150,U150&gt;(P150*Q150)),(DATE(2016,12,31)-K150)/((100%/Q150)*365)*P150,IF(AND(T150&lt;P150,DATE(2016,12,31)&gt;K150,U150=0),(DATE(2016,12,31)-K150)/((100%/Q150)*365)*P150,IF(AND(T150&lt;P150,DATE(2016,12,31)&gt;K150,U150&lt;(P150*Q150)),U150,0)))))</f>
        <v>7605</v>
      </c>
      <c r="W150" s="76">
        <f>IF(OR(Table5101345[[#This Row],[تاريخ الشراء-الاستلام]]="",Table5101345[[#This Row],[الإجمالي]]="",Table5101345[[#This Row],[العمر الافتراضي]]=""),"",IF(AND(T150&lt;P150,U150&gt;(P150*Q150),DATE(2016,12,31)&gt;K150),P150*Q150,IF(AND(T150&lt;P150,DATE(2017,12,31)&gt;K150,U150&gt;(P150*Q150)),(DATE(2017,12,31)-K150)/((100%/Q150)*360)*P150,IF(Table5101345[[#This Row],[القيمة الدفترية 
في 01-01-2016]]&lt;Table5101345[[#This Row],[الإجمالي]]/Table5101345[[#This Row],[العمر الافتراضي]],Table5101345[[#This Row],[القيمة الدفترية 
في 01-01-2016]]))))</f>
        <v>7605</v>
      </c>
      <c r="X150" s="76">
        <f>IF(OR(Table5101345[[#This Row],[تاريخ الشراء-الاستلام]]="",Table5101345[[#This Row],[الإجمالي]]="",Table5101345[[#This Row],[العمر الافتراضي]]=""),"",T150+V150)</f>
        <v>48998.424657534248</v>
      </c>
      <c r="Y150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الشراء-الاستلام]]&gt;DATE(2016,12,31),0,P150-X150))</f>
        <v>120001.57534246575</v>
      </c>
    </row>
    <row r="151" spans="1:25" ht="39" hidden="1">
      <c r="A151" s="38">
        <f>IF(C151="","",SUBTOTAL(3,$C$5:C156))</f>
        <v>67</v>
      </c>
      <c r="B151" s="81"/>
      <c r="C151" s="88" t="s">
        <v>228</v>
      </c>
      <c r="D151" s="43" t="s">
        <v>27</v>
      </c>
      <c r="E151" s="84" t="s">
        <v>224</v>
      </c>
      <c r="F151" s="43" t="s">
        <v>138</v>
      </c>
      <c r="G151" s="43"/>
      <c r="H151" s="43" t="s">
        <v>37</v>
      </c>
      <c r="I151" s="27"/>
      <c r="J151" s="84"/>
      <c r="K151" s="98">
        <v>41475</v>
      </c>
      <c r="L151" s="52"/>
      <c r="M151" s="79">
        <v>5</v>
      </c>
      <c r="N151" s="31"/>
      <c r="O151" s="77">
        <v>7000</v>
      </c>
      <c r="P151" s="77">
        <f t="shared" si="4"/>
        <v>35000</v>
      </c>
      <c r="Q151" s="35">
        <v>4.4999999999999998E-2</v>
      </c>
      <c r="R151" s="27"/>
      <c r="S151" s="43" t="s">
        <v>32</v>
      </c>
      <c r="T151" s="75">
        <v>8572.6027397260259</v>
      </c>
      <c r="U15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الشراء-الاستلام]]&lt;DATE(2016,1,1),P151-T151,0))</f>
        <v>26427.397260273974</v>
      </c>
      <c r="V151" s="75">
        <f>IF(OR(Table5101345[[#This Row],[تاريخ الشراء-الاستلام]]="",Table5101345[[#This Row],[الإجمالي]]="",Table5101345[[#This Row],[العمر الافتراضي]]=""),"",IF(AND(T151&lt;P151,U151&gt;(P151*Q151),DATE(2015,12,31)&gt;K151),P151*Q151,IF(AND(T151&lt;P151,DATE(2016,12,31)&gt;K151,U151&gt;(P151*Q151)),(DATE(2016,12,31)-K151)/((100%/Q151)*365)*P151,IF(AND(T151&lt;P151,DATE(2016,12,31)&gt;K151,U151=0),(DATE(2016,12,31)-K151)/((100%/Q151)*365)*P151,IF(AND(T151&lt;P151,DATE(2016,12,31)&gt;K151,U151&lt;(P151*Q151)),U151,0)))))</f>
        <v>1575</v>
      </c>
      <c r="W151" s="75">
        <f>IF(OR(Table5101345[[#This Row],[تاريخ الشراء-الاستلام]]="",Table5101345[[#This Row],[الإجمالي]]="",Table5101345[[#This Row],[العمر الافتراضي]]=""),"",IF(AND(T151&lt;P151,U151&gt;(P151*Q151),DATE(2016,12,31)&gt;K151),P151*Q151,IF(AND(T151&lt;P151,DATE(2017,12,31)&gt;K151,U151&gt;(P151*Q151)),(DATE(2017,12,31)-K151)/((100%/Q151)*360)*P151,IF(Table5101345[[#This Row],[القيمة الدفترية 
في 01-01-2016]]&lt;Table5101345[[#This Row],[الإجمالي]]/Table5101345[[#This Row],[العمر الافتراضي]],Table5101345[[#This Row],[القيمة الدفترية 
في 01-01-2016]]))))</f>
        <v>1575</v>
      </c>
      <c r="X151" s="75">
        <f>IF(OR(Table5101345[[#This Row],[تاريخ الشراء-الاستلام]]="",Table5101345[[#This Row],[الإجمالي]]="",Table5101345[[#This Row],[العمر الافتراضي]]=""),"",T151+V151)</f>
        <v>10147.602739726026</v>
      </c>
      <c r="Y151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الشراء-الاستلام]]&gt;DATE(2016,12,31),0,P151-X151))</f>
        <v>24852.397260273974</v>
      </c>
    </row>
    <row r="152" spans="1:25" ht="39" hidden="1">
      <c r="A152" s="38">
        <f>IF(C152="","",SUBTOTAL(3,$C$5:C156))</f>
        <v>67</v>
      </c>
      <c r="B152" s="81"/>
      <c r="C152" s="88" t="s">
        <v>229</v>
      </c>
      <c r="D152" s="43" t="s">
        <v>27</v>
      </c>
      <c r="E152" s="84" t="s">
        <v>224</v>
      </c>
      <c r="F152" s="43" t="s">
        <v>138</v>
      </c>
      <c r="G152" s="43"/>
      <c r="H152" s="43" t="s">
        <v>37</v>
      </c>
      <c r="I152" s="27"/>
      <c r="J152" s="84"/>
      <c r="K152" s="98">
        <v>41475</v>
      </c>
      <c r="L152" s="52"/>
      <c r="M152" s="79">
        <v>31</v>
      </c>
      <c r="N152" s="31"/>
      <c r="O152" s="77">
        <v>4500</v>
      </c>
      <c r="P152" s="77">
        <f t="shared" si="4"/>
        <v>139500</v>
      </c>
      <c r="Q152" s="35">
        <v>4.4999999999999998E-2</v>
      </c>
      <c r="R152" s="27"/>
      <c r="S152" s="43" t="s">
        <v>32</v>
      </c>
      <c r="T152" s="75">
        <v>34167.945205479453</v>
      </c>
      <c r="U15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الشراء-الاستلام]]&lt;DATE(2016,1,1),P152-T152,0))</f>
        <v>105332.05479452055</v>
      </c>
      <c r="V152" s="75">
        <f>IF(OR(Table5101345[[#This Row],[تاريخ الشراء-الاستلام]]="",Table5101345[[#This Row],[الإجمالي]]="",Table5101345[[#This Row],[العمر الافتراضي]]=""),"",IF(AND(T152&lt;P152,U152&gt;(P152*Q152),DATE(2015,12,31)&gt;K152),P152*Q152,IF(AND(T152&lt;P152,DATE(2016,12,31)&gt;K152,U152&gt;(P152*Q152)),(DATE(2016,12,31)-K152)/((100%/Q152)*365)*P152,IF(AND(T152&lt;P152,DATE(2016,12,31)&gt;K152,U152=0),(DATE(2016,12,31)-K152)/((100%/Q152)*365)*P152,IF(AND(T152&lt;P152,DATE(2016,12,31)&gt;K152,U152&lt;(P152*Q152)),U152,0)))))</f>
        <v>6277.5</v>
      </c>
      <c r="W152" s="75">
        <f>IF(OR(Table5101345[[#This Row],[تاريخ الشراء-الاستلام]]="",Table5101345[[#This Row],[الإجمالي]]="",Table5101345[[#This Row],[العمر الافتراضي]]=""),"",IF(AND(T152&lt;P152,U152&gt;(P152*Q152),DATE(2016,12,31)&gt;K152),P152*Q152,IF(AND(T152&lt;P152,DATE(2017,12,31)&gt;K152,U152&gt;(P152*Q152)),(DATE(2017,12,31)-K152)/((100%/Q152)*360)*P152,IF(Table5101345[[#This Row],[القيمة الدفترية 
في 01-01-2016]]&lt;Table5101345[[#This Row],[الإجمالي]]/Table5101345[[#This Row],[العمر الافتراضي]],Table5101345[[#This Row],[القيمة الدفترية 
في 01-01-2016]]))))</f>
        <v>6277.5</v>
      </c>
      <c r="X152" s="75">
        <f>IF(OR(Table5101345[[#This Row],[تاريخ الشراء-الاستلام]]="",Table5101345[[#This Row],[الإجمالي]]="",Table5101345[[#This Row],[العمر الافتراضي]]=""),"",T152+V152)</f>
        <v>40445.445205479453</v>
      </c>
      <c r="Y152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الشراء-الاستلام]]&gt;DATE(2016,12,31),0,P152-X152))</f>
        <v>99054.554794520547</v>
      </c>
    </row>
    <row r="153" spans="1:25" ht="39" hidden="1">
      <c r="A153" s="41">
        <f>IF(C153="","",SUBTOTAL(3,$C$5:C156))</f>
        <v>67</v>
      </c>
      <c r="B153" s="83"/>
      <c r="C153" s="91" t="s">
        <v>117</v>
      </c>
      <c r="D153" s="43" t="s">
        <v>27</v>
      </c>
      <c r="E153" s="86" t="s">
        <v>35</v>
      </c>
      <c r="F153" s="43" t="s">
        <v>138</v>
      </c>
      <c r="G153" s="43"/>
      <c r="H153" s="43" t="s">
        <v>37</v>
      </c>
      <c r="I153" s="43"/>
      <c r="J153" s="86"/>
      <c r="K153" s="98">
        <v>41475</v>
      </c>
      <c r="L153" s="51"/>
      <c r="M153" s="80">
        <v>60</v>
      </c>
      <c r="N153" s="46"/>
      <c r="O153" s="78">
        <v>1100</v>
      </c>
      <c r="P153" s="78">
        <f t="shared" si="4"/>
        <v>66000</v>
      </c>
      <c r="Q153" s="35">
        <v>4.4999999999999998E-2</v>
      </c>
      <c r="R153" s="43"/>
      <c r="S153" s="43" t="s">
        <v>32</v>
      </c>
      <c r="T153" s="75">
        <v>16165.479452054795</v>
      </c>
      <c r="U153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الشراء-الاستلام]]&lt;DATE(2016,1,1),P153-T153,0))</f>
        <v>49834.520547945205</v>
      </c>
      <c r="V153" s="76">
        <f>IF(OR(Table5101345[[#This Row],[تاريخ الشراء-الاستلام]]="",Table5101345[[#This Row],[الإجمالي]]="",Table5101345[[#This Row],[العمر الافتراضي]]=""),"",IF(AND(T153&lt;P153,U153&gt;(P153*Q153),DATE(2015,12,31)&gt;K153),P153*Q153,IF(AND(T153&lt;P153,DATE(2016,12,31)&gt;K153,U153&gt;(P153*Q153)),(DATE(2016,12,31)-K153)/((100%/Q153)*365)*P153,IF(AND(T153&lt;P153,DATE(2016,12,31)&gt;K153,U153=0),(DATE(2016,12,31)-K153)/((100%/Q153)*365)*P153,IF(AND(T153&lt;P153,DATE(2016,12,31)&gt;K153,U153&lt;(P153*Q153)),U153,0)))))</f>
        <v>2970</v>
      </c>
      <c r="W153" s="76">
        <f>IF(OR(Table5101345[[#This Row],[تاريخ الشراء-الاستلام]]="",Table5101345[[#This Row],[الإجمالي]]="",Table5101345[[#This Row],[العمر الافتراضي]]=""),"",IF(AND(T153&lt;P153,U153&gt;(P153*Q153),DATE(2016,12,31)&gt;K153),P153*Q153,IF(AND(T153&lt;P153,DATE(2017,12,31)&gt;K153,U153&gt;(P153*Q153)),(DATE(2017,12,31)-K153)/((100%/Q153)*360)*P153,IF(Table5101345[[#This Row],[القيمة الدفترية 
في 01-01-2016]]&lt;Table5101345[[#This Row],[الإجمالي]]/Table5101345[[#This Row],[العمر الافتراضي]],Table5101345[[#This Row],[القيمة الدفترية 
في 01-01-2016]]))))</f>
        <v>2970</v>
      </c>
      <c r="X153" s="76">
        <f>IF(OR(Table5101345[[#This Row],[تاريخ الشراء-الاستلام]]="",Table5101345[[#This Row],[الإجمالي]]="",Table5101345[[#This Row],[العمر الافتراضي]]=""),"",T153+V153)</f>
        <v>19135.479452054795</v>
      </c>
      <c r="Y153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الشراء-الاستلام]]&gt;DATE(2016,12,31),0,P153-X153))</f>
        <v>46864.520547945205</v>
      </c>
    </row>
    <row r="154" spans="1:25" ht="39" hidden="1">
      <c r="A154" s="41" t="str">
        <f>IF(C154="","",SUBTOTAL(3,$C$5:C156))</f>
        <v/>
      </c>
      <c r="B154" s="83"/>
      <c r="C154" s="91"/>
      <c r="D154" s="43"/>
      <c r="E154" s="86"/>
      <c r="F154" s="43"/>
      <c r="G154" s="43"/>
      <c r="H154" s="43"/>
      <c r="I154" s="43"/>
      <c r="J154" s="86"/>
      <c r="K154" s="98"/>
      <c r="L154" s="51"/>
      <c r="M154" s="80"/>
      <c r="N154" s="46"/>
      <c r="O154" s="78"/>
      <c r="P154" s="78">
        <f>O154*M154</f>
        <v>0</v>
      </c>
      <c r="Q154" s="49"/>
      <c r="R154" s="43"/>
      <c r="S154" s="43"/>
      <c r="T154" s="76"/>
      <c r="U154" s="76" t="str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الشراء-الاستلام]]&lt;DATE(2016,1,1),P154-T154,0))</f>
        <v/>
      </c>
      <c r="V154" s="76" t="str">
        <f>IF(OR(Table5101345[[#This Row],[تاريخ الشراء-الاستلام]]="",Table5101345[[#This Row],[الإجمالي]]="",Table5101345[[#This Row],[العمر الافتراضي]]=""),"",IF(AND(T154&lt;P154,U154&gt;(P154*Q154),DATE(2015,12,31)&gt;K154),P154*Q154,IF(AND(T154&lt;P154,DATE(2016,12,31)&gt;K154,U154&gt;(P154*Q154)),(DATE(2016,12,31)-K154)/((100%/Q154)*365)*P154,IF(AND(T154&lt;P154,DATE(2016,12,31)&gt;K154,U154=0),(DATE(2016,12,31)-K154)/((100%/Q154)*365)*P154,IF(AND(T154&lt;P154,DATE(2016,12,31)&gt;K154,U154&lt;(P154*Q154)),U154,0)))))</f>
        <v/>
      </c>
      <c r="W154" s="76" t="str">
        <f>IF(OR(Table5101345[[#This Row],[تاريخ الشراء-الاستلام]]="",Table5101345[[#This Row],[الإجمالي]]="",Table5101345[[#This Row],[العمر الافتراضي]]=""),"",IF(AND(T154&lt;P154,U154&gt;(P154*Q154),DATE(2016,12,31)&gt;K154),P154*Q154,IF(AND(T154&lt;P154,DATE(2017,12,31)&gt;K154,U154&gt;(P154*Q154)),(DATE(2017,12,31)-K154)/((100%/Q154)*360)*P154,IF(Table5101345[[#This Row],[القيمة الدفترية 
في 01-01-2016]]&lt;Table5101345[[#This Row],[الإجمالي]]/Table5101345[[#This Row],[العمر الافتراضي]],Table5101345[[#This Row],[القيمة الدفترية 
في 01-01-2016]]))))</f>
        <v/>
      </c>
      <c r="X154" s="76" t="str">
        <f>IF(OR(Table5101345[[#This Row],[تاريخ الشراء-الاستلام]]="",Table5101345[[#This Row],[الإجمالي]]="",Table5101345[[#This Row],[العمر الافتراضي]]=""),"",T154+V154)</f>
        <v/>
      </c>
      <c r="Y154" s="76" t="str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الشراء-الاستلام]]&gt;DATE(2016,12,31),0,P154-X154))</f>
        <v/>
      </c>
    </row>
    <row r="155" spans="1:25" ht="39" hidden="1">
      <c r="A155" s="27">
        <f>IF(C155="","",SUBTOTAL(3,$C$5:C156))</f>
        <v>67</v>
      </c>
      <c r="B155" s="81"/>
      <c r="C155" s="88" t="s">
        <v>230</v>
      </c>
      <c r="D155" s="27" t="s">
        <v>27</v>
      </c>
      <c r="E155" s="84" t="s">
        <v>28</v>
      </c>
      <c r="F155" s="27" t="s">
        <v>29</v>
      </c>
      <c r="G155" s="43"/>
      <c r="H155" s="27" t="s">
        <v>37</v>
      </c>
      <c r="I155" s="27"/>
      <c r="J155" s="84"/>
      <c r="K155" s="99">
        <v>42005</v>
      </c>
      <c r="L155" s="52"/>
      <c r="M155" s="79">
        <v>1</v>
      </c>
      <c r="N155" s="31"/>
      <c r="O155" s="77">
        <v>14480</v>
      </c>
      <c r="P155" s="77">
        <f>O155*M155</f>
        <v>14480</v>
      </c>
      <c r="Q155" s="35">
        <v>0.05</v>
      </c>
      <c r="R155" s="27"/>
      <c r="S155" s="27"/>
      <c r="T155" s="76">
        <v>2166</v>
      </c>
      <c r="U155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الشراء-الاستلام]]&lt;DATE(2016,1,1),P155-T155,0))</f>
        <v>12314</v>
      </c>
      <c r="V155" s="75">
        <f>IF(OR(Table5101345[[#This Row],[تاريخ الشراء-الاستلام]]="",Table5101345[[#This Row],[الإجمالي]]="",Table5101345[[#This Row],[العمر الافتراضي]]=""),"",IF(AND(T155&lt;P155,U155&gt;(P155*Q155),DATE(2015,12,31)&gt;K155),P155*Q155,IF(AND(T155&lt;P155,DATE(2016,12,31)&gt;K155,U155&gt;(P155*Q155)),(DATE(2016,12,31)-K155)/((100%/Q155)*365)*P155,IF(AND(T155&lt;P155,DATE(2016,12,31)&gt;K155,U155=0),(DATE(2016,12,31)-K155)/((100%/Q155)*365)*P155,IF(AND(T155&lt;P155,DATE(2016,12,31)&gt;K155,U155&lt;(P155*Q155)),U155,0)))))</f>
        <v>724</v>
      </c>
      <c r="W155" s="75">
        <f>IF(OR(Table5101345[[#This Row],[تاريخ الشراء-الاستلام]]="",Table5101345[[#This Row],[الإجمالي]]="",Table5101345[[#This Row],[العمر الافتراضي]]=""),"",IF(AND(T155&lt;P155,U155&gt;(P155*Q155),DATE(2016,12,31)&gt;K155),P155*Q155,IF(AND(T155&lt;P155,DATE(2017,12,31)&gt;K155,U155&gt;(P155*Q155)),(DATE(2017,12,31)-K155)/((100%/Q155)*360)*P155,IF(Table5101345[[#This Row],[القيمة الدفترية 
في 01-01-2016]]&lt;Table5101345[[#This Row],[الإجمالي]]/Table5101345[[#This Row],[العمر الافتراضي]],Table5101345[[#This Row],[القيمة الدفترية 
في 01-01-2016]]))))</f>
        <v>724</v>
      </c>
      <c r="X155" s="75">
        <f>IF(OR(Table5101345[[#This Row],[تاريخ الشراء-الاستلام]]="",Table5101345[[#This Row],[الإجمالي]]="",Table5101345[[#This Row],[العمر الافتراضي]]=""),"",T155+V155)</f>
        <v>2890</v>
      </c>
      <c r="Y155" s="75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الشراء-الاستلام]]&gt;DATE(2016,12,31),0,P155-X155))</f>
        <v>11590</v>
      </c>
    </row>
    <row r="156" spans="1:25" ht="39" hidden="1">
      <c r="A156" s="43">
        <f>IF(C156="","",SUBTOTAL(3,$C$5:C156))</f>
        <v>67</v>
      </c>
      <c r="B156" s="83"/>
      <c r="C156" s="91" t="s">
        <v>230</v>
      </c>
      <c r="D156" s="43" t="s">
        <v>27</v>
      </c>
      <c r="E156" s="86" t="s">
        <v>28</v>
      </c>
      <c r="F156" s="43" t="s">
        <v>29</v>
      </c>
      <c r="G156" s="43"/>
      <c r="H156" s="43"/>
      <c r="I156" s="43"/>
      <c r="J156" s="86"/>
      <c r="K156" s="98">
        <f>DATE(2013,10,8)+0.11</f>
        <v>41555.11</v>
      </c>
      <c r="L156" s="51"/>
      <c r="M156" s="80">
        <v>1</v>
      </c>
      <c r="N156" s="46"/>
      <c r="O156" s="78">
        <f>149160+14000</f>
        <v>163160</v>
      </c>
      <c r="P156" s="78">
        <f>O156*M156</f>
        <v>163160</v>
      </c>
      <c r="Q156" s="35">
        <v>0.05</v>
      </c>
      <c r="R156" s="43"/>
      <c r="S156" s="43"/>
      <c r="T156" s="76">
        <v>54573</v>
      </c>
      <c r="U156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الشراء-الاستلام]]&lt;DATE(2016,1,1),P156-T156,0))</f>
        <v>108587</v>
      </c>
      <c r="V156" s="76">
        <f>IF(OR(Table5101345[[#This Row],[تاريخ الشراء-الاستلام]]="",Table5101345[[#This Row],[الإجمالي]]="",Table5101345[[#This Row],[العمر الافتراضي]]=""),"",IF(AND(T156&lt;P156,U156&gt;(P156*Q156),DATE(2015,12,31)&gt;K156),P156*Q156,IF(AND(T156&lt;P156,DATE(2016,12,31)&gt;K156,U156&gt;(P156*Q156)),(DATE(2016,12,31)-K156)/((100%/Q156)*365)*P156,IF(AND(T156&lt;P156,DATE(2016,12,31)&gt;K156,U156=0),(DATE(2016,12,31)-K156)/((100%/Q156)*365)*P156,IF(AND(T156&lt;P156,DATE(2016,12,31)&gt;K156,U156&lt;(P156*Q156)),U156,0)))))</f>
        <v>8158</v>
      </c>
      <c r="W156" s="76">
        <f>IF(OR(Table5101345[[#This Row],[تاريخ الشراء-الاستلام]]="",Table5101345[[#This Row],[الإجمالي]]="",Table5101345[[#This Row],[العمر الافتراضي]]=""),"",IF(AND(T156&lt;P156,U156&gt;(P156*Q156),DATE(2016,12,31)&gt;K156),P156*Q156,IF(AND(T156&lt;P156,DATE(2017,12,31)&gt;K156,U156&gt;(P156*Q156)),(DATE(2017,12,31)-K156)/((100%/Q156)*360)*P156,IF(Table5101345[[#This Row],[القيمة الدفترية 
في 01-01-2016]]&lt;Table5101345[[#This Row],[الإجمالي]]/Table5101345[[#This Row],[العمر الافتراضي]],Table5101345[[#This Row],[القيمة الدفترية 
في 01-01-2016]]))))</f>
        <v>8158</v>
      </c>
      <c r="X156" s="76">
        <f>IF(OR(Table5101345[[#This Row],[تاريخ الشراء-الاستلام]]="",Table5101345[[#This Row],[الإجمالي]]="",Table5101345[[#This Row],[العمر الافتراضي]]=""),"",T156+V156)</f>
        <v>62731</v>
      </c>
      <c r="Y156" s="76">
        <f>IF(OR(Table5101345[[#This Row],[تاريخ الشراء-الاستلام]]="",Table5101345[[#This Row],[الإجمالي]]="",Table5101345[[#This Row],[العمر الافتراضي]]=""),"",IF(Table5101345[[#This Row],[تاريخ الشراء-الاستلام]]&gt;DATE(2016,12,31),0,P156-X156))</f>
        <v>100429</v>
      </c>
    </row>
  </sheetData>
  <sheetProtection formatCells="0" insertRows="0" sort="0" autoFilter="0"/>
  <protectedRanges>
    <protectedRange sqref="N157:N1281 N4:N144 N146:N154" name="Range6"/>
    <protectedRange sqref="R157:S1291 R5:S154" name="Range4"/>
    <protectedRange sqref="Q5:Q1291" name="Range3"/>
    <protectedRange sqref="C117:O117 C114:N116 J145 C118:N119 C5:O113 C157:O1291 C120:O144 C146:O154" name="Range2"/>
    <protectedRange sqref="C4:D13 C136:D137" name="Range1"/>
    <protectedRange sqref="B157:B1048576 B1:B144 B146:B154" name="Range5"/>
    <protectedRange sqref="O114:O116 O118:O119" name="Range2_1"/>
    <protectedRange sqref="C145:I145" name="Range2_5"/>
    <protectedRange sqref="B145" name="Range5_2"/>
    <protectedRange sqref="N145" name="Range6_2"/>
    <protectedRange sqref="K145:O145" name="Range2_6"/>
    <protectedRange sqref="N155:N156" name="Range6_3"/>
    <protectedRange sqref="R155:S156" name="Range4_2"/>
    <protectedRange sqref="C155:O155 C156:J156 L156:O156" name="Range2_3"/>
    <protectedRange sqref="B155:B156" name="Range5_3"/>
    <protectedRange sqref="K156" name="Range2_2"/>
  </protectedRanges>
  <conditionalFormatting sqref="K5:K156">
    <cfRule type="cellIs" dxfId="0" priority="1" operator="greaterThan">
      <formula>42369</formula>
    </cfRule>
  </conditionalFormatting>
  <dataValidations count="4">
    <dataValidation type="list" allowBlank="1" showInputMessage="1" showErrorMessage="1" sqref="H145:I145 I5:I144">
      <formula1>المستخدم</formula1>
    </dataValidation>
    <dataValidation type="list" allowBlank="1" showInputMessage="1" showErrorMessage="1" sqref="G145 H5:H144">
      <formula1>الإدارة</formula1>
    </dataValidation>
    <dataValidation type="list" allowBlank="1" showInputMessage="1" showErrorMessage="1" sqref="E5:E156">
      <formula1>مجموعة_الاصول</formula1>
    </dataValidation>
    <dataValidation type="list" allowBlank="1" showInputMessage="1" showErrorMessage="1" sqref="F5:F156">
      <formula1>المشروع</formula1>
    </dataValidation>
  </dataValidations>
  <printOptions horizontalCentered="1"/>
  <pageMargins left="0" right="0" top="0.15748031496062992" bottom="0.15748031496062992" header="0.31496062992125984" footer="0.31496062992125984"/>
  <pageSetup scale="35" orientation="landscape" r:id="rId1"/>
  <colBreaks count="1" manualBreakCount="1">
    <brk id="25" max="157" man="1"/>
  </colBreaks>
  <drawing r:id="rId2"/>
  <legacyDrawing r:id="rId3"/>
  <controls>
    <mc:AlternateContent xmlns:mc="http://schemas.openxmlformats.org/markup-compatibility/2006">
      <mc:Choice Requires="x14">
        <control shapeId="4097" r:id="rId4" name="Image1">
          <controlPr defaultSize="0" autoLine="0" r:id="rId5">
            <anchor moveWithCells="1">
              <from>
                <xdr:col>16210</xdr:col>
                <xdr:colOff>9525</xdr:colOff>
                <xdr:row>0</xdr:row>
                <xdr:rowOff>0</xdr:rowOff>
              </from>
              <to>
                <xdr:col>16210</xdr:col>
                <xdr:colOff>28575</xdr:colOff>
                <xdr:row>0</xdr:row>
                <xdr:rowOff>19050</xdr:rowOff>
              </to>
            </anchor>
          </controlPr>
        </control>
      </mc:Choice>
      <mc:Fallback>
        <control shapeId="4097" r:id="rId4" name="Image1"/>
      </mc:Fallback>
    </mc:AlternateContent>
    <mc:AlternateContent xmlns:mc="http://schemas.openxmlformats.org/markup-compatibility/2006">
      <mc:Choice Requires="x14">
        <control shapeId="4098" r:id="rId6" name="CommandButton1">
          <controlPr defaultSize="0" autoFill="0" autoLine="0" r:id="rId7">
            <anchor moveWithCells="1">
              <from>
                <xdr:col>16210</xdr:col>
                <xdr:colOff>38100</xdr:colOff>
                <xdr:row>0</xdr:row>
                <xdr:rowOff>0</xdr:rowOff>
              </from>
              <to>
                <xdr:col>16210</xdr:col>
                <xdr:colOff>57150</xdr:colOff>
                <xdr:row>0</xdr:row>
                <xdr:rowOff>9525</xdr:rowOff>
              </to>
            </anchor>
          </controlPr>
        </control>
      </mc:Choice>
      <mc:Fallback>
        <control shapeId="4098" r:id="rId6" name="CommandButton1"/>
      </mc:Fallback>
    </mc:AlternateContent>
    <mc:AlternateContent xmlns:mc="http://schemas.openxmlformats.org/markup-compatibility/2006">
      <mc:Choice Requires="x14">
        <control shapeId="4099" r:id="rId8" name="Image2">
          <controlPr defaultSize="0" autoLine="0" r:id="rId5">
            <anchor moveWithCells="1">
              <from>
                <xdr:col>16209</xdr:col>
                <xdr:colOff>314325</xdr:colOff>
                <xdr:row>0</xdr:row>
                <xdr:rowOff>0</xdr:rowOff>
              </from>
              <to>
                <xdr:col>16209</xdr:col>
                <xdr:colOff>333375</xdr:colOff>
                <xdr:row>0</xdr:row>
                <xdr:rowOff>19050</xdr:rowOff>
              </to>
            </anchor>
          </controlPr>
        </control>
      </mc:Choice>
      <mc:Fallback>
        <control shapeId="4099" r:id="rId8" name="Image2"/>
      </mc:Fallback>
    </mc:AlternateContent>
    <mc:AlternateContent xmlns:mc="http://schemas.openxmlformats.org/markup-compatibility/2006">
      <mc:Choice Requires="x14">
        <control shapeId="4100" r:id="rId9" name="CommandButton2">
          <controlPr defaultSize="0" autoLine="0" r:id="rId10">
            <anchor moveWithCells="1">
              <from>
                <xdr:col>16209</xdr:col>
                <xdr:colOff>352425</xdr:colOff>
                <xdr:row>0</xdr:row>
                <xdr:rowOff>9525</xdr:rowOff>
              </from>
              <to>
                <xdr:col>16209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4100" r:id="rId9" name="CommandButton2"/>
      </mc:Fallback>
    </mc:AlternateContent>
    <mc:AlternateContent xmlns:mc="http://schemas.openxmlformats.org/markup-compatibility/2006">
      <mc:Choice Requires="x14">
        <control shapeId="4101" r:id="rId11" name="Image3">
          <controlPr defaultSize="0" autoLine="0" r:id="rId12">
            <anchor moveWithCells="1">
              <from>
                <xdr:col>16209</xdr:col>
                <xdr:colOff>333375</xdr:colOff>
                <xdr:row>0</xdr:row>
                <xdr:rowOff>0</xdr:rowOff>
              </from>
              <to>
                <xdr:col>16209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4101" r:id="rId11" name="Image3"/>
      </mc:Fallback>
    </mc:AlternateContent>
    <mc:AlternateContent xmlns:mc="http://schemas.openxmlformats.org/markup-compatibility/2006">
      <mc:Choice Requires="x14">
        <control shapeId="4102" r:id="rId13" name="Image4">
          <controlPr defaultSize="0" autoLine="0" r:id="rId14">
            <anchor moveWithCells="1">
              <from>
                <xdr:col>15840</xdr:col>
                <xdr:colOff>390525</xdr:colOff>
                <xdr:row>0</xdr:row>
                <xdr:rowOff>0</xdr:rowOff>
              </from>
              <to>
                <xdr:col>15840</xdr:col>
                <xdr:colOff>447675</xdr:colOff>
                <xdr:row>0</xdr:row>
                <xdr:rowOff>47625</xdr:rowOff>
              </to>
            </anchor>
          </controlPr>
        </control>
      </mc:Choice>
      <mc:Fallback>
        <control shapeId="4102" r:id="rId13" name="Image4"/>
      </mc:Fallback>
    </mc:AlternateContent>
    <mc:AlternateContent xmlns:mc="http://schemas.openxmlformats.org/markup-compatibility/2006">
      <mc:Choice Requires="x14">
        <control shapeId="4103" r:id="rId15" name="CommandButton3">
          <controlPr defaultSize="0" autoLine="0" r:id="rId16">
            <anchor moveWithCells="1">
              <from>
                <xdr:col>15840</xdr:col>
                <xdr:colOff>571500</xdr:colOff>
                <xdr:row>0</xdr:row>
                <xdr:rowOff>9525</xdr:rowOff>
              </from>
              <to>
                <xdr:col>15841</xdr:col>
                <xdr:colOff>0</xdr:colOff>
                <xdr:row>0</xdr:row>
                <xdr:rowOff>28575</xdr:rowOff>
              </to>
            </anchor>
          </controlPr>
        </control>
      </mc:Choice>
      <mc:Fallback>
        <control shapeId="4103" r:id="rId15" name="CommandButton3"/>
      </mc:Fallback>
    </mc:AlternateContent>
  </controls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أصول2016 (4)</vt:lpstr>
      <vt:lpstr>أصول2016 (5)</vt:lpstr>
      <vt:lpstr>'أصول2016 (4)'!Print_Area</vt:lpstr>
      <vt:lpstr>'أصول2016 (5)'!Print_Area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MO7AMED</dc:creator>
  <cp:lastModifiedBy>Mohammed Ahmed Mahdi </cp:lastModifiedBy>
  <cp:lastPrinted>2017-05-07T09:56:40Z</cp:lastPrinted>
  <dcterms:created xsi:type="dcterms:W3CDTF">2017-05-06T20:09:51Z</dcterms:created>
  <dcterms:modified xsi:type="dcterms:W3CDTF">2017-05-07T10:01:50Z</dcterms:modified>
</cp:coreProperties>
</file>