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8F6442A6-4B16-457C-A9E3-3D6F5BD76272}" xr6:coauthVersionLast="43" xr6:coauthVersionMax="43" xr10:uidLastSave="{00000000-0000-0000-0000-000000000000}"/>
  <bookViews>
    <workbookView xWindow="-120" yWindow="-120" windowWidth="29040" windowHeight="15840" xr2:uid="{CA94919A-00DE-4FE6-8078-A61C28F02635}"/>
  </bookViews>
  <sheets>
    <sheet name="ملخص الأصول" sheetId="2" r:id="rId1"/>
    <sheet name="أصول 2018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NAME" localSheetId="1">#REF!</definedName>
    <definedName name="NAME">#REF!</definedName>
    <definedName name="_xlnm.Print_Area" localSheetId="1">'أصول 2018'!$A$1:$AR$315</definedName>
    <definedName name="_xlnm.Print_Area" localSheetId="0">'ملخص الأصول'!$A$1:$J$15</definedName>
    <definedName name="_xlnm.Print_Titles" localSheetId="1">'أصول 2018'!$5:$5</definedName>
    <definedName name="أثاث_و_مفروشات" localSheetId="1">#REF!</definedName>
    <definedName name="أثاث_و_مفروشات">#REF!</definedName>
    <definedName name="الإحداثيات" localSheetId="1">'[1]بيان العملاء'!#REF!</definedName>
    <definedName name="الإحداثيات">'[1]بيان العملاء'!#REF!</definedName>
    <definedName name="الإدارة" localSheetId="1">[2]معلومات!$E$5:$E$17</definedName>
    <definedName name="الإدارة">[3]Sheet3!$E$5:$E$15</definedName>
    <definedName name="البنك" localSheetId="1">'[4]تفاصيل الحسابات '!#REF!</definedName>
    <definedName name="البنك">'[5]تفاصيل الحسابات '!#REF!</definedName>
    <definedName name="الحسابات" localSheetId="1">#REF!</definedName>
    <definedName name="الحسابات">#REF!</definedName>
    <definedName name="الدفعة_المستحقة">[1]تحصيل!$Q$5:$Q$962</definedName>
    <definedName name="الرياض" localSheetId="1">#REF!</definedName>
    <definedName name="الرياض">#REF!</definedName>
    <definedName name="المستخدم" localSheetId="1">[2]معلومات!$F$5:$F$17</definedName>
    <definedName name="المستخدم">[3]Sheet3!$F$5:$F$15</definedName>
    <definedName name="المشروع" localSheetId="1">[2]معلومات!$C$5:$C$17</definedName>
    <definedName name="المشروع">[3]Sheet3!$C$5:$C$15</definedName>
    <definedName name="حالة_الاصل" localSheetId="1">#REF!</definedName>
    <definedName name="حالة_الاصل">#REF!</definedName>
    <definedName name="في_التشغيل" localSheetId="1">#REF!</definedName>
    <definedName name="في_التشغيل">#REF!</definedName>
    <definedName name="مجموعة_الاصول" localSheetId="1">[2]معلومات!$B$5:$B$17</definedName>
    <definedName name="مجموعة_الاصول">[3]Sheet3!$B$5:$B$15</definedName>
    <definedName name="محمد_مهدي" localSheetId="1">#REF!</definedName>
    <definedName name="محمد_مهدي">#REF!</definedName>
    <definedName name="نوع_المعدة" localSheetId="1">[2]!Table4[نوع المعدة]</definedName>
    <definedName name="نوع_المعدة">[2]!Table4[نوع المعدة]</definedName>
  </definedNames>
  <calcPr calcId="191029"/>
  <pivotCaches>
    <pivotCache cacheId="9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04" i="1" l="1"/>
  <c r="T216" i="1"/>
  <c r="AN404" i="1"/>
  <c r="AH404" i="1"/>
  <c r="AF404" i="1"/>
  <c r="Y404" i="1"/>
  <c r="S404" i="1"/>
  <c r="AI404" i="1" s="1"/>
  <c r="A404" i="1"/>
  <c r="U404" i="1" l="1"/>
  <c r="T84" i="1"/>
  <c r="T83" i="1"/>
  <c r="T82" i="1"/>
  <c r="T8" i="1"/>
  <c r="AN84" i="1"/>
  <c r="AH84" i="1"/>
  <c r="AG84" i="1"/>
  <c r="AF84" i="1"/>
  <c r="Y84" i="1"/>
  <c r="S84" i="1"/>
  <c r="U84" i="1" s="1"/>
  <c r="A84" i="1"/>
  <c r="AN83" i="1"/>
  <c r="AH83" i="1"/>
  <c r="AG83" i="1"/>
  <c r="AF83" i="1"/>
  <c r="Y83" i="1"/>
  <c r="S83" i="1"/>
  <c r="A83" i="1"/>
  <c r="AN82" i="1"/>
  <c r="AH82" i="1"/>
  <c r="AG82" i="1"/>
  <c r="AF82" i="1"/>
  <c r="Y82" i="1"/>
  <c r="S82" i="1"/>
  <c r="A82" i="1"/>
  <c r="T160" i="1"/>
  <c r="T85" i="1"/>
  <c r="AN160" i="1"/>
  <c r="AH160" i="1"/>
  <c r="AG160" i="1"/>
  <c r="AF160" i="1"/>
  <c r="Y160" i="1"/>
  <c r="S160" i="1"/>
  <c r="A160" i="1"/>
  <c r="U82" i="1" l="1"/>
  <c r="AM404" i="1"/>
  <c r="AR404" i="1" s="1"/>
  <c r="AS404" i="1" s="1"/>
  <c r="AG404" i="1"/>
  <c r="AO404" i="1" s="1"/>
  <c r="AP404" i="1" s="1"/>
  <c r="U160" i="1"/>
  <c r="U83" i="1"/>
  <c r="AO84" i="1"/>
  <c r="AP84" i="1" s="1"/>
  <c r="AO82" i="1"/>
  <c r="AP82" i="1" s="1"/>
  <c r="AO83" i="1"/>
  <c r="AP83" i="1" s="1"/>
  <c r="AO160" i="1"/>
  <c r="AP160" i="1" s="1"/>
  <c r="AI83" i="1"/>
  <c r="AI82" i="1"/>
  <c r="AM82" i="1" s="1"/>
  <c r="AR82" i="1" s="1"/>
  <c r="AI84" i="1"/>
  <c r="AM84" i="1" s="1"/>
  <c r="AR84" i="1" s="1"/>
  <c r="AI160" i="1"/>
  <c r="T444" i="1"/>
  <c r="T443" i="1"/>
  <c r="AM83" i="1" l="1"/>
  <c r="AR83" i="1" s="1"/>
  <c r="AS83" i="1" s="1"/>
  <c r="AM160" i="1"/>
  <c r="AR160" i="1" s="1"/>
  <c r="AS160" i="1" s="1"/>
  <c r="AS84" i="1"/>
  <c r="AS82" i="1"/>
  <c r="A444" i="1"/>
  <c r="S444" i="1"/>
  <c r="U444" i="1" s="1"/>
  <c r="Y444" i="1"/>
  <c r="AF444" i="1"/>
  <c r="AG444" i="1"/>
  <c r="AH444" i="1"/>
  <c r="AN444" i="1"/>
  <c r="T47" i="1"/>
  <c r="T46" i="1"/>
  <c r="AN46" i="1" s="1"/>
  <c r="T45" i="1"/>
  <c r="AN45" i="1" s="1"/>
  <c r="T41" i="1"/>
  <c r="AN47" i="1"/>
  <c r="AH47" i="1"/>
  <c r="AG47" i="1"/>
  <c r="AF47" i="1"/>
  <c r="Y47" i="1"/>
  <c r="S47" i="1"/>
  <c r="A47" i="1"/>
  <c r="AH46" i="1"/>
  <c r="AG46" i="1"/>
  <c r="AF46" i="1"/>
  <c r="Y46" i="1"/>
  <c r="S46" i="1"/>
  <c r="A46" i="1"/>
  <c r="AH45" i="1"/>
  <c r="AG45" i="1"/>
  <c r="AF45" i="1"/>
  <c r="Y45" i="1"/>
  <c r="S45" i="1"/>
  <c r="U45" i="1" s="1"/>
  <c r="A45" i="1"/>
  <c r="T57" i="1"/>
  <c r="AN57" i="1" s="1"/>
  <c r="T58" i="1"/>
  <c r="AN58" i="1" s="1"/>
  <c r="T59" i="1"/>
  <c r="T56" i="1"/>
  <c r="A57" i="1"/>
  <c r="S57" i="1"/>
  <c r="Y57" i="1"/>
  <c r="AF57" i="1"/>
  <c r="AG57" i="1"/>
  <c r="AH57" i="1"/>
  <c r="A58" i="1"/>
  <c r="S58" i="1"/>
  <c r="Y58" i="1"/>
  <c r="AF58" i="1"/>
  <c r="AG58" i="1"/>
  <c r="AH58" i="1"/>
  <c r="A59" i="1"/>
  <c r="S59" i="1"/>
  <c r="Y59" i="1"/>
  <c r="AF59" i="1"/>
  <c r="AG59" i="1"/>
  <c r="AH59" i="1"/>
  <c r="AN59" i="1"/>
  <c r="T54" i="1"/>
  <c r="AN54" i="1" s="1"/>
  <c r="T55" i="1"/>
  <c r="AN55" i="1" s="1"/>
  <c r="T53" i="1"/>
  <c r="A54" i="1"/>
  <c r="S54" i="1"/>
  <c r="U54" i="1" s="1"/>
  <c r="Y54" i="1"/>
  <c r="AF54" i="1"/>
  <c r="AG54" i="1"/>
  <c r="AH54" i="1"/>
  <c r="A55" i="1"/>
  <c r="S55" i="1"/>
  <c r="Y55" i="1"/>
  <c r="AF55" i="1"/>
  <c r="AG55" i="1"/>
  <c r="AH55" i="1"/>
  <c r="T52" i="1"/>
  <c r="AN52" i="1" s="1"/>
  <c r="T51" i="1"/>
  <c r="AN51" i="1" s="1"/>
  <c r="T50" i="1"/>
  <c r="AH52" i="1"/>
  <c r="AG52" i="1"/>
  <c r="AF52" i="1"/>
  <c r="Y52" i="1"/>
  <c r="S52" i="1"/>
  <c r="A52" i="1"/>
  <c r="AH51" i="1"/>
  <c r="AG51" i="1"/>
  <c r="AF51" i="1"/>
  <c r="Y51" i="1"/>
  <c r="S51" i="1"/>
  <c r="A51" i="1"/>
  <c r="T61" i="1"/>
  <c r="AN61" i="1" s="1"/>
  <c r="T62" i="1"/>
  <c r="AN62" i="1" s="1"/>
  <c r="T60" i="1"/>
  <c r="A61" i="1"/>
  <c r="S61" i="1"/>
  <c r="U61" i="1" s="1"/>
  <c r="Y61" i="1"/>
  <c r="AF61" i="1"/>
  <c r="AG61" i="1"/>
  <c r="AH61" i="1"/>
  <c r="A62" i="1"/>
  <c r="S62" i="1"/>
  <c r="Y62" i="1"/>
  <c r="AF62" i="1"/>
  <c r="AG62" i="1"/>
  <c r="AH62" i="1"/>
  <c r="U52" i="1" l="1"/>
  <c r="U58" i="1"/>
  <c r="U47" i="1"/>
  <c r="AO444" i="1"/>
  <c r="AP444" i="1" s="1"/>
  <c r="AI58" i="1"/>
  <c r="AI51" i="1"/>
  <c r="AO55" i="1"/>
  <c r="AP55" i="1" s="1"/>
  <c r="AI59" i="1"/>
  <c r="AI46" i="1"/>
  <c r="AO46" i="1"/>
  <c r="AP46" i="1" s="1"/>
  <c r="AI55" i="1"/>
  <c r="U57" i="1"/>
  <c r="AO47" i="1"/>
  <c r="AP47" i="1" s="1"/>
  <c r="AI444" i="1"/>
  <c r="AM444" i="1" s="1"/>
  <c r="AO45" i="1"/>
  <c r="AP45" i="1" s="1"/>
  <c r="U46" i="1"/>
  <c r="AI45" i="1"/>
  <c r="AM45" i="1" s="1"/>
  <c r="AI47" i="1"/>
  <c r="AO59" i="1"/>
  <c r="AP59" i="1" s="1"/>
  <c r="AI57" i="1"/>
  <c r="AO57" i="1"/>
  <c r="AP57" i="1" s="1"/>
  <c r="AO58" i="1"/>
  <c r="AP58" i="1" s="1"/>
  <c r="U59" i="1"/>
  <c r="U55" i="1"/>
  <c r="AO54" i="1"/>
  <c r="AP54" i="1" s="1"/>
  <c r="AI54" i="1"/>
  <c r="AO51" i="1"/>
  <c r="AP51" i="1" s="1"/>
  <c r="AO52" i="1"/>
  <c r="AP52" i="1" s="1"/>
  <c r="AI52" i="1"/>
  <c r="U51" i="1"/>
  <c r="U62" i="1"/>
  <c r="AO61" i="1"/>
  <c r="AP61" i="1" s="1"/>
  <c r="AO62" i="1"/>
  <c r="AP62" i="1" s="1"/>
  <c r="AI61" i="1"/>
  <c r="AM61" i="1" s="1"/>
  <c r="AI62" i="1"/>
  <c r="T64" i="1"/>
  <c r="AN64" i="1" s="1"/>
  <c r="T65" i="1"/>
  <c r="AN65" i="1" s="1"/>
  <c r="T164" i="1"/>
  <c r="T63" i="1"/>
  <c r="A64" i="1"/>
  <c r="S64" i="1"/>
  <c r="Y64" i="1"/>
  <c r="AF64" i="1"/>
  <c r="AG64" i="1"/>
  <c r="AH64" i="1"/>
  <c r="A65" i="1"/>
  <c r="S65" i="1"/>
  <c r="Y65" i="1"/>
  <c r="AF65" i="1"/>
  <c r="AG65" i="1"/>
  <c r="AH65" i="1"/>
  <c r="A164" i="1"/>
  <c r="S164" i="1"/>
  <c r="Y164" i="1"/>
  <c r="AF164" i="1"/>
  <c r="AG164" i="1"/>
  <c r="AH164" i="1"/>
  <c r="AN164" i="1"/>
  <c r="AH192" i="1"/>
  <c r="AG192" i="1"/>
  <c r="AF192" i="1"/>
  <c r="Y192" i="1"/>
  <c r="T192" i="1"/>
  <c r="AN192" i="1" s="1"/>
  <c r="S192" i="1"/>
  <c r="U192" i="1" s="1"/>
  <c r="A192" i="1"/>
  <c r="AH175" i="1"/>
  <c r="AG175" i="1"/>
  <c r="AF175" i="1"/>
  <c r="Y175" i="1"/>
  <c r="T175" i="1"/>
  <c r="AN175" i="1" s="1"/>
  <c r="S175" i="1"/>
  <c r="A175" i="1"/>
  <c r="AH174" i="1"/>
  <c r="AG174" i="1"/>
  <c r="AF174" i="1"/>
  <c r="Y174" i="1"/>
  <c r="T174" i="1"/>
  <c r="AN174" i="1" s="1"/>
  <c r="S174" i="1"/>
  <c r="A174" i="1"/>
  <c r="AH173" i="1"/>
  <c r="AG173" i="1"/>
  <c r="AF173" i="1"/>
  <c r="Y173" i="1"/>
  <c r="T173" i="1"/>
  <c r="AN173" i="1" s="1"/>
  <c r="S173" i="1"/>
  <c r="A173" i="1"/>
  <c r="AH172" i="1"/>
  <c r="AG172" i="1"/>
  <c r="AF172" i="1"/>
  <c r="Y172" i="1"/>
  <c r="T172" i="1"/>
  <c r="AN172" i="1" s="1"/>
  <c r="S172" i="1"/>
  <c r="U172" i="1" s="1"/>
  <c r="A172" i="1"/>
  <c r="AH171" i="1"/>
  <c r="AG171" i="1"/>
  <c r="AF171" i="1"/>
  <c r="Y171" i="1"/>
  <c r="T171" i="1"/>
  <c r="AN171" i="1" s="1"/>
  <c r="S171" i="1"/>
  <c r="A171" i="1"/>
  <c r="AH170" i="1"/>
  <c r="AG170" i="1"/>
  <c r="AF170" i="1"/>
  <c r="Y170" i="1"/>
  <c r="T170" i="1"/>
  <c r="AN170" i="1" s="1"/>
  <c r="S170" i="1"/>
  <c r="A170" i="1"/>
  <c r="AH169" i="1"/>
  <c r="AG169" i="1"/>
  <c r="AF169" i="1"/>
  <c r="Y169" i="1"/>
  <c r="T169" i="1"/>
  <c r="S169" i="1"/>
  <c r="A169" i="1"/>
  <c r="AH168" i="1"/>
  <c r="AG168" i="1"/>
  <c r="AF168" i="1"/>
  <c r="Y168" i="1"/>
  <c r="T168" i="1"/>
  <c r="AN168" i="1" s="1"/>
  <c r="S168" i="1"/>
  <c r="U168" i="1" s="1"/>
  <c r="A168" i="1"/>
  <c r="AH167" i="1"/>
  <c r="AG167" i="1"/>
  <c r="AF167" i="1"/>
  <c r="Y167" i="1"/>
  <c r="T167" i="1"/>
  <c r="AN167" i="1" s="1"/>
  <c r="S167" i="1"/>
  <c r="A167" i="1"/>
  <c r="AH166" i="1"/>
  <c r="AG166" i="1"/>
  <c r="AF166" i="1"/>
  <c r="Y166" i="1"/>
  <c r="T166" i="1"/>
  <c r="AN166" i="1" s="1"/>
  <c r="S166" i="1"/>
  <c r="A166" i="1"/>
  <c r="T165" i="1"/>
  <c r="A49" i="1"/>
  <c r="S49" i="1"/>
  <c r="U49" i="1" s="1"/>
  <c r="Y49" i="1"/>
  <c r="AF49" i="1"/>
  <c r="AG49" i="1"/>
  <c r="AH49" i="1"/>
  <c r="AN49" i="1"/>
  <c r="A193" i="1"/>
  <c r="S193" i="1"/>
  <c r="U193" i="1" s="1"/>
  <c r="Y193" i="1"/>
  <c r="AF193" i="1"/>
  <c r="AG193" i="1"/>
  <c r="AH193" i="1"/>
  <c r="AN193" i="1"/>
  <c r="A430" i="1"/>
  <c r="S430" i="1"/>
  <c r="Y430" i="1"/>
  <c r="AF430" i="1"/>
  <c r="AG430" i="1"/>
  <c r="AH430" i="1"/>
  <c r="AN430" i="1"/>
  <c r="A431" i="1"/>
  <c r="S431" i="1"/>
  <c r="U431" i="1" s="1"/>
  <c r="Y431" i="1"/>
  <c r="AF431" i="1"/>
  <c r="AG431" i="1"/>
  <c r="AH431" i="1"/>
  <c r="AN431" i="1"/>
  <c r="A432" i="1"/>
  <c r="S432" i="1"/>
  <c r="U432" i="1" s="1"/>
  <c r="Y432" i="1"/>
  <c r="AF432" i="1"/>
  <c r="AG432" i="1"/>
  <c r="AH432" i="1"/>
  <c r="AN432" i="1"/>
  <c r="A433" i="1"/>
  <c r="S433" i="1"/>
  <c r="U433" i="1" s="1"/>
  <c r="Y433" i="1"/>
  <c r="AF433" i="1"/>
  <c r="AG433" i="1"/>
  <c r="AH433" i="1"/>
  <c r="AN433" i="1"/>
  <c r="A443" i="1"/>
  <c r="S443" i="1"/>
  <c r="U443" i="1" s="1"/>
  <c r="Y443" i="1"/>
  <c r="AF443" i="1"/>
  <c r="AG443" i="1"/>
  <c r="AH443" i="1"/>
  <c r="AN443" i="1"/>
  <c r="A48" i="1"/>
  <c r="R48" i="1"/>
  <c r="S48" i="1" s="1"/>
  <c r="Y48" i="1"/>
  <c r="AF48" i="1"/>
  <c r="AG48" i="1"/>
  <c r="AH48" i="1"/>
  <c r="AN48" i="1"/>
  <c r="A41" i="1"/>
  <c r="S41" i="1"/>
  <c r="U41" i="1" s="1"/>
  <c r="Y41" i="1"/>
  <c r="AF41" i="1"/>
  <c r="AG41" i="1"/>
  <c r="AH41" i="1"/>
  <c r="AN41" i="1"/>
  <c r="A434" i="1"/>
  <c r="S434" i="1"/>
  <c r="U434" i="1" s="1"/>
  <c r="Y434" i="1"/>
  <c r="AF434" i="1"/>
  <c r="AG434" i="1"/>
  <c r="AH434" i="1"/>
  <c r="AN434" i="1"/>
  <c r="A435" i="1"/>
  <c r="S435" i="1"/>
  <c r="Y435" i="1"/>
  <c r="AF435" i="1"/>
  <c r="AG435" i="1"/>
  <c r="AH435" i="1"/>
  <c r="AN435" i="1"/>
  <c r="A436" i="1"/>
  <c r="S436" i="1"/>
  <c r="U436" i="1" s="1"/>
  <c r="Y436" i="1"/>
  <c r="AF436" i="1"/>
  <c r="AG436" i="1"/>
  <c r="AH436" i="1"/>
  <c r="AN436" i="1"/>
  <c r="A437" i="1"/>
  <c r="S437" i="1"/>
  <c r="Y437" i="1"/>
  <c r="AF437" i="1"/>
  <c r="AG437" i="1"/>
  <c r="AH437" i="1"/>
  <c r="AN437" i="1"/>
  <c r="A438" i="1"/>
  <c r="S438" i="1"/>
  <c r="U438" i="1" s="1"/>
  <c r="Y438" i="1"/>
  <c r="AF438" i="1"/>
  <c r="AG438" i="1"/>
  <c r="AH438" i="1"/>
  <c r="AN438" i="1"/>
  <c r="A439" i="1"/>
  <c r="S439" i="1"/>
  <c r="Y439" i="1"/>
  <c r="AF439" i="1"/>
  <c r="AG439" i="1"/>
  <c r="AH439" i="1"/>
  <c r="AN439" i="1"/>
  <c r="A440" i="1"/>
  <c r="S440" i="1"/>
  <c r="U440" i="1" s="1"/>
  <c r="Y440" i="1"/>
  <c r="AF440" i="1"/>
  <c r="AG440" i="1"/>
  <c r="AH440" i="1"/>
  <c r="AN440" i="1"/>
  <c r="A441" i="1"/>
  <c r="S441" i="1"/>
  <c r="Y441" i="1"/>
  <c r="AF441" i="1"/>
  <c r="AG441" i="1"/>
  <c r="AH441" i="1"/>
  <c r="AN441" i="1"/>
  <c r="A442" i="1"/>
  <c r="S442" i="1"/>
  <c r="U442" i="1" s="1"/>
  <c r="Y442" i="1"/>
  <c r="AF442" i="1"/>
  <c r="AG442" i="1"/>
  <c r="AH442" i="1"/>
  <c r="AN442" i="1"/>
  <c r="U164" i="1" l="1"/>
  <c r="U64" i="1"/>
  <c r="AM47" i="1"/>
  <c r="AM59" i="1"/>
  <c r="AM46" i="1"/>
  <c r="AR46" i="1" s="1"/>
  <c r="AS46" i="1" s="1"/>
  <c r="AM58" i="1"/>
  <c r="AR58" i="1" s="1"/>
  <c r="AS58" i="1" s="1"/>
  <c r="AM57" i="1"/>
  <c r="AR57" i="1" s="1"/>
  <c r="AS57" i="1" s="1"/>
  <c r="AR444" i="1"/>
  <c r="AS444" i="1" s="1"/>
  <c r="AM51" i="1"/>
  <c r="AR51" i="1" s="1"/>
  <c r="AS51" i="1" s="1"/>
  <c r="AO192" i="1"/>
  <c r="AP192" i="1" s="1"/>
  <c r="AR47" i="1"/>
  <c r="AS47" i="1" s="1"/>
  <c r="AR45" i="1"/>
  <c r="AS45" i="1" s="1"/>
  <c r="U65" i="1"/>
  <c r="AM55" i="1"/>
  <c r="AR55" i="1" s="1"/>
  <c r="AS55" i="1" s="1"/>
  <c r="AR61" i="1"/>
  <c r="AS61" i="1" s="1"/>
  <c r="AR59" i="1"/>
  <c r="AS59" i="1" s="1"/>
  <c r="AM54" i="1"/>
  <c r="AR54" i="1" s="1"/>
  <c r="AS54" i="1" s="1"/>
  <c r="AO430" i="1"/>
  <c r="AP430" i="1" s="1"/>
  <c r="AO167" i="1"/>
  <c r="AP167" i="1" s="1"/>
  <c r="AI64" i="1"/>
  <c r="AI430" i="1"/>
  <c r="AM52" i="1"/>
  <c r="AR52" i="1" s="1"/>
  <c r="AS52" i="1" s="1"/>
  <c r="AM62" i="1"/>
  <c r="AR62" i="1" s="1"/>
  <c r="AS62" i="1" s="1"/>
  <c r="AO166" i="1"/>
  <c r="AP166" i="1" s="1"/>
  <c r="AO170" i="1"/>
  <c r="AP170" i="1" s="1"/>
  <c r="AI173" i="1"/>
  <c r="AO443" i="1"/>
  <c r="AP443" i="1" s="1"/>
  <c r="AO193" i="1"/>
  <c r="AP193" i="1" s="1"/>
  <c r="U169" i="1"/>
  <c r="AI164" i="1"/>
  <c r="AM164" i="1" s="1"/>
  <c r="AO48" i="1"/>
  <c r="AP48" i="1" s="1"/>
  <c r="AI443" i="1"/>
  <c r="AM443" i="1" s="1"/>
  <c r="AO168" i="1"/>
  <c r="AP168" i="1" s="1"/>
  <c r="AO172" i="1"/>
  <c r="AP172" i="1" s="1"/>
  <c r="AO175" i="1"/>
  <c r="AP175" i="1" s="1"/>
  <c r="AO64" i="1"/>
  <c r="AP64" i="1" s="1"/>
  <c r="AO41" i="1"/>
  <c r="AP41" i="1" s="1"/>
  <c r="AO65" i="1"/>
  <c r="AP65" i="1" s="1"/>
  <c r="AO164" i="1"/>
  <c r="AP164" i="1" s="1"/>
  <c r="AM64" i="1"/>
  <c r="AI65" i="1"/>
  <c r="AI166" i="1"/>
  <c r="AI169" i="1"/>
  <c r="AI174" i="1"/>
  <c r="AI432" i="1"/>
  <c r="AM432" i="1" s="1"/>
  <c r="AI167" i="1"/>
  <c r="AI170" i="1"/>
  <c r="U173" i="1"/>
  <c r="AI49" i="1"/>
  <c r="AM49" i="1" s="1"/>
  <c r="AO171" i="1"/>
  <c r="AP171" i="1" s="1"/>
  <c r="AO173" i="1"/>
  <c r="AP173" i="1" s="1"/>
  <c r="AO174" i="1"/>
  <c r="AP174" i="1" s="1"/>
  <c r="U167" i="1"/>
  <c r="AI168" i="1"/>
  <c r="AM168" i="1" s="1"/>
  <c r="U171" i="1"/>
  <c r="AI172" i="1"/>
  <c r="AM172" i="1" s="1"/>
  <c r="U175" i="1"/>
  <c r="AI192" i="1"/>
  <c r="AM192" i="1" s="1"/>
  <c r="U166" i="1"/>
  <c r="AN169" i="1"/>
  <c r="AO169" i="1" s="1"/>
  <c r="AP169" i="1" s="1"/>
  <c r="U170" i="1"/>
  <c r="AI171" i="1"/>
  <c r="U174" i="1"/>
  <c r="AI175" i="1"/>
  <c r="AO435" i="1"/>
  <c r="AP435" i="1" s="1"/>
  <c r="AI41" i="1"/>
  <c r="AO49" i="1"/>
  <c r="AP49" i="1" s="1"/>
  <c r="AO437" i="1"/>
  <c r="AP437" i="1" s="1"/>
  <c r="AO431" i="1"/>
  <c r="AP431" i="1" s="1"/>
  <c r="AO442" i="1"/>
  <c r="AP442" i="1" s="1"/>
  <c r="AI439" i="1"/>
  <c r="AI435" i="1"/>
  <c r="AO434" i="1"/>
  <c r="AP434" i="1" s="1"/>
  <c r="AO433" i="1"/>
  <c r="AP433" i="1" s="1"/>
  <c r="AO432" i="1"/>
  <c r="AP432" i="1" s="1"/>
  <c r="U48" i="1"/>
  <c r="AI48" i="1"/>
  <c r="AM41" i="1"/>
  <c r="U430" i="1"/>
  <c r="AO436" i="1"/>
  <c r="AP436" i="1" s="1"/>
  <c r="AI433" i="1"/>
  <c r="AI431" i="1"/>
  <c r="AI193" i="1"/>
  <c r="AI437" i="1"/>
  <c r="AI441" i="1"/>
  <c r="AO438" i="1"/>
  <c r="AP438" i="1" s="1"/>
  <c r="AO440" i="1"/>
  <c r="AP440" i="1" s="1"/>
  <c r="AO439" i="1"/>
  <c r="AP439" i="1" s="1"/>
  <c r="AO441" i="1"/>
  <c r="AP441" i="1" s="1"/>
  <c r="U441" i="1"/>
  <c r="U439" i="1"/>
  <c r="U437" i="1"/>
  <c r="AM437" i="1" s="1"/>
  <c r="U435" i="1"/>
  <c r="AI442" i="1"/>
  <c r="AM442" i="1" s="1"/>
  <c r="AI440" i="1"/>
  <c r="AI438" i="1"/>
  <c r="AM438" i="1" s="1"/>
  <c r="AI436" i="1"/>
  <c r="AM436" i="1" s="1"/>
  <c r="AI434" i="1"/>
  <c r="A467" i="1"/>
  <c r="S467" i="1"/>
  <c r="Y467" i="1"/>
  <c r="AF467" i="1"/>
  <c r="AG467" i="1"/>
  <c r="AH467" i="1"/>
  <c r="AN467" i="1"/>
  <c r="A454" i="1"/>
  <c r="A464" i="1"/>
  <c r="A465" i="1"/>
  <c r="AM65" i="1" l="1"/>
  <c r="AR192" i="1"/>
  <c r="AR172" i="1"/>
  <c r="AS172" i="1" s="1"/>
  <c r="AM430" i="1"/>
  <c r="AR430" i="1" s="1"/>
  <c r="AS430" i="1" s="1"/>
  <c r="AM174" i="1"/>
  <c r="AR174" i="1" s="1"/>
  <c r="AS174" i="1" s="1"/>
  <c r="AR436" i="1"/>
  <c r="AS436" i="1" s="1"/>
  <c r="AM169" i="1"/>
  <c r="AR41" i="1"/>
  <c r="AS41" i="1" s="1"/>
  <c r="AR168" i="1"/>
  <c r="AS168" i="1" s="1"/>
  <c r="AM167" i="1"/>
  <c r="AR167" i="1" s="1"/>
  <c r="AS167" i="1" s="1"/>
  <c r="AR164" i="1"/>
  <c r="AS164" i="1" s="1"/>
  <c r="AR49" i="1"/>
  <c r="AR65" i="1"/>
  <c r="AS65" i="1" s="1"/>
  <c r="AR442" i="1"/>
  <c r="AS442" i="1" s="1"/>
  <c r="AM439" i="1"/>
  <c r="AR439" i="1" s="1"/>
  <c r="AS439" i="1" s="1"/>
  <c r="AS49" i="1"/>
  <c r="AM171" i="1"/>
  <c r="AR171" i="1" s="1"/>
  <c r="AS171" i="1" s="1"/>
  <c r="AM173" i="1"/>
  <c r="AR173" i="1" s="1"/>
  <c r="AS173" i="1" s="1"/>
  <c r="AR443" i="1"/>
  <c r="AS443" i="1" s="1"/>
  <c r="AR432" i="1"/>
  <c r="AS432" i="1" s="1"/>
  <c r="AM166" i="1"/>
  <c r="AR166" i="1" s="1"/>
  <c r="AS166" i="1" s="1"/>
  <c r="AR64" i="1"/>
  <c r="AS64" i="1" s="1"/>
  <c r="AR169" i="1"/>
  <c r="AS169" i="1" s="1"/>
  <c r="AM441" i="1"/>
  <c r="AR441" i="1" s="1"/>
  <c r="AS441" i="1" s="1"/>
  <c r="AM170" i="1"/>
  <c r="AR170" i="1" s="1"/>
  <c r="AS170" i="1" s="1"/>
  <c r="AS192" i="1"/>
  <c r="AM175" i="1"/>
  <c r="AR175" i="1" s="1"/>
  <c r="AS175" i="1" s="1"/>
  <c r="AR438" i="1"/>
  <c r="AS438" i="1" s="1"/>
  <c r="AR437" i="1"/>
  <c r="AS437" i="1" s="1"/>
  <c r="AM435" i="1"/>
  <c r="AR435" i="1" s="1"/>
  <c r="AS435" i="1" s="1"/>
  <c r="AM431" i="1"/>
  <c r="AR431" i="1" s="1"/>
  <c r="AS431" i="1" s="1"/>
  <c r="AM193" i="1"/>
  <c r="AR193" i="1" s="1"/>
  <c r="AS193" i="1" s="1"/>
  <c r="AM48" i="1"/>
  <c r="AR48" i="1" s="1"/>
  <c r="AS48" i="1" s="1"/>
  <c r="AM433" i="1"/>
  <c r="AR433" i="1" s="1"/>
  <c r="AS433" i="1" s="1"/>
  <c r="AM434" i="1"/>
  <c r="AR434" i="1" s="1"/>
  <c r="AS434" i="1" s="1"/>
  <c r="AM440" i="1"/>
  <c r="AR440" i="1" s="1"/>
  <c r="AS440" i="1" s="1"/>
  <c r="AM467" i="1"/>
  <c r="AO467" i="1"/>
  <c r="AP467" i="1" s="1"/>
  <c r="AS467" i="1"/>
  <c r="AI467" i="1"/>
  <c r="U467" i="1"/>
  <c r="AR467" i="1"/>
  <c r="T136" i="1"/>
  <c r="T135" i="1"/>
  <c r="A87" i="1" l="1"/>
  <c r="S87" i="1"/>
  <c r="U87" i="1" s="1"/>
  <c r="Y87" i="1"/>
  <c r="AF87" i="1"/>
  <c r="AG87" i="1"/>
  <c r="AH87" i="1"/>
  <c r="AN87" i="1"/>
  <c r="AS87" i="1"/>
  <c r="T214" i="1"/>
  <c r="AN214" i="1" s="1"/>
  <c r="T215" i="1"/>
  <c r="T213" i="1"/>
  <c r="AN213" i="1" s="1"/>
  <c r="AH214" i="1"/>
  <c r="AG214" i="1"/>
  <c r="AF214" i="1"/>
  <c r="Y214" i="1"/>
  <c r="S214" i="1"/>
  <c r="U214" i="1" s="1"/>
  <c r="A214" i="1"/>
  <c r="AH213" i="1"/>
  <c r="AG213" i="1"/>
  <c r="AF213" i="1"/>
  <c r="Y213" i="1"/>
  <c r="S213" i="1"/>
  <c r="U213" i="1" s="1"/>
  <c r="A213" i="1"/>
  <c r="AR87" i="1" l="1"/>
  <c r="AO87" i="1"/>
  <c r="AP87" i="1" s="1"/>
  <c r="AI214" i="1"/>
  <c r="AI87" i="1"/>
  <c r="AM87" i="1"/>
  <c r="AO214" i="1"/>
  <c r="AP214" i="1" s="1"/>
  <c r="AM214" i="1"/>
  <c r="AR214" i="1" s="1"/>
  <c r="AS214" i="1" s="1"/>
  <c r="AO213" i="1"/>
  <c r="AP213" i="1" s="1"/>
  <c r="AI213" i="1"/>
  <c r="AM213" i="1" s="1"/>
  <c r="AN118" i="1"/>
  <c r="AH118" i="1"/>
  <c r="AG118" i="1"/>
  <c r="AF118" i="1"/>
  <c r="Y118" i="1"/>
  <c r="S118" i="1"/>
  <c r="A118" i="1"/>
  <c r="AN35" i="1"/>
  <c r="AH35" i="1"/>
  <c r="AG35" i="1"/>
  <c r="AF35" i="1"/>
  <c r="Y35" i="1"/>
  <c r="S35" i="1"/>
  <c r="AS35" i="1" s="1"/>
  <c r="A35" i="1"/>
  <c r="A36" i="1"/>
  <c r="S36" i="1"/>
  <c r="U36" i="1" s="1"/>
  <c r="Y36" i="1"/>
  <c r="AF36" i="1"/>
  <c r="AG36" i="1"/>
  <c r="AH36" i="1"/>
  <c r="AN36" i="1"/>
  <c r="A33" i="1"/>
  <c r="S33" i="1"/>
  <c r="AS33" i="1" s="1"/>
  <c r="Y33" i="1"/>
  <c r="AF33" i="1"/>
  <c r="AG33" i="1"/>
  <c r="AH33" i="1"/>
  <c r="AN33" i="1"/>
  <c r="A177" i="1"/>
  <c r="S177" i="1"/>
  <c r="U177" i="1" s="1"/>
  <c r="Y177" i="1"/>
  <c r="AF177" i="1"/>
  <c r="AG177" i="1"/>
  <c r="AH177" i="1"/>
  <c r="AN177" i="1"/>
  <c r="A176" i="1"/>
  <c r="S176" i="1"/>
  <c r="U176" i="1" s="1"/>
  <c r="Y176" i="1"/>
  <c r="AF176" i="1"/>
  <c r="AG176" i="1"/>
  <c r="AH176" i="1"/>
  <c r="AN176" i="1"/>
  <c r="A126" i="1"/>
  <c r="S126" i="1"/>
  <c r="U126" i="1" s="1"/>
  <c r="Y126" i="1"/>
  <c r="AF126" i="1"/>
  <c r="AG126" i="1"/>
  <c r="AH126" i="1"/>
  <c r="AN126" i="1"/>
  <c r="A127" i="1"/>
  <c r="S127" i="1"/>
  <c r="U127" i="1" s="1"/>
  <c r="Y127" i="1"/>
  <c r="AF127" i="1"/>
  <c r="AG127" i="1"/>
  <c r="AH127" i="1"/>
  <c r="AN127" i="1"/>
  <c r="A129" i="1"/>
  <c r="S129" i="1"/>
  <c r="U129" i="1" s="1"/>
  <c r="Y129" i="1"/>
  <c r="AF129" i="1"/>
  <c r="AG129" i="1"/>
  <c r="AH129" i="1"/>
  <c r="AN129" i="1"/>
  <c r="A128" i="1"/>
  <c r="S128" i="1"/>
  <c r="AS128" i="1" s="1"/>
  <c r="Y128" i="1"/>
  <c r="AF128" i="1"/>
  <c r="AG128" i="1"/>
  <c r="AH128" i="1"/>
  <c r="AN128" i="1"/>
  <c r="A125" i="1"/>
  <c r="S125" i="1"/>
  <c r="U125" i="1" s="1"/>
  <c r="Y125" i="1"/>
  <c r="AF125" i="1"/>
  <c r="AG125" i="1"/>
  <c r="AH125" i="1"/>
  <c r="AN125" i="1"/>
  <c r="AN135" i="1"/>
  <c r="AH135" i="1"/>
  <c r="AG135" i="1"/>
  <c r="AF135" i="1"/>
  <c r="Y135" i="1"/>
  <c r="S135" i="1"/>
  <c r="U135" i="1" s="1"/>
  <c r="A135" i="1"/>
  <c r="AR213" i="1" l="1"/>
  <c r="AS213" i="1" s="1"/>
  <c r="AO118" i="1"/>
  <c r="AP118" i="1" s="1"/>
  <c r="AS36" i="1"/>
  <c r="AI36" i="1"/>
  <c r="AO35" i="1"/>
  <c r="AP35" i="1" s="1"/>
  <c r="AI118" i="1"/>
  <c r="U118" i="1"/>
  <c r="U35" i="1"/>
  <c r="AI35" i="1"/>
  <c r="AO36" i="1"/>
  <c r="AP36" i="1" s="1"/>
  <c r="AS177" i="1"/>
  <c r="AM36" i="1"/>
  <c r="AI33" i="1"/>
  <c r="AI177" i="1"/>
  <c r="AM177" i="1" s="1"/>
  <c r="AO33" i="1"/>
  <c r="AP33" i="1" s="1"/>
  <c r="U33" i="1"/>
  <c r="AI176" i="1"/>
  <c r="AM176" i="1" s="1"/>
  <c r="AS176" i="1"/>
  <c r="AO177" i="1"/>
  <c r="AP177" i="1" s="1"/>
  <c r="AO176" i="1"/>
  <c r="AP176" i="1" s="1"/>
  <c r="AS126" i="1"/>
  <c r="AI126" i="1"/>
  <c r="AM126" i="1" s="1"/>
  <c r="AS129" i="1"/>
  <c r="U128" i="1"/>
  <c r="AO129" i="1"/>
  <c r="AP129" i="1" s="1"/>
  <c r="AO127" i="1"/>
  <c r="AP127" i="1" s="1"/>
  <c r="AO128" i="1"/>
  <c r="AP128" i="1" s="1"/>
  <c r="AI129" i="1"/>
  <c r="AM129" i="1" s="1"/>
  <c r="AI127" i="1"/>
  <c r="AM127" i="1" s="1"/>
  <c r="AS127" i="1"/>
  <c r="AO126" i="1"/>
  <c r="AP126" i="1" s="1"/>
  <c r="AI128" i="1"/>
  <c r="AM128" i="1" s="1"/>
  <c r="AS125" i="1"/>
  <c r="AO125" i="1"/>
  <c r="AP125" i="1" s="1"/>
  <c r="AI125" i="1"/>
  <c r="AM125" i="1" s="1"/>
  <c r="AO135" i="1"/>
  <c r="AP135" i="1" s="1"/>
  <c r="AI135" i="1"/>
  <c r="AM135" i="1" s="1"/>
  <c r="A34" i="1"/>
  <c r="S34" i="1"/>
  <c r="U34" i="1" s="1"/>
  <c r="Y34" i="1"/>
  <c r="AF34" i="1"/>
  <c r="AG34" i="1"/>
  <c r="AH34" i="1"/>
  <c r="AN34" i="1"/>
  <c r="A32" i="1"/>
  <c r="S32" i="1"/>
  <c r="U32" i="1" s="1"/>
  <c r="Y32" i="1"/>
  <c r="AF32" i="1"/>
  <c r="AG32" i="1"/>
  <c r="AH32" i="1"/>
  <c r="AN32" i="1"/>
  <c r="A140" i="1"/>
  <c r="S140" i="1"/>
  <c r="U140" i="1" s="1"/>
  <c r="Y140" i="1"/>
  <c r="AF140" i="1"/>
  <c r="AG140" i="1"/>
  <c r="AH140" i="1"/>
  <c r="AN140" i="1"/>
  <c r="AN422" i="1"/>
  <c r="AH422" i="1"/>
  <c r="AG422" i="1"/>
  <c r="AF422" i="1"/>
  <c r="Y422" i="1"/>
  <c r="S422" i="1"/>
  <c r="U422" i="1" s="1"/>
  <c r="A422" i="1"/>
  <c r="AN421" i="1"/>
  <c r="AH421" i="1"/>
  <c r="AG421" i="1"/>
  <c r="AF421" i="1"/>
  <c r="Y421" i="1"/>
  <c r="S421" i="1"/>
  <c r="A421" i="1"/>
  <c r="AN420" i="1"/>
  <c r="AH420" i="1"/>
  <c r="AG420" i="1"/>
  <c r="AF420" i="1"/>
  <c r="Y420" i="1"/>
  <c r="S420" i="1"/>
  <c r="A420" i="1"/>
  <c r="AN419" i="1"/>
  <c r="AH419" i="1"/>
  <c r="AG419" i="1"/>
  <c r="AF419" i="1"/>
  <c r="Y419" i="1"/>
  <c r="S419" i="1"/>
  <c r="A419" i="1"/>
  <c r="AM118" i="1" l="1"/>
  <c r="AR118" i="1" s="1"/>
  <c r="AS118" i="1" s="1"/>
  <c r="AM35" i="1"/>
  <c r="AR35" i="1" s="1"/>
  <c r="AR36" i="1"/>
  <c r="AM33" i="1"/>
  <c r="AR33" i="1" s="1"/>
  <c r="AR177" i="1"/>
  <c r="AR176" i="1"/>
  <c r="AR129" i="1"/>
  <c r="AR127" i="1"/>
  <c r="AR128" i="1"/>
  <c r="AR126" i="1"/>
  <c r="AR125" i="1"/>
  <c r="AR135" i="1"/>
  <c r="AS135" i="1" s="1"/>
  <c r="AS32" i="1"/>
  <c r="AS34" i="1"/>
  <c r="AO32" i="1"/>
  <c r="AP32" i="1" s="1"/>
  <c r="AO34" i="1"/>
  <c r="AP34" i="1" s="1"/>
  <c r="AI34" i="1"/>
  <c r="AM34" i="1" s="1"/>
  <c r="AI32" i="1"/>
  <c r="AM32" i="1" s="1"/>
  <c r="AO140" i="1"/>
  <c r="AP140" i="1" s="1"/>
  <c r="AS140" i="1"/>
  <c r="AI140" i="1"/>
  <c r="AM140" i="1" s="1"/>
  <c r="AO419" i="1"/>
  <c r="AP419" i="1" s="1"/>
  <c r="AI420" i="1"/>
  <c r="AO422" i="1"/>
  <c r="AP422" i="1" s="1"/>
  <c r="AO421" i="1"/>
  <c r="AP421" i="1" s="1"/>
  <c r="AO420" i="1"/>
  <c r="AP420" i="1" s="1"/>
  <c r="U420" i="1"/>
  <c r="AM420" i="1" s="1"/>
  <c r="AI422" i="1"/>
  <c r="AM422" i="1" s="1"/>
  <c r="AR422" i="1" s="1"/>
  <c r="AS422" i="1" s="1"/>
  <c r="U421" i="1"/>
  <c r="AI421" i="1"/>
  <c r="U419" i="1"/>
  <c r="AI419" i="1"/>
  <c r="A448" i="1"/>
  <c r="S448" i="1"/>
  <c r="U448" i="1" s="1"/>
  <c r="Y448" i="1"/>
  <c r="AF448" i="1"/>
  <c r="AG448" i="1"/>
  <c r="AH448" i="1"/>
  <c r="AN448" i="1"/>
  <c r="A449" i="1"/>
  <c r="S449" i="1"/>
  <c r="U449" i="1" s="1"/>
  <c r="Y449" i="1"/>
  <c r="AF449" i="1"/>
  <c r="AG449" i="1"/>
  <c r="AH449" i="1"/>
  <c r="AN449" i="1"/>
  <c r="A450" i="1"/>
  <c r="S450" i="1"/>
  <c r="U450" i="1" s="1"/>
  <c r="Y450" i="1"/>
  <c r="AF450" i="1"/>
  <c r="AG450" i="1"/>
  <c r="AH450" i="1"/>
  <c r="AN450" i="1"/>
  <c r="A451" i="1"/>
  <c r="S451" i="1"/>
  <c r="U451" i="1" s="1"/>
  <c r="Y451" i="1"/>
  <c r="AF451" i="1"/>
  <c r="AG451" i="1"/>
  <c r="AH451" i="1"/>
  <c r="AN451" i="1"/>
  <c r="A447" i="1"/>
  <c r="S447" i="1"/>
  <c r="U447" i="1" s="1"/>
  <c r="Y447" i="1"/>
  <c r="AF447" i="1"/>
  <c r="AG447" i="1"/>
  <c r="AH447" i="1"/>
  <c r="AN447" i="1"/>
  <c r="A446" i="1"/>
  <c r="S446" i="1"/>
  <c r="U446" i="1" s="1"/>
  <c r="Y446" i="1"/>
  <c r="AF446" i="1"/>
  <c r="AG446" i="1"/>
  <c r="AH446" i="1"/>
  <c r="AN446" i="1"/>
  <c r="A453" i="1"/>
  <c r="S453" i="1"/>
  <c r="U453" i="1" s="1"/>
  <c r="Y453" i="1"/>
  <c r="AF453" i="1"/>
  <c r="AG453" i="1"/>
  <c r="AH453" i="1"/>
  <c r="AN453" i="1"/>
  <c r="A452" i="1"/>
  <c r="S452" i="1"/>
  <c r="U452" i="1" s="1"/>
  <c r="Y452" i="1"/>
  <c r="AF452" i="1"/>
  <c r="AG452" i="1"/>
  <c r="AH452" i="1"/>
  <c r="AN452" i="1"/>
  <c r="A445" i="1"/>
  <c r="S445" i="1"/>
  <c r="U445" i="1" s="1"/>
  <c r="Y445" i="1"/>
  <c r="AF445" i="1"/>
  <c r="AG445" i="1"/>
  <c r="AH445" i="1"/>
  <c r="AN445" i="1"/>
  <c r="AR34" i="1" l="1"/>
  <c r="AR32" i="1"/>
  <c r="AR140" i="1"/>
  <c r="AR420" i="1"/>
  <c r="AS420" i="1" s="1"/>
  <c r="AM419" i="1"/>
  <c r="AR419" i="1" s="1"/>
  <c r="AS419" i="1" s="1"/>
  <c r="AM421" i="1"/>
  <c r="AR421" i="1" s="1"/>
  <c r="AS421" i="1" s="1"/>
  <c r="AO449" i="1"/>
  <c r="AP449" i="1" s="1"/>
  <c r="AO450" i="1"/>
  <c r="AP450" i="1" s="1"/>
  <c r="AO447" i="1"/>
  <c r="AP447" i="1" s="1"/>
  <c r="AI447" i="1"/>
  <c r="AM447" i="1" s="1"/>
  <c r="AO451" i="1"/>
  <c r="AP451" i="1" s="1"/>
  <c r="AO446" i="1"/>
  <c r="AP446" i="1" s="1"/>
  <c r="AO448" i="1"/>
  <c r="AP448" i="1" s="1"/>
  <c r="AI448" i="1"/>
  <c r="AM448" i="1" s="1"/>
  <c r="AO453" i="1"/>
  <c r="AP453" i="1" s="1"/>
  <c r="AI446" i="1"/>
  <c r="AM446" i="1" s="1"/>
  <c r="AR446" i="1" s="1"/>
  <c r="AS446" i="1" s="1"/>
  <c r="AI451" i="1"/>
  <c r="AM451" i="1" s="1"/>
  <c r="AI445" i="1"/>
  <c r="AM445" i="1" s="1"/>
  <c r="AI453" i="1"/>
  <c r="AM453" i="1" s="1"/>
  <c r="AR453" i="1" s="1"/>
  <c r="AS453" i="1" s="1"/>
  <c r="AI450" i="1"/>
  <c r="AM450" i="1" s="1"/>
  <c r="AR450" i="1" s="1"/>
  <c r="AS450" i="1" s="1"/>
  <c r="AI449" i="1"/>
  <c r="AM449" i="1" s="1"/>
  <c r="AO445" i="1"/>
  <c r="AP445" i="1" s="1"/>
  <c r="AO452" i="1"/>
  <c r="AP452" i="1" s="1"/>
  <c r="AI452" i="1"/>
  <c r="AM452" i="1" s="1"/>
  <c r="A416" i="1"/>
  <c r="S416" i="1"/>
  <c r="U416" i="1" s="1"/>
  <c r="Y416" i="1"/>
  <c r="AF416" i="1"/>
  <c r="AG416" i="1"/>
  <c r="AH416" i="1"/>
  <c r="AN416" i="1"/>
  <c r="AR448" i="1" l="1"/>
  <c r="AS448" i="1" s="1"/>
  <c r="AR447" i="1"/>
  <c r="AS447" i="1" s="1"/>
  <c r="AR445" i="1"/>
  <c r="AS445" i="1" s="1"/>
  <c r="AR449" i="1"/>
  <c r="AS449" i="1" s="1"/>
  <c r="AR451" i="1"/>
  <c r="AS451" i="1" s="1"/>
  <c r="AR452" i="1"/>
  <c r="AS452" i="1" s="1"/>
  <c r="AO416" i="1"/>
  <c r="AP416" i="1" s="1"/>
  <c r="AI416" i="1"/>
  <c r="AM416" i="1" s="1"/>
  <c r="A417" i="1"/>
  <c r="S417" i="1"/>
  <c r="U417" i="1" s="1"/>
  <c r="Y417" i="1"/>
  <c r="AF417" i="1"/>
  <c r="AG417" i="1"/>
  <c r="AH417" i="1"/>
  <c r="AN417" i="1"/>
  <c r="A415" i="1"/>
  <c r="S415" i="1"/>
  <c r="U415" i="1" s="1"/>
  <c r="Y415" i="1"/>
  <c r="AF415" i="1"/>
  <c r="AG415" i="1"/>
  <c r="AH415" i="1"/>
  <c r="AN415" i="1"/>
  <c r="AO417" i="1" l="1"/>
  <c r="AP417" i="1" s="1"/>
  <c r="AR416" i="1"/>
  <c r="AS416" i="1" s="1"/>
  <c r="AI415" i="1"/>
  <c r="AM415" i="1" s="1"/>
  <c r="AO415" i="1"/>
  <c r="AP415" i="1" s="1"/>
  <c r="AI417" i="1"/>
  <c r="AM417" i="1" s="1"/>
  <c r="AR417" i="1" s="1"/>
  <c r="AS417" i="1" s="1"/>
  <c r="A466" i="1"/>
  <c r="S466" i="1"/>
  <c r="U466" i="1" s="1"/>
  <c r="Y466" i="1"/>
  <c r="AF466" i="1"/>
  <c r="AG466" i="1"/>
  <c r="AH466" i="1"/>
  <c r="AN466" i="1"/>
  <c r="S465" i="1"/>
  <c r="U465" i="1" s="1"/>
  <c r="Y465" i="1"/>
  <c r="AF465" i="1"/>
  <c r="AG465" i="1"/>
  <c r="AH465" i="1"/>
  <c r="AN465" i="1"/>
  <c r="AR415" i="1" l="1"/>
  <c r="AS415" i="1" s="1"/>
  <c r="AI466" i="1"/>
  <c r="AM466" i="1" s="1"/>
  <c r="AI465" i="1"/>
  <c r="AM465" i="1" s="1"/>
  <c r="AO466" i="1"/>
  <c r="AP466" i="1" s="1"/>
  <c r="AO465" i="1"/>
  <c r="AP465" i="1" s="1"/>
  <c r="A341" i="1"/>
  <c r="S341" i="1"/>
  <c r="U341" i="1" s="1"/>
  <c r="Y341" i="1"/>
  <c r="AF341" i="1"/>
  <c r="AH341" i="1"/>
  <c r="AN341" i="1"/>
  <c r="AR466" i="1" l="1"/>
  <c r="AS466" i="1" s="1"/>
  <c r="AR465" i="1"/>
  <c r="AS465" i="1" s="1"/>
  <c r="AG341" i="1"/>
  <c r="AO341" i="1" s="1"/>
  <c r="AP341" i="1" s="1"/>
  <c r="AI341" i="1"/>
  <c r="A340" i="1"/>
  <c r="S340" i="1"/>
  <c r="U340" i="1" s="1"/>
  <c r="Y340" i="1"/>
  <c r="AF340" i="1"/>
  <c r="AG340" i="1"/>
  <c r="AH340" i="1"/>
  <c r="AN340" i="1"/>
  <c r="A339" i="1"/>
  <c r="S339" i="1"/>
  <c r="U339" i="1" s="1"/>
  <c r="Y339" i="1"/>
  <c r="AF339" i="1"/>
  <c r="AG339" i="1"/>
  <c r="AH339" i="1"/>
  <c r="AN339" i="1"/>
  <c r="AM341" i="1" l="1"/>
  <c r="AR341" i="1" s="1"/>
  <c r="AS341" i="1" s="1"/>
  <c r="AO340" i="1"/>
  <c r="AP340" i="1" s="1"/>
  <c r="AI339" i="1"/>
  <c r="AM339" i="1" s="1"/>
  <c r="AI340" i="1"/>
  <c r="AM340" i="1" s="1"/>
  <c r="AO339" i="1"/>
  <c r="AP339" i="1" s="1"/>
  <c r="A337" i="1"/>
  <c r="S337" i="1"/>
  <c r="U337" i="1" s="1"/>
  <c r="Y337" i="1"/>
  <c r="AF337" i="1"/>
  <c r="AG337" i="1"/>
  <c r="AH337" i="1"/>
  <c r="AN337" i="1"/>
  <c r="A338" i="1"/>
  <c r="S338" i="1"/>
  <c r="U338" i="1" s="1"/>
  <c r="Y338" i="1"/>
  <c r="AF338" i="1"/>
  <c r="AG338" i="1"/>
  <c r="AH338" i="1"/>
  <c r="AN338" i="1"/>
  <c r="AR340" i="1" l="1"/>
  <c r="AS340" i="1" s="1"/>
  <c r="AR339" i="1"/>
  <c r="AS339" i="1" s="1"/>
  <c r="AO337" i="1"/>
  <c r="AP337" i="1" s="1"/>
  <c r="AO338" i="1"/>
  <c r="AP338" i="1" s="1"/>
  <c r="AI337" i="1"/>
  <c r="AM337" i="1" s="1"/>
  <c r="AI338" i="1"/>
  <c r="AM338" i="1" s="1"/>
  <c r="A336" i="1"/>
  <c r="S336" i="1"/>
  <c r="U336" i="1" s="1"/>
  <c r="Y336" i="1"/>
  <c r="AF336" i="1"/>
  <c r="AG336" i="1"/>
  <c r="AH336" i="1"/>
  <c r="AN336" i="1"/>
  <c r="A401" i="1"/>
  <c r="S401" i="1"/>
  <c r="U401" i="1" s="1"/>
  <c r="Y401" i="1"/>
  <c r="AF401" i="1"/>
  <c r="AG401" i="1"/>
  <c r="AH401" i="1"/>
  <c r="AN401" i="1"/>
  <c r="A402" i="1"/>
  <c r="S402" i="1"/>
  <c r="U402" i="1" s="1"/>
  <c r="Y402" i="1"/>
  <c r="AF402" i="1"/>
  <c r="AG402" i="1"/>
  <c r="AH402" i="1"/>
  <c r="AN402" i="1"/>
  <c r="AN400" i="1"/>
  <c r="AH400" i="1"/>
  <c r="AG400" i="1"/>
  <c r="AF400" i="1"/>
  <c r="Y400" i="1"/>
  <c r="S400" i="1"/>
  <c r="U400" i="1" s="1"/>
  <c r="A400" i="1"/>
  <c r="AO336" i="1" l="1"/>
  <c r="AP336" i="1" s="1"/>
  <c r="AR337" i="1"/>
  <c r="AR338" i="1"/>
  <c r="AS338" i="1" s="1"/>
  <c r="AO401" i="1"/>
  <c r="AP401" i="1" s="1"/>
  <c r="AI336" i="1"/>
  <c r="AM336" i="1" s="1"/>
  <c r="AR336" i="1" s="1"/>
  <c r="AS336" i="1" s="1"/>
  <c r="AS337" i="1"/>
  <c r="AI402" i="1"/>
  <c r="AM402" i="1" s="1"/>
  <c r="AI401" i="1"/>
  <c r="AM401" i="1" s="1"/>
  <c r="AO402" i="1"/>
  <c r="AP402" i="1" s="1"/>
  <c r="AI400" i="1"/>
  <c r="AM400" i="1" s="1"/>
  <c r="AO400" i="1"/>
  <c r="AP400" i="1" s="1"/>
  <c r="A459" i="1"/>
  <c r="S459" i="1"/>
  <c r="U459" i="1" s="1"/>
  <c r="Y459" i="1"/>
  <c r="AF459" i="1"/>
  <c r="AG459" i="1"/>
  <c r="AH459" i="1"/>
  <c r="AN459" i="1"/>
  <c r="A458" i="1"/>
  <c r="S458" i="1"/>
  <c r="U458" i="1" s="1"/>
  <c r="Y458" i="1"/>
  <c r="AF458" i="1"/>
  <c r="AG458" i="1"/>
  <c r="AH458" i="1"/>
  <c r="AN458" i="1"/>
  <c r="A460" i="1"/>
  <c r="S460" i="1"/>
  <c r="U460" i="1" s="1"/>
  <c r="Y460" i="1"/>
  <c r="AF460" i="1"/>
  <c r="AG460" i="1"/>
  <c r="AH460" i="1"/>
  <c r="AN460" i="1"/>
  <c r="A462" i="1"/>
  <c r="S462" i="1"/>
  <c r="U462" i="1" s="1"/>
  <c r="Y462" i="1"/>
  <c r="AF462" i="1"/>
  <c r="AG462" i="1"/>
  <c r="AH462" i="1"/>
  <c r="AN462" i="1"/>
  <c r="A457" i="1"/>
  <c r="S457" i="1"/>
  <c r="U457" i="1" s="1"/>
  <c r="Y457" i="1"/>
  <c r="AF457" i="1"/>
  <c r="AG457" i="1"/>
  <c r="AH457" i="1"/>
  <c r="AN457" i="1"/>
  <c r="A463" i="1"/>
  <c r="S463" i="1"/>
  <c r="U463" i="1" s="1"/>
  <c r="Y463" i="1"/>
  <c r="AF463" i="1"/>
  <c r="AG463" i="1"/>
  <c r="AH463" i="1"/>
  <c r="AN463" i="1"/>
  <c r="A461" i="1"/>
  <c r="S461" i="1"/>
  <c r="U461" i="1" s="1"/>
  <c r="Y461" i="1"/>
  <c r="AF461" i="1"/>
  <c r="AG461" i="1"/>
  <c r="AH461" i="1"/>
  <c r="AN461" i="1"/>
  <c r="A456" i="1"/>
  <c r="S456" i="1"/>
  <c r="U456" i="1" s="1"/>
  <c r="Y456" i="1"/>
  <c r="AF456" i="1"/>
  <c r="AG456" i="1"/>
  <c r="AH456" i="1"/>
  <c r="AN456" i="1"/>
  <c r="AN455" i="1"/>
  <c r="AH455" i="1"/>
  <c r="AG455" i="1"/>
  <c r="AF455" i="1"/>
  <c r="Y455" i="1"/>
  <c r="S455" i="1"/>
  <c r="U455" i="1" s="1"/>
  <c r="A455" i="1"/>
  <c r="S464" i="1"/>
  <c r="U464" i="1" s="1"/>
  <c r="Y464" i="1"/>
  <c r="AF464" i="1"/>
  <c r="AG464" i="1"/>
  <c r="AH464" i="1"/>
  <c r="AN464" i="1"/>
  <c r="AR401" i="1" l="1"/>
  <c r="AS401" i="1" s="1"/>
  <c r="AR400" i="1"/>
  <c r="AS400" i="1" s="1"/>
  <c r="AR402" i="1"/>
  <c r="AS402" i="1" s="1"/>
  <c r="AO459" i="1"/>
  <c r="AP459" i="1" s="1"/>
  <c r="AO456" i="1"/>
  <c r="AP456" i="1" s="1"/>
  <c r="AO462" i="1"/>
  <c r="AP462" i="1" s="1"/>
  <c r="AO457" i="1"/>
  <c r="AP457" i="1" s="1"/>
  <c r="AI460" i="1"/>
  <c r="AM460" i="1" s="1"/>
  <c r="AI459" i="1"/>
  <c r="AM459" i="1" s="1"/>
  <c r="AO455" i="1"/>
  <c r="AP455" i="1" s="1"/>
  <c r="AO461" i="1"/>
  <c r="AP461" i="1" s="1"/>
  <c r="AO460" i="1"/>
  <c r="AP460" i="1" s="1"/>
  <c r="AI462" i="1"/>
  <c r="AM462" i="1" s="1"/>
  <c r="AO463" i="1"/>
  <c r="AP463" i="1" s="1"/>
  <c r="AI463" i="1"/>
  <c r="AM463" i="1" s="1"/>
  <c r="AO458" i="1"/>
  <c r="AP458" i="1" s="1"/>
  <c r="AI456" i="1"/>
  <c r="AM456" i="1" s="1"/>
  <c r="AR456" i="1" s="1"/>
  <c r="AS456" i="1" s="1"/>
  <c r="AI455" i="1"/>
  <c r="AM455" i="1" s="1"/>
  <c r="AR455" i="1" s="1"/>
  <c r="AS455" i="1" s="1"/>
  <c r="AI457" i="1"/>
  <c r="AM457" i="1" s="1"/>
  <c r="AR457" i="1" s="1"/>
  <c r="AS457" i="1" s="1"/>
  <c r="AI461" i="1"/>
  <c r="AM461" i="1" s="1"/>
  <c r="AI458" i="1"/>
  <c r="AM458" i="1" s="1"/>
  <c r="AI464" i="1"/>
  <c r="AM464" i="1" s="1"/>
  <c r="AO464" i="1"/>
  <c r="AP464" i="1" s="1"/>
  <c r="A393" i="1"/>
  <c r="S393" i="1"/>
  <c r="U393" i="1" s="1"/>
  <c r="Y393" i="1"/>
  <c r="AF393" i="1"/>
  <c r="AG393" i="1"/>
  <c r="AH393" i="1"/>
  <c r="AN393" i="1"/>
  <c r="S399" i="1"/>
  <c r="U399" i="1" s="1"/>
  <c r="Y399" i="1"/>
  <c r="AF399" i="1"/>
  <c r="AG399" i="1"/>
  <c r="AH399" i="1"/>
  <c r="A399" i="1"/>
  <c r="AN399" i="1"/>
  <c r="A398" i="1"/>
  <c r="S398" i="1"/>
  <c r="U398" i="1" s="1"/>
  <c r="Y398" i="1"/>
  <c r="AF398" i="1"/>
  <c r="AG398" i="1"/>
  <c r="AH398" i="1"/>
  <c r="AN398" i="1"/>
  <c r="A397" i="1"/>
  <c r="S397" i="1"/>
  <c r="U397" i="1" s="1"/>
  <c r="Y397" i="1"/>
  <c r="AF397" i="1"/>
  <c r="AG397" i="1"/>
  <c r="AH397" i="1"/>
  <c r="AN397" i="1"/>
  <c r="A396" i="1"/>
  <c r="S396" i="1"/>
  <c r="U396" i="1" s="1"/>
  <c r="Y396" i="1"/>
  <c r="AF396" i="1"/>
  <c r="AG396" i="1"/>
  <c r="AH396" i="1"/>
  <c r="AN396" i="1"/>
  <c r="A395" i="1"/>
  <c r="S395" i="1"/>
  <c r="U395" i="1" s="1"/>
  <c r="Y395" i="1"/>
  <c r="AF395" i="1"/>
  <c r="AG395" i="1"/>
  <c r="AH395" i="1"/>
  <c r="AN395" i="1"/>
  <c r="A394" i="1"/>
  <c r="S394" i="1"/>
  <c r="U394" i="1" s="1"/>
  <c r="Y394" i="1"/>
  <c r="AF394" i="1"/>
  <c r="AG394" i="1"/>
  <c r="AH394" i="1"/>
  <c r="AN394" i="1"/>
  <c r="A392" i="1"/>
  <c r="S392" i="1"/>
  <c r="U392" i="1" s="1"/>
  <c r="Y392" i="1"/>
  <c r="AF392" i="1"/>
  <c r="AG392" i="1"/>
  <c r="AH392" i="1"/>
  <c r="AN392" i="1"/>
  <c r="A391" i="1"/>
  <c r="S391" i="1"/>
  <c r="U391" i="1" s="1"/>
  <c r="Y391" i="1"/>
  <c r="AF391" i="1"/>
  <c r="AG391" i="1"/>
  <c r="AH391" i="1"/>
  <c r="AN391" i="1"/>
  <c r="A390" i="1"/>
  <c r="S390" i="1"/>
  <c r="U390" i="1" s="1"/>
  <c r="Y390" i="1"/>
  <c r="AF390" i="1"/>
  <c r="AG390" i="1"/>
  <c r="AH390" i="1"/>
  <c r="AN390" i="1"/>
  <c r="AR459" i="1" l="1"/>
  <c r="AS459" i="1" s="1"/>
  <c r="AR462" i="1"/>
  <c r="AS462" i="1" s="1"/>
  <c r="AR463" i="1"/>
  <c r="AS463" i="1" s="1"/>
  <c r="AR461" i="1"/>
  <c r="AS461" i="1" s="1"/>
  <c r="AR460" i="1"/>
  <c r="AS460" i="1" s="1"/>
  <c r="AR458" i="1"/>
  <c r="AS458" i="1" s="1"/>
  <c r="AR464" i="1"/>
  <c r="AS464" i="1" s="1"/>
  <c r="AO394" i="1"/>
  <c r="AP394" i="1" s="1"/>
  <c r="AO393" i="1"/>
  <c r="AP393" i="1" s="1"/>
  <c r="AI393" i="1"/>
  <c r="AM393" i="1" s="1"/>
  <c r="AO399" i="1"/>
  <c r="AP399" i="1" s="1"/>
  <c r="AI397" i="1"/>
  <c r="AM397" i="1" s="1"/>
  <c r="AI399" i="1"/>
  <c r="AM399" i="1" s="1"/>
  <c r="AO392" i="1"/>
  <c r="AP392" i="1" s="1"/>
  <c r="AO395" i="1"/>
  <c r="AP395" i="1" s="1"/>
  <c r="AO396" i="1"/>
  <c r="AP396" i="1" s="1"/>
  <c r="AO391" i="1"/>
  <c r="AP391" i="1" s="1"/>
  <c r="AI392" i="1"/>
  <c r="AM392" i="1" s="1"/>
  <c r="AI396" i="1"/>
  <c r="AM396" i="1" s="1"/>
  <c r="AO397" i="1"/>
  <c r="AP397" i="1" s="1"/>
  <c r="AI398" i="1"/>
  <c r="AM398" i="1" s="1"/>
  <c r="AI394" i="1"/>
  <c r="AM394" i="1" s="1"/>
  <c r="AI395" i="1"/>
  <c r="AM395" i="1" s="1"/>
  <c r="AR395" i="1" s="1"/>
  <c r="AS395" i="1" s="1"/>
  <c r="AO398" i="1"/>
  <c r="AP398" i="1" s="1"/>
  <c r="AO390" i="1"/>
  <c r="AP390" i="1" s="1"/>
  <c r="AI391" i="1"/>
  <c r="AM391" i="1" s="1"/>
  <c r="AI390" i="1"/>
  <c r="AM390" i="1" s="1"/>
  <c r="A426" i="1"/>
  <c r="S426" i="1"/>
  <c r="U426" i="1" s="1"/>
  <c r="Y426" i="1"/>
  <c r="AF426" i="1"/>
  <c r="AG426" i="1"/>
  <c r="AH426" i="1"/>
  <c r="AN426" i="1"/>
  <c r="AR399" i="1" l="1"/>
  <c r="AS399" i="1" s="1"/>
  <c r="AR394" i="1"/>
  <c r="AS394" i="1" s="1"/>
  <c r="AR393" i="1"/>
  <c r="AS393" i="1" s="1"/>
  <c r="AR396" i="1"/>
  <c r="AS396" i="1" s="1"/>
  <c r="AR397" i="1"/>
  <c r="AS397" i="1" s="1"/>
  <c r="AR391" i="1"/>
  <c r="AS391" i="1" s="1"/>
  <c r="AR392" i="1"/>
  <c r="AS392" i="1" s="1"/>
  <c r="AR398" i="1"/>
  <c r="AS398" i="1" s="1"/>
  <c r="AR390" i="1"/>
  <c r="AS390" i="1" s="1"/>
  <c r="AI426" i="1"/>
  <c r="AM426" i="1" s="1"/>
  <c r="AO426" i="1"/>
  <c r="AP426" i="1" s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7" i="1"/>
  <c r="AN38" i="1"/>
  <c r="AN39" i="1"/>
  <c r="AN40" i="1"/>
  <c r="AN50" i="1"/>
  <c r="AN42" i="1"/>
  <c r="AN43" i="1"/>
  <c r="AN44" i="1"/>
  <c r="AN53" i="1"/>
  <c r="AN56" i="1"/>
  <c r="AN60" i="1"/>
  <c r="AN63" i="1"/>
  <c r="AN1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161" i="1"/>
  <c r="AN86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9" i="1"/>
  <c r="AN120" i="1"/>
  <c r="AN121" i="1"/>
  <c r="AN122" i="1"/>
  <c r="AN123" i="1"/>
  <c r="AN124" i="1"/>
  <c r="AN130" i="1"/>
  <c r="AN131" i="1"/>
  <c r="AN132" i="1"/>
  <c r="AN133" i="1"/>
  <c r="AN134" i="1"/>
  <c r="AN136" i="1"/>
  <c r="AN137" i="1"/>
  <c r="AN138" i="1"/>
  <c r="AN139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85" i="1"/>
  <c r="AN162" i="1"/>
  <c r="AN163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5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403" i="1"/>
  <c r="AN405" i="1"/>
  <c r="AN406" i="1"/>
  <c r="AN407" i="1"/>
  <c r="AN408" i="1"/>
  <c r="AN409" i="1"/>
  <c r="AN410" i="1"/>
  <c r="AN411" i="1"/>
  <c r="AN412" i="1"/>
  <c r="AN413" i="1"/>
  <c r="AN414" i="1"/>
  <c r="AN418" i="1"/>
  <c r="AN423" i="1"/>
  <c r="AN424" i="1"/>
  <c r="AN425" i="1"/>
  <c r="AN427" i="1"/>
  <c r="AN428" i="1"/>
  <c r="AN429" i="1"/>
  <c r="AN454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7" i="1"/>
  <c r="AG38" i="1"/>
  <c r="AG39" i="1"/>
  <c r="AG40" i="1"/>
  <c r="AG50" i="1"/>
  <c r="AG42" i="1"/>
  <c r="AG43" i="1"/>
  <c r="AG44" i="1"/>
  <c r="AG53" i="1"/>
  <c r="AG56" i="1"/>
  <c r="AG60" i="1"/>
  <c r="AG63" i="1"/>
  <c r="AG1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161" i="1"/>
  <c r="AG86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9" i="1"/>
  <c r="AG120" i="1"/>
  <c r="AG121" i="1"/>
  <c r="AG122" i="1"/>
  <c r="AG123" i="1"/>
  <c r="AG124" i="1"/>
  <c r="AG130" i="1"/>
  <c r="AG131" i="1"/>
  <c r="AG132" i="1"/>
  <c r="AG133" i="1"/>
  <c r="AG134" i="1"/>
  <c r="AG136" i="1"/>
  <c r="AG137" i="1"/>
  <c r="AG138" i="1"/>
  <c r="AG139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85" i="1"/>
  <c r="AG162" i="1"/>
  <c r="AG163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5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6" i="1"/>
  <c r="AG387" i="1"/>
  <c r="AG388" i="1"/>
  <c r="AG389" i="1"/>
  <c r="AG403" i="1"/>
  <c r="AG405" i="1"/>
  <c r="AG406" i="1"/>
  <c r="AG407" i="1"/>
  <c r="AG408" i="1"/>
  <c r="AG409" i="1"/>
  <c r="AG410" i="1"/>
  <c r="AG411" i="1"/>
  <c r="AG412" i="1"/>
  <c r="AG413" i="1"/>
  <c r="AG414" i="1"/>
  <c r="AG418" i="1"/>
  <c r="AG423" i="1"/>
  <c r="AG424" i="1"/>
  <c r="AG425" i="1"/>
  <c r="AG427" i="1"/>
  <c r="AG428" i="1"/>
  <c r="AG429" i="1"/>
  <c r="AG454" i="1"/>
  <c r="A428" i="1"/>
  <c r="S428" i="1"/>
  <c r="U428" i="1" s="1"/>
  <c r="Y428" i="1"/>
  <c r="AF428" i="1"/>
  <c r="AH428" i="1"/>
  <c r="A427" i="1"/>
  <c r="S427" i="1"/>
  <c r="U427" i="1" s="1"/>
  <c r="Y427" i="1"/>
  <c r="AF427" i="1"/>
  <c r="AH427" i="1"/>
  <c r="A425" i="1"/>
  <c r="S425" i="1"/>
  <c r="U425" i="1" s="1"/>
  <c r="Y425" i="1"/>
  <c r="AF425" i="1"/>
  <c r="AH425" i="1"/>
  <c r="A424" i="1"/>
  <c r="S424" i="1"/>
  <c r="U424" i="1" s="1"/>
  <c r="Y424" i="1"/>
  <c r="AF424" i="1"/>
  <c r="AH424" i="1"/>
  <c r="A429" i="1"/>
  <c r="A423" i="1"/>
  <c r="S423" i="1"/>
  <c r="Y423" i="1"/>
  <c r="AF423" i="1"/>
  <c r="AH423" i="1"/>
  <c r="AR426" i="1" l="1"/>
  <c r="AS426" i="1" s="1"/>
  <c r="AO425" i="1"/>
  <c r="AP425" i="1" s="1"/>
  <c r="AI428" i="1"/>
  <c r="AM428" i="1" s="1"/>
  <c r="AI425" i="1"/>
  <c r="AM425" i="1" s="1"/>
  <c r="AO428" i="1"/>
  <c r="AP428" i="1" s="1"/>
  <c r="U423" i="1"/>
  <c r="AI424" i="1"/>
  <c r="AM424" i="1" s="1"/>
  <c r="AI423" i="1"/>
  <c r="AI427" i="1"/>
  <c r="AM427" i="1" s="1"/>
  <c r="AO427" i="1"/>
  <c r="AP427" i="1" s="1"/>
  <c r="AO424" i="1"/>
  <c r="AP424" i="1" s="1"/>
  <c r="AO423" i="1"/>
  <c r="AP423" i="1" s="1"/>
  <c r="AR425" i="1" l="1"/>
  <c r="AS425" i="1" s="1"/>
  <c r="AR428" i="1"/>
  <c r="AS428" i="1" s="1"/>
  <c r="AR427" i="1"/>
  <c r="AS427" i="1" s="1"/>
  <c r="AR424" i="1"/>
  <c r="AS424" i="1" s="1"/>
  <c r="AM423" i="1"/>
  <c r="AR423" i="1" s="1"/>
  <c r="AS423" i="1" s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7" i="1"/>
  <c r="A38" i="1"/>
  <c r="A39" i="1"/>
  <c r="A40" i="1"/>
  <c r="A50" i="1"/>
  <c r="A42" i="1"/>
  <c r="A43" i="1"/>
  <c r="A44" i="1"/>
  <c r="A53" i="1"/>
  <c r="A56" i="1"/>
  <c r="A60" i="1"/>
  <c r="A63" i="1"/>
  <c r="A1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161" i="1"/>
  <c r="A86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9" i="1"/>
  <c r="A120" i="1"/>
  <c r="A121" i="1"/>
  <c r="A122" i="1"/>
  <c r="A123" i="1"/>
  <c r="A124" i="1"/>
  <c r="A130" i="1"/>
  <c r="A131" i="1"/>
  <c r="A132" i="1"/>
  <c r="A133" i="1"/>
  <c r="A134" i="1"/>
  <c r="A136" i="1"/>
  <c r="A137" i="1"/>
  <c r="A138" i="1"/>
  <c r="A139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85" i="1"/>
  <c r="A162" i="1"/>
  <c r="A163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403" i="1"/>
  <c r="A405" i="1"/>
  <c r="A406" i="1"/>
  <c r="A407" i="1"/>
  <c r="A408" i="1"/>
  <c r="A409" i="1"/>
  <c r="A410" i="1"/>
  <c r="A411" i="1"/>
  <c r="A412" i="1"/>
  <c r="A413" i="1"/>
  <c r="A414" i="1"/>
  <c r="A418" i="1"/>
  <c r="S454" i="1"/>
  <c r="U454" i="1" s="1"/>
  <c r="Y454" i="1"/>
  <c r="AF454" i="1"/>
  <c r="AH454" i="1"/>
  <c r="AI454" i="1" l="1"/>
  <c r="AM454" i="1" s="1"/>
  <c r="AH429" i="1"/>
  <c r="AF429" i="1"/>
  <c r="Y429" i="1"/>
  <c r="S429" i="1"/>
  <c r="AH418" i="1"/>
  <c r="AF418" i="1"/>
  <c r="Y418" i="1"/>
  <c r="S418" i="1"/>
  <c r="U418" i="1" s="1"/>
  <c r="AH414" i="1"/>
  <c r="AF414" i="1"/>
  <c r="Y414" i="1"/>
  <c r="S414" i="1"/>
  <c r="U414" i="1" s="1"/>
  <c r="AH413" i="1"/>
  <c r="AF413" i="1"/>
  <c r="Y413" i="1"/>
  <c r="S413" i="1"/>
  <c r="AH412" i="1"/>
  <c r="Y412" i="1"/>
  <c r="S412" i="1"/>
  <c r="U412" i="1" s="1"/>
  <c r="AH411" i="1"/>
  <c r="AF411" i="1"/>
  <c r="Y411" i="1"/>
  <c r="S411" i="1"/>
  <c r="AH410" i="1"/>
  <c r="AF410" i="1"/>
  <c r="Y410" i="1"/>
  <c r="S410" i="1"/>
  <c r="U410" i="1" s="1"/>
  <c r="AH409" i="1"/>
  <c r="AF409" i="1"/>
  <c r="Y409" i="1"/>
  <c r="S409" i="1"/>
  <c r="AH408" i="1"/>
  <c r="AF408" i="1"/>
  <c r="Y408" i="1"/>
  <c r="S408" i="1"/>
  <c r="U408" i="1" s="1"/>
  <c r="AH407" i="1"/>
  <c r="AF407" i="1"/>
  <c r="Y407" i="1"/>
  <c r="S407" i="1"/>
  <c r="AH406" i="1"/>
  <c r="AF406" i="1"/>
  <c r="Y406" i="1"/>
  <c r="S406" i="1"/>
  <c r="U406" i="1" s="1"/>
  <c r="AH405" i="1"/>
  <c r="AF405" i="1"/>
  <c r="Y405" i="1"/>
  <c r="S405" i="1"/>
  <c r="AH403" i="1"/>
  <c r="AF403" i="1"/>
  <c r="Y403" i="1"/>
  <c r="S403" i="1"/>
  <c r="U403" i="1" s="1"/>
  <c r="AH389" i="1"/>
  <c r="AF389" i="1"/>
  <c r="Y389" i="1"/>
  <c r="S389" i="1"/>
  <c r="U389" i="1" s="1"/>
  <c r="AH388" i="1"/>
  <c r="AF388" i="1"/>
  <c r="Y388" i="1"/>
  <c r="S388" i="1"/>
  <c r="AH387" i="1"/>
  <c r="AF387" i="1"/>
  <c r="Y387" i="1"/>
  <c r="S387" i="1"/>
  <c r="U387" i="1" s="1"/>
  <c r="AH386" i="1"/>
  <c r="AF386" i="1"/>
  <c r="Y386" i="1"/>
  <c r="S386" i="1"/>
  <c r="AH385" i="1"/>
  <c r="AF385" i="1"/>
  <c r="Y385" i="1"/>
  <c r="S385" i="1"/>
  <c r="U385" i="1" s="1"/>
  <c r="AH384" i="1"/>
  <c r="AF384" i="1"/>
  <c r="Y384" i="1"/>
  <c r="S384" i="1"/>
  <c r="AH383" i="1"/>
  <c r="AF383" i="1"/>
  <c r="Y383" i="1"/>
  <c r="S383" i="1"/>
  <c r="U383" i="1" s="1"/>
  <c r="AH382" i="1"/>
  <c r="AF382" i="1"/>
  <c r="Y382" i="1"/>
  <c r="S382" i="1"/>
  <c r="AH381" i="1"/>
  <c r="AF381" i="1"/>
  <c r="Y381" i="1"/>
  <c r="S381" i="1"/>
  <c r="U381" i="1" s="1"/>
  <c r="AH380" i="1"/>
  <c r="AF380" i="1"/>
  <c r="Y380" i="1"/>
  <c r="S380" i="1"/>
  <c r="AH379" i="1"/>
  <c r="AF379" i="1"/>
  <c r="Y379" i="1"/>
  <c r="S379" i="1"/>
  <c r="U379" i="1" s="1"/>
  <c r="AH378" i="1"/>
  <c r="AF378" i="1"/>
  <c r="Y378" i="1"/>
  <c r="S378" i="1"/>
  <c r="AH377" i="1"/>
  <c r="AF377" i="1"/>
  <c r="Y377" i="1"/>
  <c r="S377" i="1"/>
  <c r="U377" i="1" s="1"/>
  <c r="AH376" i="1"/>
  <c r="AF376" i="1"/>
  <c r="Y376" i="1"/>
  <c r="S376" i="1"/>
  <c r="AH375" i="1"/>
  <c r="AF375" i="1"/>
  <c r="Y375" i="1"/>
  <c r="S375" i="1"/>
  <c r="U375" i="1" s="1"/>
  <c r="AH374" i="1"/>
  <c r="AF374" i="1"/>
  <c r="Y374" i="1"/>
  <c r="S374" i="1"/>
  <c r="AH373" i="1"/>
  <c r="AF373" i="1"/>
  <c r="Y373" i="1"/>
  <c r="S373" i="1"/>
  <c r="U373" i="1" s="1"/>
  <c r="AH372" i="1"/>
  <c r="AF372" i="1"/>
  <c r="Y372" i="1"/>
  <c r="S372" i="1"/>
  <c r="AH371" i="1"/>
  <c r="AF371" i="1"/>
  <c r="Y371" i="1"/>
  <c r="S371" i="1"/>
  <c r="U371" i="1" s="1"/>
  <c r="AH370" i="1"/>
  <c r="AF370" i="1"/>
  <c r="Y370" i="1"/>
  <c r="S370" i="1"/>
  <c r="U370" i="1" s="1"/>
  <c r="AH369" i="1"/>
  <c r="AF369" i="1"/>
  <c r="Y369" i="1"/>
  <c r="S369" i="1"/>
  <c r="U369" i="1" s="1"/>
  <c r="AH368" i="1"/>
  <c r="AF368" i="1"/>
  <c r="Y368" i="1"/>
  <c r="S368" i="1"/>
  <c r="AH367" i="1"/>
  <c r="AF367" i="1"/>
  <c r="Y367" i="1"/>
  <c r="S367" i="1"/>
  <c r="U367" i="1" s="1"/>
  <c r="AH366" i="1"/>
  <c r="AF366" i="1"/>
  <c r="Y366" i="1"/>
  <c r="S366" i="1"/>
  <c r="U366" i="1" s="1"/>
  <c r="AH365" i="1"/>
  <c r="AF365" i="1"/>
  <c r="Y365" i="1"/>
  <c r="S365" i="1"/>
  <c r="AH364" i="1"/>
  <c r="AF364" i="1"/>
  <c r="Y364" i="1"/>
  <c r="S364" i="1"/>
  <c r="U364" i="1" s="1"/>
  <c r="AH363" i="1"/>
  <c r="AF363" i="1"/>
  <c r="Y363" i="1"/>
  <c r="S363" i="1"/>
  <c r="AH362" i="1"/>
  <c r="AF362" i="1"/>
  <c r="Y362" i="1"/>
  <c r="S362" i="1"/>
  <c r="U362" i="1" s="1"/>
  <c r="AH361" i="1"/>
  <c r="AF361" i="1"/>
  <c r="Y361" i="1"/>
  <c r="S361" i="1"/>
  <c r="AH360" i="1"/>
  <c r="AF360" i="1"/>
  <c r="Y360" i="1"/>
  <c r="S360" i="1"/>
  <c r="U360" i="1" s="1"/>
  <c r="AH359" i="1"/>
  <c r="AF359" i="1"/>
  <c r="X359" i="1"/>
  <c r="Y359" i="1" s="1"/>
  <c r="S359" i="1"/>
  <c r="U359" i="1" s="1"/>
  <c r="AH358" i="1"/>
  <c r="AF358" i="1"/>
  <c r="Y358" i="1"/>
  <c r="S358" i="1"/>
  <c r="AH357" i="1"/>
  <c r="AF357" i="1"/>
  <c r="Y357" i="1"/>
  <c r="S357" i="1"/>
  <c r="U357" i="1" s="1"/>
  <c r="AH356" i="1"/>
  <c r="AF356" i="1"/>
  <c r="Y356" i="1"/>
  <c r="S356" i="1"/>
  <c r="U356" i="1" s="1"/>
  <c r="AH355" i="1"/>
  <c r="AF355" i="1"/>
  <c r="Y355" i="1"/>
  <c r="S355" i="1"/>
  <c r="U355" i="1" s="1"/>
  <c r="AH354" i="1"/>
  <c r="AF354" i="1"/>
  <c r="Y354" i="1"/>
  <c r="S354" i="1"/>
  <c r="U354" i="1" s="1"/>
  <c r="AH353" i="1"/>
  <c r="AF353" i="1"/>
  <c r="Y353" i="1"/>
  <c r="S353" i="1"/>
  <c r="U353" i="1" s="1"/>
  <c r="AH352" i="1"/>
  <c r="AF352" i="1"/>
  <c r="Y352" i="1"/>
  <c r="S352" i="1"/>
  <c r="U352" i="1" s="1"/>
  <c r="AH351" i="1"/>
  <c r="AF351" i="1"/>
  <c r="Y351" i="1"/>
  <c r="S351" i="1"/>
  <c r="U351" i="1" s="1"/>
  <c r="AH350" i="1"/>
  <c r="AF350" i="1"/>
  <c r="Y350" i="1"/>
  <c r="S350" i="1"/>
  <c r="U350" i="1" s="1"/>
  <c r="AH349" i="1"/>
  <c r="AF349" i="1"/>
  <c r="Y349" i="1"/>
  <c r="S349" i="1"/>
  <c r="U349" i="1" s="1"/>
  <c r="AH348" i="1"/>
  <c r="AF348" i="1"/>
  <c r="Y348" i="1"/>
  <c r="S348" i="1"/>
  <c r="AH347" i="1"/>
  <c r="AF347" i="1"/>
  <c r="Y347" i="1"/>
  <c r="S347" i="1"/>
  <c r="U347" i="1" s="1"/>
  <c r="AH346" i="1"/>
  <c r="AF346" i="1"/>
  <c r="Y346" i="1"/>
  <c r="S346" i="1"/>
  <c r="U346" i="1" s="1"/>
  <c r="AH345" i="1"/>
  <c r="AF345" i="1"/>
  <c r="Y345" i="1"/>
  <c r="S345" i="1"/>
  <c r="U345" i="1" s="1"/>
  <c r="AH344" i="1"/>
  <c r="AF344" i="1"/>
  <c r="Y344" i="1"/>
  <c r="S344" i="1"/>
  <c r="U344" i="1" s="1"/>
  <c r="AH343" i="1"/>
  <c r="AF343" i="1"/>
  <c r="Y343" i="1"/>
  <c r="S343" i="1"/>
  <c r="U343" i="1" s="1"/>
  <c r="AH342" i="1"/>
  <c r="AF342" i="1"/>
  <c r="Y342" i="1"/>
  <c r="S342" i="1"/>
  <c r="U342" i="1" s="1"/>
  <c r="AH335" i="1"/>
  <c r="AF335" i="1"/>
  <c r="Y335" i="1"/>
  <c r="S335" i="1"/>
  <c r="U335" i="1" s="1"/>
  <c r="AH334" i="1"/>
  <c r="AF334" i="1"/>
  <c r="Y334" i="1"/>
  <c r="S334" i="1"/>
  <c r="U334" i="1" s="1"/>
  <c r="AH333" i="1"/>
  <c r="AF333" i="1"/>
  <c r="Y333" i="1"/>
  <c r="S333" i="1"/>
  <c r="U333" i="1" s="1"/>
  <c r="AH332" i="1"/>
  <c r="AF332" i="1"/>
  <c r="Y332" i="1"/>
  <c r="S332" i="1"/>
  <c r="U332" i="1" s="1"/>
  <c r="AH331" i="1"/>
  <c r="AF331" i="1"/>
  <c r="Y331" i="1"/>
  <c r="S331" i="1"/>
  <c r="U331" i="1" s="1"/>
  <c r="AH330" i="1"/>
  <c r="AF330" i="1"/>
  <c r="Y330" i="1"/>
  <c r="S330" i="1"/>
  <c r="U330" i="1" s="1"/>
  <c r="AH329" i="1"/>
  <c r="AF329" i="1"/>
  <c r="Y329" i="1"/>
  <c r="S329" i="1"/>
  <c r="U329" i="1" s="1"/>
  <c r="AH328" i="1"/>
  <c r="AF328" i="1"/>
  <c r="Y328" i="1"/>
  <c r="S328" i="1"/>
  <c r="U328" i="1" s="1"/>
  <c r="AH327" i="1"/>
  <c r="AF327" i="1"/>
  <c r="Y327" i="1"/>
  <c r="S327" i="1"/>
  <c r="U327" i="1" s="1"/>
  <c r="AH326" i="1"/>
  <c r="AF326" i="1"/>
  <c r="Y326" i="1"/>
  <c r="S326" i="1"/>
  <c r="U326" i="1" s="1"/>
  <c r="AH325" i="1"/>
  <c r="AF325" i="1"/>
  <c r="Y325" i="1"/>
  <c r="S325" i="1"/>
  <c r="U325" i="1" s="1"/>
  <c r="AH324" i="1"/>
  <c r="AF324" i="1"/>
  <c r="Y324" i="1"/>
  <c r="S324" i="1"/>
  <c r="U324" i="1" s="1"/>
  <c r="AH323" i="1"/>
  <c r="AF323" i="1"/>
  <c r="Y323" i="1"/>
  <c r="S323" i="1"/>
  <c r="U323" i="1" s="1"/>
  <c r="AH322" i="1"/>
  <c r="AF322" i="1"/>
  <c r="Y322" i="1"/>
  <c r="S322" i="1"/>
  <c r="AH321" i="1"/>
  <c r="AF321" i="1"/>
  <c r="Y321" i="1"/>
  <c r="S321" i="1"/>
  <c r="U321" i="1" s="1"/>
  <c r="AH320" i="1"/>
  <c r="AF320" i="1"/>
  <c r="Y320" i="1"/>
  <c r="S320" i="1"/>
  <c r="U320" i="1" s="1"/>
  <c r="AH319" i="1"/>
  <c r="AF319" i="1"/>
  <c r="Y319" i="1"/>
  <c r="S319" i="1"/>
  <c r="AH318" i="1"/>
  <c r="AF318" i="1"/>
  <c r="Y318" i="1"/>
  <c r="S318" i="1"/>
  <c r="AH317" i="1"/>
  <c r="AF317" i="1"/>
  <c r="Y317" i="1"/>
  <c r="S317" i="1"/>
  <c r="U317" i="1" s="1"/>
  <c r="AH316" i="1"/>
  <c r="AF316" i="1"/>
  <c r="Y316" i="1"/>
  <c r="S316" i="1"/>
  <c r="AH315" i="1"/>
  <c r="AF315" i="1"/>
  <c r="Y315" i="1"/>
  <c r="S315" i="1"/>
  <c r="U315" i="1" s="1"/>
  <c r="AH314" i="1"/>
  <c r="AF314" i="1"/>
  <c r="Y314" i="1"/>
  <c r="S314" i="1"/>
  <c r="AH313" i="1"/>
  <c r="AF313" i="1"/>
  <c r="Y313" i="1"/>
  <c r="S313" i="1"/>
  <c r="U313" i="1" s="1"/>
  <c r="AH312" i="1"/>
  <c r="AF312" i="1"/>
  <c r="Y312" i="1"/>
  <c r="S312" i="1"/>
  <c r="AH311" i="1"/>
  <c r="AF311" i="1"/>
  <c r="Y311" i="1"/>
  <c r="S311" i="1"/>
  <c r="U311" i="1" s="1"/>
  <c r="AH310" i="1"/>
  <c r="AF310" i="1"/>
  <c r="Y310" i="1"/>
  <c r="S310" i="1"/>
  <c r="AH309" i="1"/>
  <c r="AF309" i="1"/>
  <c r="Y309" i="1"/>
  <c r="S309" i="1"/>
  <c r="U309" i="1" s="1"/>
  <c r="AH308" i="1"/>
  <c r="AF308" i="1"/>
  <c r="Y308" i="1"/>
  <c r="S308" i="1"/>
  <c r="AH307" i="1"/>
  <c r="AF307" i="1"/>
  <c r="Y307" i="1"/>
  <c r="S307" i="1"/>
  <c r="AH306" i="1"/>
  <c r="AF306" i="1"/>
  <c r="Y306" i="1"/>
  <c r="S306" i="1"/>
  <c r="U306" i="1" s="1"/>
  <c r="AH305" i="1"/>
  <c r="AF305" i="1"/>
  <c r="Y305" i="1"/>
  <c r="S305" i="1"/>
  <c r="AH304" i="1"/>
  <c r="AF304" i="1"/>
  <c r="Y304" i="1"/>
  <c r="S304" i="1"/>
  <c r="AH303" i="1"/>
  <c r="AF303" i="1"/>
  <c r="Y303" i="1"/>
  <c r="S303" i="1"/>
  <c r="AH302" i="1"/>
  <c r="AF302" i="1"/>
  <c r="Y302" i="1"/>
  <c r="S302" i="1"/>
  <c r="U302" i="1" s="1"/>
  <c r="AH301" i="1"/>
  <c r="AF301" i="1"/>
  <c r="Y301" i="1"/>
  <c r="S301" i="1"/>
  <c r="AH300" i="1"/>
  <c r="AF300" i="1"/>
  <c r="Y300" i="1"/>
  <c r="S300" i="1"/>
  <c r="AH299" i="1"/>
  <c r="AF299" i="1"/>
  <c r="Y299" i="1"/>
  <c r="S299" i="1"/>
  <c r="AH298" i="1"/>
  <c r="AF298" i="1"/>
  <c r="Y298" i="1"/>
  <c r="S298" i="1"/>
  <c r="U298" i="1" s="1"/>
  <c r="AH297" i="1"/>
  <c r="AF297" i="1"/>
  <c r="Y297" i="1"/>
  <c r="S297" i="1"/>
  <c r="AH296" i="1"/>
  <c r="AF296" i="1"/>
  <c r="Y296" i="1"/>
  <c r="S296" i="1"/>
  <c r="AH295" i="1"/>
  <c r="AF295" i="1"/>
  <c r="Y295" i="1"/>
  <c r="S295" i="1"/>
  <c r="AH294" i="1"/>
  <c r="AF294" i="1"/>
  <c r="Y294" i="1"/>
  <c r="S294" i="1"/>
  <c r="U294" i="1" s="1"/>
  <c r="AH293" i="1"/>
  <c r="AF293" i="1"/>
  <c r="Y293" i="1"/>
  <c r="S293" i="1"/>
  <c r="AH292" i="1"/>
  <c r="AF292" i="1"/>
  <c r="Y292" i="1"/>
  <c r="S292" i="1"/>
  <c r="AH291" i="1"/>
  <c r="AF291" i="1"/>
  <c r="Y291" i="1"/>
  <c r="S291" i="1"/>
  <c r="AH290" i="1"/>
  <c r="AF290" i="1"/>
  <c r="Y290" i="1"/>
  <c r="S290" i="1"/>
  <c r="U290" i="1" s="1"/>
  <c r="AH289" i="1"/>
  <c r="AF289" i="1"/>
  <c r="Y289" i="1"/>
  <c r="S289" i="1"/>
  <c r="AH288" i="1"/>
  <c r="AF288" i="1"/>
  <c r="Y288" i="1"/>
  <c r="S288" i="1"/>
  <c r="AH287" i="1"/>
  <c r="AF287" i="1"/>
  <c r="Y287" i="1"/>
  <c r="S287" i="1"/>
  <c r="AH286" i="1"/>
  <c r="AF286" i="1"/>
  <c r="Y286" i="1"/>
  <c r="S286" i="1"/>
  <c r="U286" i="1" s="1"/>
  <c r="AH285" i="1"/>
  <c r="AF285" i="1"/>
  <c r="Y285" i="1"/>
  <c r="S285" i="1"/>
  <c r="AH284" i="1"/>
  <c r="AF284" i="1"/>
  <c r="Y284" i="1"/>
  <c r="S284" i="1"/>
  <c r="AH283" i="1"/>
  <c r="AF283" i="1"/>
  <c r="Y283" i="1"/>
  <c r="S283" i="1"/>
  <c r="U283" i="1" s="1"/>
  <c r="AH282" i="1"/>
  <c r="AF282" i="1"/>
  <c r="Y282" i="1"/>
  <c r="S282" i="1"/>
  <c r="U282" i="1" s="1"/>
  <c r="AH281" i="1"/>
  <c r="AF281" i="1"/>
  <c r="Y281" i="1"/>
  <c r="S281" i="1"/>
  <c r="U281" i="1" s="1"/>
  <c r="AH280" i="1"/>
  <c r="AF280" i="1"/>
  <c r="Y280" i="1"/>
  <c r="S280" i="1"/>
  <c r="U280" i="1" s="1"/>
  <c r="AH279" i="1"/>
  <c r="AF279" i="1"/>
  <c r="Y279" i="1"/>
  <c r="S279" i="1"/>
  <c r="U279" i="1" s="1"/>
  <c r="AH278" i="1"/>
  <c r="AF278" i="1"/>
  <c r="Y278" i="1"/>
  <c r="S278" i="1"/>
  <c r="U278" i="1" s="1"/>
  <c r="AH277" i="1"/>
  <c r="AF277" i="1"/>
  <c r="Y277" i="1"/>
  <c r="S277" i="1"/>
  <c r="U277" i="1" s="1"/>
  <c r="AH276" i="1"/>
  <c r="AF276" i="1"/>
  <c r="Y276" i="1"/>
  <c r="S276" i="1"/>
  <c r="U276" i="1" s="1"/>
  <c r="AH275" i="1"/>
  <c r="AF275" i="1"/>
  <c r="Y275" i="1"/>
  <c r="S275" i="1"/>
  <c r="U275" i="1" s="1"/>
  <c r="AH274" i="1"/>
  <c r="AF274" i="1"/>
  <c r="Y274" i="1"/>
  <c r="S274" i="1"/>
  <c r="U274" i="1" s="1"/>
  <c r="AH273" i="1"/>
  <c r="AF273" i="1"/>
  <c r="Y273" i="1"/>
  <c r="S273" i="1"/>
  <c r="U273" i="1" s="1"/>
  <c r="AH272" i="1"/>
  <c r="AF272" i="1"/>
  <c r="Y272" i="1"/>
  <c r="S272" i="1"/>
  <c r="U272" i="1" s="1"/>
  <c r="AH271" i="1"/>
  <c r="AF271" i="1"/>
  <c r="Y271" i="1"/>
  <c r="S271" i="1"/>
  <c r="U271" i="1" s="1"/>
  <c r="AH270" i="1"/>
  <c r="AF270" i="1"/>
  <c r="Y270" i="1"/>
  <c r="S270" i="1"/>
  <c r="U270" i="1" s="1"/>
  <c r="AH269" i="1"/>
  <c r="AF269" i="1"/>
  <c r="Y269" i="1"/>
  <c r="S269" i="1"/>
  <c r="AH268" i="1"/>
  <c r="AF268" i="1"/>
  <c r="Y268" i="1"/>
  <c r="S268" i="1"/>
  <c r="U268" i="1" s="1"/>
  <c r="AH267" i="1"/>
  <c r="AF267" i="1"/>
  <c r="Y267" i="1"/>
  <c r="S267" i="1"/>
  <c r="AH266" i="1"/>
  <c r="AF266" i="1"/>
  <c r="Y266" i="1"/>
  <c r="S266" i="1"/>
  <c r="U266" i="1" s="1"/>
  <c r="AH265" i="1"/>
  <c r="AF265" i="1"/>
  <c r="Y265" i="1"/>
  <c r="S265" i="1"/>
  <c r="AH264" i="1"/>
  <c r="AF264" i="1"/>
  <c r="Y264" i="1"/>
  <c r="S264" i="1"/>
  <c r="U264" i="1" s="1"/>
  <c r="AH263" i="1"/>
  <c r="AF263" i="1"/>
  <c r="Y263" i="1"/>
  <c r="S263" i="1"/>
  <c r="AH262" i="1"/>
  <c r="AF262" i="1"/>
  <c r="Y262" i="1"/>
  <c r="S262" i="1"/>
  <c r="U262" i="1" s="1"/>
  <c r="AH261" i="1"/>
  <c r="AF261" i="1"/>
  <c r="Y261" i="1"/>
  <c r="S261" i="1"/>
  <c r="AH260" i="1"/>
  <c r="AF260" i="1"/>
  <c r="Y260" i="1"/>
  <c r="S260" i="1"/>
  <c r="U260" i="1" s="1"/>
  <c r="AH259" i="1"/>
  <c r="AF259" i="1"/>
  <c r="Y259" i="1"/>
  <c r="S259" i="1"/>
  <c r="AH258" i="1"/>
  <c r="AF258" i="1"/>
  <c r="Y258" i="1"/>
  <c r="S258" i="1"/>
  <c r="U258" i="1" s="1"/>
  <c r="AH257" i="1"/>
  <c r="AF257" i="1"/>
  <c r="Y257" i="1"/>
  <c r="S257" i="1"/>
  <c r="AH256" i="1"/>
  <c r="AF256" i="1"/>
  <c r="Y256" i="1"/>
  <c r="S256" i="1"/>
  <c r="U256" i="1" s="1"/>
  <c r="AH255" i="1"/>
  <c r="AF255" i="1"/>
  <c r="Y255" i="1"/>
  <c r="S255" i="1"/>
  <c r="AH254" i="1"/>
  <c r="AF254" i="1"/>
  <c r="Y254" i="1"/>
  <c r="S254" i="1"/>
  <c r="U254" i="1" s="1"/>
  <c r="AH253" i="1"/>
  <c r="AF253" i="1"/>
  <c r="Y253" i="1"/>
  <c r="S253" i="1"/>
  <c r="AH252" i="1"/>
  <c r="AF252" i="1"/>
  <c r="Y252" i="1"/>
  <c r="S252" i="1"/>
  <c r="U252" i="1" s="1"/>
  <c r="AH251" i="1"/>
  <c r="AF251" i="1"/>
  <c r="Y251" i="1"/>
  <c r="S251" i="1"/>
  <c r="AH250" i="1"/>
  <c r="AF250" i="1"/>
  <c r="Y250" i="1"/>
  <c r="S250" i="1"/>
  <c r="U250" i="1" s="1"/>
  <c r="AH249" i="1"/>
  <c r="AF249" i="1"/>
  <c r="Y249" i="1"/>
  <c r="S249" i="1"/>
  <c r="AH248" i="1"/>
  <c r="AF248" i="1"/>
  <c r="Y248" i="1"/>
  <c r="S248" i="1"/>
  <c r="U248" i="1" s="1"/>
  <c r="AH247" i="1"/>
  <c r="AF247" i="1"/>
  <c r="Y247" i="1"/>
  <c r="S247" i="1"/>
  <c r="AH246" i="1"/>
  <c r="AF246" i="1"/>
  <c r="Y246" i="1"/>
  <c r="S246" i="1"/>
  <c r="U246" i="1" s="1"/>
  <c r="AH245" i="1"/>
  <c r="AF245" i="1"/>
  <c r="Y245" i="1"/>
  <c r="S245" i="1"/>
  <c r="AH244" i="1"/>
  <c r="AF244" i="1"/>
  <c r="Y244" i="1"/>
  <c r="S244" i="1"/>
  <c r="U244" i="1" s="1"/>
  <c r="AH243" i="1"/>
  <c r="AF243" i="1"/>
  <c r="Y243" i="1"/>
  <c r="S243" i="1"/>
  <c r="U243" i="1" s="1"/>
  <c r="AH242" i="1"/>
  <c r="AF242" i="1"/>
  <c r="Y242" i="1"/>
  <c r="S242" i="1"/>
  <c r="U242" i="1" s="1"/>
  <c r="AH241" i="1"/>
  <c r="AF241" i="1"/>
  <c r="Y241" i="1"/>
  <c r="S241" i="1"/>
  <c r="AH240" i="1"/>
  <c r="AF240" i="1"/>
  <c r="Y240" i="1"/>
  <c r="S240" i="1"/>
  <c r="U240" i="1" s="1"/>
  <c r="AH239" i="1"/>
  <c r="AF239" i="1"/>
  <c r="Y239" i="1"/>
  <c r="S239" i="1"/>
  <c r="U239" i="1" s="1"/>
  <c r="AH238" i="1"/>
  <c r="AF238" i="1"/>
  <c r="Y238" i="1"/>
  <c r="S238" i="1"/>
  <c r="U238" i="1" s="1"/>
  <c r="AH237" i="1"/>
  <c r="AF237" i="1"/>
  <c r="Y237" i="1"/>
  <c r="S237" i="1"/>
  <c r="U237" i="1" s="1"/>
  <c r="AH236" i="1"/>
  <c r="AF236" i="1"/>
  <c r="Y236" i="1"/>
  <c r="S236" i="1"/>
  <c r="U236" i="1" s="1"/>
  <c r="AH235" i="1"/>
  <c r="AF235" i="1"/>
  <c r="Y235" i="1"/>
  <c r="S235" i="1"/>
  <c r="U235" i="1" s="1"/>
  <c r="AH234" i="1"/>
  <c r="AF234" i="1"/>
  <c r="Y234" i="1"/>
  <c r="S234" i="1"/>
  <c r="U234" i="1" s="1"/>
  <c r="AH233" i="1"/>
  <c r="AF233" i="1"/>
  <c r="Y233" i="1"/>
  <c r="S233" i="1"/>
  <c r="AH232" i="1"/>
  <c r="AF232" i="1"/>
  <c r="Y232" i="1"/>
  <c r="S232" i="1"/>
  <c r="U232" i="1" s="1"/>
  <c r="AH231" i="1"/>
  <c r="AF231" i="1"/>
  <c r="Y231" i="1"/>
  <c r="S231" i="1"/>
  <c r="U231" i="1" s="1"/>
  <c r="AH230" i="1"/>
  <c r="AF230" i="1"/>
  <c r="Y230" i="1"/>
  <c r="S230" i="1"/>
  <c r="U230" i="1" s="1"/>
  <c r="AH229" i="1"/>
  <c r="AF229" i="1"/>
  <c r="Y229" i="1"/>
  <c r="S229" i="1"/>
  <c r="AH228" i="1"/>
  <c r="AF228" i="1"/>
  <c r="Y228" i="1"/>
  <c r="S228" i="1"/>
  <c r="AH227" i="1"/>
  <c r="AF227" i="1"/>
  <c r="Y227" i="1"/>
  <c r="S227" i="1"/>
  <c r="U227" i="1" s="1"/>
  <c r="AH226" i="1"/>
  <c r="AF226" i="1"/>
  <c r="Y226" i="1"/>
  <c r="S226" i="1"/>
  <c r="U226" i="1" s="1"/>
  <c r="AH225" i="1"/>
  <c r="AF225" i="1"/>
  <c r="Y225" i="1"/>
  <c r="S225" i="1"/>
  <c r="AH224" i="1"/>
  <c r="AF224" i="1"/>
  <c r="Y224" i="1"/>
  <c r="S224" i="1"/>
  <c r="U224" i="1" s="1"/>
  <c r="AH223" i="1"/>
  <c r="AF223" i="1"/>
  <c r="Y223" i="1"/>
  <c r="S223" i="1"/>
  <c r="U223" i="1" s="1"/>
  <c r="AH222" i="1"/>
  <c r="AF222" i="1"/>
  <c r="Y222" i="1"/>
  <c r="S222" i="1"/>
  <c r="U222" i="1" s="1"/>
  <c r="AH221" i="1"/>
  <c r="AF221" i="1"/>
  <c r="Y221" i="1"/>
  <c r="S221" i="1"/>
  <c r="U221" i="1" s="1"/>
  <c r="AH220" i="1"/>
  <c r="AF220" i="1"/>
  <c r="Y220" i="1"/>
  <c r="S220" i="1"/>
  <c r="U220" i="1" s="1"/>
  <c r="AH219" i="1"/>
  <c r="AF219" i="1"/>
  <c r="Y219" i="1"/>
  <c r="S219" i="1"/>
  <c r="U219" i="1" s="1"/>
  <c r="AH218" i="1"/>
  <c r="AF218" i="1"/>
  <c r="Y218" i="1"/>
  <c r="S218" i="1"/>
  <c r="U218" i="1" s="1"/>
  <c r="AH217" i="1"/>
  <c r="AF217" i="1"/>
  <c r="Y217" i="1"/>
  <c r="S217" i="1"/>
  <c r="U217" i="1" s="1"/>
  <c r="AH216" i="1"/>
  <c r="AF216" i="1"/>
  <c r="Y216" i="1"/>
  <c r="AN216" i="1"/>
  <c r="S216" i="1"/>
  <c r="AH215" i="1"/>
  <c r="AF215" i="1"/>
  <c r="Y215" i="1"/>
  <c r="S215" i="1"/>
  <c r="AH212" i="1"/>
  <c r="AF212" i="1"/>
  <c r="Y212" i="1"/>
  <c r="S212" i="1"/>
  <c r="U212" i="1" s="1"/>
  <c r="AH211" i="1"/>
  <c r="AF211" i="1"/>
  <c r="Y211" i="1"/>
  <c r="S211" i="1"/>
  <c r="AH210" i="1"/>
  <c r="AF210" i="1"/>
  <c r="Y210" i="1"/>
  <c r="S210" i="1"/>
  <c r="U210" i="1" s="1"/>
  <c r="AH209" i="1"/>
  <c r="AF209" i="1"/>
  <c r="Y209" i="1"/>
  <c r="S209" i="1"/>
  <c r="AH208" i="1"/>
  <c r="AF208" i="1"/>
  <c r="Y208" i="1"/>
  <c r="S208" i="1"/>
  <c r="U208" i="1" s="1"/>
  <c r="AH207" i="1"/>
  <c r="AF207" i="1"/>
  <c r="Y207" i="1"/>
  <c r="S207" i="1"/>
  <c r="AH206" i="1"/>
  <c r="AF206" i="1"/>
  <c r="Y206" i="1"/>
  <c r="S206" i="1"/>
  <c r="AH205" i="1"/>
  <c r="AF205" i="1"/>
  <c r="Y205" i="1"/>
  <c r="S205" i="1"/>
  <c r="AH204" i="1"/>
  <c r="AF204" i="1"/>
  <c r="Y204" i="1"/>
  <c r="S204" i="1"/>
  <c r="AH203" i="1"/>
  <c r="AF203" i="1"/>
  <c r="Y203" i="1"/>
  <c r="S203" i="1"/>
  <c r="AH202" i="1"/>
  <c r="AF202" i="1"/>
  <c r="Y202" i="1"/>
  <c r="S202" i="1"/>
  <c r="AH201" i="1"/>
  <c r="AF201" i="1"/>
  <c r="Y201" i="1"/>
  <c r="S201" i="1"/>
  <c r="AH200" i="1"/>
  <c r="AF200" i="1"/>
  <c r="Y200" i="1"/>
  <c r="S200" i="1"/>
  <c r="AH199" i="1"/>
  <c r="AF199" i="1"/>
  <c r="Y199" i="1"/>
  <c r="S199" i="1"/>
  <c r="AH198" i="1"/>
  <c r="AF198" i="1"/>
  <c r="Y198" i="1"/>
  <c r="S198" i="1"/>
  <c r="AH197" i="1"/>
  <c r="AF197" i="1"/>
  <c r="Y197" i="1"/>
  <c r="S197" i="1"/>
  <c r="AH196" i="1"/>
  <c r="AF196" i="1"/>
  <c r="Y196" i="1"/>
  <c r="S196" i="1"/>
  <c r="AH195" i="1"/>
  <c r="AF195" i="1"/>
  <c r="Y195" i="1"/>
  <c r="S195" i="1"/>
  <c r="AH194" i="1"/>
  <c r="AF194" i="1"/>
  <c r="Y194" i="1"/>
  <c r="S194" i="1"/>
  <c r="AH191" i="1"/>
  <c r="AF191" i="1"/>
  <c r="Y191" i="1"/>
  <c r="S191" i="1"/>
  <c r="U191" i="1" s="1"/>
  <c r="AH190" i="1"/>
  <c r="AF190" i="1"/>
  <c r="Y190" i="1"/>
  <c r="S190" i="1"/>
  <c r="U190" i="1" s="1"/>
  <c r="AH189" i="1"/>
  <c r="AF189" i="1"/>
  <c r="Y189" i="1"/>
  <c r="S189" i="1"/>
  <c r="U189" i="1" s="1"/>
  <c r="AH188" i="1"/>
  <c r="AF188" i="1"/>
  <c r="Y188" i="1"/>
  <c r="S188" i="1"/>
  <c r="U188" i="1" s="1"/>
  <c r="AH187" i="1"/>
  <c r="AF187" i="1"/>
  <c r="Y187" i="1"/>
  <c r="S187" i="1"/>
  <c r="U187" i="1" s="1"/>
  <c r="AH186" i="1"/>
  <c r="AF186" i="1"/>
  <c r="Y186" i="1"/>
  <c r="S186" i="1"/>
  <c r="U186" i="1" s="1"/>
  <c r="AH185" i="1"/>
  <c r="AF185" i="1"/>
  <c r="Y185" i="1"/>
  <c r="S185" i="1"/>
  <c r="U185" i="1" s="1"/>
  <c r="AH184" i="1"/>
  <c r="AF184" i="1"/>
  <c r="Y184" i="1"/>
  <c r="S184" i="1"/>
  <c r="U184" i="1" s="1"/>
  <c r="AH183" i="1"/>
  <c r="AF183" i="1"/>
  <c r="Y183" i="1"/>
  <c r="R183" i="1"/>
  <c r="S183" i="1" s="1"/>
  <c r="U183" i="1" s="1"/>
  <c r="AH182" i="1"/>
  <c r="AF182" i="1"/>
  <c r="Y182" i="1"/>
  <c r="S182" i="1"/>
  <c r="AH181" i="1"/>
  <c r="AF181" i="1"/>
  <c r="Y181" i="1"/>
  <c r="S181" i="1"/>
  <c r="AH180" i="1"/>
  <c r="AF180" i="1"/>
  <c r="Y180" i="1"/>
  <c r="S180" i="1"/>
  <c r="AH179" i="1"/>
  <c r="AF179" i="1"/>
  <c r="Y179" i="1"/>
  <c r="R179" i="1"/>
  <c r="S179" i="1" s="1"/>
  <c r="AH178" i="1"/>
  <c r="AF178" i="1"/>
  <c r="Y178" i="1"/>
  <c r="S178" i="1"/>
  <c r="U178" i="1" s="1"/>
  <c r="AH163" i="1"/>
  <c r="AF163" i="1"/>
  <c r="Y163" i="1"/>
  <c r="S163" i="1"/>
  <c r="U163" i="1" s="1"/>
  <c r="AH162" i="1"/>
  <c r="AF162" i="1"/>
  <c r="Y162" i="1"/>
  <c r="S162" i="1"/>
  <c r="U162" i="1" s="1"/>
  <c r="AH85" i="1"/>
  <c r="AF85" i="1"/>
  <c r="Y85" i="1"/>
  <c r="S85" i="1"/>
  <c r="U85" i="1" s="1"/>
  <c r="AH159" i="1"/>
  <c r="AF159" i="1"/>
  <c r="Y159" i="1"/>
  <c r="S159" i="1"/>
  <c r="AH158" i="1"/>
  <c r="AF158" i="1"/>
  <c r="Y158" i="1"/>
  <c r="S158" i="1"/>
  <c r="U158" i="1" s="1"/>
  <c r="AH157" i="1"/>
  <c r="AF157" i="1"/>
  <c r="Y157" i="1"/>
  <c r="S157" i="1"/>
  <c r="AH156" i="1"/>
  <c r="AF156" i="1"/>
  <c r="Y156" i="1"/>
  <c r="S156" i="1"/>
  <c r="U156" i="1" s="1"/>
  <c r="AH155" i="1"/>
  <c r="AF155" i="1"/>
  <c r="Y155" i="1"/>
  <c r="S155" i="1"/>
  <c r="U155" i="1" s="1"/>
  <c r="AH154" i="1"/>
  <c r="AF154" i="1"/>
  <c r="Y154" i="1"/>
  <c r="S154" i="1"/>
  <c r="U154" i="1" s="1"/>
  <c r="AH153" i="1"/>
  <c r="AF153" i="1"/>
  <c r="Y153" i="1"/>
  <c r="S153" i="1"/>
  <c r="AH152" i="1"/>
  <c r="AF152" i="1"/>
  <c r="Y152" i="1"/>
  <c r="S152" i="1"/>
  <c r="U152" i="1" s="1"/>
  <c r="AH151" i="1"/>
  <c r="AF151" i="1"/>
  <c r="Y151" i="1"/>
  <c r="S151" i="1"/>
  <c r="U151" i="1" s="1"/>
  <c r="AH150" i="1"/>
  <c r="AF150" i="1"/>
  <c r="Y150" i="1"/>
  <c r="S150" i="1"/>
  <c r="U150" i="1" s="1"/>
  <c r="AH149" i="1"/>
  <c r="AF149" i="1"/>
  <c r="Y149" i="1"/>
  <c r="S149" i="1"/>
  <c r="U149" i="1" s="1"/>
  <c r="AH148" i="1"/>
  <c r="AF148" i="1"/>
  <c r="Y148" i="1"/>
  <c r="S148" i="1"/>
  <c r="U148" i="1" s="1"/>
  <c r="AH147" i="1"/>
  <c r="AF147" i="1"/>
  <c r="Y147" i="1"/>
  <c r="S147" i="1"/>
  <c r="U147" i="1" s="1"/>
  <c r="AH146" i="1"/>
  <c r="AF146" i="1"/>
  <c r="Y146" i="1"/>
  <c r="S146" i="1"/>
  <c r="U146" i="1" s="1"/>
  <c r="AH145" i="1"/>
  <c r="AF145" i="1"/>
  <c r="Y145" i="1"/>
  <c r="S145" i="1"/>
  <c r="U145" i="1" s="1"/>
  <c r="AH144" i="1"/>
  <c r="AF144" i="1"/>
  <c r="Y144" i="1"/>
  <c r="S144" i="1"/>
  <c r="U144" i="1" s="1"/>
  <c r="AH143" i="1"/>
  <c r="AF143" i="1"/>
  <c r="Y143" i="1"/>
  <c r="S143" i="1"/>
  <c r="U143" i="1" s="1"/>
  <c r="AH142" i="1"/>
  <c r="AF142" i="1"/>
  <c r="Y142" i="1"/>
  <c r="S142" i="1"/>
  <c r="U142" i="1" s="1"/>
  <c r="AH141" i="1"/>
  <c r="AF141" i="1"/>
  <c r="Y141" i="1"/>
  <c r="S141" i="1"/>
  <c r="U141" i="1" s="1"/>
  <c r="AH139" i="1"/>
  <c r="AF139" i="1"/>
  <c r="Y139" i="1"/>
  <c r="S139" i="1"/>
  <c r="U139" i="1" s="1"/>
  <c r="AH138" i="1"/>
  <c r="AF138" i="1"/>
  <c r="Y138" i="1"/>
  <c r="S138" i="1"/>
  <c r="U138" i="1" s="1"/>
  <c r="AH137" i="1"/>
  <c r="AF137" i="1"/>
  <c r="Y137" i="1"/>
  <c r="S137" i="1"/>
  <c r="U137" i="1" s="1"/>
  <c r="AH136" i="1"/>
  <c r="AF136" i="1"/>
  <c r="Y136" i="1"/>
  <c r="S136" i="1"/>
  <c r="U136" i="1" s="1"/>
  <c r="AH134" i="1"/>
  <c r="AF134" i="1"/>
  <c r="Y134" i="1"/>
  <c r="S134" i="1"/>
  <c r="U134" i="1" s="1"/>
  <c r="AH133" i="1"/>
  <c r="AF133" i="1"/>
  <c r="Y133" i="1"/>
  <c r="S133" i="1"/>
  <c r="U133" i="1" s="1"/>
  <c r="AH132" i="1"/>
  <c r="AF132" i="1"/>
  <c r="Y132" i="1"/>
  <c r="S132" i="1"/>
  <c r="U132" i="1" s="1"/>
  <c r="AH131" i="1"/>
  <c r="AF131" i="1"/>
  <c r="Y131" i="1"/>
  <c r="R131" i="1"/>
  <c r="S131" i="1" s="1"/>
  <c r="AH130" i="1"/>
  <c r="AF130" i="1"/>
  <c r="Y130" i="1"/>
  <c r="S130" i="1"/>
  <c r="AH124" i="1"/>
  <c r="AF124" i="1"/>
  <c r="Y124" i="1"/>
  <c r="S124" i="1"/>
  <c r="AH123" i="1"/>
  <c r="AF123" i="1"/>
  <c r="Y123" i="1"/>
  <c r="S123" i="1"/>
  <c r="U123" i="1" s="1"/>
  <c r="AH122" i="1"/>
  <c r="AF122" i="1"/>
  <c r="Y122" i="1"/>
  <c r="S122" i="1"/>
  <c r="AH121" i="1"/>
  <c r="AF121" i="1"/>
  <c r="Y121" i="1"/>
  <c r="R121" i="1"/>
  <c r="S121" i="1" s="1"/>
  <c r="U121" i="1" s="1"/>
  <c r="AH120" i="1"/>
  <c r="AF120" i="1"/>
  <c r="Y120" i="1"/>
  <c r="S120" i="1"/>
  <c r="U120" i="1" s="1"/>
  <c r="AH119" i="1"/>
  <c r="AF119" i="1"/>
  <c r="Y119" i="1"/>
  <c r="S119" i="1"/>
  <c r="U119" i="1" s="1"/>
  <c r="AH117" i="1"/>
  <c r="AF117" i="1"/>
  <c r="Y117" i="1"/>
  <c r="S117" i="1"/>
  <c r="U117" i="1" s="1"/>
  <c r="AH116" i="1"/>
  <c r="AF116" i="1"/>
  <c r="Y116" i="1"/>
  <c r="S116" i="1"/>
  <c r="AH115" i="1"/>
  <c r="AF115" i="1"/>
  <c r="Y115" i="1"/>
  <c r="S115" i="1"/>
  <c r="U115" i="1" s="1"/>
  <c r="AH114" i="1"/>
  <c r="AF114" i="1"/>
  <c r="Y114" i="1"/>
  <c r="S114" i="1"/>
  <c r="U114" i="1" s="1"/>
  <c r="AH113" i="1"/>
  <c r="AF113" i="1"/>
  <c r="Y113" i="1"/>
  <c r="S113" i="1"/>
  <c r="U113" i="1" s="1"/>
  <c r="AH112" i="1"/>
  <c r="AF112" i="1"/>
  <c r="Y112" i="1"/>
  <c r="S112" i="1"/>
  <c r="U112" i="1" s="1"/>
  <c r="AH111" i="1"/>
  <c r="AF111" i="1"/>
  <c r="Y111" i="1"/>
  <c r="S111" i="1"/>
  <c r="U111" i="1" s="1"/>
  <c r="AH110" i="1"/>
  <c r="AF110" i="1"/>
  <c r="Y110" i="1"/>
  <c r="S110" i="1"/>
  <c r="AH109" i="1"/>
  <c r="AF109" i="1"/>
  <c r="Y109" i="1"/>
  <c r="S109" i="1"/>
  <c r="U109" i="1" s="1"/>
  <c r="AH108" i="1"/>
  <c r="AF108" i="1"/>
  <c r="Y108" i="1"/>
  <c r="S108" i="1"/>
  <c r="U108" i="1" s="1"/>
  <c r="AH107" i="1"/>
  <c r="AF107" i="1"/>
  <c r="Y107" i="1"/>
  <c r="S107" i="1"/>
  <c r="U107" i="1" s="1"/>
  <c r="AH106" i="1"/>
  <c r="AF106" i="1"/>
  <c r="Y106" i="1"/>
  <c r="S106" i="1"/>
  <c r="U106" i="1" s="1"/>
  <c r="AH105" i="1"/>
  <c r="AF105" i="1"/>
  <c r="Y105" i="1"/>
  <c r="S105" i="1"/>
  <c r="U105" i="1" s="1"/>
  <c r="AH104" i="1"/>
  <c r="AF104" i="1"/>
  <c r="Y104" i="1"/>
  <c r="S104" i="1"/>
  <c r="U104" i="1" s="1"/>
  <c r="AH103" i="1"/>
  <c r="AF103" i="1"/>
  <c r="Y103" i="1"/>
  <c r="S103" i="1"/>
  <c r="U103" i="1" s="1"/>
  <c r="AH102" i="1"/>
  <c r="AF102" i="1"/>
  <c r="Y102" i="1"/>
  <c r="S102" i="1"/>
  <c r="U102" i="1" s="1"/>
  <c r="AH101" i="1"/>
  <c r="AF101" i="1"/>
  <c r="Y101" i="1"/>
  <c r="S101" i="1"/>
  <c r="U101" i="1" s="1"/>
  <c r="AH100" i="1"/>
  <c r="AF100" i="1"/>
  <c r="Y100" i="1"/>
  <c r="S100" i="1"/>
  <c r="AH99" i="1"/>
  <c r="AF99" i="1"/>
  <c r="Y99" i="1"/>
  <c r="S99" i="1"/>
  <c r="U99" i="1" s="1"/>
  <c r="AH98" i="1"/>
  <c r="AF98" i="1"/>
  <c r="Y98" i="1"/>
  <c r="S98" i="1"/>
  <c r="U98" i="1" s="1"/>
  <c r="AH97" i="1"/>
  <c r="AF97" i="1"/>
  <c r="Y97" i="1"/>
  <c r="S97" i="1"/>
  <c r="U97" i="1" s="1"/>
  <c r="AH96" i="1"/>
  <c r="AF96" i="1"/>
  <c r="Y96" i="1"/>
  <c r="S96" i="1"/>
  <c r="U96" i="1" s="1"/>
  <c r="AH95" i="1"/>
  <c r="AF95" i="1"/>
  <c r="Y95" i="1"/>
  <c r="S95" i="1"/>
  <c r="U95" i="1" s="1"/>
  <c r="AH94" i="1"/>
  <c r="AF94" i="1"/>
  <c r="Y94" i="1"/>
  <c r="S94" i="1"/>
  <c r="U94" i="1" s="1"/>
  <c r="AH93" i="1"/>
  <c r="AF93" i="1"/>
  <c r="Y93" i="1"/>
  <c r="S93" i="1"/>
  <c r="U93" i="1" s="1"/>
  <c r="AH92" i="1"/>
  <c r="AF92" i="1"/>
  <c r="Y92" i="1"/>
  <c r="S92" i="1"/>
  <c r="U92" i="1" s="1"/>
  <c r="AH91" i="1"/>
  <c r="AF91" i="1"/>
  <c r="Y91" i="1"/>
  <c r="S91" i="1"/>
  <c r="U91" i="1" s="1"/>
  <c r="AH90" i="1"/>
  <c r="AF90" i="1"/>
  <c r="Y90" i="1"/>
  <c r="S90" i="1"/>
  <c r="U90" i="1" s="1"/>
  <c r="AH89" i="1"/>
  <c r="AF89" i="1"/>
  <c r="Y89" i="1"/>
  <c r="S89" i="1"/>
  <c r="U89" i="1" s="1"/>
  <c r="AH88" i="1"/>
  <c r="AF88" i="1"/>
  <c r="Y88" i="1"/>
  <c r="S88" i="1"/>
  <c r="U88" i="1" s="1"/>
  <c r="AH86" i="1"/>
  <c r="AF86" i="1"/>
  <c r="Y86" i="1"/>
  <c r="S86" i="1"/>
  <c r="U86" i="1" s="1"/>
  <c r="AH161" i="1"/>
  <c r="AF161" i="1"/>
  <c r="Y161" i="1"/>
  <c r="S161" i="1"/>
  <c r="U161" i="1" s="1"/>
  <c r="AH81" i="1"/>
  <c r="AF81" i="1"/>
  <c r="Y81" i="1"/>
  <c r="S81" i="1"/>
  <c r="U81" i="1" s="1"/>
  <c r="AH80" i="1"/>
  <c r="AF80" i="1"/>
  <c r="Y80" i="1"/>
  <c r="S80" i="1"/>
  <c r="U80" i="1" s="1"/>
  <c r="AF79" i="1"/>
  <c r="Y79" i="1"/>
  <c r="P79" i="1"/>
  <c r="S79" i="1" s="1"/>
  <c r="AH78" i="1"/>
  <c r="AF78" i="1"/>
  <c r="Y78" i="1"/>
  <c r="S78" i="1"/>
  <c r="AH77" i="1"/>
  <c r="AF77" i="1"/>
  <c r="Y77" i="1"/>
  <c r="S77" i="1"/>
  <c r="AH76" i="1"/>
  <c r="AF76" i="1"/>
  <c r="Y76" i="1"/>
  <c r="S76" i="1"/>
  <c r="AH75" i="1"/>
  <c r="AF75" i="1"/>
  <c r="Y75" i="1"/>
  <c r="S75" i="1"/>
  <c r="AH74" i="1"/>
  <c r="AF74" i="1"/>
  <c r="Y74" i="1"/>
  <c r="S74" i="1"/>
  <c r="AH73" i="1"/>
  <c r="AF73" i="1"/>
  <c r="Y73" i="1"/>
  <c r="S73" i="1"/>
  <c r="AH72" i="1"/>
  <c r="AF72" i="1"/>
  <c r="Y72" i="1"/>
  <c r="S72" i="1"/>
  <c r="AH71" i="1"/>
  <c r="AF71" i="1"/>
  <c r="Y71" i="1"/>
  <c r="S71" i="1"/>
  <c r="AH70" i="1"/>
  <c r="AF70" i="1"/>
  <c r="Y70" i="1"/>
  <c r="S70" i="1"/>
  <c r="AH69" i="1"/>
  <c r="AF69" i="1"/>
  <c r="Y69" i="1"/>
  <c r="S69" i="1"/>
  <c r="AH68" i="1"/>
  <c r="AF68" i="1"/>
  <c r="Y68" i="1"/>
  <c r="S68" i="1"/>
  <c r="AH67" i="1"/>
  <c r="AF67" i="1"/>
  <c r="Y67" i="1"/>
  <c r="S67" i="1"/>
  <c r="AH66" i="1"/>
  <c r="AF66" i="1"/>
  <c r="Y66" i="1"/>
  <c r="S66" i="1"/>
  <c r="AH165" i="1"/>
  <c r="AF165" i="1"/>
  <c r="Y165" i="1"/>
  <c r="S165" i="1"/>
  <c r="AH63" i="1"/>
  <c r="AF63" i="1"/>
  <c r="Y63" i="1"/>
  <c r="S63" i="1"/>
  <c r="AH60" i="1"/>
  <c r="AF60" i="1"/>
  <c r="Y60" i="1"/>
  <c r="S60" i="1"/>
  <c r="AH56" i="1"/>
  <c r="AF56" i="1"/>
  <c r="Y56" i="1"/>
  <c r="S56" i="1"/>
  <c r="AH53" i="1"/>
  <c r="AF53" i="1"/>
  <c r="Y53" i="1"/>
  <c r="S53" i="1"/>
  <c r="AH44" i="1"/>
  <c r="AF44" i="1"/>
  <c r="Y44" i="1"/>
  <c r="S44" i="1"/>
  <c r="U44" i="1" s="1"/>
  <c r="AH43" i="1"/>
  <c r="AF43" i="1"/>
  <c r="Y43" i="1"/>
  <c r="S43" i="1"/>
  <c r="U43" i="1" s="1"/>
  <c r="AH42" i="1"/>
  <c r="AF42" i="1"/>
  <c r="Y42" i="1"/>
  <c r="S42" i="1"/>
  <c r="U42" i="1" s="1"/>
  <c r="AH50" i="1"/>
  <c r="AF50" i="1"/>
  <c r="Y50" i="1"/>
  <c r="S50" i="1"/>
  <c r="U50" i="1" s="1"/>
  <c r="AH40" i="1"/>
  <c r="AF40" i="1"/>
  <c r="Y40" i="1"/>
  <c r="S40" i="1"/>
  <c r="U40" i="1" s="1"/>
  <c r="AH39" i="1"/>
  <c r="AF39" i="1"/>
  <c r="Y39" i="1"/>
  <c r="S39" i="1"/>
  <c r="U39" i="1" s="1"/>
  <c r="AH38" i="1"/>
  <c r="AF38" i="1"/>
  <c r="Y38" i="1"/>
  <c r="S38" i="1"/>
  <c r="U38" i="1" s="1"/>
  <c r="AH37" i="1"/>
  <c r="AF37" i="1"/>
  <c r="Y37" i="1"/>
  <c r="S37" i="1"/>
  <c r="U37" i="1" s="1"/>
  <c r="AH31" i="1"/>
  <c r="AF31" i="1"/>
  <c r="Y31" i="1"/>
  <c r="S31" i="1"/>
  <c r="U31" i="1" s="1"/>
  <c r="AH30" i="1"/>
  <c r="AF30" i="1"/>
  <c r="Y30" i="1"/>
  <c r="S30" i="1"/>
  <c r="U30" i="1" s="1"/>
  <c r="AH29" i="1"/>
  <c r="AF29" i="1"/>
  <c r="Y29" i="1"/>
  <c r="S29" i="1"/>
  <c r="U29" i="1" s="1"/>
  <c r="AH28" i="1"/>
  <c r="AF28" i="1"/>
  <c r="Y28" i="1"/>
  <c r="S28" i="1"/>
  <c r="U28" i="1" s="1"/>
  <c r="AH27" i="1"/>
  <c r="AF27" i="1"/>
  <c r="Y27" i="1"/>
  <c r="S27" i="1"/>
  <c r="U27" i="1" s="1"/>
  <c r="AH26" i="1"/>
  <c r="AF26" i="1"/>
  <c r="Y26" i="1"/>
  <c r="S26" i="1"/>
  <c r="U26" i="1" s="1"/>
  <c r="AH25" i="1"/>
  <c r="AF25" i="1"/>
  <c r="Y25" i="1"/>
  <c r="S25" i="1"/>
  <c r="U25" i="1" s="1"/>
  <c r="AH24" i="1"/>
  <c r="AF24" i="1"/>
  <c r="Y24" i="1"/>
  <c r="S24" i="1"/>
  <c r="U24" i="1" s="1"/>
  <c r="AH23" i="1"/>
  <c r="AF23" i="1"/>
  <c r="Y23" i="1"/>
  <c r="S23" i="1"/>
  <c r="U23" i="1" s="1"/>
  <c r="AH22" i="1"/>
  <c r="AF22" i="1"/>
  <c r="Y22" i="1"/>
  <c r="S22" i="1"/>
  <c r="U22" i="1" s="1"/>
  <c r="AH21" i="1"/>
  <c r="AF21" i="1"/>
  <c r="Y21" i="1"/>
  <c r="S21" i="1"/>
  <c r="U21" i="1" s="1"/>
  <c r="AH20" i="1"/>
  <c r="AF20" i="1"/>
  <c r="Y20" i="1"/>
  <c r="S20" i="1"/>
  <c r="U20" i="1" s="1"/>
  <c r="AH19" i="1"/>
  <c r="AF19" i="1"/>
  <c r="Y19" i="1"/>
  <c r="S19" i="1"/>
  <c r="U19" i="1" s="1"/>
  <c r="AH18" i="1"/>
  <c r="AF18" i="1"/>
  <c r="Y18" i="1"/>
  <c r="S18" i="1"/>
  <c r="U18" i="1" s="1"/>
  <c r="AH17" i="1"/>
  <c r="AF17" i="1"/>
  <c r="Y17" i="1"/>
  <c r="S17" i="1"/>
  <c r="U17" i="1" s="1"/>
  <c r="AH16" i="1"/>
  <c r="AF16" i="1"/>
  <c r="Y16" i="1"/>
  <c r="S16" i="1"/>
  <c r="U16" i="1" s="1"/>
  <c r="AH15" i="1"/>
  <c r="AF15" i="1"/>
  <c r="Y15" i="1"/>
  <c r="S15" i="1"/>
  <c r="U15" i="1" s="1"/>
  <c r="AH14" i="1"/>
  <c r="AF14" i="1"/>
  <c r="Y14" i="1"/>
  <c r="S14" i="1"/>
  <c r="U14" i="1" s="1"/>
  <c r="AH13" i="1"/>
  <c r="AF13" i="1"/>
  <c r="Y13" i="1"/>
  <c r="S13" i="1"/>
  <c r="U13" i="1" s="1"/>
  <c r="AH12" i="1"/>
  <c r="AF12" i="1"/>
  <c r="Y12" i="1"/>
  <c r="S12" i="1"/>
  <c r="U12" i="1" s="1"/>
  <c r="AH11" i="1"/>
  <c r="AF11" i="1"/>
  <c r="Y11" i="1"/>
  <c r="S11" i="1"/>
  <c r="U11" i="1" s="1"/>
  <c r="AH10" i="1"/>
  <c r="AF10" i="1"/>
  <c r="Y10" i="1"/>
  <c r="S10" i="1"/>
  <c r="U10" i="1" s="1"/>
  <c r="AH9" i="1"/>
  <c r="AF9" i="1"/>
  <c r="Y9" i="1"/>
  <c r="S9" i="1"/>
  <c r="U9" i="1" s="1"/>
  <c r="AH8" i="1"/>
  <c r="AF8" i="1"/>
  <c r="Y8" i="1"/>
  <c r="S8" i="1"/>
  <c r="U8" i="1" s="1"/>
  <c r="AH7" i="1"/>
  <c r="AF7" i="1"/>
  <c r="Y7" i="1"/>
  <c r="S7" i="1"/>
  <c r="U7" i="1" s="1"/>
  <c r="AH6" i="1"/>
  <c r="AF6" i="1"/>
  <c r="Y6" i="1"/>
  <c r="S6" i="1"/>
  <c r="U6" i="1" s="1"/>
  <c r="A6" i="1"/>
  <c r="V2" i="1"/>
  <c r="T2" i="1" l="1"/>
  <c r="AL2" i="1"/>
  <c r="AG385" i="1"/>
  <c r="U216" i="1"/>
  <c r="AI248" i="1"/>
  <c r="AI247" i="1"/>
  <c r="AO238" i="1"/>
  <c r="AP238" i="1" s="1"/>
  <c r="AO162" i="1"/>
  <c r="AP162" i="1" s="1"/>
  <c r="AI375" i="1"/>
  <c r="AO403" i="1"/>
  <c r="AP403" i="1" s="1"/>
  <c r="AO406" i="1"/>
  <c r="AP406" i="1" s="1"/>
  <c r="AO408" i="1"/>
  <c r="AP408" i="1" s="1"/>
  <c r="AO454" i="1"/>
  <c r="AP454" i="1" s="1"/>
  <c r="AO278" i="1"/>
  <c r="AP278" i="1" s="1"/>
  <c r="AO282" i="1"/>
  <c r="AP282" i="1" s="1"/>
  <c r="AO286" i="1"/>
  <c r="AP286" i="1" s="1"/>
  <c r="AO290" i="1"/>
  <c r="AP290" i="1" s="1"/>
  <c r="AO298" i="1"/>
  <c r="AP298" i="1" s="1"/>
  <c r="AO332" i="1"/>
  <c r="AP332" i="1" s="1"/>
  <c r="AO345" i="1"/>
  <c r="AP345" i="1" s="1"/>
  <c r="AO379" i="1"/>
  <c r="AP379" i="1" s="1"/>
  <c r="AO383" i="1"/>
  <c r="AP383" i="1" s="1"/>
  <c r="AO412" i="1"/>
  <c r="AP412" i="1" s="1"/>
  <c r="AO143" i="1"/>
  <c r="AP143" i="1" s="1"/>
  <c r="AO155" i="1"/>
  <c r="AP155" i="1" s="1"/>
  <c r="AO208" i="1"/>
  <c r="AP208" i="1" s="1"/>
  <c r="AO220" i="1"/>
  <c r="AP220" i="1" s="1"/>
  <c r="AI245" i="1"/>
  <c r="AO280" i="1"/>
  <c r="AP280" i="1" s="1"/>
  <c r="AO343" i="1"/>
  <c r="AP343" i="1" s="1"/>
  <c r="AO354" i="1"/>
  <c r="AP354" i="1" s="1"/>
  <c r="AO377" i="1"/>
  <c r="AP377" i="1" s="1"/>
  <c r="AI418" i="1"/>
  <c r="AO6" i="1"/>
  <c r="AP6" i="1" s="1"/>
  <c r="AO12" i="1"/>
  <c r="AP12" i="1" s="1"/>
  <c r="AO20" i="1"/>
  <c r="AP20" i="1" s="1"/>
  <c r="AI110" i="1"/>
  <c r="AI111" i="1"/>
  <c r="AO212" i="1"/>
  <c r="AP212" i="1" s="1"/>
  <c r="AO355" i="1"/>
  <c r="AP355" i="1" s="1"/>
  <c r="AO347" i="1"/>
  <c r="AP347" i="1" s="1"/>
  <c r="AO351" i="1"/>
  <c r="AP351" i="1" s="1"/>
  <c r="AI403" i="1"/>
  <c r="AI44" i="1"/>
  <c r="AO50" i="1"/>
  <c r="AP50" i="1" s="1"/>
  <c r="AO43" i="1"/>
  <c r="AP43" i="1" s="1"/>
  <c r="AI220" i="1"/>
  <c r="AM220" i="1" s="1"/>
  <c r="AR220" i="1" s="1"/>
  <c r="AO273" i="1"/>
  <c r="AP273" i="1" s="1"/>
  <c r="AO275" i="1"/>
  <c r="AP275" i="1" s="1"/>
  <c r="AO302" i="1"/>
  <c r="AP302" i="1" s="1"/>
  <c r="AO306" i="1"/>
  <c r="AP306" i="1" s="1"/>
  <c r="AO359" i="1"/>
  <c r="AP359" i="1" s="1"/>
  <c r="AO92" i="1"/>
  <c r="AP92" i="1" s="1"/>
  <c r="AO117" i="1"/>
  <c r="AP117" i="1" s="1"/>
  <c r="AO133" i="1"/>
  <c r="AP133" i="1" s="1"/>
  <c r="AO219" i="1"/>
  <c r="AP219" i="1" s="1"/>
  <c r="AO221" i="1"/>
  <c r="AP221" i="1" s="1"/>
  <c r="AO235" i="1"/>
  <c r="AP235" i="1" s="1"/>
  <c r="AI297" i="1"/>
  <c r="AI298" i="1"/>
  <c r="AO38" i="1"/>
  <c r="AP38" i="1" s="1"/>
  <c r="AO94" i="1"/>
  <c r="AP94" i="1" s="1"/>
  <c r="AO105" i="1"/>
  <c r="AP105" i="1" s="1"/>
  <c r="AO107" i="1"/>
  <c r="AP107" i="1" s="1"/>
  <c r="AO138" i="1"/>
  <c r="AP138" i="1" s="1"/>
  <c r="AO242" i="1"/>
  <c r="AP242" i="1" s="1"/>
  <c r="AO277" i="1"/>
  <c r="AP277" i="1" s="1"/>
  <c r="AO356" i="1"/>
  <c r="AP356" i="1" s="1"/>
  <c r="AO362" i="1"/>
  <c r="AP362" i="1" s="1"/>
  <c r="AI366" i="1"/>
  <c r="AO369" i="1"/>
  <c r="AP369" i="1" s="1"/>
  <c r="AO371" i="1"/>
  <c r="AP371" i="1" s="1"/>
  <c r="AI383" i="1"/>
  <c r="AO387" i="1"/>
  <c r="AP387" i="1" s="1"/>
  <c r="AO11" i="1"/>
  <c r="AP11" i="1" s="1"/>
  <c r="AO17" i="1"/>
  <c r="AP17" i="1" s="1"/>
  <c r="AO22" i="1"/>
  <c r="AP22" i="1" s="1"/>
  <c r="AO24" i="1"/>
  <c r="AP24" i="1" s="1"/>
  <c r="AO28" i="1"/>
  <c r="AP28" i="1" s="1"/>
  <c r="AO88" i="1"/>
  <c r="AP88" i="1" s="1"/>
  <c r="AI100" i="1"/>
  <c r="AI101" i="1"/>
  <c r="AI116" i="1"/>
  <c r="AO147" i="1"/>
  <c r="AP147" i="1" s="1"/>
  <c r="AO151" i="1"/>
  <c r="AP151" i="1" s="1"/>
  <c r="AI163" i="1"/>
  <c r="AO184" i="1"/>
  <c r="AP184" i="1" s="1"/>
  <c r="AO188" i="1"/>
  <c r="AP188" i="1" s="1"/>
  <c r="AO226" i="1"/>
  <c r="AP226" i="1" s="1"/>
  <c r="AO230" i="1"/>
  <c r="AP230" i="1" s="1"/>
  <c r="AO234" i="1"/>
  <c r="AP234" i="1" s="1"/>
  <c r="AO283" i="1"/>
  <c r="AP283" i="1" s="1"/>
  <c r="AI285" i="1"/>
  <c r="AI286" i="1"/>
  <c r="AM286" i="1" s="1"/>
  <c r="AO294" i="1"/>
  <c r="AP294" i="1" s="1"/>
  <c r="AI305" i="1"/>
  <c r="AI306" i="1"/>
  <c r="AM306" i="1" s="1"/>
  <c r="AI309" i="1"/>
  <c r="AI319" i="1"/>
  <c r="AO324" i="1"/>
  <c r="AP324" i="1" s="1"/>
  <c r="AO328" i="1"/>
  <c r="AP328" i="1" s="1"/>
  <c r="AO366" i="1"/>
  <c r="AP366" i="1" s="1"/>
  <c r="AI367" i="1"/>
  <c r="AO375" i="1"/>
  <c r="AP375" i="1" s="1"/>
  <c r="U116" i="1"/>
  <c r="AO116" i="1" s="1"/>
  <c r="AP116" i="1" s="1"/>
  <c r="AI117" i="1"/>
  <c r="AO120" i="1"/>
  <c r="AP120" i="1" s="1"/>
  <c r="AI123" i="1"/>
  <c r="AI148" i="1"/>
  <c r="AO186" i="1"/>
  <c r="AP186" i="1" s="1"/>
  <c r="AO224" i="1"/>
  <c r="AP224" i="1" s="1"/>
  <c r="AO240" i="1"/>
  <c r="AP240" i="1" s="1"/>
  <c r="AI249" i="1"/>
  <c r="AI250" i="1"/>
  <c r="AI278" i="1"/>
  <c r="AI289" i="1"/>
  <c r="AI290" i="1"/>
  <c r="AO320" i="1"/>
  <c r="AP320" i="1" s="1"/>
  <c r="AI329" i="1"/>
  <c r="AI351" i="1"/>
  <c r="AI15" i="1"/>
  <c r="AO19" i="1"/>
  <c r="AP19" i="1" s="1"/>
  <c r="AO9" i="1"/>
  <c r="AP9" i="1" s="1"/>
  <c r="AO14" i="1"/>
  <c r="AP14" i="1" s="1"/>
  <c r="AO25" i="1"/>
  <c r="AP25" i="1" s="1"/>
  <c r="AO40" i="1"/>
  <c r="AP40" i="1" s="1"/>
  <c r="AO90" i="1"/>
  <c r="AP90" i="1" s="1"/>
  <c r="AI97" i="1"/>
  <c r="AO106" i="1"/>
  <c r="AP106" i="1" s="1"/>
  <c r="AI107" i="1"/>
  <c r="AI113" i="1"/>
  <c r="AO115" i="1"/>
  <c r="AP115" i="1" s="1"/>
  <c r="AO190" i="1"/>
  <c r="AP190" i="1" s="1"/>
  <c r="AO218" i="1"/>
  <c r="AP218" i="1" s="1"/>
  <c r="AI222" i="1"/>
  <c r="AI281" i="1"/>
  <c r="AI301" i="1"/>
  <c r="AI302" i="1"/>
  <c r="AI317" i="1"/>
  <c r="U319" i="1"/>
  <c r="AO319" i="1" s="1"/>
  <c r="AP319" i="1" s="1"/>
  <c r="AO330" i="1"/>
  <c r="AP330" i="1" s="1"/>
  <c r="AO349" i="1"/>
  <c r="AP349" i="1" s="1"/>
  <c r="AO353" i="1"/>
  <c r="AP353" i="1" s="1"/>
  <c r="AI358" i="1"/>
  <c r="AI359" i="1"/>
  <c r="AI371" i="1"/>
  <c r="AO373" i="1"/>
  <c r="AP373" i="1" s="1"/>
  <c r="AI379" i="1"/>
  <c r="AO381" i="1"/>
  <c r="AP381" i="1" s="1"/>
  <c r="AI387" i="1"/>
  <c r="AM387" i="1" s="1"/>
  <c r="AR387" i="1" s="1"/>
  <c r="AS387" i="1" s="1"/>
  <c r="AO389" i="1"/>
  <c r="AP389" i="1" s="1"/>
  <c r="AI408" i="1"/>
  <c r="AM408" i="1" s="1"/>
  <c r="AO410" i="1"/>
  <c r="AP410" i="1" s="1"/>
  <c r="AO414" i="1"/>
  <c r="AP414" i="1" s="1"/>
  <c r="AI7" i="1"/>
  <c r="AI23" i="1"/>
  <c r="AI25" i="1"/>
  <c r="AM25" i="1" s="1"/>
  <c r="AR25" i="1" s="1"/>
  <c r="L2" i="1"/>
  <c r="AO27" i="1"/>
  <c r="AP27" i="1" s="1"/>
  <c r="AO30" i="1"/>
  <c r="AP30" i="1" s="1"/>
  <c r="AO37" i="1"/>
  <c r="AP37" i="1" s="1"/>
  <c r="AO80" i="1"/>
  <c r="AP80" i="1" s="1"/>
  <c r="AO101" i="1"/>
  <c r="AP101" i="1" s="1"/>
  <c r="AO111" i="1"/>
  <c r="AP111" i="1" s="1"/>
  <c r="AI139" i="1"/>
  <c r="AI226" i="1"/>
  <c r="AI241" i="1"/>
  <c r="AI257" i="1"/>
  <c r="AI258" i="1"/>
  <c r="AI282" i="1"/>
  <c r="AI293" i="1"/>
  <c r="AI294" i="1"/>
  <c r="AI325" i="1"/>
  <c r="AI333" i="1"/>
  <c r="AI347" i="1"/>
  <c r="AM347" i="1" s="1"/>
  <c r="AI157" i="1"/>
  <c r="U157" i="1"/>
  <c r="AO157" i="1" s="1"/>
  <c r="AP157" i="1" s="1"/>
  <c r="AI159" i="1"/>
  <c r="AI17" i="1"/>
  <c r="U110" i="1"/>
  <c r="AO110" i="1" s="1"/>
  <c r="AP110" i="1" s="1"/>
  <c r="AI134" i="1"/>
  <c r="U159" i="1"/>
  <c r="AO159" i="1" s="1"/>
  <c r="AP159" i="1" s="1"/>
  <c r="AI9" i="1"/>
  <c r="AM9" i="1" s="1"/>
  <c r="AO16" i="1"/>
  <c r="AP16" i="1" s="1"/>
  <c r="AI56" i="1"/>
  <c r="AI66" i="1"/>
  <c r="AI70" i="1"/>
  <c r="AI74" i="1"/>
  <c r="U100" i="1"/>
  <c r="AO100" i="1" s="1"/>
  <c r="AP100" i="1" s="1"/>
  <c r="AI225" i="1"/>
  <c r="U225" i="1"/>
  <c r="AO271" i="1"/>
  <c r="AP271" i="1" s="1"/>
  <c r="AI63" i="1"/>
  <c r="AI68" i="1"/>
  <c r="AI72" i="1"/>
  <c r="AI76" i="1"/>
  <c r="AI78" i="1"/>
  <c r="AO161" i="1"/>
  <c r="AP161" i="1" s="1"/>
  <c r="AO103" i="1"/>
  <c r="AP103" i="1" s="1"/>
  <c r="AO109" i="1"/>
  <c r="AP109" i="1" s="1"/>
  <c r="AI144" i="1"/>
  <c r="AI152" i="1"/>
  <c r="AI153" i="1"/>
  <c r="U153" i="1"/>
  <c r="AO153" i="1" s="1"/>
  <c r="AP153" i="1" s="1"/>
  <c r="AF2" i="1"/>
  <c r="AO8" i="1"/>
  <c r="AP8" i="1" s="1"/>
  <c r="Y2" i="1"/>
  <c r="AI38" i="1"/>
  <c r="AI53" i="1"/>
  <c r="U53" i="1"/>
  <c r="AO53" i="1" s="1"/>
  <c r="AP53" i="1" s="1"/>
  <c r="AO99" i="1"/>
  <c r="AP99" i="1" s="1"/>
  <c r="AI156" i="1"/>
  <c r="AI181" i="1"/>
  <c r="AI208" i="1"/>
  <c r="AI229" i="1"/>
  <c r="AI233" i="1"/>
  <c r="U233" i="1"/>
  <c r="AI238" i="1"/>
  <c r="AI262" i="1"/>
  <c r="U288" i="1"/>
  <c r="AO288" i="1" s="1"/>
  <c r="AP288" i="1" s="1"/>
  <c r="U296" i="1"/>
  <c r="AO296" i="1" s="1"/>
  <c r="AP296" i="1" s="1"/>
  <c r="U304" i="1"/>
  <c r="AO304" i="1" s="1"/>
  <c r="AP304" i="1" s="1"/>
  <c r="AI11" i="1"/>
  <c r="AO13" i="1"/>
  <c r="AP13" i="1" s="1"/>
  <c r="AI19" i="1"/>
  <c r="AO21" i="1"/>
  <c r="AP21" i="1" s="1"/>
  <c r="AI27" i="1"/>
  <c r="AO29" i="1"/>
  <c r="AP29" i="1" s="1"/>
  <c r="AI40" i="1"/>
  <c r="AO42" i="1"/>
  <c r="AP42" i="1" s="1"/>
  <c r="AI102" i="1"/>
  <c r="AI105" i="1"/>
  <c r="AM105" i="1" s="1"/>
  <c r="AI108" i="1"/>
  <c r="AI119" i="1"/>
  <c r="AO121" i="1"/>
  <c r="AP121" i="1" s="1"/>
  <c r="AI154" i="1"/>
  <c r="AI85" i="1"/>
  <c r="AI178" i="1"/>
  <c r="AI217" i="1"/>
  <c r="AI224" i="1"/>
  <c r="U228" i="1"/>
  <c r="AO228" i="1" s="1"/>
  <c r="AP228" i="1" s="1"/>
  <c r="U229" i="1"/>
  <c r="AO229" i="1" s="1"/>
  <c r="AP229" i="1" s="1"/>
  <c r="AI230" i="1"/>
  <c r="AO232" i="1"/>
  <c r="AP232" i="1" s="1"/>
  <c r="AO236" i="1"/>
  <c r="AP236" i="1" s="1"/>
  <c r="AO237" i="1"/>
  <c r="AP237" i="1" s="1"/>
  <c r="U241" i="1"/>
  <c r="AI242" i="1"/>
  <c r="AI254" i="1"/>
  <c r="AI261" i="1"/>
  <c r="AI263" i="1"/>
  <c r="AI264" i="1"/>
  <c r="AI179" i="1"/>
  <c r="AI212" i="1"/>
  <c r="AO7" i="1"/>
  <c r="AP7" i="1" s="1"/>
  <c r="AO10" i="1"/>
  <c r="AP10" i="1" s="1"/>
  <c r="AI13" i="1"/>
  <c r="AO15" i="1"/>
  <c r="AP15" i="1" s="1"/>
  <c r="AO18" i="1"/>
  <c r="AP18" i="1" s="1"/>
  <c r="AI21" i="1"/>
  <c r="AM21" i="1" s="1"/>
  <c r="AO23" i="1"/>
  <c r="AP23" i="1" s="1"/>
  <c r="AO26" i="1"/>
  <c r="AP26" i="1" s="1"/>
  <c r="AI29" i="1"/>
  <c r="AO31" i="1"/>
  <c r="AP31" i="1" s="1"/>
  <c r="AO39" i="1"/>
  <c r="AP39" i="1" s="1"/>
  <c r="AI42" i="1"/>
  <c r="AO44" i="1"/>
  <c r="AP44" i="1" s="1"/>
  <c r="AO97" i="1"/>
  <c r="AP97" i="1" s="1"/>
  <c r="AO98" i="1"/>
  <c r="AP98" i="1" s="1"/>
  <c r="AI99" i="1"/>
  <c r="AI103" i="1"/>
  <c r="AO108" i="1"/>
  <c r="AP108" i="1" s="1"/>
  <c r="AI109" i="1"/>
  <c r="AO113" i="1"/>
  <c r="AP113" i="1" s="1"/>
  <c r="AO114" i="1"/>
  <c r="AP114" i="1" s="1"/>
  <c r="AI115" i="1"/>
  <c r="AI120" i="1"/>
  <c r="AI121" i="1"/>
  <c r="AO123" i="1"/>
  <c r="AP123" i="1" s="1"/>
  <c r="AI132" i="1"/>
  <c r="AI137" i="1"/>
  <c r="AI142" i="1"/>
  <c r="AI146" i="1"/>
  <c r="AI150" i="1"/>
  <c r="AI155" i="1"/>
  <c r="AI158" i="1"/>
  <c r="AI162" i="1"/>
  <c r="AI180" i="1"/>
  <c r="AI182" i="1"/>
  <c r="AO210" i="1"/>
  <c r="AP210" i="1" s="1"/>
  <c r="AI210" i="1"/>
  <c r="AI218" i="1"/>
  <c r="AI221" i="1"/>
  <c r="AO222" i="1"/>
  <c r="AP222" i="1" s="1"/>
  <c r="AO227" i="1"/>
  <c r="AP227" i="1" s="1"/>
  <c r="AI228" i="1"/>
  <c r="AI232" i="1"/>
  <c r="AM232" i="1" s="1"/>
  <c r="AI236" i="1"/>
  <c r="AM236" i="1" s="1"/>
  <c r="AI240" i="1"/>
  <c r="AO243" i="1"/>
  <c r="AP243" i="1" s="1"/>
  <c r="AI246" i="1"/>
  <c r="AI253" i="1"/>
  <c r="AI255" i="1"/>
  <c r="AI256" i="1"/>
  <c r="AI265" i="1"/>
  <c r="AI266" i="1"/>
  <c r="U284" i="1"/>
  <c r="AO284" i="1" s="1"/>
  <c r="AP284" i="1" s="1"/>
  <c r="U292" i="1"/>
  <c r="AO292" i="1" s="1"/>
  <c r="AP292" i="1" s="1"/>
  <c r="U300" i="1"/>
  <c r="AO300" i="1" s="1"/>
  <c r="AP300" i="1" s="1"/>
  <c r="AO326" i="1"/>
  <c r="AP326" i="1" s="1"/>
  <c r="AO334" i="1"/>
  <c r="AP334" i="1" s="1"/>
  <c r="AO357" i="1"/>
  <c r="AP357" i="1" s="1"/>
  <c r="AI280" i="1"/>
  <c r="AI311" i="1"/>
  <c r="AI348" i="1"/>
  <c r="AI355" i="1"/>
  <c r="AM355" i="1" s="1"/>
  <c r="AO360" i="1"/>
  <c r="AP360" i="1" s="1"/>
  <c r="AI360" i="1"/>
  <c r="AO364" i="1"/>
  <c r="AP364" i="1" s="1"/>
  <c r="AI364" i="1"/>
  <c r="AI368" i="1"/>
  <c r="AI234" i="1"/>
  <c r="AI237" i="1"/>
  <c r="AI244" i="1"/>
  <c r="AI251" i="1"/>
  <c r="AI252" i="1"/>
  <c r="AI259" i="1"/>
  <c r="AI260" i="1"/>
  <c r="AI267" i="1"/>
  <c r="AI268" i="1"/>
  <c r="AI284" i="1"/>
  <c r="AI287" i="1"/>
  <c r="AI288" i="1"/>
  <c r="AI291" i="1"/>
  <c r="AI292" i="1"/>
  <c r="AI295" i="1"/>
  <c r="AI296" i="1"/>
  <c r="AI299" i="1"/>
  <c r="AI300" i="1"/>
  <c r="AI303" i="1"/>
  <c r="AI304" i="1"/>
  <c r="AI313" i="1"/>
  <c r="AI321" i="1"/>
  <c r="AI323" i="1"/>
  <c r="AI327" i="1"/>
  <c r="AI331" i="1"/>
  <c r="AI335" i="1"/>
  <c r="AI345" i="1"/>
  <c r="U348" i="1"/>
  <c r="AO348" i="1" s="1"/>
  <c r="AP348" i="1" s="1"/>
  <c r="AI349" i="1"/>
  <c r="AI352" i="1"/>
  <c r="AI356" i="1"/>
  <c r="U368" i="1"/>
  <c r="AO368" i="1" s="1"/>
  <c r="AP368" i="1" s="1"/>
  <c r="AI369" i="1"/>
  <c r="AI373" i="1"/>
  <c r="AI377" i="1"/>
  <c r="AI381" i="1"/>
  <c r="AI385" i="1"/>
  <c r="AI389" i="1"/>
  <c r="AI406" i="1"/>
  <c r="AI410" i="1"/>
  <c r="AI412" i="1"/>
  <c r="AM412" i="1" s="1"/>
  <c r="AI414" i="1"/>
  <c r="AI315" i="1"/>
  <c r="AI353" i="1"/>
  <c r="AI357" i="1"/>
  <c r="AI362" i="1"/>
  <c r="AM362" i="1" s="1"/>
  <c r="AO418" i="1"/>
  <c r="AP418" i="1" s="1"/>
  <c r="U165" i="1"/>
  <c r="AO165" i="1" s="1"/>
  <c r="AP165" i="1" s="1"/>
  <c r="U71" i="1"/>
  <c r="AO71" i="1" s="1"/>
  <c r="AP71" i="1" s="1"/>
  <c r="U75" i="1"/>
  <c r="AO75" i="1" s="1"/>
  <c r="AP75" i="1" s="1"/>
  <c r="AI79" i="1"/>
  <c r="AH79" i="1"/>
  <c r="AH2" i="1" s="1"/>
  <c r="U194" i="1"/>
  <c r="AO194" i="1" s="1"/>
  <c r="AP194" i="1" s="1"/>
  <c r="AI194" i="1"/>
  <c r="AI31" i="1"/>
  <c r="U60" i="1"/>
  <c r="AO60" i="1" s="1"/>
  <c r="AP60" i="1" s="1"/>
  <c r="U67" i="1"/>
  <c r="AO67" i="1" s="1"/>
  <c r="AP67" i="1" s="1"/>
  <c r="U69" i="1"/>
  <c r="AO69" i="1" s="1"/>
  <c r="AP69" i="1" s="1"/>
  <c r="U73" i="1"/>
  <c r="AO73" i="1" s="1"/>
  <c r="AP73" i="1" s="1"/>
  <c r="U77" i="1"/>
  <c r="AO77" i="1" s="1"/>
  <c r="AP77" i="1" s="1"/>
  <c r="U202" i="1"/>
  <c r="AO202" i="1" s="1"/>
  <c r="AP202" i="1" s="1"/>
  <c r="AI202" i="1"/>
  <c r="AI6" i="1"/>
  <c r="AI8" i="1"/>
  <c r="AI10" i="1"/>
  <c r="AI12" i="1"/>
  <c r="AI14" i="1"/>
  <c r="AI16" i="1"/>
  <c r="AI18" i="1"/>
  <c r="AI20" i="1"/>
  <c r="AM20" i="1" s="1"/>
  <c r="AI22" i="1"/>
  <c r="AI24" i="1"/>
  <c r="AI26" i="1"/>
  <c r="AI28" i="1"/>
  <c r="AI30" i="1"/>
  <c r="AI37" i="1"/>
  <c r="AI39" i="1"/>
  <c r="AI50" i="1"/>
  <c r="AI43" i="1"/>
  <c r="AI60" i="1"/>
  <c r="AI165" i="1"/>
  <c r="AI67" i="1"/>
  <c r="AI69" i="1"/>
  <c r="AI71" i="1"/>
  <c r="AI73" i="1"/>
  <c r="AI75" i="1"/>
  <c r="AI77" i="1"/>
  <c r="U79" i="1"/>
  <c r="AO79" i="1" s="1"/>
  <c r="AP79" i="1" s="1"/>
  <c r="AO81" i="1"/>
  <c r="AP81" i="1" s="1"/>
  <c r="AO86" i="1"/>
  <c r="AP86" i="1" s="1"/>
  <c r="AO89" i="1"/>
  <c r="AP89" i="1" s="1"/>
  <c r="AO91" i="1"/>
  <c r="AP91" i="1" s="1"/>
  <c r="AO93" i="1"/>
  <c r="AP93" i="1" s="1"/>
  <c r="AO95" i="1"/>
  <c r="AP95" i="1" s="1"/>
  <c r="AI96" i="1"/>
  <c r="AO102" i="1"/>
  <c r="AP102" i="1" s="1"/>
  <c r="AI104" i="1"/>
  <c r="AI112" i="1"/>
  <c r="AO119" i="1"/>
  <c r="AP119" i="1" s="1"/>
  <c r="AI131" i="1"/>
  <c r="U131" i="1"/>
  <c r="AO131" i="1" s="1"/>
  <c r="AP131" i="1" s="1"/>
  <c r="AO136" i="1"/>
  <c r="AP136" i="1" s="1"/>
  <c r="AO141" i="1"/>
  <c r="AP141" i="1" s="1"/>
  <c r="AO145" i="1"/>
  <c r="AP145" i="1" s="1"/>
  <c r="AO149" i="1"/>
  <c r="AP149" i="1" s="1"/>
  <c r="U196" i="1"/>
  <c r="AO196" i="1" s="1"/>
  <c r="AP196" i="1" s="1"/>
  <c r="AI196" i="1"/>
  <c r="U204" i="1"/>
  <c r="AO204" i="1" s="1"/>
  <c r="AP204" i="1" s="1"/>
  <c r="AI204" i="1"/>
  <c r="J2" i="1"/>
  <c r="P2" i="1"/>
  <c r="U56" i="1"/>
  <c r="U63" i="1"/>
  <c r="U66" i="1"/>
  <c r="U68" i="1"/>
  <c r="U70" i="1"/>
  <c r="U72" i="1"/>
  <c r="U74" i="1"/>
  <c r="U76" i="1"/>
  <c r="U78" i="1"/>
  <c r="AI80" i="1"/>
  <c r="AI81" i="1"/>
  <c r="AI161" i="1"/>
  <c r="AI86" i="1"/>
  <c r="AI88" i="1"/>
  <c r="AI89" i="1"/>
  <c r="AI90" i="1"/>
  <c r="AI91" i="1"/>
  <c r="AI92" i="1"/>
  <c r="AI93" i="1"/>
  <c r="AI94" i="1"/>
  <c r="AI95" i="1"/>
  <c r="AO96" i="1"/>
  <c r="AP96" i="1" s="1"/>
  <c r="AI98" i="1"/>
  <c r="AO104" i="1"/>
  <c r="AP104" i="1" s="1"/>
  <c r="AI106" i="1"/>
  <c r="AO112" i="1"/>
  <c r="AP112" i="1" s="1"/>
  <c r="AI114" i="1"/>
  <c r="AI122" i="1"/>
  <c r="U122" i="1"/>
  <c r="AO122" i="1" s="1"/>
  <c r="AP122" i="1" s="1"/>
  <c r="AI124" i="1"/>
  <c r="U124" i="1"/>
  <c r="AO124" i="1" s="1"/>
  <c r="AP124" i="1" s="1"/>
  <c r="U130" i="1"/>
  <c r="AO130" i="1" s="1"/>
  <c r="AP130" i="1" s="1"/>
  <c r="AI130" i="1"/>
  <c r="U198" i="1"/>
  <c r="AO198" i="1" s="1"/>
  <c r="AP198" i="1" s="1"/>
  <c r="AI198" i="1"/>
  <c r="U206" i="1"/>
  <c r="AO206" i="1" s="1"/>
  <c r="AP206" i="1" s="1"/>
  <c r="AI206" i="1"/>
  <c r="K2" i="1"/>
  <c r="S2" i="1"/>
  <c r="U200" i="1"/>
  <c r="AO200" i="1" s="1"/>
  <c r="AP200" i="1" s="1"/>
  <c r="AI200" i="1"/>
  <c r="AI133" i="1"/>
  <c r="AI136" i="1"/>
  <c r="AI138" i="1"/>
  <c r="AI141" i="1"/>
  <c r="AI143" i="1"/>
  <c r="AM143" i="1" s="1"/>
  <c r="AI145" i="1"/>
  <c r="AI147" i="1"/>
  <c r="AI149" i="1"/>
  <c r="AI151" i="1"/>
  <c r="U179" i="1"/>
  <c r="U181" i="1"/>
  <c r="AI183" i="1"/>
  <c r="AI223" i="1"/>
  <c r="AI231" i="1"/>
  <c r="AI239" i="1"/>
  <c r="AO132" i="1"/>
  <c r="AP132" i="1" s="1"/>
  <c r="AO134" i="1"/>
  <c r="AP134" i="1" s="1"/>
  <c r="AO137" i="1"/>
  <c r="AP137" i="1" s="1"/>
  <c r="AO144" i="1"/>
  <c r="AP144" i="1" s="1"/>
  <c r="AO146" i="1"/>
  <c r="AP146" i="1" s="1"/>
  <c r="AO150" i="1"/>
  <c r="AP150" i="1" s="1"/>
  <c r="AO152" i="1"/>
  <c r="AP152" i="1" s="1"/>
  <c r="AO183" i="1"/>
  <c r="AP183" i="1" s="1"/>
  <c r="AO185" i="1"/>
  <c r="AP185" i="1" s="1"/>
  <c r="AO187" i="1"/>
  <c r="AP187" i="1" s="1"/>
  <c r="AO189" i="1"/>
  <c r="AP189" i="1" s="1"/>
  <c r="AO191" i="1"/>
  <c r="AP191" i="1" s="1"/>
  <c r="U195" i="1"/>
  <c r="AO195" i="1" s="1"/>
  <c r="AP195" i="1" s="1"/>
  <c r="AS195" i="1"/>
  <c r="U197" i="1"/>
  <c r="AO197" i="1" s="1"/>
  <c r="AP197" i="1" s="1"/>
  <c r="U199" i="1"/>
  <c r="AO199" i="1" s="1"/>
  <c r="AP199" i="1" s="1"/>
  <c r="U201" i="1"/>
  <c r="AO201" i="1" s="1"/>
  <c r="AP201" i="1" s="1"/>
  <c r="U203" i="1"/>
  <c r="AO203" i="1" s="1"/>
  <c r="AP203" i="1" s="1"/>
  <c r="U205" i="1"/>
  <c r="AO205" i="1" s="1"/>
  <c r="AP205" i="1" s="1"/>
  <c r="AI207" i="1"/>
  <c r="U207" i="1"/>
  <c r="AO207" i="1" s="1"/>
  <c r="AP207" i="1" s="1"/>
  <c r="AI209" i="1"/>
  <c r="U209" i="1"/>
  <c r="AO209" i="1" s="1"/>
  <c r="AP209" i="1" s="1"/>
  <c r="AI211" i="1"/>
  <c r="U211" i="1"/>
  <c r="AO211" i="1" s="1"/>
  <c r="AP211" i="1" s="1"/>
  <c r="AI215" i="1"/>
  <c r="U215" i="1"/>
  <c r="AO215" i="1" s="1"/>
  <c r="AP215" i="1" s="1"/>
  <c r="AO223" i="1"/>
  <c r="AP223" i="1" s="1"/>
  <c r="AO231" i="1"/>
  <c r="AP231" i="1" s="1"/>
  <c r="AO239" i="1"/>
  <c r="AP239" i="1" s="1"/>
  <c r="AO154" i="1"/>
  <c r="AP154" i="1" s="1"/>
  <c r="AO156" i="1"/>
  <c r="AP156" i="1" s="1"/>
  <c r="AO85" i="1"/>
  <c r="AP85" i="1" s="1"/>
  <c r="AO163" i="1"/>
  <c r="AP163" i="1" s="1"/>
  <c r="AO178" i="1"/>
  <c r="AP178" i="1" s="1"/>
  <c r="U180" i="1"/>
  <c r="AO180" i="1" s="1"/>
  <c r="AP180" i="1" s="1"/>
  <c r="U182" i="1"/>
  <c r="AO182" i="1" s="1"/>
  <c r="AP182" i="1" s="1"/>
  <c r="AI184" i="1"/>
  <c r="AI185" i="1"/>
  <c r="AI186" i="1"/>
  <c r="AI187" i="1"/>
  <c r="AI188" i="1"/>
  <c r="AI189" i="1"/>
  <c r="AI190" i="1"/>
  <c r="AI191" i="1"/>
  <c r="AI195" i="1"/>
  <c r="AI197" i="1"/>
  <c r="AI199" i="1"/>
  <c r="AI201" i="1"/>
  <c r="AI203" i="1"/>
  <c r="AI205" i="1"/>
  <c r="AI219" i="1"/>
  <c r="AI227" i="1"/>
  <c r="AI235" i="1"/>
  <c r="AI216" i="1"/>
  <c r="AI279" i="1"/>
  <c r="AI269" i="1"/>
  <c r="AO270" i="1"/>
  <c r="AP270" i="1" s="1"/>
  <c r="AO272" i="1"/>
  <c r="AP272" i="1" s="1"/>
  <c r="AO274" i="1"/>
  <c r="AP274" i="1" s="1"/>
  <c r="AO276" i="1"/>
  <c r="AP276" i="1" s="1"/>
  <c r="AO279" i="1"/>
  <c r="AP279" i="1" s="1"/>
  <c r="AI322" i="1"/>
  <c r="U322" i="1"/>
  <c r="AO322" i="1" s="1"/>
  <c r="AP322" i="1" s="1"/>
  <c r="AI243" i="1"/>
  <c r="U245" i="1"/>
  <c r="U247" i="1"/>
  <c r="U249" i="1"/>
  <c r="U251" i="1"/>
  <c r="U253" i="1"/>
  <c r="U255" i="1"/>
  <c r="U257" i="1"/>
  <c r="U259" i="1"/>
  <c r="U261" i="1"/>
  <c r="U263" i="1"/>
  <c r="U265" i="1"/>
  <c r="U267" i="1"/>
  <c r="U269" i="1"/>
  <c r="AO269" i="1" s="1"/>
  <c r="AP269" i="1" s="1"/>
  <c r="AI270" i="1"/>
  <c r="AI271" i="1"/>
  <c r="AI272" i="1"/>
  <c r="AI273" i="1"/>
  <c r="AM273" i="1" s="1"/>
  <c r="AI274" i="1"/>
  <c r="AI275" i="1"/>
  <c r="AI276" i="1"/>
  <c r="AI277" i="1"/>
  <c r="AM277" i="1" s="1"/>
  <c r="AI283" i="1"/>
  <c r="U285" i="1"/>
  <c r="U287" i="1"/>
  <c r="U289" i="1"/>
  <c r="U291" i="1"/>
  <c r="U293" i="1"/>
  <c r="U295" i="1"/>
  <c r="U297" i="1"/>
  <c r="U299" i="1"/>
  <c r="U301" i="1"/>
  <c r="U303" i="1"/>
  <c r="U305" i="1"/>
  <c r="U307" i="1"/>
  <c r="AO307" i="1" s="1"/>
  <c r="AP307" i="1" s="1"/>
  <c r="AI308" i="1"/>
  <c r="AI310" i="1"/>
  <c r="AI312" i="1"/>
  <c r="AI314" i="1"/>
  <c r="AI316" i="1"/>
  <c r="AI318" i="1"/>
  <c r="AO321" i="1"/>
  <c r="AP321" i="1" s="1"/>
  <c r="AI307" i="1"/>
  <c r="U308" i="1"/>
  <c r="AO308" i="1" s="1"/>
  <c r="AP308" i="1" s="1"/>
  <c r="AO309" i="1"/>
  <c r="AP309" i="1" s="1"/>
  <c r="U310" i="1"/>
  <c r="AO310" i="1" s="1"/>
  <c r="AP310" i="1" s="1"/>
  <c r="U312" i="1"/>
  <c r="AO312" i="1" s="1"/>
  <c r="AP312" i="1" s="1"/>
  <c r="U314" i="1"/>
  <c r="AO314" i="1" s="1"/>
  <c r="AP314" i="1" s="1"/>
  <c r="U316" i="1"/>
  <c r="AO316" i="1" s="1"/>
  <c r="AP316" i="1" s="1"/>
  <c r="U318" i="1"/>
  <c r="AO318" i="1" s="1"/>
  <c r="AP318" i="1" s="1"/>
  <c r="AI320" i="1"/>
  <c r="AI350" i="1"/>
  <c r="AI429" i="1"/>
  <c r="U429" i="1"/>
  <c r="AO429" i="1" s="1"/>
  <c r="AP429" i="1" s="1"/>
  <c r="AI324" i="1"/>
  <c r="AI326" i="1"/>
  <c r="AI328" i="1"/>
  <c r="AI330" i="1"/>
  <c r="AI332" i="1"/>
  <c r="AI334" i="1"/>
  <c r="AI342" i="1"/>
  <c r="AI343" i="1"/>
  <c r="AI344" i="1"/>
  <c r="AI346" i="1"/>
  <c r="AO350" i="1"/>
  <c r="AP350" i="1" s="1"/>
  <c r="AI361" i="1"/>
  <c r="U361" i="1"/>
  <c r="AO361" i="1" s="1"/>
  <c r="AP361" i="1" s="1"/>
  <c r="AI363" i="1"/>
  <c r="U363" i="1"/>
  <c r="AO363" i="1" s="1"/>
  <c r="AP363" i="1" s="1"/>
  <c r="AI365" i="1"/>
  <c r="U365" i="1"/>
  <c r="AO365" i="1" s="1"/>
  <c r="AP365" i="1" s="1"/>
  <c r="AO327" i="1"/>
  <c r="AP327" i="1" s="1"/>
  <c r="AO331" i="1"/>
  <c r="AP331" i="1" s="1"/>
  <c r="AO335" i="1"/>
  <c r="AP335" i="1" s="1"/>
  <c r="AO342" i="1"/>
  <c r="AP342" i="1" s="1"/>
  <c r="AO344" i="1"/>
  <c r="AP344" i="1" s="1"/>
  <c r="AO346" i="1"/>
  <c r="AP346" i="1" s="1"/>
  <c r="AO352" i="1"/>
  <c r="AP352" i="1" s="1"/>
  <c r="AI354" i="1"/>
  <c r="AI370" i="1"/>
  <c r="U358" i="1"/>
  <c r="AO358" i="1" s="1"/>
  <c r="AP358" i="1" s="1"/>
  <c r="AO370" i="1"/>
  <c r="AP370" i="1" s="1"/>
  <c r="AI372" i="1"/>
  <c r="AI374" i="1"/>
  <c r="AI376" i="1"/>
  <c r="AI378" i="1"/>
  <c r="AI380" i="1"/>
  <c r="AI382" i="1"/>
  <c r="AI384" i="1"/>
  <c r="AI386" i="1"/>
  <c r="AI388" i="1"/>
  <c r="AI405" i="1"/>
  <c r="AI407" i="1"/>
  <c r="AI409" i="1"/>
  <c r="AI411" i="1"/>
  <c r="AI413" i="1"/>
  <c r="U413" i="1"/>
  <c r="AO413" i="1" s="1"/>
  <c r="AP413" i="1" s="1"/>
  <c r="AO367" i="1"/>
  <c r="AP367" i="1" s="1"/>
  <c r="U372" i="1"/>
  <c r="AO372" i="1" s="1"/>
  <c r="AP372" i="1" s="1"/>
  <c r="U374" i="1"/>
  <c r="AO374" i="1" s="1"/>
  <c r="AP374" i="1" s="1"/>
  <c r="U376" i="1"/>
  <c r="AO376" i="1" s="1"/>
  <c r="AP376" i="1" s="1"/>
  <c r="U378" i="1"/>
  <c r="AO378" i="1" s="1"/>
  <c r="AP378" i="1" s="1"/>
  <c r="U380" i="1"/>
  <c r="AO380" i="1" s="1"/>
  <c r="AP380" i="1" s="1"/>
  <c r="U382" i="1"/>
  <c r="AO382" i="1" s="1"/>
  <c r="AP382" i="1" s="1"/>
  <c r="U384" i="1"/>
  <c r="AO384" i="1" s="1"/>
  <c r="AP384" i="1" s="1"/>
  <c r="U386" i="1"/>
  <c r="AO386" i="1" s="1"/>
  <c r="AP386" i="1" s="1"/>
  <c r="U388" i="1"/>
  <c r="AO388" i="1" s="1"/>
  <c r="AP388" i="1" s="1"/>
  <c r="U405" i="1"/>
  <c r="AO405" i="1" s="1"/>
  <c r="AP405" i="1" s="1"/>
  <c r="U407" i="1"/>
  <c r="AO407" i="1" s="1"/>
  <c r="AP407" i="1" s="1"/>
  <c r="U409" i="1"/>
  <c r="AO409" i="1" s="1"/>
  <c r="AP409" i="1" s="1"/>
  <c r="U411" i="1"/>
  <c r="AO411" i="1" s="1"/>
  <c r="AP411" i="1" s="1"/>
  <c r="AM385" i="1" l="1"/>
  <c r="AR9" i="1"/>
  <c r="AS9" i="1" s="1"/>
  <c r="AR277" i="1"/>
  <c r="AS277" i="1" s="1"/>
  <c r="AR408" i="1"/>
  <c r="AS408" i="1" s="1"/>
  <c r="AR20" i="1"/>
  <c r="AS20" i="1" s="1"/>
  <c r="AR236" i="1"/>
  <c r="AS236" i="1" s="1"/>
  <c r="AR232" i="1"/>
  <c r="AS232" i="1" s="1"/>
  <c r="AR21" i="1"/>
  <c r="AS21" i="1" s="1"/>
  <c r="AR105" i="1"/>
  <c r="AS105" i="1" s="1"/>
  <c r="AR412" i="1"/>
  <c r="AS412" i="1" s="1"/>
  <c r="AS220" i="1"/>
  <c r="AR306" i="1"/>
  <c r="AS306" i="1" s="1"/>
  <c r="AR143" i="1"/>
  <c r="AS143" i="1" s="1"/>
  <c r="AR273" i="1"/>
  <c r="AS273" i="1" s="1"/>
  <c r="AR286" i="1"/>
  <c r="AS286" i="1" s="1"/>
  <c r="AR347" i="1"/>
  <c r="AS347" i="1" s="1"/>
  <c r="AG216" i="1"/>
  <c r="AO216" i="1" s="1"/>
  <c r="AP216" i="1" s="1"/>
  <c r="AO385" i="1"/>
  <c r="AP385" i="1" s="1"/>
  <c r="AM383" i="1"/>
  <c r="AR383" i="1" s="1"/>
  <c r="AS383" i="1" s="1"/>
  <c r="AM162" i="1"/>
  <c r="AR162" i="1" s="1"/>
  <c r="AS162" i="1" s="1"/>
  <c r="AM165" i="1"/>
  <c r="AR165" i="1" s="1"/>
  <c r="AS165" i="1" s="1"/>
  <c r="AM24" i="1"/>
  <c r="AR24" i="1" s="1"/>
  <c r="AS24" i="1" s="1"/>
  <c r="AR355" i="1"/>
  <c r="AS355" i="1" s="1"/>
  <c r="AM366" i="1"/>
  <c r="AR366" i="1" s="1"/>
  <c r="AS366" i="1" s="1"/>
  <c r="AM369" i="1"/>
  <c r="AR369" i="1" s="1"/>
  <c r="AS369" i="1" s="1"/>
  <c r="AM307" i="1"/>
  <c r="AR307" i="1" s="1"/>
  <c r="AS307" i="1" s="1"/>
  <c r="AM6" i="1"/>
  <c r="AR6" i="1" s="1"/>
  <c r="AS6" i="1" s="1"/>
  <c r="AM14" i="1"/>
  <c r="AR14" i="1" s="1"/>
  <c r="AS14" i="1" s="1"/>
  <c r="AM50" i="1"/>
  <c r="AR50" i="1" s="1"/>
  <c r="AS50" i="1" s="1"/>
  <c r="AM28" i="1"/>
  <c r="AR28" i="1" s="1"/>
  <c r="AS28" i="1" s="1"/>
  <c r="AM109" i="1"/>
  <c r="AR109" i="1" s="1"/>
  <c r="AS109" i="1" s="1"/>
  <c r="AM403" i="1"/>
  <c r="AR403" i="1" s="1"/>
  <c r="AS403" i="1" s="1"/>
  <c r="AM238" i="1"/>
  <c r="AR238" i="1" s="1"/>
  <c r="AS238" i="1" s="1"/>
  <c r="AR454" i="1"/>
  <c r="AS454" i="1" s="1"/>
  <c r="AM100" i="1"/>
  <c r="AR100" i="1" s="1"/>
  <c r="AS100" i="1" s="1"/>
  <c r="AM116" i="1"/>
  <c r="AR116" i="1" s="1"/>
  <c r="AS116" i="1" s="1"/>
  <c r="AM69" i="1"/>
  <c r="AR69" i="1" s="1"/>
  <c r="AS69" i="1" s="1"/>
  <c r="AM22" i="1"/>
  <c r="AR22" i="1" s="1"/>
  <c r="AS22" i="1" s="1"/>
  <c r="AM212" i="1"/>
  <c r="AR212" i="1" s="1"/>
  <c r="AS212" i="1" s="1"/>
  <c r="AM39" i="1"/>
  <c r="AR39" i="1" s="1"/>
  <c r="AS39" i="1" s="1"/>
  <c r="AM12" i="1"/>
  <c r="AR12" i="1" s="1"/>
  <c r="AS12" i="1" s="1"/>
  <c r="AM410" i="1"/>
  <c r="AR410" i="1" s="1"/>
  <c r="AS410" i="1" s="1"/>
  <c r="AM37" i="1"/>
  <c r="AR37" i="1" s="1"/>
  <c r="AS37" i="1" s="1"/>
  <c r="AS25" i="1"/>
  <c r="AM406" i="1"/>
  <c r="AR406" i="1" s="1"/>
  <c r="AS406" i="1" s="1"/>
  <c r="AM17" i="1"/>
  <c r="AR17" i="1" s="1"/>
  <c r="AS17" i="1" s="1"/>
  <c r="AM278" i="1"/>
  <c r="AR278" i="1" s="1"/>
  <c r="AS278" i="1" s="1"/>
  <c r="AM418" i="1"/>
  <c r="AR418" i="1" s="1"/>
  <c r="AS418" i="1" s="1"/>
  <c r="AM354" i="1"/>
  <c r="AR354" i="1" s="1"/>
  <c r="AS354" i="1" s="1"/>
  <c r="AM199" i="1"/>
  <c r="AR199" i="1" s="1"/>
  <c r="AS199" i="1" s="1"/>
  <c r="AM381" i="1"/>
  <c r="AR381" i="1" s="1"/>
  <c r="AS381" i="1" s="1"/>
  <c r="AM190" i="1"/>
  <c r="AR190" i="1" s="1"/>
  <c r="AS190" i="1" s="1"/>
  <c r="AM242" i="1"/>
  <c r="AR242" i="1" s="1"/>
  <c r="AS242" i="1" s="1"/>
  <c r="AM282" i="1"/>
  <c r="AR282" i="1" s="1"/>
  <c r="AS282" i="1" s="1"/>
  <c r="AM298" i="1"/>
  <c r="AR298" i="1" s="1"/>
  <c r="AS298" i="1" s="1"/>
  <c r="AM371" i="1"/>
  <c r="AR371" i="1" s="1"/>
  <c r="AS371" i="1" s="1"/>
  <c r="AM379" i="1"/>
  <c r="AR379" i="1" s="1"/>
  <c r="AS379" i="1" s="1"/>
  <c r="AM221" i="1"/>
  <c r="AR221" i="1" s="1"/>
  <c r="AS221" i="1" s="1"/>
  <c r="AM275" i="1"/>
  <c r="AR275" i="1" s="1"/>
  <c r="AS275" i="1" s="1"/>
  <c r="AM123" i="1"/>
  <c r="AR123" i="1" s="1"/>
  <c r="AS123" i="1" s="1"/>
  <c r="AM92" i="1"/>
  <c r="AR92" i="1" s="1"/>
  <c r="AS92" i="1" s="1"/>
  <c r="AM18" i="1"/>
  <c r="AR18" i="1" s="1"/>
  <c r="AS18" i="1" s="1"/>
  <c r="AM296" i="1"/>
  <c r="AR296" i="1" s="1"/>
  <c r="AS296" i="1" s="1"/>
  <c r="AM234" i="1"/>
  <c r="AR234" i="1" s="1"/>
  <c r="AS234" i="1" s="1"/>
  <c r="AM155" i="1"/>
  <c r="AR155" i="1" s="1"/>
  <c r="AS155" i="1" s="1"/>
  <c r="AM230" i="1"/>
  <c r="AR230" i="1" s="1"/>
  <c r="AS230" i="1" s="1"/>
  <c r="AM11" i="1"/>
  <c r="AR11" i="1" s="1"/>
  <c r="AS11" i="1" s="1"/>
  <c r="AM290" i="1"/>
  <c r="AR290" i="1" s="1"/>
  <c r="AS290" i="1" s="1"/>
  <c r="AM222" i="1"/>
  <c r="AR222" i="1" s="1"/>
  <c r="AS222" i="1" s="1"/>
  <c r="AM377" i="1"/>
  <c r="AR377" i="1" s="1"/>
  <c r="AS377" i="1" s="1"/>
  <c r="AM356" i="1"/>
  <c r="AR356" i="1" s="1"/>
  <c r="AS356" i="1" s="1"/>
  <c r="AM345" i="1"/>
  <c r="AR345" i="1" s="1"/>
  <c r="AS345" i="1" s="1"/>
  <c r="AM131" i="1"/>
  <c r="AR131" i="1" s="1"/>
  <c r="AS131" i="1" s="1"/>
  <c r="AM389" i="1"/>
  <c r="AR389" i="1" s="1"/>
  <c r="AS389" i="1" s="1"/>
  <c r="AM302" i="1"/>
  <c r="AR302" i="1" s="1"/>
  <c r="AS302" i="1" s="1"/>
  <c r="AM117" i="1"/>
  <c r="AR117" i="1" s="1"/>
  <c r="AS117" i="1" s="1"/>
  <c r="AM208" i="1"/>
  <c r="AR208" i="1" s="1"/>
  <c r="AS208" i="1" s="1"/>
  <c r="AM235" i="1"/>
  <c r="AR235" i="1" s="1"/>
  <c r="AS235" i="1" s="1"/>
  <c r="AM53" i="1"/>
  <c r="AR53" i="1" s="1"/>
  <c r="AS53" i="1" s="1"/>
  <c r="AM130" i="1"/>
  <c r="AR130" i="1" s="1"/>
  <c r="AS130" i="1" s="1"/>
  <c r="AM280" i="1"/>
  <c r="AR280" i="1" s="1"/>
  <c r="AS280" i="1" s="1"/>
  <c r="AM343" i="1"/>
  <c r="AR343" i="1" s="1"/>
  <c r="AS343" i="1" s="1"/>
  <c r="AM283" i="1"/>
  <c r="AR283" i="1" s="1"/>
  <c r="AS283" i="1" s="1"/>
  <c r="AM188" i="1"/>
  <c r="AR188" i="1" s="1"/>
  <c r="AS188" i="1" s="1"/>
  <c r="AM147" i="1"/>
  <c r="AR147" i="1" s="1"/>
  <c r="AS147" i="1" s="1"/>
  <c r="AM138" i="1"/>
  <c r="AR138" i="1" s="1"/>
  <c r="AS138" i="1" s="1"/>
  <c r="AM43" i="1"/>
  <c r="AR43" i="1" s="1"/>
  <c r="AS43" i="1" s="1"/>
  <c r="AM349" i="1"/>
  <c r="AR349" i="1" s="1"/>
  <c r="AS349" i="1" s="1"/>
  <c r="AM351" i="1"/>
  <c r="AR351" i="1" s="1"/>
  <c r="AS351" i="1" s="1"/>
  <c r="AM359" i="1"/>
  <c r="AR359" i="1" s="1"/>
  <c r="AS359" i="1" s="1"/>
  <c r="AM151" i="1"/>
  <c r="AR151" i="1" s="1"/>
  <c r="AS151" i="1" s="1"/>
  <c r="AM26" i="1"/>
  <c r="AR26" i="1" s="1"/>
  <c r="AS26" i="1" s="1"/>
  <c r="AM13" i="1"/>
  <c r="AR13" i="1" s="1"/>
  <c r="AS13" i="1" s="1"/>
  <c r="AM368" i="1"/>
  <c r="AR368" i="1" s="1"/>
  <c r="AS368" i="1" s="1"/>
  <c r="AM240" i="1"/>
  <c r="AR240" i="1" s="1"/>
  <c r="AS240" i="1" s="1"/>
  <c r="AM115" i="1"/>
  <c r="AR115" i="1" s="1"/>
  <c r="AS115" i="1" s="1"/>
  <c r="AM226" i="1"/>
  <c r="AR226" i="1" s="1"/>
  <c r="AS226" i="1" s="1"/>
  <c r="AM357" i="1"/>
  <c r="AR357" i="1" s="1"/>
  <c r="AS357" i="1" s="1"/>
  <c r="AM353" i="1"/>
  <c r="AR353" i="1" s="1"/>
  <c r="AS353" i="1" s="1"/>
  <c r="AM210" i="1"/>
  <c r="AR210" i="1" s="1"/>
  <c r="AS210" i="1" s="1"/>
  <c r="AM95" i="1"/>
  <c r="AR95" i="1" s="1"/>
  <c r="AS95" i="1" s="1"/>
  <c r="AM86" i="1"/>
  <c r="AR86" i="1" s="1"/>
  <c r="AS86" i="1" s="1"/>
  <c r="AM16" i="1"/>
  <c r="AR16" i="1" s="1"/>
  <c r="AS16" i="1" s="1"/>
  <c r="AM219" i="1"/>
  <c r="AR219" i="1" s="1"/>
  <c r="AS219" i="1" s="1"/>
  <c r="AM133" i="1"/>
  <c r="AR133" i="1" s="1"/>
  <c r="AS133" i="1" s="1"/>
  <c r="AM101" i="1"/>
  <c r="AR101" i="1" s="1"/>
  <c r="AS101" i="1" s="1"/>
  <c r="AM94" i="1"/>
  <c r="AR94" i="1" s="1"/>
  <c r="AS94" i="1" s="1"/>
  <c r="AM161" i="1"/>
  <c r="AR161" i="1" s="1"/>
  <c r="AS161" i="1" s="1"/>
  <c r="AM30" i="1"/>
  <c r="AR30" i="1" s="1"/>
  <c r="AS30" i="1" s="1"/>
  <c r="AM373" i="1"/>
  <c r="AR373" i="1" s="1"/>
  <c r="AS373" i="1" s="1"/>
  <c r="AM29" i="1"/>
  <c r="AR29" i="1" s="1"/>
  <c r="AS29" i="1" s="1"/>
  <c r="AM111" i="1"/>
  <c r="AR111" i="1" s="1"/>
  <c r="AS111" i="1" s="1"/>
  <c r="AR362" i="1"/>
  <c r="AS362" i="1" s="1"/>
  <c r="AM203" i="1"/>
  <c r="AR203" i="1" s="1"/>
  <c r="AS203" i="1" s="1"/>
  <c r="AM71" i="1"/>
  <c r="AR71" i="1" s="1"/>
  <c r="AS71" i="1" s="1"/>
  <c r="AM224" i="1"/>
  <c r="AR224" i="1" s="1"/>
  <c r="AS224" i="1" s="1"/>
  <c r="AM294" i="1"/>
  <c r="AR294" i="1" s="1"/>
  <c r="AS294" i="1" s="1"/>
  <c r="AM375" i="1"/>
  <c r="AR375" i="1" s="1"/>
  <c r="AS375" i="1" s="1"/>
  <c r="AM429" i="1"/>
  <c r="AR429" i="1" s="1"/>
  <c r="AS429" i="1" s="1"/>
  <c r="AM276" i="1"/>
  <c r="AR276" i="1" s="1"/>
  <c r="AS276" i="1" s="1"/>
  <c r="AM185" i="1"/>
  <c r="AR185" i="1" s="1"/>
  <c r="AS185" i="1" s="1"/>
  <c r="AM239" i="1"/>
  <c r="AR239" i="1" s="1"/>
  <c r="AS239" i="1" s="1"/>
  <c r="AM88" i="1"/>
  <c r="AR88" i="1" s="1"/>
  <c r="AS88" i="1" s="1"/>
  <c r="AM77" i="1"/>
  <c r="AR77" i="1" s="1"/>
  <c r="AS77" i="1" s="1"/>
  <c r="AM44" i="1"/>
  <c r="AR44" i="1" s="1"/>
  <c r="AS44" i="1" s="1"/>
  <c r="AM38" i="1"/>
  <c r="AR38" i="1" s="1"/>
  <c r="AS38" i="1" s="1"/>
  <c r="AM8" i="1"/>
  <c r="AR8" i="1" s="1"/>
  <c r="AS8" i="1" s="1"/>
  <c r="AM228" i="1"/>
  <c r="AR228" i="1" s="1"/>
  <c r="AS228" i="1" s="1"/>
  <c r="AM120" i="1"/>
  <c r="AR120" i="1" s="1"/>
  <c r="AS120" i="1" s="1"/>
  <c r="AM27" i="1"/>
  <c r="AR27" i="1" s="1"/>
  <c r="AS27" i="1" s="1"/>
  <c r="AM153" i="1"/>
  <c r="AR153" i="1" s="1"/>
  <c r="AS153" i="1" s="1"/>
  <c r="AM274" i="1"/>
  <c r="AR274" i="1" s="1"/>
  <c r="AS274" i="1" s="1"/>
  <c r="AM270" i="1"/>
  <c r="AR270" i="1" s="1"/>
  <c r="AS270" i="1" s="1"/>
  <c r="AM279" i="1"/>
  <c r="AR279" i="1" s="1"/>
  <c r="AS279" i="1" s="1"/>
  <c r="AM205" i="1"/>
  <c r="AR205" i="1" s="1"/>
  <c r="AS205" i="1" s="1"/>
  <c r="AM197" i="1"/>
  <c r="AR197" i="1" s="1"/>
  <c r="AS197" i="1" s="1"/>
  <c r="AM187" i="1"/>
  <c r="AR187" i="1" s="1"/>
  <c r="AS187" i="1" s="1"/>
  <c r="AM218" i="1"/>
  <c r="AR218" i="1" s="1"/>
  <c r="AS218" i="1" s="1"/>
  <c r="AM40" i="1"/>
  <c r="AR40" i="1" s="1"/>
  <c r="AS40" i="1" s="1"/>
  <c r="AM31" i="1"/>
  <c r="AR31" i="1" s="1"/>
  <c r="AS31" i="1" s="1"/>
  <c r="AM237" i="1"/>
  <c r="AR237" i="1" s="1"/>
  <c r="AS237" i="1" s="1"/>
  <c r="AM19" i="1"/>
  <c r="AR19" i="1" s="1"/>
  <c r="AS19" i="1" s="1"/>
  <c r="AM229" i="1"/>
  <c r="AR229" i="1" s="1"/>
  <c r="AS229" i="1" s="1"/>
  <c r="AM97" i="1"/>
  <c r="AR97" i="1" s="1"/>
  <c r="AS97" i="1" s="1"/>
  <c r="AM227" i="1"/>
  <c r="AR227" i="1" s="1"/>
  <c r="AS227" i="1" s="1"/>
  <c r="AM186" i="1"/>
  <c r="AR186" i="1" s="1"/>
  <c r="AS186" i="1" s="1"/>
  <c r="AM80" i="1"/>
  <c r="AR80" i="1" s="1"/>
  <c r="AS80" i="1" s="1"/>
  <c r="AM10" i="1"/>
  <c r="AR10" i="1" s="1"/>
  <c r="AS10" i="1" s="1"/>
  <c r="AM107" i="1"/>
  <c r="AR107" i="1" s="1"/>
  <c r="AS107" i="1" s="1"/>
  <c r="AM202" i="1"/>
  <c r="AR202" i="1" s="1"/>
  <c r="AS202" i="1" s="1"/>
  <c r="AM108" i="1"/>
  <c r="AR108" i="1" s="1"/>
  <c r="AS108" i="1" s="1"/>
  <c r="AM304" i="1"/>
  <c r="AR304" i="1" s="1"/>
  <c r="AS304" i="1" s="1"/>
  <c r="AM288" i="1"/>
  <c r="AR288" i="1" s="1"/>
  <c r="AS288" i="1" s="1"/>
  <c r="AM79" i="1"/>
  <c r="AR79" i="1" s="1"/>
  <c r="AS79" i="1" s="1"/>
  <c r="AM360" i="1"/>
  <c r="AR360" i="1" s="1"/>
  <c r="AS360" i="1" s="1"/>
  <c r="AM320" i="1"/>
  <c r="AR320" i="1" s="1"/>
  <c r="AS320" i="1" s="1"/>
  <c r="AM124" i="1"/>
  <c r="AR124" i="1" s="1"/>
  <c r="AS124" i="1" s="1"/>
  <c r="AM91" i="1"/>
  <c r="AR91" i="1" s="1"/>
  <c r="AS91" i="1" s="1"/>
  <c r="AM42" i="1"/>
  <c r="AR42" i="1" s="1"/>
  <c r="AS42" i="1" s="1"/>
  <c r="AM414" i="1"/>
  <c r="AR414" i="1" s="1"/>
  <c r="AS414" i="1" s="1"/>
  <c r="AM182" i="1"/>
  <c r="AR182" i="1" s="1"/>
  <c r="AS182" i="1" s="1"/>
  <c r="AM15" i="1"/>
  <c r="AR15" i="1" s="1"/>
  <c r="AS15" i="1" s="1"/>
  <c r="AM319" i="1"/>
  <c r="AR319" i="1" s="1"/>
  <c r="AS319" i="1" s="1"/>
  <c r="AM364" i="1"/>
  <c r="AR364" i="1" s="1"/>
  <c r="AS364" i="1" s="1"/>
  <c r="AM318" i="1"/>
  <c r="AR318" i="1" s="1"/>
  <c r="AS318" i="1" s="1"/>
  <c r="AM271" i="1"/>
  <c r="AR271" i="1" s="1"/>
  <c r="AS271" i="1" s="1"/>
  <c r="AM195" i="1"/>
  <c r="AR195" i="1" s="1"/>
  <c r="AM93" i="1"/>
  <c r="AR93" i="1" s="1"/>
  <c r="AS93" i="1" s="1"/>
  <c r="AM89" i="1"/>
  <c r="AR89" i="1" s="1"/>
  <c r="AS89" i="1" s="1"/>
  <c r="AM81" i="1"/>
  <c r="AR81" i="1" s="1"/>
  <c r="AS81" i="1" s="1"/>
  <c r="AM204" i="1"/>
  <c r="AR204" i="1" s="1"/>
  <c r="AS204" i="1" s="1"/>
  <c r="AM99" i="1"/>
  <c r="AR99" i="1" s="1"/>
  <c r="AS99" i="1" s="1"/>
  <c r="AM73" i="1"/>
  <c r="AR73" i="1" s="1"/>
  <c r="AS73" i="1" s="1"/>
  <c r="AM292" i="1"/>
  <c r="AR292" i="1" s="1"/>
  <c r="AS292" i="1" s="1"/>
  <c r="AM157" i="1"/>
  <c r="AR157" i="1" s="1"/>
  <c r="AS157" i="1" s="1"/>
  <c r="AM103" i="1"/>
  <c r="AR103" i="1" s="1"/>
  <c r="AS103" i="1" s="1"/>
  <c r="AM159" i="1"/>
  <c r="AR159" i="1" s="1"/>
  <c r="AS159" i="1" s="1"/>
  <c r="AM113" i="1"/>
  <c r="AR113" i="1" s="1"/>
  <c r="AS113" i="1" s="1"/>
  <c r="AM201" i="1"/>
  <c r="AR201" i="1" s="1"/>
  <c r="AS201" i="1" s="1"/>
  <c r="AM121" i="1"/>
  <c r="AR121" i="1" s="1"/>
  <c r="AS121" i="1" s="1"/>
  <c r="AM180" i="1"/>
  <c r="AR180" i="1" s="1"/>
  <c r="AS180" i="1" s="1"/>
  <c r="AM194" i="1"/>
  <c r="AR194" i="1" s="1"/>
  <c r="AS194" i="1" s="1"/>
  <c r="AM300" i="1"/>
  <c r="AR300" i="1" s="1"/>
  <c r="AS300" i="1" s="1"/>
  <c r="AM284" i="1"/>
  <c r="AR284" i="1" s="1"/>
  <c r="AS284" i="1" s="1"/>
  <c r="AM7" i="1"/>
  <c r="AR7" i="1" s="1"/>
  <c r="AS7" i="1" s="1"/>
  <c r="AM23" i="1"/>
  <c r="AR23" i="1" s="1"/>
  <c r="AS23" i="1" s="1"/>
  <c r="M2" i="1"/>
  <c r="AO333" i="1"/>
  <c r="AP333" i="1" s="1"/>
  <c r="AM333" i="1"/>
  <c r="AO325" i="1"/>
  <c r="AP325" i="1" s="1"/>
  <c r="AM325" i="1"/>
  <c r="AM346" i="1"/>
  <c r="AR346" i="1" s="1"/>
  <c r="AS346" i="1" s="1"/>
  <c r="AO313" i="1"/>
  <c r="AP313" i="1" s="1"/>
  <c r="AM313" i="1"/>
  <c r="AM314" i="1"/>
  <c r="AR314" i="1" s="1"/>
  <c r="AS314" i="1" s="1"/>
  <c r="AM310" i="1"/>
  <c r="AR310" i="1" s="1"/>
  <c r="AS310" i="1" s="1"/>
  <c r="AO305" i="1"/>
  <c r="AP305" i="1" s="1"/>
  <c r="AO297" i="1"/>
  <c r="AP297" i="1" s="1"/>
  <c r="AO289" i="1"/>
  <c r="AP289" i="1" s="1"/>
  <c r="AO267" i="1"/>
  <c r="AP267" i="1" s="1"/>
  <c r="AO264" i="1"/>
  <c r="AP264" i="1" s="1"/>
  <c r="AM264" i="1"/>
  <c r="AO259" i="1"/>
  <c r="AP259" i="1" s="1"/>
  <c r="AO256" i="1"/>
  <c r="AP256" i="1" s="1"/>
  <c r="AM256" i="1"/>
  <c r="AO251" i="1"/>
  <c r="AP251" i="1" s="1"/>
  <c r="AO248" i="1"/>
  <c r="AP248" i="1" s="1"/>
  <c r="AM248" i="1"/>
  <c r="AM348" i="1"/>
  <c r="AR348" i="1" s="1"/>
  <c r="AS348" i="1" s="1"/>
  <c r="AO241" i="1"/>
  <c r="AP241" i="1" s="1"/>
  <c r="AM241" i="1"/>
  <c r="AO233" i="1"/>
  <c r="AP233" i="1" s="1"/>
  <c r="AM233" i="1"/>
  <c r="AO225" i="1"/>
  <c r="AP225" i="1" s="1"/>
  <c r="AM225" i="1"/>
  <c r="AO217" i="1"/>
  <c r="AP217" i="1" s="1"/>
  <c r="AM217" i="1"/>
  <c r="AM184" i="1"/>
  <c r="AR184" i="1" s="1"/>
  <c r="AS184" i="1" s="1"/>
  <c r="AM141" i="1"/>
  <c r="AR141" i="1" s="1"/>
  <c r="AS141" i="1" s="1"/>
  <c r="AM206" i="1"/>
  <c r="AR206" i="1" s="1"/>
  <c r="AS206" i="1" s="1"/>
  <c r="AO78" i="1"/>
  <c r="AP78" i="1" s="1"/>
  <c r="AO70" i="1"/>
  <c r="AP70" i="1" s="1"/>
  <c r="AM56" i="1"/>
  <c r="U2" i="1"/>
  <c r="S1" i="1" s="1"/>
  <c r="AM411" i="1"/>
  <c r="AR411" i="1" s="1"/>
  <c r="AS411" i="1" s="1"/>
  <c r="AM407" i="1"/>
  <c r="AR407" i="1" s="1"/>
  <c r="AS407" i="1" s="1"/>
  <c r="AM386" i="1"/>
  <c r="AR386" i="1" s="1"/>
  <c r="AS386" i="1" s="1"/>
  <c r="AM382" i="1"/>
  <c r="AR382" i="1" s="1"/>
  <c r="AS382" i="1" s="1"/>
  <c r="AM378" i="1"/>
  <c r="AR378" i="1" s="1"/>
  <c r="AS378" i="1" s="1"/>
  <c r="AM374" i="1"/>
  <c r="AR374" i="1" s="1"/>
  <c r="AS374" i="1" s="1"/>
  <c r="AM370" i="1"/>
  <c r="AR370" i="1" s="1"/>
  <c r="AS370" i="1" s="1"/>
  <c r="AO323" i="1"/>
  <c r="AP323" i="1" s="1"/>
  <c r="AM323" i="1"/>
  <c r="AM344" i="1"/>
  <c r="AR344" i="1" s="1"/>
  <c r="AS344" i="1" s="1"/>
  <c r="AM334" i="1"/>
  <c r="AR334" i="1" s="1"/>
  <c r="AS334" i="1" s="1"/>
  <c r="AM330" i="1"/>
  <c r="AR330" i="1" s="1"/>
  <c r="AS330" i="1" s="1"/>
  <c r="AM326" i="1"/>
  <c r="AR326" i="1" s="1"/>
  <c r="AS326" i="1" s="1"/>
  <c r="AM350" i="1"/>
  <c r="AR350" i="1" s="1"/>
  <c r="AS350" i="1" s="1"/>
  <c r="AO315" i="1"/>
  <c r="AP315" i="1" s="1"/>
  <c r="AM315" i="1"/>
  <c r="AO303" i="1"/>
  <c r="AP303" i="1" s="1"/>
  <c r="AO295" i="1"/>
  <c r="AP295" i="1" s="1"/>
  <c r="AO287" i="1"/>
  <c r="AP287" i="1" s="1"/>
  <c r="AM272" i="1"/>
  <c r="AR272" i="1" s="1"/>
  <c r="AS272" i="1" s="1"/>
  <c r="AO266" i="1"/>
  <c r="AP266" i="1" s="1"/>
  <c r="AM266" i="1"/>
  <c r="AO261" i="1"/>
  <c r="AP261" i="1" s="1"/>
  <c r="AO258" i="1"/>
  <c r="AP258" i="1" s="1"/>
  <c r="AM258" i="1"/>
  <c r="AO253" i="1"/>
  <c r="AP253" i="1" s="1"/>
  <c r="AO250" i="1"/>
  <c r="AP250" i="1" s="1"/>
  <c r="AM250" i="1"/>
  <c r="AO245" i="1"/>
  <c r="AP245" i="1" s="1"/>
  <c r="AM335" i="1"/>
  <c r="AR335" i="1" s="1"/>
  <c r="AS335" i="1" s="1"/>
  <c r="AM322" i="1"/>
  <c r="AR322" i="1" s="1"/>
  <c r="AS322" i="1" s="1"/>
  <c r="AM331" i="1"/>
  <c r="AR331" i="1" s="1"/>
  <c r="AS331" i="1" s="1"/>
  <c r="AM211" i="1"/>
  <c r="AR211" i="1" s="1"/>
  <c r="AS211" i="1" s="1"/>
  <c r="AM207" i="1"/>
  <c r="AR207" i="1" s="1"/>
  <c r="AS207" i="1" s="1"/>
  <c r="AO142" i="1"/>
  <c r="AP142" i="1" s="1"/>
  <c r="AM142" i="1"/>
  <c r="AO181" i="1"/>
  <c r="AP181" i="1" s="1"/>
  <c r="AM145" i="1"/>
  <c r="AR145" i="1" s="1"/>
  <c r="AS145" i="1" s="1"/>
  <c r="AM200" i="1"/>
  <c r="AR200" i="1" s="1"/>
  <c r="AS200" i="1" s="1"/>
  <c r="AM150" i="1"/>
  <c r="AR150" i="1" s="1"/>
  <c r="AS150" i="1" s="1"/>
  <c r="AM114" i="1"/>
  <c r="AR114" i="1" s="1"/>
  <c r="AS114" i="1" s="1"/>
  <c r="AM106" i="1"/>
  <c r="AR106" i="1" s="1"/>
  <c r="AS106" i="1" s="1"/>
  <c r="AM98" i="1"/>
  <c r="AR98" i="1" s="1"/>
  <c r="AS98" i="1" s="1"/>
  <c r="AM90" i="1"/>
  <c r="AR90" i="1" s="1"/>
  <c r="AS90" i="1" s="1"/>
  <c r="AO76" i="1"/>
  <c r="AP76" i="1" s="1"/>
  <c r="AO68" i="1"/>
  <c r="AP68" i="1" s="1"/>
  <c r="AM367" i="1"/>
  <c r="AR367" i="1" s="1"/>
  <c r="AS367" i="1" s="1"/>
  <c r="AO329" i="1"/>
  <c r="AP329" i="1" s="1"/>
  <c r="AM329" i="1"/>
  <c r="AM365" i="1"/>
  <c r="AR365" i="1" s="1"/>
  <c r="AS365" i="1" s="1"/>
  <c r="AM363" i="1"/>
  <c r="AR363" i="1" s="1"/>
  <c r="AS363" i="1" s="1"/>
  <c r="AM361" i="1"/>
  <c r="AR361" i="1" s="1"/>
  <c r="AS361" i="1" s="1"/>
  <c r="AO317" i="1"/>
  <c r="AP317" i="1" s="1"/>
  <c r="AM317" i="1"/>
  <c r="AM352" i="1"/>
  <c r="AR352" i="1" s="1"/>
  <c r="AS352" i="1" s="1"/>
  <c r="AM316" i="1"/>
  <c r="AR316" i="1" s="1"/>
  <c r="AS316" i="1" s="1"/>
  <c r="AM312" i="1"/>
  <c r="AR312" i="1" s="1"/>
  <c r="AS312" i="1" s="1"/>
  <c r="AM308" i="1"/>
  <c r="AR308" i="1" s="1"/>
  <c r="AS308" i="1" s="1"/>
  <c r="AO301" i="1"/>
  <c r="AP301" i="1" s="1"/>
  <c r="AO293" i="1"/>
  <c r="AP293" i="1" s="1"/>
  <c r="AO285" i="1"/>
  <c r="AP285" i="1" s="1"/>
  <c r="AO281" i="1"/>
  <c r="AP281" i="1" s="1"/>
  <c r="AM281" i="1"/>
  <c r="AO268" i="1"/>
  <c r="AP268" i="1" s="1"/>
  <c r="AM268" i="1"/>
  <c r="AO263" i="1"/>
  <c r="AP263" i="1" s="1"/>
  <c r="AO260" i="1"/>
  <c r="AP260" i="1" s="1"/>
  <c r="AM260" i="1"/>
  <c r="AO255" i="1"/>
  <c r="AP255" i="1" s="1"/>
  <c r="AO252" i="1"/>
  <c r="AP252" i="1" s="1"/>
  <c r="AM252" i="1"/>
  <c r="AO247" i="1"/>
  <c r="AP247" i="1" s="1"/>
  <c r="AO244" i="1"/>
  <c r="AP244" i="1" s="1"/>
  <c r="AM244" i="1"/>
  <c r="AM327" i="1"/>
  <c r="AR327" i="1" s="1"/>
  <c r="AS327" i="1" s="1"/>
  <c r="AO158" i="1"/>
  <c r="AP158" i="1" s="1"/>
  <c r="AM158" i="1"/>
  <c r="AO148" i="1"/>
  <c r="AP148" i="1" s="1"/>
  <c r="AM148" i="1"/>
  <c r="AO139" i="1"/>
  <c r="AP139" i="1" s="1"/>
  <c r="AM139" i="1"/>
  <c r="AM231" i="1"/>
  <c r="AR231" i="1" s="1"/>
  <c r="AS231" i="1" s="1"/>
  <c r="AM149" i="1"/>
  <c r="AR149" i="1" s="1"/>
  <c r="AS149" i="1" s="1"/>
  <c r="AM132" i="1"/>
  <c r="AR132" i="1" s="1"/>
  <c r="AS132" i="1" s="1"/>
  <c r="AO74" i="1"/>
  <c r="AP74" i="1" s="1"/>
  <c r="AO66" i="1"/>
  <c r="AP66" i="1" s="1"/>
  <c r="AM413" i="1"/>
  <c r="AR413" i="1" s="1"/>
  <c r="AS413" i="1" s="1"/>
  <c r="AM409" i="1"/>
  <c r="AR409" i="1" s="1"/>
  <c r="AS409" i="1" s="1"/>
  <c r="AM405" i="1"/>
  <c r="AR405" i="1" s="1"/>
  <c r="AS405" i="1" s="1"/>
  <c r="AM388" i="1"/>
  <c r="AR388" i="1" s="1"/>
  <c r="AS388" i="1" s="1"/>
  <c r="AM384" i="1"/>
  <c r="AR384" i="1" s="1"/>
  <c r="AS384" i="1" s="1"/>
  <c r="AM380" i="1"/>
  <c r="AR380" i="1" s="1"/>
  <c r="AS380" i="1" s="1"/>
  <c r="AM376" i="1"/>
  <c r="AR376" i="1" s="1"/>
  <c r="AS376" i="1" s="1"/>
  <c r="AM372" i="1"/>
  <c r="AR372" i="1" s="1"/>
  <c r="AS372" i="1" s="1"/>
  <c r="AM342" i="1"/>
  <c r="AR342" i="1" s="1"/>
  <c r="AS342" i="1" s="1"/>
  <c r="AM332" i="1"/>
  <c r="AR332" i="1" s="1"/>
  <c r="AS332" i="1" s="1"/>
  <c r="AM328" i="1"/>
  <c r="AR328" i="1" s="1"/>
  <c r="AS328" i="1" s="1"/>
  <c r="AM324" i="1"/>
  <c r="AR324" i="1" s="1"/>
  <c r="AS324" i="1" s="1"/>
  <c r="AO311" i="1"/>
  <c r="AP311" i="1" s="1"/>
  <c r="AM311" i="1"/>
  <c r="AO299" i="1"/>
  <c r="AP299" i="1" s="1"/>
  <c r="AO291" i="1"/>
  <c r="AP291" i="1" s="1"/>
  <c r="AM358" i="1"/>
  <c r="AR358" i="1" s="1"/>
  <c r="AS358" i="1" s="1"/>
  <c r="AO265" i="1"/>
  <c r="AP265" i="1" s="1"/>
  <c r="AO262" i="1"/>
  <c r="AP262" i="1" s="1"/>
  <c r="AM262" i="1"/>
  <c r="AO257" i="1"/>
  <c r="AP257" i="1" s="1"/>
  <c r="AO254" i="1"/>
  <c r="AP254" i="1" s="1"/>
  <c r="AM254" i="1"/>
  <c r="AO249" i="1"/>
  <c r="AP249" i="1" s="1"/>
  <c r="AO246" i="1"/>
  <c r="AP246" i="1" s="1"/>
  <c r="AM246" i="1"/>
  <c r="AM243" i="1"/>
  <c r="AR243" i="1" s="1"/>
  <c r="AS243" i="1" s="1"/>
  <c r="AM321" i="1"/>
  <c r="AR321" i="1" s="1"/>
  <c r="AS321" i="1" s="1"/>
  <c r="AM269" i="1"/>
  <c r="AR269" i="1" s="1"/>
  <c r="AS269" i="1" s="1"/>
  <c r="AM189" i="1"/>
  <c r="AR189" i="1" s="1"/>
  <c r="AS189" i="1" s="1"/>
  <c r="AM309" i="1"/>
  <c r="AR309" i="1" s="1"/>
  <c r="AS309" i="1" s="1"/>
  <c r="AM215" i="1"/>
  <c r="AR215" i="1" s="1"/>
  <c r="AS215" i="1" s="1"/>
  <c r="AM209" i="1"/>
  <c r="AR209" i="1" s="1"/>
  <c r="AS209" i="1" s="1"/>
  <c r="AO179" i="1"/>
  <c r="AP179" i="1" s="1"/>
  <c r="AM136" i="1"/>
  <c r="AR136" i="1" s="1"/>
  <c r="AS136" i="1" s="1"/>
  <c r="AM85" i="1"/>
  <c r="AR85" i="1" s="1"/>
  <c r="AS85" i="1" s="1"/>
  <c r="AM198" i="1"/>
  <c r="AR198" i="1" s="1"/>
  <c r="AS198" i="1" s="1"/>
  <c r="AM122" i="1"/>
  <c r="AR122" i="1" s="1"/>
  <c r="AS122" i="1" s="1"/>
  <c r="AO72" i="1"/>
  <c r="AP72" i="1" s="1"/>
  <c r="AO63" i="1"/>
  <c r="AP63" i="1" s="1"/>
  <c r="AM191" i="1"/>
  <c r="AR191" i="1" s="1"/>
  <c r="AS191" i="1" s="1"/>
  <c r="AM163" i="1"/>
  <c r="AR163" i="1" s="1"/>
  <c r="AS163" i="1" s="1"/>
  <c r="AM112" i="1"/>
  <c r="AR112" i="1" s="1"/>
  <c r="AS112" i="1" s="1"/>
  <c r="AM104" i="1"/>
  <c r="AR104" i="1" s="1"/>
  <c r="AS104" i="1" s="1"/>
  <c r="AM96" i="1"/>
  <c r="AR96" i="1" s="1"/>
  <c r="AS96" i="1" s="1"/>
  <c r="AM67" i="1"/>
  <c r="AR67" i="1" s="1"/>
  <c r="AS67" i="1" s="1"/>
  <c r="AM75" i="1"/>
  <c r="AR75" i="1" s="1"/>
  <c r="AS75" i="1" s="1"/>
  <c r="AM223" i="1"/>
  <c r="AR223" i="1" s="1"/>
  <c r="AS223" i="1" s="1"/>
  <c r="AM183" i="1"/>
  <c r="AR183" i="1" s="1"/>
  <c r="AS183" i="1" s="1"/>
  <c r="AM154" i="1"/>
  <c r="AR154" i="1" s="1"/>
  <c r="AS154" i="1" s="1"/>
  <c r="AM137" i="1"/>
  <c r="AR137" i="1" s="1"/>
  <c r="AS137" i="1" s="1"/>
  <c r="AM110" i="1"/>
  <c r="AR110" i="1" s="1"/>
  <c r="AS110" i="1" s="1"/>
  <c r="AM119" i="1"/>
  <c r="AR119" i="1" s="1"/>
  <c r="AS119" i="1" s="1"/>
  <c r="AM196" i="1"/>
  <c r="AR196" i="1" s="1"/>
  <c r="AS196" i="1" s="1"/>
  <c r="AM178" i="1"/>
  <c r="AR178" i="1" s="1"/>
  <c r="AS178" i="1" s="1"/>
  <c r="AM152" i="1"/>
  <c r="AR152" i="1" s="1"/>
  <c r="AS152" i="1" s="1"/>
  <c r="AM134" i="1"/>
  <c r="AR134" i="1" s="1"/>
  <c r="AS134" i="1" s="1"/>
  <c r="AM102" i="1"/>
  <c r="AR102" i="1" s="1"/>
  <c r="AS102" i="1" s="1"/>
  <c r="AM146" i="1"/>
  <c r="AR146" i="1" s="1"/>
  <c r="AS146" i="1" s="1"/>
  <c r="AM156" i="1"/>
  <c r="AR156" i="1" s="1"/>
  <c r="AS156" i="1" s="1"/>
  <c r="AI2" i="1"/>
  <c r="AM144" i="1"/>
  <c r="AR144" i="1" s="1"/>
  <c r="AS144" i="1" s="1"/>
  <c r="AM60" i="1"/>
  <c r="AR60" i="1" s="1"/>
  <c r="AS60" i="1" s="1"/>
  <c r="AG2" i="1" l="1"/>
  <c r="AM216" i="1"/>
  <c r="AR216" i="1" s="1"/>
  <c r="AS216" i="1" s="1"/>
  <c r="AR385" i="1"/>
  <c r="AS385" i="1" s="1"/>
  <c r="AR256" i="1"/>
  <c r="AS256" i="1" s="1"/>
  <c r="AR333" i="1"/>
  <c r="AS333" i="1" s="1"/>
  <c r="AM291" i="1"/>
  <c r="AR291" i="1" s="1"/>
  <c r="AS291" i="1" s="1"/>
  <c r="AR311" i="1"/>
  <c r="AS311" i="1" s="1"/>
  <c r="AM303" i="1"/>
  <c r="AR303" i="1" s="1"/>
  <c r="AS303" i="1" s="1"/>
  <c r="AR148" i="1"/>
  <c r="AS148" i="1" s="1"/>
  <c r="AR254" i="1"/>
  <c r="AS254" i="1" s="1"/>
  <c r="AR258" i="1"/>
  <c r="AS258" i="1" s="1"/>
  <c r="AR225" i="1"/>
  <c r="AS225" i="1" s="1"/>
  <c r="AR241" i="1"/>
  <c r="AS241" i="1" s="1"/>
  <c r="AM63" i="1"/>
  <c r="AR63" i="1" s="1"/>
  <c r="AS63" i="1" s="1"/>
  <c r="AR246" i="1"/>
  <c r="AS246" i="1" s="1"/>
  <c r="AR250" i="1"/>
  <c r="AS250" i="1" s="1"/>
  <c r="AR323" i="1"/>
  <c r="AS323" i="1" s="1"/>
  <c r="AR248" i="1"/>
  <c r="AS248" i="1" s="1"/>
  <c r="AR262" i="1"/>
  <c r="AS262" i="1" s="1"/>
  <c r="AM74" i="1"/>
  <c r="AR74" i="1" s="1"/>
  <c r="AS74" i="1" s="1"/>
  <c r="AM247" i="1"/>
  <c r="AR247" i="1" s="1"/>
  <c r="AS247" i="1" s="1"/>
  <c r="AM255" i="1"/>
  <c r="AR255" i="1" s="1"/>
  <c r="AS255" i="1" s="1"/>
  <c r="AM263" i="1"/>
  <c r="AR263" i="1" s="1"/>
  <c r="AS263" i="1" s="1"/>
  <c r="AR281" i="1"/>
  <c r="AS281" i="1" s="1"/>
  <c r="AR317" i="1"/>
  <c r="AS317" i="1" s="1"/>
  <c r="AR266" i="1"/>
  <c r="AS266" i="1" s="1"/>
  <c r="AM287" i="1"/>
  <c r="AR287" i="1" s="1"/>
  <c r="AS287" i="1" s="1"/>
  <c r="AM70" i="1"/>
  <c r="AR70" i="1" s="1"/>
  <c r="AS70" i="1" s="1"/>
  <c r="AR325" i="1"/>
  <c r="AS325" i="1" s="1"/>
  <c r="AR158" i="1"/>
  <c r="AS158" i="1" s="1"/>
  <c r="AM293" i="1"/>
  <c r="AR293" i="1" s="1"/>
  <c r="AS293" i="1" s="1"/>
  <c r="AR329" i="1"/>
  <c r="AS329" i="1" s="1"/>
  <c r="AM76" i="1"/>
  <c r="AR76" i="1" s="1"/>
  <c r="AS76" i="1" s="1"/>
  <c r="AM78" i="1"/>
  <c r="AR78" i="1" s="1"/>
  <c r="AS78" i="1" s="1"/>
  <c r="AR217" i="1"/>
  <c r="AS217" i="1" s="1"/>
  <c r="AR233" i="1"/>
  <c r="AS233" i="1" s="1"/>
  <c r="AM251" i="1"/>
  <c r="AR251" i="1" s="1"/>
  <c r="AS251" i="1" s="1"/>
  <c r="AM259" i="1"/>
  <c r="AR259" i="1" s="1"/>
  <c r="AS259" i="1" s="1"/>
  <c r="AM267" i="1"/>
  <c r="AR267" i="1" s="1"/>
  <c r="AS267" i="1" s="1"/>
  <c r="AM297" i="1"/>
  <c r="AR297" i="1" s="1"/>
  <c r="AS297" i="1" s="1"/>
  <c r="AR313" i="1"/>
  <c r="AS313" i="1" s="1"/>
  <c r="AM72" i="1"/>
  <c r="AR72" i="1" s="1"/>
  <c r="AS72" i="1" s="1"/>
  <c r="AM179" i="1"/>
  <c r="AR179" i="1" s="1"/>
  <c r="AS179" i="1" s="1"/>
  <c r="AM249" i="1"/>
  <c r="AR249" i="1" s="1"/>
  <c r="AS249" i="1" s="1"/>
  <c r="AM257" i="1"/>
  <c r="AR257" i="1" s="1"/>
  <c r="AS257" i="1" s="1"/>
  <c r="AM265" i="1"/>
  <c r="AR265" i="1" s="1"/>
  <c r="AS265" i="1" s="1"/>
  <c r="AM299" i="1"/>
  <c r="AR299" i="1" s="1"/>
  <c r="AS299" i="1" s="1"/>
  <c r="AM66" i="1"/>
  <c r="AR66" i="1" s="1"/>
  <c r="AS66" i="1" s="1"/>
  <c r="AR244" i="1"/>
  <c r="AS244" i="1" s="1"/>
  <c r="AR252" i="1"/>
  <c r="AS252" i="1" s="1"/>
  <c r="AR260" i="1"/>
  <c r="AS260" i="1" s="1"/>
  <c r="AR268" i="1"/>
  <c r="AS268" i="1" s="1"/>
  <c r="AR142" i="1"/>
  <c r="AS142" i="1" s="1"/>
  <c r="AM245" i="1"/>
  <c r="AR245" i="1" s="1"/>
  <c r="AS245" i="1" s="1"/>
  <c r="AM253" i="1"/>
  <c r="AR253" i="1" s="1"/>
  <c r="AS253" i="1" s="1"/>
  <c r="AM261" i="1"/>
  <c r="AR261" i="1" s="1"/>
  <c r="AS261" i="1" s="1"/>
  <c r="AM295" i="1"/>
  <c r="AR295" i="1" s="1"/>
  <c r="AS295" i="1" s="1"/>
  <c r="AO56" i="1"/>
  <c r="AP56" i="1" s="1"/>
  <c r="AR139" i="1"/>
  <c r="AS139" i="1" s="1"/>
  <c r="AM285" i="1"/>
  <c r="AR285" i="1" s="1"/>
  <c r="AS285" i="1" s="1"/>
  <c r="AM301" i="1"/>
  <c r="AR301" i="1" s="1"/>
  <c r="AS301" i="1" s="1"/>
  <c r="AM68" i="1"/>
  <c r="AR68" i="1" s="1"/>
  <c r="AS68" i="1" s="1"/>
  <c r="AM181" i="1"/>
  <c r="AR181" i="1" s="1"/>
  <c r="AS181" i="1" s="1"/>
  <c r="AR315" i="1"/>
  <c r="AS315" i="1" s="1"/>
  <c r="AR264" i="1"/>
  <c r="AS264" i="1" s="1"/>
  <c r="AM289" i="1"/>
  <c r="AR289" i="1" s="1"/>
  <c r="AS289" i="1" s="1"/>
  <c r="AM305" i="1"/>
  <c r="AR305" i="1" s="1"/>
  <c r="AS305" i="1" s="1"/>
  <c r="AM2" i="1" l="1"/>
  <c r="AP2" i="1"/>
  <c r="AN2" i="1"/>
  <c r="AR56" i="1"/>
  <c r="AS56" i="1" l="1"/>
  <c r="AR2" i="1"/>
  <c r="AS468" i="1" l="1"/>
  <c r="A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M07AMED MAHDI</author>
  </authors>
  <commentList>
    <comment ref="P60" authorId="0" shapeId="0" xr:uid="{E2401D91-6BA2-42CB-9416-F7C8BBEE66E2}">
      <text>
        <r>
          <rPr>
            <b/>
            <sz val="18"/>
            <color indexed="81"/>
            <rFont val="Calibri"/>
            <family val="2"/>
            <scheme val="minor"/>
          </rPr>
          <t xml:space="preserve">M07AMED MAHDI:
تم إستلام عدد 2 مكبس فقط لا غير </t>
        </r>
      </text>
    </comment>
  </commentList>
</comments>
</file>

<file path=xl/sharedStrings.xml><?xml version="1.0" encoding="utf-8"?>
<sst xmlns="http://schemas.openxmlformats.org/spreadsheetml/2006/main" count="4522" uniqueCount="838">
  <si>
    <t>في 01-01-2018</t>
  </si>
  <si>
    <t>إضافات 2018</t>
  </si>
  <si>
    <t>إستبعادات 2018</t>
  </si>
  <si>
    <t>في 31-12-2018</t>
  </si>
  <si>
    <t>الأصول الثابتة (2)'!Print_Area</t>
  </si>
  <si>
    <t xml:space="preserve">الإفتتاحي </t>
  </si>
  <si>
    <t>الإضافات خلال العام</t>
  </si>
  <si>
    <t>المستبعد خلال العام</t>
  </si>
  <si>
    <t>الصافي بالتكلفة الختامي</t>
  </si>
  <si>
    <t xml:space="preserve">نتيجة عملية الإستبعاد </t>
  </si>
  <si>
    <t>م</t>
  </si>
  <si>
    <t>الأصل</t>
  </si>
  <si>
    <t>المالك</t>
  </si>
  <si>
    <t>الرئيسية</t>
  </si>
  <si>
    <t>مجموعة الاصول</t>
  </si>
  <si>
    <t>المشروع</t>
  </si>
  <si>
    <t>القطاع</t>
  </si>
  <si>
    <t>الإدارة</t>
  </si>
  <si>
    <t>المستخدم</t>
  </si>
  <si>
    <t>plate</t>
  </si>
  <si>
    <t>تاريخ الشراء-الاستلام</t>
  </si>
  <si>
    <t>المورد</t>
  </si>
  <si>
    <t>قيد الاثبات</t>
  </si>
  <si>
    <t>الكمية</t>
  </si>
  <si>
    <t>رقم الفاتورة</t>
  </si>
  <si>
    <t>سعر/الحبة</t>
  </si>
  <si>
    <t>الإجمالي</t>
  </si>
  <si>
    <t>مجمع الاهلاك 
في 01-01-2018</t>
  </si>
  <si>
    <t>القيمة الدفترية 
في 01-01-2018</t>
  </si>
  <si>
    <t>عدد الإضافات</t>
  </si>
  <si>
    <t>الفاتورة للإضافة</t>
  </si>
  <si>
    <t>سعر الحبة المضافة</t>
  </si>
  <si>
    <t>إجمالي الإضافات</t>
  </si>
  <si>
    <t>رقم القيد</t>
  </si>
  <si>
    <t>التاريخ</t>
  </si>
  <si>
    <t>العدد</t>
  </si>
  <si>
    <t>عن طريق</t>
  </si>
  <si>
    <t>مبلغ البيع</t>
  </si>
  <si>
    <t>قيمة الشراء</t>
  </si>
  <si>
    <t>إجمالي المستبعد</t>
  </si>
  <si>
    <t>اهلاك المستبعد
في 2018</t>
  </si>
  <si>
    <t>العدد2</t>
  </si>
  <si>
    <t>الإجمالي الصافي</t>
  </si>
  <si>
    <t>العمر الافتراضي</t>
  </si>
  <si>
    <t>كود الاصل</t>
  </si>
  <si>
    <t>حالة الاصل</t>
  </si>
  <si>
    <t>مصروف الاهلاك 2018</t>
  </si>
  <si>
    <t>مجمع إهلاك المستبعد 
01-01-2018</t>
  </si>
  <si>
    <t>مجمع إهلاك المستبعد 
بتاريخ الأستبعاد</t>
  </si>
  <si>
    <t>الربح/الخسارة من الاستبعاد</t>
  </si>
  <si>
    <t>رقم قيد الأهلاك</t>
  </si>
  <si>
    <t>مجمع الاهلاك
في 31-12-2018</t>
  </si>
  <si>
    <t>القيمة الدفترية 
في 31-12-2018</t>
  </si>
  <si>
    <t>خزنة</t>
  </si>
  <si>
    <t>مؤسسة الرسين للصيانة</t>
  </si>
  <si>
    <t>أثاثات مكتبية</t>
  </si>
  <si>
    <t>أثاث و مفروشات</t>
  </si>
  <si>
    <t>الرياض</t>
  </si>
  <si>
    <t>إدارية</t>
  </si>
  <si>
    <t xml:space="preserve">الحسابات </t>
  </si>
  <si>
    <t>محمد مهدي</t>
  </si>
  <si>
    <t>في التشغيل</t>
  </si>
  <si>
    <t>حاويات 02 ياردة</t>
  </si>
  <si>
    <t>جازان</t>
  </si>
  <si>
    <t>التشغيل</t>
  </si>
  <si>
    <t>مصنع الفهاد</t>
  </si>
  <si>
    <t>10223-10228</t>
  </si>
  <si>
    <t>محولات مكابس أرضية</t>
  </si>
  <si>
    <t>مكابس أرضية</t>
  </si>
  <si>
    <t>أنقاض</t>
  </si>
  <si>
    <t>مدارس الرواد</t>
  </si>
  <si>
    <t xml:space="preserve">مؤسسة الرمال </t>
  </si>
  <si>
    <t>20-12-2016</t>
  </si>
  <si>
    <t>مكتب خشبي</t>
  </si>
  <si>
    <t>الإدارية</t>
  </si>
  <si>
    <t>أحمد الشاعر</t>
  </si>
  <si>
    <t>رموز المستقبل للتجارة</t>
  </si>
  <si>
    <t>طابعة</t>
  </si>
  <si>
    <t>إكسترا</t>
  </si>
  <si>
    <t xml:space="preserve">سيارة أكسنت </t>
  </si>
  <si>
    <t>سيارات الركوب</t>
  </si>
  <si>
    <t>ياسر صبري</t>
  </si>
  <si>
    <t xml:space="preserve">شركة تركي عبد العزيز الحميضي </t>
  </si>
  <si>
    <t>شاحنة هينو</t>
  </si>
  <si>
    <t>سيارات التشغيل</t>
  </si>
  <si>
    <t>نفايات</t>
  </si>
  <si>
    <t>ok</t>
  </si>
  <si>
    <t>ب.ح.ك
6835</t>
  </si>
  <si>
    <t>جمجوم للسيارات و المعدات</t>
  </si>
  <si>
    <t>ب.ح.ك
6836</t>
  </si>
  <si>
    <t>ب.ح.ك
6838</t>
  </si>
  <si>
    <t>ب.ح.ك
6840</t>
  </si>
  <si>
    <t>ب.ح.ك
6842</t>
  </si>
  <si>
    <t>الأحساء</t>
  </si>
  <si>
    <t>ب.ح.ك
6834</t>
  </si>
  <si>
    <t>ب.ح.ك
6837</t>
  </si>
  <si>
    <t>المدينة</t>
  </si>
  <si>
    <t>ب.ح.ك
6839</t>
  </si>
  <si>
    <t>ب.ح.ك
6841</t>
  </si>
  <si>
    <t>ينبع</t>
  </si>
  <si>
    <t>ب.ح.ك
6843</t>
  </si>
  <si>
    <t>ثلاجة دانسات</t>
  </si>
  <si>
    <t>مؤسسة غسان للتجارة</t>
  </si>
  <si>
    <t>غسالة سامسونج 50 حوضين</t>
  </si>
  <si>
    <t>جهاز بصمة موديل f18</t>
  </si>
  <si>
    <t>الحماية المتكاملة للتجارة</t>
  </si>
  <si>
    <t>المبيعات</t>
  </si>
  <si>
    <t>محمد خليل محمد خليل</t>
  </si>
  <si>
    <t>محمد السعيد</t>
  </si>
  <si>
    <t>التحصيل</t>
  </si>
  <si>
    <t>محمد خميس</t>
  </si>
  <si>
    <t>جده</t>
  </si>
  <si>
    <t>ب.ح.ص
4108</t>
  </si>
  <si>
    <t>ب.ح.ص
4106</t>
  </si>
  <si>
    <t>ضاغط ميتسوبيشي</t>
  </si>
  <si>
    <t>شركة الفهاد</t>
  </si>
  <si>
    <t>أ.ي.ك
4531</t>
  </si>
  <si>
    <t>أ.ي.ك
4212</t>
  </si>
  <si>
    <t>حاويات 04 ياردة</t>
  </si>
  <si>
    <t>حاويات 06ياردة</t>
  </si>
  <si>
    <t>Containers 06 Yrds</t>
  </si>
  <si>
    <t>مكبس نفايات أرضي</t>
  </si>
  <si>
    <t xml:space="preserve">الساطعة الحديثة للمقاولات </t>
  </si>
  <si>
    <t>12-06-2016</t>
  </si>
  <si>
    <t xml:space="preserve">شاحنة ميتسوبيشي روول أون روول أوف </t>
  </si>
  <si>
    <t>مشروع المطار الرياض</t>
  </si>
  <si>
    <t>ب.أ.ص
3453</t>
  </si>
  <si>
    <t>وايت مياه</t>
  </si>
  <si>
    <t>أ.د.ه
1215</t>
  </si>
  <si>
    <t>غمارتين</t>
  </si>
  <si>
    <t>أ.ن.م
7174</t>
  </si>
  <si>
    <t>الساطعة الحديثة للمقاولات</t>
  </si>
  <si>
    <t>37-12-2017</t>
  </si>
  <si>
    <t>37-12-2016</t>
  </si>
  <si>
    <t>الساطعة الحديثة للمقاولات 
شيك 1907 من الفهاد</t>
  </si>
  <si>
    <t>07-06-2016</t>
  </si>
  <si>
    <t>المزايا الخضراء 
أعتماد 6001681</t>
  </si>
  <si>
    <t>روول أون روول أوف</t>
  </si>
  <si>
    <t>ب.ب.ن
6797</t>
  </si>
  <si>
    <t>العيسائي</t>
  </si>
  <si>
    <t>ب.ب.ن
6796</t>
  </si>
  <si>
    <t>ب.ب.ن
6795</t>
  </si>
  <si>
    <t>ربوع كلادة للتشغيل</t>
  </si>
  <si>
    <t>حاويات 06 ياردة</t>
  </si>
  <si>
    <t>حاويات مكبس 30 ياردة</t>
  </si>
  <si>
    <t>Containers 30 Yrds</t>
  </si>
  <si>
    <t>المطار</t>
  </si>
  <si>
    <t>حاويات 30 ياردة مفتوحة</t>
  </si>
  <si>
    <t>حاويات 04 ياردة بغطاء</t>
  </si>
  <si>
    <t>حاويات 06 ياردة بغطاء</t>
  </si>
  <si>
    <t>أغطية حاويات 06 ياردة</t>
  </si>
  <si>
    <t>أغطية حاويات 04 ياردة</t>
  </si>
  <si>
    <t xml:space="preserve">مؤسسة ألوان الشموس </t>
  </si>
  <si>
    <t>حائل</t>
  </si>
  <si>
    <t>عنيزة</t>
  </si>
  <si>
    <t xml:space="preserve">حاويات 02 ياردة </t>
  </si>
  <si>
    <t>محول كهربائي</t>
  </si>
  <si>
    <t>عدد و أدوات ميكانيكية</t>
  </si>
  <si>
    <t xml:space="preserve">هيونداي أكسنت </t>
  </si>
  <si>
    <t>ح.ب.د
4859</t>
  </si>
  <si>
    <t>الوعلان</t>
  </si>
  <si>
    <t>ضاغطة هينو</t>
  </si>
  <si>
    <t>أ.ص.ح
1307</t>
  </si>
  <si>
    <t>أ.ع.ص
4103</t>
  </si>
  <si>
    <t>أ.ع.ص
4106</t>
  </si>
  <si>
    <t xml:space="preserve">شاحنة إيسوزو </t>
  </si>
  <si>
    <t>نفايات
الشبك</t>
  </si>
  <si>
    <t>أ.ل.ح
4502</t>
  </si>
  <si>
    <t>ضاغط إيسوزو</t>
  </si>
  <si>
    <t>تحسينات</t>
  </si>
  <si>
    <t>أ.ك.ل
2262</t>
  </si>
  <si>
    <t>أ.ل.ب
9281</t>
  </si>
  <si>
    <t>ضاغط هينو</t>
  </si>
  <si>
    <t>أ.م.د
9305</t>
  </si>
  <si>
    <t>أ.م.د
9306</t>
  </si>
  <si>
    <t>أ.م.د
9308</t>
  </si>
  <si>
    <t>أ.م.د
9213</t>
  </si>
  <si>
    <t>أ.م.د
9216</t>
  </si>
  <si>
    <t>أ.م.د
9223</t>
  </si>
  <si>
    <t>أ.م.د
9220</t>
  </si>
  <si>
    <t>أ.م.ح
9602</t>
  </si>
  <si>
    <t>شاحنة</t>
  </si>
  <si>
    <t>ب.أ.ص
3889</t>
  </si>
  <si>
    <t>ب.أ.ص
5959</t>
  </si>
  <si>
    <t>إيسوزو غمارتين</t>
  </si>
  <si>
    <t>متوقفة بالسكن</t>
  </si>
  <si>
    <t>أ.أ.ح
7132</t>
  </si>
  <si>
    <t xml:space="preserve">شفورلية تاهو </t>
  </si>
  <si>
    <t>إبراهيم عبد الله الباحوث</t>
  </si>
  <si>
    <t>ح.ل.أ
9685</t>
  </si>
  <si>
    <t>شفورولية كابريس</t>
  </si>
  <si>
    <t>أ.ي.س
7915</t>
  </si>
  <si>
    <t>أ.ي.هـ
6239</t>
  </si>
  <si>
    <t>أ.ي.هـ
6177</t>
  </si>
  <si>
    <t>أ.ي.هـ
6180</t>
  </si>
  <si>
    <t>أ.ي.هـ
6181</t>
  </si>
  <si>
    <t xml:space="preserve">تويوتا فورتشنر </t>
  </si>
  <si>
    <t>شركة الفهاد - الرسين</t>
  </si>
  <si>
    <t>ب.س.ن
4565</t>
  </si>
  <si>
    <t>تويوتا فورتشنر</t>
  </si>
  <si>
    <t>ب.س.ن
4643</t>
  </si>
  <si>
    <t>إضافات لوايت مياه</t>
  </si>
  <si>
    <t>إضافات لروول أون روول أوف</t>
  </si>
  <si>
    <t>بوم ترك</t>
  </si>
  <si>
    <t>أ.م.م
6277</t>
  </si>
  <si>
    <t>أ.م.د
2439</t>
  </si>
  <si>
    <t>تجهيزات تانك مياه</t>
  </si>
  <si>
    <t>ضاغط 22 ياردة</t>
  </si>
  <si>
    <t>أ.ح.و
1957</t>
  </si>
  <si>
    <t>أ.ح.و
1987</t>
  </si>
  <si>
    <t>لود لوجر</t>
  </si>
  <si>
    <t>أ.ح.و
1990</t>
  </si>
  <si>
    <t>أ.ح.و
2641</t>
  </si>
  <si>
    <t>بكب وانيت</t>
  </si>
  <si>
    <t>أ.ع.س
4696</t>
  </si>
  <si>
    <t>أ.ح.و
1960</t>
  </si>
  <si>
    <t>أ.ح.و
7077</t>
  </si>
  <si>
    <t>أ.م.ن
7091</t>
  </si>
  <si>
    <t>أ.م.د
9307</t>
  </si>
  <si>
    <t>لاب توب + طابعة</t>
  </si>
  <si>
    <t>محمد جمعة</t>
  </si>
  <si>
    <t>كارفور</t>
  </si>
  <si>
    <t>طفاية حريق</t>
  </si>
  <si>
    <t>عدد 1 مكتب + 1 دولاب + 2 كرسي</t>
  </si>
  <si>
    <t>أبواب حديد</t>
  </si>
  <si>
    <t xml:space="preserve">خزان مياه 15000 لتر </t>
  </si>
  <si>
    <t>كونتر مستودع مقاس 20 قدم</t>
  </si>
  <si>
    <t>مدارس بن خلدون</t>
  </si>
  <si>
    <t>15-11-2016</t>
  </si>
  <si>
    <t>شرائح تتبع</t>
  </si>
  <si>
    <t>إضافات ميتسوبيشي روول أون و روول أوف</t>
  </si>
  <si>
    <t>الوان الشموس</t>
  </si>
  <si>
    <t>الساطعة الحديثة تحويل من الوان الشموس</t>
  </si>
  <si>
    <t>44-12-2016</t>
  </si>
  <si>
    <t>أ.ح.و
1992</t>
  </si>
  <si>
    <t>حاوية 20 ياردة</t>
  </si>
  <si>
    <t>Containers 20 Yrds</t>
  </si>
  <si>
    <t>حاوية 10 ياردة</t>
  </si>
  <si>
    <t>Containers 10 Yrds</t>
  </si>
  <si>
    <t xml:space="preserve">سيارة كابريس - أ د و 9277 </t>
  </si>
  <si>
    <t>حاويات 20 ياردة</t>
  </si>
  <si>
    <t>حاويات 16 ياردة</t>
  </si>
  <si>
    <t>حاويات 10 ياردة</t>
  </si>
  <si>
    <t>سابتك</t>
  </si>
  <si>
    <t>21-09-2017</t>
  </si>
  <si>
    <t>13-11-2017
31-11-2017
5-11-2017</t>
  </si>
  <si>
    <t>13-03-2017</t>
  </si>
  <si>
    <t>أرض الرسين</t>
  </si>
  <si>
    <t>Land</t>
  </si>
  <si>
    <t>أراضي</t>
  </si>
  <si>
    <t>زيد العبودي</t>
  </si>
  <si>
    <t>56-12-2017</t>
  </si>
  <si>
    <t>كرين بلوكرين</t>
  </si>
  <si>
    <t>معدات ثقيلة</t>
  </si>
  <si>
    <t xml:space="preserve">معرض السنيدي </t>
  </si>
  <si>
    <t>08-12-2017
13-12-2017</t>
  </si>
  <si>
    <t>جهاز روول أون روول أوف</t>
  </si>
  <si>
    <t>6796
6795</t>
  </si>
  <si>
    <t>25-01-2017</t>
  </si>
  <si>
    <t>3495
6796</t>
  </si>
  <si>
    <t>05-01-2017</t>
  </si>
  <si>
    <t>ضواغط 32 ياردة على سيارات</t>
  </si>
  <si>
    <t>شركة تصنيع المعادن</t>
  </si>
  <si>
    <t>14-06-2017</t>
  </si>
  <si>
    <t>10-10-2017</t>
  </si>
  <si>
    <t>شاحنة سكس كبيرة</t>
  </si>
  <si>
    <t>الحبتور للسيارات</t>
  </si>
  <si>
    <t>17-06-2017</t>
  </si>
  <si>
    <t xml:space="preserve">7592
7967
7598
2348
7599
7597
7595
7590
2350
7596
7589
7594
7591
7593
</t>
  </si>
  <si>
    <t>31-12-2017</t>
  </si>
  <si>
    <t>شركة الفلاح</t>
  </si>
  <si>
    <t>05-02-2017</t>
  </si>
  <si>
    <t>التسويق</t>
  </si>
  <si>
    <t>سيارة توسان</t>
  </si>
  <si>
    <t>19-03-2017</t>
  </si>
  <si>
    <t>461</t>
  </si>
  <si>
    <t>البيع</t>
  </si>
  <si>
    <t>حاوية 06 ياردة بغطاء</t>
  </si>
  <si>
    <t>مصنع وسائط النقل</t>
  </si>
  <si>
    <t>70-12-2017</t>
  </si>
  <si>
    <t>براميل سعة 240 لتر</t>
  </si>
  <si>
    <t>Containers 240 Liter</t>
  </si>
  <si>
    <t>17-01-2017</t>
  </si>
  <si>
    <t>حاوية سعة 06 ياردة</t>
  </si>
  <si>
    <t>مصنع مقاييس الدقة</t>
  </si>
  <si>
    <t>1001/2017</t>
  </si>
  <si>
    <t>ربوع كلاده</t>
  </si>
  <si>
    <t>31-01-2017</t>
  </si>
  <si>
    <t>حاوية 06 ياردة بدون غطاء</t>
  </si>
  <si>
    <t>حاويات سعة 02 ياردة</t>
  </si>
  <si>
    <t>31-02-2017</t>
  </si>
  <si>
    <t>شحن حاويات</t>
  </si>
  <si>
    <t>حاويات سعة 02 ياردة بدون غطاء</t>
  </si>
  <si>
    <t>حاويات سعة 04 ياردة بدون غطاء</t>
  </si>
  <si>
    <t>حاويات 02  ياردة</t>
  </si>
  <si>
    <t>حاويات سعة 06 ياردة بدون غطاء</t>
  </si>
  <si>
    <t>31-04-2017</t>
  </si>
  <si>
    <t>ورشة عبد الخالق الزهراني</t>
  </si>
  <si>
    <t>18-04-2017
21-05-2017</t>
  </si>
  <si>
    <t>حاوية 02 ياردة</t>
  </si>
  <si>
    <t>مؤسسة الرفاد</t>
  </si>
  <si>
    <t>حاوية 06 ياردة</t>
  </si>
  <si>
    <t>حاويات سعة 20 ياردة انقاض</t>
  </si>
  <si>
    <t>صاج حاويات 20 ياردة</t>
  </si>
  <si>
    <t>35-05-2017</t>
  </si>
  <si>
    <t>مؤسسة سعيد الغامدي</t>
  </si>
  <si>
    <t>حاوية سعة 02 ياردة</t>
  </si>
  <si>
    <t>28-10-2017</t>
  </si>
  <si>
    <t>29-07-2017</t>
  </si>
  <si>
    <t>شركة بيت التطور</t>
  </si>
  <si>
    <t>45-11-2017</t>
  </si>
  <si>
    <t>حاوية سعة 04 ياردة</t>
  </si>
  <si>
    <t>حاوية سعة 06 ياردة  بغطاء</t>
  </si>
  <si>
    <t>ماكينة تشحيم + 2مسدس دهان</t>
  </si>
  <si>
    <t>كمبروسور هواء 500 لتر 7.5 حصان</t>
  </si>
  <si>
    <t>الشرق الأوسط الحديث</t>
  </si>
  <si>
    <t>27-03-2017</t>
  </si>
  <si>
    <t>كمبروسور هواء 300 لتر بنزينتصريف 500 لتر</t>
  </si>
  <si>
    <t>مظلة حديد للورشة</t>
  </si>
  <si>
    <t>03-05-2017</t>
  </si>
  <si>
    <t>مكتب زجاج مع ملحق وطاولة شاي</t>
  </si>
  <si>
    <t>18-01-2017</t>
  </si>
  <si>
    <t>كرسي شبك ظهر عالي متحرك</t>
  </si>
  <si>
    <t>كرسي شبك أنتظار ثابت</t>
  </si>
  <si>
    <t xml:space="preserve">دولاب خشب زجاج 2 دلفة </t>
  </si>
  <si>
    <t>كاميرا خارجية 4 ميجا</t>
  </si>
  <si>
    <t>06-10-2017
05-10-2017</t>
  </si>
  <si>
    <t>كاميرا داخلية 4 ميجا</t>
  </si>
  <si>
    <t>طقم مكتب 240 كارمين الباحوث</t>
  </si>
  <si>
    <t>04-10-2017</t>
  </si>
  <si>
    <t>كرسي دوار طويل شبك الباحوث</t>
  </si>
  <si>
    <t>كرسي ثابت شبك الباحوث</t>
  </si>
  <si>
    <t>بارتيشن ثنائي تي 3</t>
  </si>
  <si>
    <t>كرسي دوار قصير شبك</t>
  </si>
  <si>
    <t>خزن ملفات مستعملة للإدارية</t>
  </si>
  <si>
    <t>05-11-2017</t>
  </si>
  <si>
    <t>23-11-2017</t>
  </si>
  <si>
    <t>دولاب 2 دلفة مكتب الزرير</t>
  </si>
  <si>
    <t>38-12-2017</t>
  </si>
  <si>
    <t>كرسي مكتبي الزرير</t>
  </si>
  <si>
    <t>فلتر مياه للشرب بالإدارة العامة</t>
  </si>
  <si>
    <t>دولاب 3 دلف</t>
  </si>
  <si>
    <t>80-12-2017</t>
  </si>
  <si>
    <t>الة طباعة كبيرة</t>
  </si>
  <si>
    <t>08-11-2017
10-12-2017</t>
  </si>
  <si>
    <t>خزينة مكتب الباحوث</t>
  </si>
  <si>
    <t>07-12-2017</t>
  </si>
  <si>
    <t>ماكينة البار كوود</t>
  </si>
  <si>
    <t>بيت جاهز عدد 4 غرف</t>
  </si>
  <si>
    <t>بيوت جاهزة</t>
  </si>
  <si>
    <t>07-02-2017</t>
  </si>
  <si>
    <t>غسالة هام حوضين</t>
  </si>
  <si>
    <t>أثاثات سكنية</t>
  </si>
  <si>
    <t>ثلاجة هام</t>
  </si>
  <si>
    <t>مكيف مستعمل</t>
  </si>
  <si>
    <t xml:space="preserve">غسالةسامسونج 5 كيلو </t>
  </si>
  <si>
    <t>15-03-2017</t>
  </si>
  <si>
    <t>فرن كهربئي</t>
  </si>
  <si>
    <t xml:space="preserve">ثلاجة يوجن </t>
  </si>
  <si>
    <t>خزان مياه 1250 جالون</t>
  </si>
  <si>
    <t>13-04-2017</t>
  </si>
  <si>
    <t>مكيف جديد سبيلت</t>
  </si>
  <si>
    <t>ثلاجة</t>
  </si>
  <si>
    <t>مكيف  مستعمل</t>
  </si>
  <si>
    <t>تانكر مستعمل</t>
  </si>
  <si>
    <t>13-10-2017</t>
  </si>
  <si>
    <t>كارت شاشة لجهاز الباحوث</t>
  </si>
  <si>
    <t>أجهزة حاسب و الكترونيات</t>
  </si>
  <si>
    <t>77-12-2017</t>
  </si>
  <si>
    <t>جهاز جوال جلاكسي جراند</t>
  </si>
  <si>
    <t xml:space="preserve">جهاز لاب توب </t>
  </si>
  <si>
    <t>22-05-2017</t>
  </si>
  <si>
    <t>جهاز لاب توب للإدارة المالية</t>
  </si>
  <si>
    <t>38-11-2017</t>
  </si>
  <si>
    <t>جهاز لاب توب للإدارية</t>
  </si>
  <si>
    <t>47-11-2017</t>
  </si>
  <si>
    <t>جوال</t>
  </si>
  <si>
    <t>13-12-2017</t>
  </si>
  <si>
    <t xml:space="preserve">جهاز كمبيوتر مكتبي أي 7 + شاشة بينك </t>
  </si>
  <si>
    <t>علي الزرير</t>
  </si>
  <si>
    <t xml:space="preserve">طابعة ليزر 277 </t>
  </si>
  <si>
    <t>ضاغط 22 ياردة ميتسوبيشي</t>
  </si>
  <si>
    <t>7665
 أ.ن.أ</t>
  </si>
  <si>
    <t>أ.ح.و
7201</t>
  </si>
  <si>
    <t>بيكب اب غمارتين</t>
  </si>
  <si>
    <t>أ.ه.أ
6110</t>
  </si>
  <si>
    <t>أ.ح.و
7211</t>
  </si>
  <si>
    <t>أ.ح.و
2644</t>
  </si>
  <si>
    <t xml:space="preserve">جهاز حاسب محمول </t>
  </si>
  <si>
    <t xml:space="preserve">شركة الرسين للصيانة </t>
  </si>
  <si>
    <t>مؤسسة وميض شمس الكمبيوتر</t>
  </si>
  <si>
    <t>63</t>
  </si>
  <si>
    <t>نبيل حيدر الحرتاني بيوتك</t>
  </si>
  <si>
    <t>65</t>
  </si>
  <si>
    <t>جهاز حسي ألي مكتب</t>
  </si>
  <si>
    <t>دولاب مكتبي - أصول - رسين</t>
  </si>
  <si>
    <t>وادي ابيان للتجارة</t>
  </si>
  <si>
    <t>67</t>
  </si>
  <si>
    <t>طابعات - أصول ثابتة - رسين</t>
  </si>
  <si>
    <t>طابعات</t>
  </si>
  <si>
    <t>سند العروبة للتجارة</t>
  </si>
  <si>
    <t>طاولة إجتماع مكتبية - أصول - رسين</t>
  </si>
  <si>
    <t>كرسي مكتبي - أصول - رسين</t>
  </si>
  <si>
    <t>أجهزة حاسب محمولة</t>
  </si>
  <si>
    <t>مكتبة جرير</t>
  </si>
  <si>
    <t>JV-00072</t>
  </si>
  <si>
    <t>خزانات مياه أصول ثابته - رسين</t>
  </si>
  <si>
    <t>مؤسسة أهداف جده</t>
  </si>
  <si>
    <t>JV-00089</t>
  </si>
  <si>
    <t>عدادات كهرباء أصول ثابتة - رسين</t>
  </si>
  <si>
    <t>مكيفات أصول ثابتة - رسين</t>
  </si>
  <si>
    <t xml:space="preserve">حاوية مقاس 06 ياردة بغطاء </t>
  </si>
  <si>
    <t xml:space="preserve">شركة مصنع وسائط النقل للمنتجات المعدنية </t>
  </si>
  <si>
    <t>JV-00091</t>
  </si>
  <si>
    <t>JV-00093</t>
  </si>
  <si>
    <t>حاوية مقاس 06 ياردة</t>
  </si>
  <si>
    <t>بيت التطور</t>
  </si>
  <si>
    <t>JV-00094</t>
  </si>
  <si>
    <t>JV-00095</t>
  </si>
  <si>
    <t>JV-00098</t>
  </si>
  <si>
    <t>JV-00106</t>
  </si>
  <si>
    <t>حاوية مقاس04  ياردة</t>
  </si>
  <si>
    <t>JV-00107</t>
  </si>
  <si>
    <t>حاوية مقاس 02 ياردة</t>
  </si>
  <si>
    <t xml:space="preserve">مؤسسة ربوع كلادة للأشغال الحديدية </t>
  </si>
  <si>
    <t>JV-00108</t>
  </si>
  <si>
    <t xml:space="preserve">فرامات ورق </t>
  </si>
  <si>
    <t>أبو معطي للمكتبات</t>
  </si>
  <si>
    <t>JV-00111</t>
  </si>
  <si>
    <t>JV-00117</t>
  </si>
  <si>
    <t xml:space="preserve">درامات بلاستيك سعة 240 لتر </t>
  </si>
  <si>
    <t xml:space="preserve">شركة الشرق للصناعات البلاستيكية المحدودة </t>
  </si>
  <si>
    <t>JV-00122</t>
  </si>
  <si>
    <t>JV-00276</t>
  </si>
  <si>
    <t xml:space="preserve">مكيف شباك هيتاشي </t>
  </si>
  <si>
    <t xml:space="preserve">محمد مهدي - كامب الفهاد </t>
  </si>
  <si>
    <t xml:space="preserve">ورشة محمد عبد الله السويد </t>
  </si>
  <si>
    <t>JV-00123
JV-00128</t>
  </si>
  <si>
    <t>2169 قبض</t>
  </si>
  <si>
    <t>JV-00127</t>
  </si>
  <si>
    <t>طابعه</t>
  </si>
  <si>
    <t>شعاع النجمتين التجارية</t>
  </si>
  <si>
    <t>JV-00134-2</t>
  </si>
  <si>
    <t xml:space="preserve">حاويات مقاس 06 ياردة </t>
  </si>
  <si>
    <t>JV-00137</t>
  </si>
  <si>
    <t>حاويات مقاس 06 ياردة بغطاء</t>
  </si>
  <si>
    <t>JV-00138</t>
  </si>
  <si>
    <t xml:space="preserve">حاويات  مقاس 02 ياردة </t>
  </si>
  <si>
    <t>JV-00139</t>
  </si>
  <si>
    <t xml:space="preserve">حاويات مقاس 04 ياردة </t>
  </si>
  <si>
    <t xml:space="preserve">حاويات مقاس 02 ياردة </t>
  </si>
  <si>
    <t>حاويات مقاس 06 ياردة</t>
  </si>
  <si>
    <t>حاويات مقاس 06 ياردة - نصف مصنعه</t>
  </si>
  <si>
    <t>JV-00141</t>
  </si>
  <si>
    <t>JV-00142</t>
  </si>
  <si>
    <t>JV-00143</t>
  </si>
  <si>
    <t>JV-00145</t>
  </si>
  <si>
    <t>JV-00146</t>
  </si>
  <si>
    <t xml:space="preserve">أجهزة التتبع و جي بي أس G.P.S </t>
  </si>
  <si>
    <t>أجهزة تتبع</t>
  </si>
  <si>
    <t>شركة القمة لتقنية المعلومات</t>
  </si>
  <si>
    <t>JV-00160</t>
  </si>
  <si>
    <t xml:space="preserve">صندوق ضاغط 32 ياردة </t>
  </si>
  <si>
    <t xml:space="preserve">عبد الله فالح السبيعي </t>
  </si>
  <si>
    <t>JV-00231</t>
  </si>
  <si>
    <t>JV-00232</t>
  </si>
  <si>
    <t xml:space="preserve">خزان مياه </t>
  </si>
  <si>
    <t>القصيم</t>
  </si>
  <si>
    <t>JV-00252</t>
  </si>
  <si>
    <t>JV-00269</t>
  </si>
  <si>
    <t>أحمد المصري</t>
  </si>
  <si>
    <t>د.ص.ق 4369</t>
  </si>
  <si>
    <t>JV-00323</t>
  </si>
  <si>
    <t>سانتوش</t>
  </si>
  <si>
    <t>د.ص.ق 4360</t>
  </si>
  <si>
    <t xml:space="preserve">محمد مسعد </t>
  </si>
  <si>
    <t>د.ص.ق 4361</t>
  </si>
  <si>
    <t xml:space="preserve">مصطفى رحومه </t>
  </si>
  <si>
    <t>د.ص.ق 4362</t>
  </si>
  <si>
    <t>حسن شفيق</t>
  </si>
  <si>
    <t>د.ص.ق 4363</t>
  </si>
  <si>
    <t xml:space="preserve">الإدارة </t>
  </si>
  <si>
    <t>عبد التواب</t>
  </si>
  <si>
    <t>د.ص.ق 4364</t>
  </si>
  <si>
    <t>هاني لطفي</t>
  </si>
  <si>
    <t>د.ص.ق 4365</t>
  </si>
  <si>
    <t>د.ص.ق 4366</t>
  </si>
  <si>
    <t>محمد الشاعر</t>
  </si>
  <si>
    <t>د.ص.ق 4367</t>
  </si>
  <si>
    <t xml:space="preserve">صلاح محمد </t>
  </si>
  <si>
    <t>د.ص.ق 4368</t>
  </si>
  <si>
    <t>كرفانات</t>
  </si>
  <si>
    <t>Total</t>
  </si>
  <si>
    <t>Row Labels</t>
  </si>
  <si>
    <t>Grand Total</t>
  </si>
  <si>
    <t>Sum of مجمع الاهلاك 
في 01-01-2018</t>
  </si>
  <si>
    <t>Sum of القيمة الدفترية 
في 01-01-2018</t>
  </si>
  <si>
    <t>Sum of إجمالي الإضافات</t>
  </si>
  <si>
    <t>Sum of الإجمالي الصافي</t>
  </si>
  <si>
    <t>Sum of إجمالي المستبعد</t>
  </si>
  <si>
    <t>Sum of الإجمالي</t>
  </si>
  <si>
    <t>(Multiple Items)</t>
  </si>
  <si>
    <t>Sum of مصروف الاهلاك 2018</t>
  </si>
  <si>
    <t xml:space="preserve">شاحنة 22 ياردة </t>
  </si>
  <si>
    <t>Sum of مجمع الاهلاك</t>
  </si>
  <si>
    <t xml:space="preserve">Sum of القيمة الدفترية </t>
  </si>
  <si>
    <t>JV-00597</t>
  </si>
  <si>
    <t>JV-00438
JV-00285</t>
  </si>
  <si>
    <t>JV-00481</t>
  </si>
  <si>
    <t>مكبس نفايات مستعمل</t>
  </si>
  <si>
    <t>JV-00343</t>
  </si>
  <si>
    <t>الشبك</t>
  </si>
  <si>
    <t>ضاغط 10 ياردة مركب على سيارة إيسوزو</t>
  </si>
  <si>
    <t>JV-00346</t>
  </si>
  <si>
    <t>شراء جهاز رول ان - سيارة 5754</t>
  </si>
  <si>
    <t>JV-00408</t>
  </si>
  <si>
    <t>أجهزة مراقبة</t>
  </si>
  <si>
    <t>جوالات</t>
  </si>
  <si>
    <t>أجهزة حاسب مكتبية</t>
  </si>
  <si>
    <t xml:space="preserve">شاشة جهاز كمبيوتر ديل </t>
  </si>
  <si>
    <t>مكبس نفايات 32 ياردة</t>
  </si>
  <si>
    <t>JV-00457</t>
  </si>
  <si>
    <t>الحاويات</t>
  </si>
  <si>
    <t>Containers 02 Yrds</t>
  </si>
  <si>
    <t>Containers 04 Yrds</t>
  </si>
  <si>
    <t xml:space="preserve">أغطية حاويات مقاس 06 ياردة </t>
  </si>
  <si>
    <t xml:space="preserve">مؤسسة كلد الدولية للمقاولات </t>
  </si>
  <si>
    <t>JV-00425</t>
  </si>
  <si>
    <t>JV-00426</t>
  </si>
  <si>
    <t>JV-00439</t>
  </si>
  <si>
    <t>JV-00285</t>
  </si>
  <si>
    <t>حاويات مقاس 02 ياردة بغطاء</t>
  </si>
  <si>
    <t>JV-00410</t>
  </si>
  <si>
    <t>شركة مصنع مقاييس الدقة للمعدات</t>
  </si>
  <si>
    <t>شركة الفهاد للمعدات و السيارات</t>
  </si>
  <si>
    <t>حاويات مقاس 04 ياردة  بدون دهان</t>
  </si>
  <si>
    <t>حاوية مقاس 12 ياردة</t>
  </si>
  <si>
    <t>Containers 12 Yrds</t>
  </si>
  <si>
    <t>شركة ريادة الأعمال للتجارة</t>
  </si>
  <si>
    <t>JV-00274</t>
  </si>
  <si>
    <t>حاوية مقاس 20 ياردة</t>
  </si>
  <si>
    <t>حاوية مقاس 30 ياردة</t>
  </si>
  <si>
    <t>220-232-241</t>
  </si>
  <si>
    <t>519</t>
  </si>
  <si>
    <t>محول مكبس نفايات أرضي</t>
  </si>
  <si>
    <t xml:space="preserve"> ميتسوبيشي روول أون روول أوف </t>
  </si>
  <si>
    <t>المباني</t>
  </si>
  <si>
    <t>Buildings</t>
  </si>
  <si>
    <t>JV-00630</t>
  </si>
  <si>
    <t>JV-00631</t>
  </si>
  <si>
    <t xml:space="preserve">طابعة Epson </t>
  </si>
  <si>
    <t xml:space="preserve">فيوتشر بوور </t>
  </si>
  <si>
    <t>JV-00312</t>
  </si>
  <si>
    <t xml:space="preserve">جوال جراند برايم </t>
  </si>
  <si>
    <t>باحة الورد</t>
  </si>
  <si>
    <t>مؤسسة أملاك التراث للتجارة</t>
  </si>
  <si>
    <t>JV-00414</t>
  </si>
  <si>
    <t xml:space="preserve">غسالة </t>
  </si>
  <si>
    <t>JV-00637</t>
  </si>
  <si>
    <t xml:space="preserve">مكيف هام جداري </t>
  </si>
  <si>
    <t xml:space="preserve">المدير العام </t>
  </si>
  <si>
    <t>JV-00342</t>
  </si>
  <si>
    <t xml:space="preserve">شاشة تلفزيون 55 بوصة هام </t>
  </si>
  <si>
    <t>JV-00270</t>
  </si>
  <si>
    <t>مؤسسة رؤية المستقبل</t>
  </si>
  <si>
    <t xml:space="preserve">مكيف </t>
  </si>
  <si>
    <t>الحركة</t>
  </si>
  <si>
    <t>الحضارات الرائدة</t>
  </si>
  <si>
    <t>JV-00272</t>
  </si>
  <si>
    <t xml:space="preserve">خزينة ملفات حديد </t>
  </si>
  <si>
    <t>الموارد البشرية</t>
  </si>
  <si>
    <t>مؤسسة نبراس المستقبل</t>
  </si>
  <si>
    <t>كرسي مكتبي</t>
  </si>
  <si>
    <t>JV-00273</t>
  </si>
  <si>
    <t xml:space="preserve">ثلاجة 220 لتر </t>
  </si>
  <si>
    <t>JV-00287</t>
  </si>
  <si>
    <t>شاشات benq led 24</t>
  </si>
  <si>
    <t xml:space="preserve">شاشات حاسب </t>
  </si>
  <si>
    <t>المالية</t>
  </si>
  <si>
    <t>JV-00438</t>
  </si>
  <si>
    <t>شاشات تلفزيون</t>
  </si>
  <si>
    <t xml:space="preserve">ب.ح.ر  8874 </t>
  </si>
  <si>
    <t>ب.ح.ر 8872</t>
  </si>
  <si>
    <t xml:space="preserve">صندوق ضاغط 22 ياردة </t>
  </si>
  <si>
    <t>صندوق ضاغط 22 ياردة</t>
  </si>
  <si>
    <t>ضاغط إيسوزو 22 ياردة</t>
  </si>
  <si>
    <t>ب.د.ط
7600</t>
  </si>
  <si>
    <t>ضاغط متسوبيشي 22 ياردة</t>
  </si>
  <si>
    <t xml:space="preserve">شركة الفهاد </t>
  </si>
  <si>
    <t>أ.ن.أ
7095</t>
  </si>
  <si>
    <t>أ.ن.أ
7110</t>
  </si>
  <si>
    <t>شاحنة روول أون روول أوف</t>
  </si>
  <si>
    <t>ضاغط ميتسوبيشي 32 ياردة  ب.ح.ر 8872</t>
  </si>
  <si>
    <t>ضاغط ميتسوبيشي 22 ياردة  ب.أ.ص 3889</t>
  </si>
  <si>
    <t>ضاغط ميتسوبيشي 22 ياردة  ب.أ.ص 5959</t>
  </si>
  <si>
    <t>ضاغط ميتسوبيشي 32 ياردة  ب.ح.ر 8874</t>
  </si>
  <si>
    <t>ضاغط هينو 22 ياردة  ب.ح.ك 6835</t>
  </si>
  <si>
    <t>ضاغط هينو 22 ياردة  ب.ح.ك 6836</t>
  </si>
  <si>
    <t>ضاغط هينو 22 ياردة  ب.ح.ك 6837</t>
  </si>
  <si>
    <t>ضاغط هينو  22 ياردة  ب.ح.ك  6838</t>
  </si>
  <si>
    <t>ضاغط هينو 22 ياردة  ب.ح.ك  6840</t>
  </si>
  <si>
    <t>ضاغط هينو 22 ياردة  ب.ح.ك  6842</t>
  </si>
  <si>
    <t>ضاغط هينو 22 ياردة   ب.ح.ك  6843</t>
  </si>
  <si>
    <t>ضاغط إيسوزو 22 ياردة  ب.د.ط  7600</t>
  </si>
  <si>
    <t xml:space="preserve">ضاغط إيسوزو 07 ياردة </t>
  </si>
  <si>
    <t>ضاغط إيسوزو 07 ياردة  أ.م.د  2439</t>
  </si>
  <si>
    <t>ضاغط ميتسوبيشي 22 ياردة  أ.ن.أ  7095</t>
  </si>
  <si>
    <t>ضاغط ميتسوبيشي 22 ياردة  أ.ن.أ  7110</t>
  </si>
  <si>
    <t>الفرعي</t>
  </si>
  <si>
    <t xml:space="preserve">ضاغط 07 ياردة </t>
  </si>
  <si>
    <t xml:space="preserve"> روول أون روول أوف </t>
  </si>
  <si>
    <t xml:space="preserve">  ميتسوبيشي روول أون روول أوف   أ.ي.ه   6177 </t>
  </si>
  <si>
    <t xml:space="preserve"> ميتسوبيشي روول أون روول أوف   أ.ي.ه.  6180</t>
  </si>
  <si>
    <t xml:space="preserve"> ميتسوبيشي روول أون روول أوف   ب.أ.ص  3453</t>
  </si>
  <si>
    <t xml:space="preserve"> ميتسوبيشي روول أون روول أوف   ب.ب.ن  6797</t>
  </si>
  <si>
    <t xml:space="preserve"> ميتسوبيشي روول أون روول أوف   ب.ب.ن  6796</t>
  </si>
  <si>
    <t xml:space="preserve">     ميتسوبيشي روول أون روول أوف   أ.ي.ه  6239</t>
  </si>
  <si>
    <t xml:space="preserve"> ميتسوبيشي روول أون روول أوف   .  3454</t>
  </si>
  <si>
    <t xml:space="preserve"> ميتسوبيشي روول أون روول أوف   .  7109</t>
  </si>
  <si>
    <t>النفايات</t>
  </si>
  <si>
    <t>ضاغط هينو 22 ياردة  ب.ح.ك  6843</t>
  </si>
  <si>
    <t>ضاغط 32 ياردة</t>
  </si>
  <si>
    <t xml:space="preserve"> ميتسوبيشي روول أون روول أوف   أ.م.م.  5755</t>
  </si>
  <si>
    <t>أ.م.م
5755</t>
  </si>
  <si>
    <t xml:space="preserve"> ميتسوبيشي روول أون روول أوف   أ.ن.أ.  7083</t>
  </si>
  <si>
    <t xml:space="preserve"> ميتسوبيشي روول أون روول أوف          5773</t>
  </si>
  <si>
    <t xml:space="preserve"> ميتسوبيشي روول أون روول أوف   أ.م.م.  5751</t>
  </si>
  <si>
    <t xml:space="preserve"> ميتسوبيشي روول أون روول أوف   أ.م.م.  5754</t>
  </si>
  <si>
    <t>أ.م.م
5751</t>
  </si>
  <si>
    <t>أ.م.م
5754</t>
  </si>
  <si>
    <t>لوود لوجر</t>
  </si>
  <si>
    <t>لوود لوجر  2007  ميتسوبيشي   أ.ح.و    1992</t>
  </si>
  <si>
    <t>لوود لوجر  2012  إيسوزو   أ.م.أ    1930</t>
  </si>
  <si>
    <t>أ.م.أ
1930</t>
  </si>
  <si>
    <t>لوود لوجر  2012  إيسوزو                 4454</t>
  </si>
  <si>
    <t>وينش إيسوزو</t>
  </si>
  <si>
    <t>ونش</t>
  </si>
  <si>
    <t xml:space="preserve">ونش  2008   إيسوزو   8277 </t>
  </si>
  <si>
    <t xml:space="preserve">ونش  2012   هينو   أ.م.د     9306 </t>
  </si>
  <si>
    <t xml:space="preserve">وايت مياه </t>
  </si>
  <si>
    <t>وايت مياه    2008  إنترناشونال    1215</t>
  </si>
  <si>
    <t xml:space="preserve">بيك أب غمارة </t>
  </si>
  <si>
    <t>بيك أب غمارة</t>
  </si>
  <si>
    <t>بيك أب غمارة   2008        أ.ع.س    4986</t>
  </si>
  <si>
    <t>أ.ع.س
4986</t>
  </si>
  <si>
    <t>بيك أب غمارة   2011        أ.ن.ب    4069</t>
  </si>
  <si>
    <t>أ.ن.ب
4069</t>
  </si>
  <si>
    <t>بيك أب غمارتين</t>
  </si>
  <si>
    <t>بيك أب غمارتين         أ.ن.م    7174</t>
  </si>
  <si>
    <t>بيك أب غمارتين                    6416</t>
  </si>
  <si>
    <t>شفورولية كابريس        أ.ي.س    7915</t>
  </si>
  <si>
    <t>تويوتا فورتشنر    2011    ب.س.ن    4643</t>
  </si>
  <si>
    <t>شيفورولية تاهو</t>
  </si>
  <si>
    <t>شيفورولية تاهو    2015    ح.ل.أ    9685</t>
  </si>
  <si>
    <t>هيونداي توسان</t>
  </si>
  <si>
    <t>هيونداي توسان   2016    د.ب.ن    8437</t>
  </si>
  <si>
    <t>هيونداي أكسنت     2016    ح.ي.ق    8468</t>
  </si>
  <si>
    <t xml:space="preserve">8468
ح.ي.ق </t>
  </si>
  <si>
    <t>هيونداي أكسنت     2016    ح.ي.ق    8469</t>
  </si>
  <si>
    <t>ح.ي.ق 
8469</t>
  </si>
  <si>
    <t>ح.ي.ق
8470</t>
  </si>
  <si>
    <t>هيونداي أكسنت     2016    ح.ي.ق    8470</t>
  </si>
  <si>
    <t>هيونداي أكسنت     2016    د.ب.ن    8433</t>
  </si>
  <si>
    <t>د.ب.ن
8433</t>
  </si>
  <si>
    <t>د.ب.ن
8434</t>
  </si>
  <si>
    <t>د.ب.ن
8436</t>
  </si>
  <si>
    <t>هيونداي أكسنت     2016    د.ب.ن    8434</t>
  </si>
  <si>
    <t>هيونداي أكسنت     2016    د.ب.ن    8436</t>
  </si>
  <si>
    <t>هيونداي أكسنت    2016    ح.ب.د    4859</t>
  </si>
  <si>
    <t>هيونداي أكسنت    2018    د.ص.ق    4366</t>
  </si>
  <si>
    <t>هيونداي أكسنت    2018    د.ص.ق    4364</t>
  </si>
  <si>
    <t>نيسان إكستيرا</t>
  </si>
  <si>
    <t>نيسان إكستيرا    2012    ب.س.ه   6869</t>
  </si>
  <si>
    <t>ب.س.ه
6869</t>
  </si>
  <si>
    <t>أ.ن.أ
7083</t>
  </si>
  <si>
    <t>هيونداي أكسنت     2016    د.أ.ق    9788</t>
  </si>
  <si>
    <t>د.أ.ق
9788</t>
  </si>
  <si>
    <t>ح.ي.ق
8467</t>
  </si>
  <si>
    <t>أ.د.و
9277</t>
  </si>
  <si>
    <t>هيونداي أكسنت     2016    ح.ي.ق    8467</t>
  </si>
  <si>
    <t>هيونداي أكسنت     2016    د.ب.ن    8432</t>
  </si>
  <si>
    <t>د.ب.ن
8432</t>
  </si>
  <si>
    <t>هيونداي أكسنت     2018    د.ص.ق    4369</t>
  </si>
  <si>
    <t>هيونداي أكسنت     2018    د.ص.ق    4360</t>
  </si>
  <si>
    <t>هيونداي أكسنت     2018    د.ص.ق    4361</t>
  </si>
  <si>
    <t>هيونداي أكسنت     2018    د.ص.ق    4362</t>
  </si>
  <si>
    <t>هيونداي أكسنت     2018    د.ص.ق    4363</t>
  </si>
  <si>
    <t>هيونداي أكسنت    2018    د.ص.ق    4365</t>
  </si>
  <si>
    <t>هيونداي أكسنت    2018    د.ص.ق    4367</t>
  </si>
  <si>
    <t>هيونداي أكسنت    2018    د.ص.ق    4368</t>
  </si>
  <si>
    <t>اعتماد مستندي 6201664 - مكابس ارضية عدد 15 مكبس من سابتك</t>
  </si>
  <si>
    <t>JV-00492</t>
  </si>
  <si>
    <t>مكبس نفايات أرضي رمادي  001/034</t>
  </si>
  <si>
    <t>مكبس نفايات أرضي رمادي  002/034</t>
  </si>
  <si>
    <t>مكبس نفايات أرضي رمادي  003/034</t>
  </si>
  <si>
    <t>مكبس نفايات أرضي رمادي  004/034</t>
  </si>
  <si>
    <t>مكبس نفايات أرضي رمادي  005/034</t>
  </si>
  <si>
    <t>مكبس نفايات أرضي رمادي  006/034</t>
  </si>
  <si>
    <t>مكبس نفايات أرضي رمادي  007/034</t>
  </si>
  <si>
    <t>مكبس نفايات أرضي رمادي  008/034</t>
  </si>
  <si>
    <t>مكبس نفايات أرضي رمادي  009/034</t>
  </si>
  <si>
    <t>مكبس نفايات أرضي رمادي  010/034</t>
  </si>
  <si>
    <t>مكبس نفايات أرضي رمادي  011/034</t>
  </si>
  <si>
    <t>مكبس نفايات أرضي رمادي  012/034</t>
  </si>
  <si>
    <t>مكبس نفايات أرضي رمادي  013/034</t>
  </si>
  <si>
    <t>مكبس نفايات أرضي رمادي  014/034</t>
  </si>
  <si>
    <t>مكبس نفايات أرضي رمادي  015/034</t>
  </si>
  <si>
    <t>مكبس نفايات أرضي رمادي  016/034</t>
  </si>
  <si>
    <t>مكبس نفايات أرضي رمادي  017/034</t>
  </si>
  <si>
    <t>مكبس نفايات أرضي رمادي  018/034</t>
  </si>
  <si>
    <t>مكبس نفايات أرضي رمادي  019/034</t>
  </si>
  <si>
    <t>مكبس نفايات أرضي رمادي  020/034</t>
  </si>
  <si>
    <t>مكبس نفايات أرضي رمادي  021/034</t>
  </si>
  <si>
    <t>مكبس نفايات أرضي رمادي  022/034</t>
  </si>
  <si>
    <t>مكبس نفايات أرضي رمادي  023/034</t>
  </si>
  <si>
    <t>مكبس نفايات أرضي رمادي  024/034</t>
  </si>
  <si>
    <t>مكبس نفايات أرضي رمادي  025/034</t>
  </si>
  <si>
    <t>مكبس نفايات أرضي رمادي  026/034</t>
  </si>
  <si>
    <t>مكبس نفايات أرضي رمادي  027/034</t>
  </si>
  <si>
    <t>مكبس نفايات أرضي رمادي  028/034</t>
  </si>
  <si>
    <t>مكبس نفايات أرضي رمادي  029/034</t>
  </si>
  <si>
    <t>مكبس نفايات أرضي رمادي  030/034</t>
  </si>
  <si>
    <t>الكود</t>
  </si>
  <si>
    <t>مك 001/034</t>
  </si>
  <si>
    <t>مك 002/034</t>
  </si>
  <si>
    <t>مك 003/034</t>
  </si>
  <si>
    <t>مك 004/034</t>
  </si>
  <si>
    <t>مك 005/034</t>
  </si>
  <si>
    <t>مك 006/034</t>
  </si>
  <si>
    <t>مك 007/034</t>
  </si>
  <si>
    <t>مك 008/034</t>
  </si>
  <si>
    <t>مك 009/034</t>
  </si>
  <si>
    <t>مك 010/034</t>
  </si>
  <si>
    <t>مك 011/034</t>
  </si>
  <si>
    <t>مك 012/034</t>
  </si>
  <si>
    <t>مك 013/034</t>
  </si>
  <si>
    <t>مك 014/034</t>
  </si>
  <si>
    <t>مك 015/034</t>
  </si>
  <si>
    <t>مك 016/034</t>
  </si>
  <si>
    <t>مك 017/034</t>
  </si>
  <si>
    <t>مك 018/034</t>
  </si>
  <si>
    <t>مك 019/034</t>
  </si>
  <si>
    <t>مك 020/034</t>
  </si>
  <si>
    <t>مك 021/034</t>
  </si>
  <si>
    <t>مك 022/034</t>
  </si>
  <si>
    <t>مك 023/034</t>
  </si>
  <si>
    <t>مك 024/034</t>
  </si>
  <si>
    <t>مك 025/034</t>
  </si>
  <si>
    <t>مك 026/034</t>
  </si>
  <si>
    <t>مك 027/034</t>
  </si>
  <si>
    <t>مك 028/034</t>
  </si>
  <si>
    <t>مك 029/034</t>
  </si>
  <si>
    <t>مك 030/034</t>
  </si>
  <si>
    <t>مك MT001</t>
  </si>
  <si>
    <t>مك MT002</t>
  </si>
  <si>
    <t>مك MT003</t>
  </si>
  <si>
    <t>مكبس نفايات أرضي رمادي   MT001</t>
  </si>
  <si>
    <t>مكبس نفايات أرضي رمادي   MT002</t>
  </si>
  <si>
    <t>مكبس نفايات أرضي رمادي   MT003</t>
  </si>
  <si>
    <t>SA001</t>
  </si>
  <si>
    <t>SA002</t>
  </si>
  <si>
    <t>SA003</t>
  </si>
  <si>
    <t>SA004</t>
  </si>
  <si>
    <t>SA005</t>
  </si>
  <si>
    <t>SA006</t>
  </si>
  <si>
    <t>SA007</t>
  </si>
  <si>
    <t>SA008</t>
  </si>
  <si>
    <t>SA009</t>
  </si>
  <si>
    <t>SA010</t>
  </si>
  <si>
    <t>SA011</t>
  </si>
  <si>
    <t>SA012</t>
  </si>
  <si>
    <t>SA013</t>
  </si>
  <si>
    <t>SA014</t>
  </si>
  <si>
    <t>SA015</t>
  </si>
  <si>
    <t>SA016</t>
  </si>
  <si>
    <t>SA017</t>
  </si>
  <si>
    <t>SA018</t>
  </si>
  <si>
    <t>مكبس نفايات أرضي    SA001</t>
  </si>
  <si>
    <t>مكبس نفايات أرضي    SA002</t>
  </si>
  <si>
    <t>مكبس نفايات أرضي    SA003</t>
  </si>
  <si>
    <t>مكبس نفايات أرضي    SA004</t>
  </si>
  <si>
    <t>مكبس نفايات أرضي    SA005</t>
  </si>
  <si>
    <t>مكبس نفايات أرضي    SA006</t>
  </si>
  <si>
    <t>مكبس نفايات أرضي    SA007</t>
  </si>
  <si>
    <t>مكبس نفايات أرضي    SA008</t>
  </si>
  <si>
    <t>مكبس نفايات أرضي    SA009</t>
  </si>
  <si>
    <t>مكبس نفايات أرضي    SA010</t>
  </si>
  <si>
    <t>مكبس نفايات أرضي    SA011</t>
  </si>
  <si>
    <t>مكبس نفايات أرضي    SA012</t>
  </si>
  <si>
    <t>مكبس نفايات أرضي    SA013</t>
  </si>
  <si>
    <t>مكبس نفايات أرضي    SA014</t>
  </si>
  <si>
    <t>مكبس نفايات أرضي    SA015</t>
  </si>
  <si>
    <t>مكبس نفايات أرضي    SA016</t>
  </si>
  <si>
    <t>مكبس نفايات أرضي    SA017</t>
  </si>
  <si>
    <t>مكبس نفايات أرضي    SA018</t>
  </si>
  <si>
    <t>مكبس نفايات أرضي  سابتك</t>
  </si>
  <si>
    <t>مكبس نفايات أرضي  الساطعة</t>
  </si>
  <si>
    <t>مكبس نفايات أرضي تصنيع المعادن</t>
  </si>
  <si>
    <t>أحمد محروس</t>
  </si>
  <si>
    <t>شركة عبد اللطيف جميل للتمويل</t>
  </si>
  <si>
    <t>عماد حمزة</t>
  </si>
  <si>
    <t>طارق علي</t>
  </si>
  <si>
    <t>أيمن الكمار</t>
  </si>
  <si>
    <t>حسني عثمان</t>
  </si>
  <si>
    <t>CHTAH 001</t>
  </si>
  <si>
    <t>CHCAP 001</t>
  </si>
  <si>
    <t>شيفورولية كابريس</t>
  </si>
  <si>
    <t>HYACC 001</t>
  </si>
  <si>
    <t>HYACC 002</t>
  </si>
  <si>
    <t>HYACC 003</t>
  </si>
  <si>
    <t>HYACC 004</t>
  </si>
  <si>
    <t>HYACC 005</t>
  </si>
  <si>
    <t>HYACC 007</t>
  </si>
  <si>
    <t>HYACC 008</t>
  </si>
  <si>
    <t>HYACC 009</t>
  </si>
  <si>
    <t>HYACC 010</t>
  </si>
  <si>
    <t>HYACC 006</t>
  </si>
  <si>
    <t>HYACC 011</t>
  </si>
  <si>
    <t>HYACC 012</t>
  </si>
  <si>
    <t>HYACC 013</t>
  </si>
  <si>
    <t>HYACC 014</t>
  </si>
  <si>
    <t>HYACC 015</t>
  </si>
  <si>
    <t>HYACC 016</t>
  </si>
  <si>
    <t>HYACC 017</t>
  </si>
  <si>
    <t>HYACC 018</t>
  </si>
  <si>
    <t>HYACC 019</t>
  </si>
  <si>
    <t>HYACC 020</t>
  </si>
  <si>
    <t>HYTUCC 001</t>
  </si>
  <si>
    <t>TYFORT 001</t>
  </si>
  <si>
    <t>TYFORT 002</t>
  </si>
  <si>
    <t>CHCAP 002</t>
  </si>
  <si>
    <t>NIAXT 001</t>
  </si>
  <si>
    <t>BICKUP 001</t>
  </si>
  <si>
    <t>أشرف حسين حسين</t>
  </si>
  <si>
    <t>د.ب.ن
8437</t>
  </si>
  <si>
    <t>HYTUCC 002</t>
  </si>
  <si>
    <t>د.ب.ن
8435</t>
  </si>
  <si>
    <t>أحمد أبو جميل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</si>
</sst>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[$-409]d/mmm/yy;@"/>
    <numFmt numFmtId="165" formatCode="_-* #,##0.00_-;_-* #,##0.00\-;_-* &quot;-&quot;??_-;_-@_-"/>
    <numFmt numFmtId="166" formatCode="[$-409]d\-mmm\-yy;@"/>
    <numFmt numFmtId="167" formatCode="_-* #,##0_-;_-* #,##0\-;_-* &quot;-&quot;??_-;_-@_-"/>
    <numFmt numFmtId="168" formatCode="yyyy\-mm\-dd;@"/>
    <numFmt numFmtId="169" formatCode="_-* #,##0.00\ _ر_._س_._‏_-;\-* #,##0.00\ _ر_._س_._‏_-;_-* &quot;-&quot;??\ _ر_._س_._‏_-;_-@_-"/>
    <numFmt numFmtId="170" formatCode="[$-10B0000]d\ mmmm\ yyyy;@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u val="double"/>
      <sz val="22"/>
      <color theme="1"/>
      <name val="Akhbar MT"/>
      <charset val="178"/>
    </font>
    <font>
      <b/>
      <u val="double"/>
      <sz val="22"/>
      <color rgb="FFC00000"/>
      <name val="Akhbar MT"/>
      <charset val="178"/>
    </font>
    <font>
      <b/>
      <u val="double"/>
      <sz val="24"/>
      <color rgb="FF002060"/>
      <name val="Akhbar MT"/>
      <charset val="178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20"/>
      <color theme="1"/>
      <name val="Calibri"/>
      <family val="2"/>
      <scheme val="minor"/>
    </font>
    <font>
      <b/>
      <u/>
      <sz val="18"/>
      <color theme="1"/>
      <name val="Arial Black"/>
      <family val="2"/>
    </font>
    <font>
      <b/>
      <u/>
      <sz val="18"/>
      <color rgb="FFC00000"/>
      <name val="Arial Black"/>
      <family val="2"/>
    </font>
    <font>
      <b/>
      <u/>
      <sz val="18"/>
      <color rgb="FF002060"/>
      <name val="Arial Black"/>
      <family val="2"/>
    </font>
    <font>
      <b/>
      <u val="singleAccounting"/>
      <sz val="16"/>
      <color theme="1"/>
      <name val="Calibri"/>
      <family val="2"/>
      <scheme val="minor"/>
    </font>
    <font>
      <b/>
      <u val="singleAccounting"/>
      <sz val="16"/>
      <color theme="1"/>
      <name val="Arial Black"/>
      <family val="2"/>
    </font>
    <font>
      <b/>
      <sz val="18"/>
      <color theme="1"/>
      <name val="Calibri"/>
      <family val="2"/>
      <scheme val="minor"/>
    </font>
    <font>
      <b/>
      <u val="singleAccounting"/>
      <sz val="16"/>
      <color rgb="FFC00000"/>
      <name val="Arial Black"/>
      <family val="2"/>
    </font>
    <font>
      <b/>
      <sz val="20"/>
      <color theme="1"/>
      <name val="Arial Black"/>
      <family val="2"/>
    </font>
    <font>
      <b/>
      <sz val="16"/>
      <color theme="1"/>
      <name val="Arial Black"/>
      <family val="2"/>
    </font>
    <font>
      <b/>
      <u/>
      <sz val="36"/>
      <color theme="1"/>
      <name val="Calibri"/>
      <family val="2"/>
      <scheme val="minor"/>
    </font>
    <font>
      <b/>
      <u/>
      <sz val="36"/>
      <color theme="0"/>
      <name val="Sakkal Majalla"/>
    </font>
    <font>
      <b/>
      <u/>
      <sz val="24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indexed="81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24"/>
      <color rgb="FF314D44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u val="singleAccounting"/>
      <sz val="24"/>
      <color rgb="FFC00000"/>
      <name val="Calibri"/>
      <family val="2"/>
      <scheme val="minor"/>
    </font>
    <font>
      <b/>
      <u val="singleAccounting"/>
      <sz val="24"/>
      <color rgb="FFFF0000"/>
      <name val="Calibri"/>
      <family val="2"/>
      <scheme val="minor"/>
    </font>
    <font>
      <b/>
      <u val="doubleAccounting"/>
      <sz val="24"/>
      <color rgb="FF00206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9" tint="-0.499984740745262"/>
      <name val="Calibri"/>
      <family val="2"/>
      <scheme val="minor"/>
    </font>
    <font>
      <b/>
      <sz val="24"/>
      <color theme="8" tint="-0.499984740745262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/>
      <diagonal/>
    </border>
    <border>
      <left style="double">
        <color auto="1"/>
      </left>
      <right style="double">
        <color auto="1"/>
      </right>
      <top style="medium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dashed">
        <color rgb="FF7030A0"/>
      </right>
      <top style="medium">
        <color auto="1"/>
      </top>
      <bottom style="dashed">
        <color rgb="FF7030A0"/>
      </bottom>
      <diagonal/>
    </border>
    <border>
      <left style="dashed">
        <color rgb="FF7030A0"/>
      </left>
      <right style="dashed">
        <color rgb="FF7030A0"/>
      </right>
      <top style="medium">
        <color auto="1"/>
      </top>
      <bottom style="dashed">
        <color rgb="FF7030A0"/>
      </bottom>
      <diagonal/>
    </border>
    <border>
      <left style="medium">
        <color auto="1"/>
      </left>
      <right style="dashed">
        <color rgb="FF7030A0"/>
      </right>
      <top style="dashed">
        <color rgb="FF7030A0"/>
      </top>
      <bottom style="dashed">
        <color rgb="FF7030A0"/>
      </bottom>
      <diagonal/>
    </border>
    <border>
      <left style="dashed">
        <color rgb="FF7030A0"/>
      </left>
      <right style="dashed">
        <color rgb="FF7030A0"/>
      </right>
      <top style="dashed">
        <color rgb="FF7030A0"/>
      </top>
      <bottom style="dashed">
        <color rgb="FF7030A0"/>
      </bottom>
      <diagonal/>
    </border>
    <border>
      <left style="medium">
        <color auto="1"/>
      </left>
      <right style="dashed">
        <color rgb="FF7030A0"/>
      </right>
      <top style="dashed">
        <color rgb="FF7030A0"/>
      </top>
      <bottom style="medium">
        <color auto="1"/>
      </bottom>
      <diagonal/>
    </border>
    <border>
      <left style="dashed">
        <color rgb="FF7030A0"/>
      </left>
      <right style="dashed">
        <color rgb="FF7030A0"/>
      </right>
      <top style="dashed">
        <color rgb="FF7030A0"/>
      </top>
      <bottom style="medium">
        <color auto="1"/>
      </bottom>
      <diagonal/>
    </border>
    <border>
      <left style="dashed">
        <color rgb="FF7030A0"/>
      </left>
      <right/>
      <top style="dashed">
        <color rgb="FF7030A0"/>
      </top>
      <bottom style="dashed">
        <color rgb="FF7030A0"/>
      </bottom>
      <diagonal/>
    </border>
    <border>
      <left/>
      <right style="dashed">
        <color rgb="FF7030A0"/>
      </right>
      <top style="dashed">
        <color rgb="FF7030A0"/>
      </top>
      <bottom style="dashed">
        <color rgb="FF7030A0"/>
      </bottom>
      <diagonal/>
    </border>
    <border>
      <left style="dashed">
        <color rgb="FF7030A0"/>
      </left>
      <right style="double">
        <color rgb="FF7030A0"/>
      </right>
      <top style="dashed">
        <color rgb="FF7030A0"/>
      </top>
      <bottom style="dashed">
        <color rgb="FF7030A0"/>
      </bottom>
      <diagonal/>
    </border>
    <border>
      <left style="double">
        <color rgb="FF7030A0"/>
      </left>
      <right style="dashDot">
        <color rgb="FFC00000"/>
      </right>
      <top style="dashed">
        <color rgb="FF7030A0"/>
      </top>
      <bottom style="dashDot">
        <color rgb="FFC00000"/>
      </bottom>
      <diagonal/>
    </border>
    <border>
      <left style="dashDot">
        <color rgb="FFC00000"/>
      </left>
      <right style="dashDot">
        <color rgb="FFC00000"/>
      </right>
      <top style="dashed">
        <color rgb="FF7030A0"/>
      </top>
      <bottom style="dashDot">
        <color rgb="FFC00000"/>
      </bottom>
      <diagonal/>
    </border>
    <border>
      <left style="double">
        <color rgb="FF7030A0"/>
      </left>
      <right style="dashDot">
        <color rgb="FFC00000"/>
      </right>
      <top style="dashDot">
        <color rgb="FFC00000"/>
      </top>
      <bottom style="dashDot">
        <color rgb="FFC00000"/>
      </bottom>
      <diagonal/>
    </border>
    <border>
      <left style="dashDot">
        <color rgb="FFC00000"/>
      </left>
      <right style="dashDot">
        <color rgb="FFC00000"/>
      </right>
      <top style="dashDot">
        <color rgb="FFC00000"/>
      </top>
      <bottom style="dashDot">
        <color rgb="FFC00000"/>
      </bottom>
      <diagonal/>
    </border>
    <border>
      <left style="double">
        <color rgb="FF7030A0"/>
      </left>
      <right style="dashDot">
        <color rgb="FFC00000"/>
      </right>
      <top style="dashDot">
        <color rgb="FFC00000"/>
      </top>
      <bottom style="dashed">
        <color rgb="FF7030A0"/>
      </bottom>
      <diagonal/>
    </border>
    <border>
      <left style="dashDot">
        <color rgb="FFC00000"/>
      </left>
      <right style="dashDot">
        <color rgb="FFC00000"/>
      </right>
      <top style="dashDot">
        <color rgb="FFC00000"/>
      </top>
      <bottom style="dashed">
        <color rgb="FF7030A0"/>
      </bottom>
      <diagonal/>
    </border>
    <border>
      <left style="dashed">
        <color rgb="FF7030A0"/>
      </left>
      <right/>
      <top style="medium">
        <color auto="1"/>
      </top>
      <bottom style="dashed">
        <color rgb="FF7030A0"/>
      </bottom>
      <diagonal/>
    </border>
    <border>
      <left style="dashed">
        <color rgb="FF7030A0"/>
      </left>
      <right/>
      <top style="dashed">
        <color rgb="FF7030A0"/>
      </top>
      <bottom style="medium">
        <color auto="1"/>
      </bottom>
      <diagonal/>
    </border>
    <border>
      <left/>
      <right style="dashed">
        <color rgb="FF7030A0"/>
      </right>
      <top style="medium">
        <color auto="1"/>
      </top>
      <bottom style="dashed">
        <color rgb="FF7030A0"/>
      </bottom>
      <diagonal/>
    </border>
    <border>
      <left/>
      <right style="dashed">
        <color rgb="FF7030A0"/>
      </right>
      <top style="dashed">
        <color rgb="FF7030A0"/>
      </top>
      <bottom style="medium">
        <color auto="1"/>
      </bottom>
      <diagonal/>
    </border>
    <border>
      <left style="double">
        <color rgb="FFC00000"/>
      </left>
      <right/>
      <top style="double">
        <color rgb="FFC00000"/>
      </top>
      <bottom/>
      <diagonal/>
    </border>
    <border>
      <left/>
      <right/>
      <top style="double">
        <color rgb="FFC00000"/>
      </top>
      <bottom/>
      <diagonal/>
    </border>
    <border>
      <left/>
      <right style="double">
        <color rgb="FFC00000"/>
      </right>
      <top style="double">
        <color rgb="FFC00000"/>
      </top>
      <bottom/>
      <diagonal/>
    </border>
    <border>
      <left style="double">
        <color rgb="FFC00000"/>
      </left>
      <right style="dashed">
        <color rgb="FF7030A0"/>
      </right>
      <top style="medium">
        <color auto="1"/>
      </top>
      <bottom style="dashed">
        <color rgb="FF7030A0"/>
      </bottom>
      <diagonal/>
    </border>
    <border>
      <left style="dashed">
        <color rgb="FF7030A0"/>
      </left>
      <right style="double">
        <color rgb="FFC00000"/>
      </right>
      <top style="medium">
        <color auto="1"/>
      </top>
      <bottom style="dashed">
        <color rgb="FF7030A0"/>
      </bottom>
      <diagonal/>
    </border>
    <border>
      <left style="double">
        <color rgb="FFC00000"/>
      </left>
      <right style="dashed">
        <color rgb="FF7030A0"/>
      </right>
      <top style="dashed">
        <color rgb="FF7030A0"/>
      </top>
      <bottom style="dashed">
        <color rgb="FF7030A0"/>
      </bottom>
      <diagonal/>
    </border>
    <border>
      <left style="dashed">
        <color rgb="FF7030A0"/>
      </left>
      <right style="double">
        <color rgb="FFC00000"/>
      </right>
      <top style="dashed">
        <color rgb="FF7030A0"/>
      </top>
      <bottom style="dashed">
        <color rgb="FF7030A0"/>
      </bottom>
      <diagonal/>
    </border>
    <border>
      <left style="double">
        <color rgb="FFC00000"/>
      </left>
      <right style="dashed">
        <color rgb="FF7030A0"/>
      </right>
      <top style="dashed">
        <color rgb="FF7030A0"/>
      </top>
      <bottom style="double">
        <color rgb="FFC00000"/>
      </bottom>
      <diagonal/>
    </border>
    <border>
      <left style="dashed">
        <color rgb="FF7030A0"/>
      </left>
      <right style="dashed">
        <color rgb="FF7030A0"/>
      </right>
      <top style="dashed">
        <color rgb="FF7030A0"/>
      </top>
      <bottom style="double">
        <color rgb="FFC00000"/>
      </bottom>
      <diagonal/>
    </border>
    <border>
      <left style="dashed">
        <color rgb="FF7030A0"/>
      </left>
      <right style="double">
        <color rgb="FFC00000"/>
      </right>
      <top style="dashed">
        <color rgb="FF7030A0"/>
      </top>
      <bottom style="double">
        <color rgb="FFC00000"/>
      </bottom>
      <diagonal/>
    </border>
    <border>
      <left style="double">
        <color rgb="FFC00000"/>
      </left>
      <right/>
      <top style="double">
        <color rgb="FF7030A0"/>
      </top>
      <bottom/>
      <diagonal/>
    </border>
    <border>
      <left/>
      <right/>
      <top style="double">
        <color rgb="FF7030A0"/>
      </top>
      <bottom/>
      <diagonal/>
    </border>
    <border>
      <left/>
      <right style="double">
        <color rgb="FF7030A0"/>
      </right>
      <top style="double">
        <color rgb="FF7030A0"/>
      </top>
      <bottom/>
      <diagonal/>
    </border>
    <border>
      <left style="dashed">
        <color rgb="FF7030A0"/>
      </left>
      <right style="double">
        <color rgb="FF7030A0"/>
      </right>
      <top style="medium">
        <color auto="1"/>
      </top>
      <bottom style="dashed">
        <color rgb="FF7030A0"/>
      </bottom>
      <diagonal/>
    </border>
    <border>
      <left style="double">
        <color rgb="FFC00000"/>
      </left>
      <right style="dashed">
        <color rgb="FF7030A0"/>
      </right>
      <top style="dashed">
        <color rgb="FF7030A0"/>
      </top>
      <bottom style="double">
        <color rgb="FF7030A0"/>
      </bottom>
      <diagonal/>
    </border>
    <border>
      <left style="dashed">
        <color rgb="FF7030A0"/>
      </left>
      <right style="dashed">
        <color rgb="FF7030A0"/>
      </right>
      <top style="dashed">
        <color rgb="FF7030A0"/>
      </top>
      <bottom style="double">
        <color rgb="FF7030A0"/>
      </bottom>
      <diagonal/>
    </border>
    <border>
      <left style="dashed">
        <color rgb="FF7030A0"/>
      </left>
      <right style="double">
        <color rgb="FF7030A0"/>
      </right>
      <top style="dashed">
        <color rgb="FF7030A0"/>
      </top>
      <bottom style="double">
        <color rgb="FF7030A0"/>
      </bottom>
      <diagonal/>
    </border>
    <border>
      <left style="double">
        <color rgb="FF7030A0"/>
      </left>
      <right/>
      <top style="double">
        <color rgb="FFC00000"/>
      </top>
      <bottom/>
      <diagonal/>
    </border>
    <border>
      <left style="double">
        <color rgb="FF7030A0"/>
      </left>
      <right style="dashed">
        <color rgb="FF7030A0"/>
      </right>
      <top style="medium">
        <color auto="1"/>
      </top>
      <bottom style="dashed">
        <color rgb="FF7030A0"/>
      </bottom>
      <diagonal/>
    </border>
    <border>
      <left style="dashDot">
        <color rgb="FFC00000"/>
      </left>
      <right style="double">
        <color rgb="FFC00000"/>
      </right>
      <top style="dashed">
        <color rgb="FF7030A0"/>
      </top>
      <bottom style="dashDot">
        <color rgb="FFC00000"/>
      </bottom>
      <diagonal/>
    </border>
    <border>
      <left style="dashDot">
        <color rgb="FFC00000"/>
      </left>
      <right style="double">
        <color rgb="FFC00000"/>
      </right>
      <top style="dashDot">
        <color rgb="FFC00000"/>
      </top>
      <bottom style="dashDot">
        <color rgb="FFC00000"/>
      </bottom>
      <diagonal/>
    </border>
    <border>
      <left style="dashDot">
        <color rgb="FFC00000"/>
      </left>
      <right style="double">
        <color rgb="FFC00000"/>
      </right>
      <top style="dashDot">
        <color rgb="FFC00000"/>
      </top>
      <bottom style="dashed">
        <color rgb="FF7030A0"/>
      </bottom>
      <diagonal/>
    </border>
    <border>
      <left style="double">
        <color rgb="FF7030A0"/>
      </left>
      <right style="dashed">
        <color rgb="FF7030A0"/>
      </right>
      <top style="dashed">
        <color rgb="FF7030A0"/>
      </top>
      <bottom style="double">
        <color rgb="FFC00000"/>
      </bottom>
      <diagonal/>
    </border>
    <border>
      <left style="double">
        <color rgb="FFC00000"/>
      </left>
      <right/>
      <top style="double">
        <color rgb="FF00B050"/>
      </top>
      <bottom/>
      <diagonal/>
    </border>
    <border>
      <left/>
      <right/>
      <top style="double">
        <color rgb="FF00B050"/>
      </top>
      <bottom/>
      <diagonal/>
    </border>
    <border>
      <left/>
      <right style="double">
        <color rgb="FF00B050"/>
      </right>
      <top style="double">
        <color rgb="FF00B050"/>
      </top>
      <bottom/>
      <diagonal/>
    </border>
    <border>
      <left style="dashed">
        <color rgb="FF7030A0"/>
      </left>
      <right style="double">
        <color rgb="FF00B050"/>
      </right>
      <top style="medium">
        <color auto="1"/>
      </top>
      <bottom style="dashed">
        <color rgb="FF7030A0"/>
      </bottom>
      <diagonal/>
    </border>
    <border>
      <left style="dashed">
        <color rgb="FF7030A0"/>
      </left>
      <right style="double">
        <color rgb="FF00B050"/>
      </right>
      <top style="dashed">
        <color rgb="FF7030A0"/>
      </top>
      <bottom style="dashed">
        <color rgb="FF7030A0"/>
      </bottom>
      <diagonal/>
    </border>
    <border>
      <left style="double">
        <color rgb="FFC00000"/>
      </left>
      <right style="dashed">
        <color rgb="FF7030A0"/>
      </right>
      <top style="dashed">
        <color rgb="FF7030A0"/>
      </top>
      <bottom style="double">
        <color rgb="FF00B050"/>
      </bottom>
      <diagonal/>
    </border>
    <border>
      <left style="dashed">
        <color rgb="FF7030A0"/>
      </left>
      <right style="dashed">
        <color rgb="FF7030A0"/>
      </right>
      <top style="dashed">
        <color rgb="FF7030A0"/>
      </top>
      <bottom style="double">
        <color rgb="FF00B050"/>
      </bottom>
      <diagonal/>
    </border>
    <border>
      <left style="dashed">
        <color rgb="FF7030A0"/>
      </left>
      <right style="double">
        <color rgb="FF00B050"/>
      </right>
      <top style="dashed">
        <color rgb="FF7030A0"/>
      </top>
      <bottom style="double">
        <color rgb="FF00B050"/>
      </bottom>
      <diagonal/>
    </border>
    <border>
      <left style="double">
        <color rgb="FF0070C0"/>
      </left>
      <right/>
      <top style="double">
        <color rgb="FF0070C0"/>
      </top>
      <bottom/>
      <diagonal/>
    </border>
    <border>
      <left/>
      <right/>
      <top style="double">
        <color rgb="FF0070C0"/>
      </top>
      <bottom/>
      <diagonal/>
    </border>
    <border>
      <left/>
      <right style="double">
        <color rgb="FF0070C0"/>
      </right>
      <top style="double">
        <color rgb="FF0070C0"/>
      </top>
      <bottom/>
      <diagonal/>
    </border>
    <border>
      <left style="double">
        <color rgb="FF0070C0"/>
      </left>
      <right style="dashed">
        <color rgb="FF7030A0"/>
      </right>
      <top style="medium">
        <color auto="1"/>
      </top>
      <bottom style="dashed">
        <color rgb="FF7030A0"/>
      </bottom>
      <diagonal/>
    </border>
    <border>
      <left style="dashed">
        <color rgb="FF7030A0"/>
      </left>
      <right style="double">
        <color rgb="FF0070C0"/>
      </right>
      <top style="medium">
        <color auto="1"/>
      </top>
      <bottom style="dashed">
        <color rgb="FF7030A0"/>
      </bottom>
      <diagonal/>
    </border>
    <border>
      <left style="double">
        <color rgb="FF0070C0"/>
      </left>
      <right style="dashed">
        <color rgb="FF7030A0"/>
      </right>
      <top style="dashed">
        <color rgb="FF7030A0"/>
      </top>
      <bottom style="dashed">
        <color rgb="FF7030A0"/>
      </bottom>
      <diagonal/>
    </border>
    <border>
      <left style="dashed">
        <color rgb="FF7030A0"/>
      </left>
      <right style="double">
        <color rgb="FF0070C0"/>
      </right>
      <top style="dashed">
        <color rgb="FF7030A0"/>
      </top>
      <bottom style="dashed">
        <color rgb="FF7030A0"/>
      </bottom>
      <diagonal/>
    </border>
    <border>
      <left style="double">
        <color rgb="FF0070C0"/>
      </left>
      <right style="dashed">
        <color rgb="FF7030A0"/>
      </right>
      <top style="dashed">
        <color rgb="FF7030A0"/>
      </top>
      <bottom style="double">
        <color rgb="FF0070C0"/>
      </bottom>
      <diagonal/>
    </border>
    <border>
      <left style="dashed">
        <color rgb="FF7030A0"/>
      </left>
      <right style="dashed">
        <color rgb="FF7030A0"/>
      </right>
      <top style="dashed">
        <color rgb="FF7030A0"/>
      </top>
      <bottom style="double">
        <color rgb="FF0070C0"/>
      </bottom>
      <diagonal/>
    </border>
    <border>
      <left style="dashed">
        <color rgb="FF7030A0"/>
      </left>
      <right style="double">
        <color rgb="FF0070C0"/>
      </right>
      <top style="dashed">
        <color rgb="FF7030A0"/>
      </top>
      <bottom style="double">
        <color rgb="FF0070C0"/>
      </bottom>
      <diagonal/>
    </border>
    <border>
      <left style="dashDot">
        <color rgb="FFC00000"/>
      </left>
      <right style="double">
        <color rgb="FF7030A0"/>
      </right>
      <top style="dashDot">
        <color rgb="FFC00000"/>
      </top>
      <bottom style="dashDot">
        <color rgb="FFC00000"/>
      </bottom>
      <diagonal/>
    </border>
  </borders>
  <cellStyleXfs count="7">
    <xf numFmtId="166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7" fillId="0" borderId="0" applyNumberFormat="0" applyFill="0" applyBorder="0" applyAlignment="0" applyProtection="0">
      <alignment vertical="top"/>
      <protection locked="0"/>
    </xf>
    <xf numFmtId="164" fontId="2" fillId="0" borderId="0"/>
    <xf numFmtId="165" fontId="2" fillId="0" borderId="0" applyFont="0" applyFill="0" applyBorder="0" applyAlignment="0" applyProtection="0"/>
    <xf numFmtId="169" fontId="1" fillId="0" borderId="0" applyFont="0" applyFill="0" applyBorder="0" applyAlignment="0" applyProtection="0"/>
  </cellStyleXfs>
  <cellXfs count="254">
    <xf numFmtId="166" fontId="0" fillId="0" borderId="0" xfId="0"/>
    <xf numFmtId="164" fontId="2" fillId="0" borderId="0" xfId="4" applyProtection="1">
      <protection hidden="1"/>
    </xf>
    <xf numFmtId="14" fontId="3" fillId="2" borderId="1" xfId="4" applyNumberFormat="1" applyFont="1" applyFill="1" applyBorder="1" applyAlignment="1" applyProtection="1">
      <alignment horizontal="center" vertical="center" shrinkToFit="1"/>
      <protection hidden="1"/>
    </xf>
    <xf numFmtId="164" fontId="3" fillId="3" borderId="2" xfId="4" applyFont="1" applyFill="1" applyBorder="1" applyAlignment="1" applyProtection="1">
      <alignment horizontal="center" vertical="center" shrinkToFit="1"/>
      <protection hidden="1"/>
    </xf>
    <xf numFmtId="164" fontId="4" fillId="4" borderId="2" xfId="4" applyFont="1" applyFill="1" applyBorder="1" applyAlignment="1" applyProtection="1">
      <alignment horizontal="center" vertical="center" shrinkToFit="1"/>
      <protection hidden="1"/>
    </xf>
    <xf numFmtId="164" fontId="5" fillId="5" borderId="2" xfId="4" applyFont="1" applyFill="1" applyBorder="1" applyAlignment="1" applyProtection="1">
      <alignment horizontal="center" vertical="center" shrinkToFit="1"/>
      <protection hidden="1"/>
    </xf>
    <xf numFmtId="165" fontId="6" fillId="0" borderId="0" xfId="4" applyNumberFormat="1" applyFont="1" applyAlignment="1" applyProtection="1">
      <alignment horizontal="center" vertical="center"/>
      <protection hidden="1"/>
    </xf>
    <xf numFmtId="49" fontId="7" fillId="0" borderId="0" xfId="3" quotePrefix="1" applyNumberFormat="1" applyAlignment="1" applyProtection="1">
      <alignment horizontal="center" vertical="center"/>
      <protection hidden="1"/>
    </xf>
    <xf numFmtId="0" fontId="6" fillId="0" borderId="0" xfId="4" applyNumberFormat="1" applyFont="1" applyAlignment="1" applyProtection="1">
      <alignment horizontal="center" vertical="center"/>
      <protection hidden="1"/>
    </xf>
    <xf numFmtId="167" fontId="6" fillId="0" borderId="0" xfId="4" applyNumberFormat="1" applyFont="1" applyAlignment="1" applyProtection="1">
      <alignment horizontal="center" vertical="center"/>
      <protection hidden="1"/>
    </xf>
    <xf numFmtId="164" fontId="8" fillId="0" borderId="0" xfId="4" applyFont="1" applyAlignment="1" applyProtection="1">
      <alignment horizontal="center" vertical="center"/>
      <protection hidden="1"/>
    </xf>
    <xf numFmtId="49" fontId="2" fillId="0" borderId="0" xfId="4" applyNumberFormat="1" applyProtection="1">
      <protection hidden="1"/>
    </xf>
    <xf numFmtId="168" fontId="2" fillId="0" borderId="0" xfId="4" applyNumberFormat="1" applyProtection="1">
      <protection hidden="1"/>
    </xf>
    <xf numFmtId="1" fontId="6" fillId="0" borderId="0" xfId="4" applyNumberFormat="1" applyFont="1" applyAlignment="1" applyProtection="1">
      <alignment horizontal="center" vertical="center"/>
      <protection hidden="1"/>
    </xf>
    <xf numFmtId="49" fontId="6" fillId="0" borderId="0" xfId="4" applyNumberFormat="1" applyFont="1" applyAlignment="1" applyProtection="1">
      <alignment horizontal="center" vertical="center"/>
      <protection hidden="1"/>
    </xf>
    <xf numFmtId="164" fontId="6" fillId="0" borderId="0" xfId="4" applyFont="1" applyAlignment="1" applyProtection="1">
      <alignment horizontal="center" vertical="center"/>
      <protection hidden="1"/>
    </xf>
    <xf numFmtId="3" fontId="9" fillId="2" borderId="4" xfId="5" applyNumberFormat="1" applyFont="1" applyFill="1" applyBorder="1" applyAlignment="1" applyProtection="1">
      <alignment horizontal="center" vertical="center" shrinkToFit="1"/>
      <protection hidden="1"/>
    </xf>
    <xf numFmtId="3" fontId="9" fillId="3" borderId="5" xfId="4" applyNumberFormat="1" applyFont="1" applyFill="1" applyBorder="1" applyAlignment="1" applyProtection="1">
      <alignment horizontal="center" vertical="center" shrinkToFit="1"/>
      <protection hidden="1"/>
    </xf>
    <xf numFmtId="3" fontId="10" fillId="4" borderId="5" xfId="4" applyNumberFormat="1" applyFont="1" applyFill="1" applyBorder="1" applyAlignment="1" applyProtection="1">
      <alignment horizontal="center" vertical="center" shrinkToFit="1"/>
      <protection hidden="1"/>
    </xf>
    <xf numFmtId="3" fontId="11" fillId="5" borderId="6" xfId="4" applyNumberFormat="1" applyFont="1" applyFill="1" applyBorder="1" applyAlignment="1" applyProtection="1">
      <alignment horizontal="center" vertical="center" shrinkToFit="1"/>
      <protection hidden="1"/>
    </xf>
    <xf numFmtId="165" fontId="12" fillId="0" borderId="0" xfId="4" applyNumberFormat="1" applyFont="1" applyAlignment="1" applyProtection="1">
      <alignment horizontal="center" vertical="center"/>
      <protection hidden="1"/>
    </xf>
    <xf numFmtId="49" fontId="12" fillId="0" borderId="0" xfId="4" applyNumberFormat="1" applyFont="1" applyAlignment="1" applyProtection="1">
      <alignment horizontal="center" vertical="center"/>
      <protection hidden="1"/>
    </xf>
    <xf numFmtId="167" fontId="13" fillId="2" borderId="7" xfId="5" applyNumberFormat="1" applyFont="1" applyFill="1" applyBorder="1" applyAlignment="1" applyProtection="1">
      <alignment horizontal="center" vertical="center" shrinkToFit="1"/>
      <protection hidden="1"/>
    </xf>
    <xf numFmtId="0" fontId="14" fillId="0" borderId="0" xfId="5" applyNumberFormat="1" applyFont="1" applyAlignment="1" applyProtection="1">
      <alignment horizontal="center" vertical="center" shrinkToFit="1"/>
      <protection hidden="1"/>
    </xf>
    <xf numFmtId="167" fontId="14" fillId="0" borderId="0" xfId="5" applyNumberFormat="1" applyFont="1" applyAlignment="1" applyProtection="1">
      <alignment horizontal="center" vertical="center" shrinkToFit="1"/>
      <protection hidden="1"/>
    </xf>
    <xf numFmtId="167" fontId="15" fillId="2" borderId="7" xfId="5" applyNumberFormat="1" applyFont="1" applyFill="1" applyBorder="1" applyAlignment="1" applyProtection="1">
      <alignment horizontal="center" vertical="center" shrinkToFit="1"/>
      <protection hidden="1"/>
    </xf>
    <xf numFmtId="167" fontId="15" fillId="2" borderId="8" xfId="5" applyNumberFormat="1" applyFont="1" applyFill="1" applyBorder="1" applyAlignment="1" applyProtection="1">
      <alignment horizontal="center" vertical="center" shrinkToFit="1"/>
      <protection hidden="1"/>
    </xf>
    <xf numFmtId="167" fontId="15" fillId="0" borderId="0" xfId="5" applyNumberFormat="1" applyFont="1" applyAlignment="1" applyProtection="1">
      <alignment horizontal="center" vertical="center" shrinkToFit="1"/>
      <protection hidden="1"/>
    </xf>
    <xf numFmtId="167" fontId="15" fillId="2" borderId="9" xfId="5" applyNumberFormat="1" applyFont="1" applyFill="1" applyBorder="1" applyAlignment="1" applyProtection="1">
      <alignment horizontal="center" vertical="center" shrinkToFit="1"/>
      <protection hidden="1"/>
    </xf>
    <xf numFmtId="49" fontId="16" fillId="0" borderId="0" xfId="5" applyNumberFormat="1" applyFont="1" applyAlignment="1" applyProtection="1">
      <alignment horizontal="center" vertical="center" shrinkToFit="1"/>
      <protection hidden="1"/>
    </xf>
    <xf numFmtId="168" fontId="16" fillId="0" borderId="0" xfId="5" applyNumberFormat="1" applyFont="1" applyAlignment="1" applyProtection="1">
      <alignment horizontal="center" vertical="center" shrinkToFit="1"/>
      <protection hidden="1"/>
    </xf>
    <xf numFmtId="167" fontId="16" fillId="0" borderId="0" xfId="5" applyNumberFormat="1" applyFont="1" applyAlignment="1" applyProtection="1">
      <alignment horizontal="center" vertical="center" shrinkToFit="1"/>
      <protection hidden="1"/>
    </xf>
    <xf numFmtId="1" fontId="17" fillId="0" borderId="0" xfId="4" applyNumberFormat="1" applyFont="1" applyAlignment="1" applyProtection="1">
      <alignment horizontal="center" vertical="center"/>
      <protection hidden="1"/>
    </xf>
    <xf numFmtId="164" fontId="17" fillId="0" borderId="0" xfId="4" applyFont="1" applyAlignment="1" applyProtection="1">
      <alignment horizontal="center" vertical="center"/>
      <protection hidden="1"/>
    </xf>
    <xf numFmtId="16" fontId="2" fillId="0" borderId="0" xfId="4" applyNumberFormat="1" applyProtection="1">
      <protection hidden="1"/>
    </xf>
    <xf numFmtId="0" fontId="2" fillId="0" borderId="0" xfId="4" applyNumberFormat="1" applyProtection="1">
      <protection hidden="1"/>
    </xf>
    <xf numFmtId="165" fontId="14" fillId="0" borderId="0" xfId="1" applyFont="1" applyAlignment="1" applyProtection="1">
      <alignment horizontal="center" vertical="center"/>
      <protection hidden="1"/>
    </xf>
    <xf numFmtId="167" fontId="13" fillId="0" borderId="0" xfId="5" applyNumberFormat="1" applyFont="1" applyAlignment="1" applyProtection="1">
      <alignment horizontal="center" vertical="center" shrinkToFit="1"/>
      <protection hidden="1"/>
    </xf>
    <xf numFmtId="165" fontId="2" fillId="0" borderId="0" xfId="1" applyFont="1" applyProtection="1">
      <protection hidden="1"/>
    </xf>
    <xf numFmtId="165" fontId="21" fillId="0" borderId="0" xfId="1" applyFont="1" applyProtection="1">
      <protection hidden="1"/>
    </xf>
    <xf numFmtId="166" fontId="0" fillId="0" borderId="0" xfId="0" pivotButton="1"/>
    <xf numFmtId="165" fontId="0" fillId="0" borderId="0" xfId="1" applyFont="1"/>
    <xf numFmtId="165" fontId="0" fillId="0" borderId="0" xfId="0" applyNumberFormat="1"/>
    <xf numFmtId="0" fontId="0" fillId="0" borderId="0" xfId="1" applyNumberFormat="1" applyFont="1"/>
    <xf numFmtId="0" fontId="0" fillId="0" borderId="0" xfId="0" applyNumberFormat="1" applyAlignment="1">
      <alignment horizontal="left"/>
    </xf>
    <xf numFmtId="43" fontId="0" fillId="0" borderId="0" xfId="0" applyNumberFormat="1"/>
    <xf numFmtId="0" fontId="0" fillId="0" borderId="0" xfId="0" pivotButton="1" applyNumberFormat="1" applyAlignment="1">
      <alignment horizontal="center" vertical="center" wrapText="1"/>
    </xf>
    <xf numFmtId="166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0" borderId="0" xfId="1" applyFont="1" applyAlignment="1">
      <alignment horizontal="center" vertical="center" wrapText="1"/>
    </xf>
    <xf numFmtId="1" fontId="20" fillId="0" borderId="11" xfId="4" applyNumberFormat="1" applyFont="1" applyFill="1" applyBorder="1" applyAlignment="1" applyProtection="1">
      <alignment horizontal="center" vertical="center" wrapText="1" shrinkToFit="1"/>
      <protection hidden="1"/>
    </xf>
    <xf numFmtId="0" fontId="20" fillId="0" borderId="11" xfId="4" applyNumberFormat="1" applyFont="1" applyFill="1" applyBorder="1" applyAlignment="1" applyProtection="1">
      <alignment horizontal="center" vertical="center" wrapText="1" shrinkToFit="1"/>
      <protection hidden="1"/>
    </xf>
    <xf numFmtId="167" fontId="20" fillId="0" borderId="11" xfId="5" applyNumberFormat="1" applyFont="1" applyFill="1" applyBorder="1" applyAlignment="1" applyProtection="1">
      <alignment horizontal="center" vertical="center" wrapText="1" shrinkToFit="1"/>
      <protection hidden="1"/>
    </xf>
    <xf numFmtId="164" fontId="20" fillId="0" borderId="10" xfId="4" applyFont="1" applyFill="1" applyBorder="1" applyAlignment="1" applyProtection="1">
      <alignment horizontal="center" vertical="center" wrapText="1" shrinkToFit="1"/>
      <protection hidden="1"/>
    </xf>
    <xf numFmtId="164" fontId="20" fillId="0" borderId="11" xfId="4" applyFont="1" applyFill="1" applyBorder="1" applyAlignment="1" applyProtection="1">
      <alignment horizontal="center" vertical="center" wrapText="1" shrinkToFit="1"/>
      <protection hidden="1"/>
    </xf>
    <xf numFmtId="168" fontId="20" fillId="0" borderId="11" xfId="5" applyNumberFormat="1" applyFont="1" applyFill="1" applyBorder="1" applyAlignment="1" applyProtection="1">
      <alignment horizontal="center" vertical="center" wrapText="1" shrinkToFit="1"/>
      <protection hidden="1"/>
    </xf>
    <xf numFmtId="9" fontId="20" fillId="0" borderId="11" xfId="4" applyNumberFormat="1" applyFont="1" applyFill="1" applyBorder="1" applyAlignment="1" applyProtection="1">
      <alignment horizontal="center" vertical="center" wrapText="1" shrinkToFit="1"/>
      <protection hidden="1"/>
    </xf>
    <xf numFmtId="1" fontId="24" fillId="0" borderId="12" xfId="4" applyNumberFormat="1" applyFont="1" applyFill="1" applyBorder="1" applyAlignment="1" applyProtection="1">
      <alignment horizontal="center" vertical="center" shrinkToFit="1"/>
      <protection hidden="1"/>
    </xf>
    <xf numFmtId="164" fontId="24" fillId="0" borderId="13" xfId="4" applyFont="1" applyFill="1" applyBorder="1" applyAlignment="1" applyProtection="1">
      <alignment horizontal="center" vertical="center" shrinkToFit="1"/>
      <protection hidden="1"/>
    </xf>
    <xf numFmtId="164" fontId="25" fillId="0" borderId="13" xfId="4" applyFont="1" applyFill="1" applyBorder="1" applyAlignment="1" applyProtection="1">
      <alignment horizontal="center" vertical="center" shrinkToFit="1"/>
      <protection hidden="1"/>
    </xf>
    <xf numFmtId="0" fontId="24" fillId="0" borderId="13" xfId="4" applyNumberFormat="1" applyFont="1" applyFill="1" applyBorder="1" applyAlignment="1" applyProtection="1">
      <alignment horizontal="center" vertical="center" shrinkToFit="1"/>
      <protection hidden="1"/>
    </xf>
    <xf numFmtId="167" fontId="24" fillId="0" borderId="13" xfId="5" applyNumberFormat="1" applyFont="1" applyFill="1" applyBorder="1" applyAlignment="1" applyProtection="1">
      <alignment horizontal="center" vertical="center" shrinkToFit="1"/>
      <protection hidden="1"/>
    </xf>
    <xf numFmtId="10" fontId="24" fillId="0" borderId="13" xfId="2" applyNumberFormat="1" applyFont="1" applyFill="1" applyBorder="1" applyAlignment="1" applyProtection="1">
      <alignment horizontal="center" vertical="center" shrinkToFit="1"/>
      <protection hidden="1"/>
    </xf>
    <xf numFmtId="167" fontId="28" fillId="0" borderId="13" xfId="5" applyNumberFormat="1" applyFont="1" applyFill="1" applyBorder="1" applyAlignment="1" applyProtection="1">
      <alignment horizontal="center" vertical="center" shrinkToFit="1"/>
      <protection hidden="1"/>
    </xf>
    <xf numFmtId="1" fontId="24" fillId="0" borderId="12" xfId="4" applyNumberFormat="1" applyFont="1" applyBorder="1" applyAlignment="1" applyProtection="1">
      <alignment horizontal="center" vertical="center" shrinkToFit="1"/>
      <protection hidden="1"/>
    </xf>
    <xf numFmtId="164" fontId="24" fillId="0" borderId="13" xfId="4" applyFont="1" applyBorder="1" applyAlignment="1" applyProtection="1">
      <alignment horizontal="center" vertical="center" shrinkToFit="1"/>
      <protection hidden="1"/>
    </xf>
    <xf numFmtId="164" fontId="25" fillId="0" borderId="13" xfId="4" applyFont="1" applyBorder="1" applyAlignment="1" applyProtection="1">
      <alignment horizontal="center" vertical="center" shrinkToFit="1"/>
      <protection hidden="1"/>
    </xf>
    <xf numFmtId="0" fontId="24" fillId="0" borderId="13" xfId="4" applyNumberFormat="1" applyFont="1" applyBorder="1" applyAlignment="1" applyProtection="1">
      <alignment horizontal="center" vertical="center" shrinkToFit="1"/>
      <protection hidden="1"/>
    </xf>
    <xf numFmtId="167" fontId="24" fillId="0" borderId="13" xfId="5" applyNumberFormat="1" applyFont="1" applyBorder="1" applyAlignment="1" applyProtection="1">
      <alignment horizontal="center" vertical="center" shrinkToFit="1"/>
      <protection hidden="1"/>
    </xf>
    <xf numFmtId="10" fontId="24" fillId="0" borderId="13" xfId="2" applyNumberFormat="1" applyFont="1" applyBorder="1" applyAlignment="1" applyProtection="1">
      <alignment horizontal="center" vertical="center" shrinkToFit="1"/>
      <protection hidden="1"/>
    </xf>
    <xf numFmtId="167" fontId="28" fillId="0" borderId="13" xfId="5" applyNumberFormat="1" applyFont="1" applyBorder="1" applyAlignment="1" applyProtection="1">
      <alignment horizontal="center" vertical="center" shrinkToFit="1"/>
      <protection hidden="1"/>
    </xf>
    <xf numFmtId="10" fontId="24" fillId="0" borderId="13" xfId="4" applyNumberFormat="1" applyFont="1" applyBorder="1" applyAlignment="1" applyProtection="1">
      <alignment horizontal="center" vertical="center" shrinkToFit="1"/>
      <protection hidden="1"/>
    </xf>
    <xf numFmtId="0" fontId="24" fillId="0" borderId="13" xfId="4" applyNumberFormat="1" applyFont="1" applyBorder="1" applyAlignment="1" applyProtection="1">
      <alignment horizontal="center" vertical="center" wrapText="1" shrinkToFit="1"/>
      <protection hidden="1"/>
    </xf>
    <xf numFmtId="170" fontId="24" fillId="0" borderId="13" xfId="4" applyNumberFormat="1" applyFont="1" applyBorder="1" applyAlignment="1" applyProtection="1">
      <alignment horizontal="center" vertical="center" shrinkToFit="1"/>
      <protection hidden="1"/>
    </xf>
    <xf numFmtId="167" fontId="24" fillId="0" borderId="13" xfId="1" applyNumberFormat="1" applyFont="1" applyBorder="1" applyAlignment="1" applyProtection="1">
      <alignment horizontal="center" vertical="center" shrinkToFit="1"/>
      <protection hidden="1"/>
    </xf>
    <xf numFmtId="167" fontId="28" fillId="0" borderId="13" xfId="1" applyNumberFormat="1" applyFont="1" applyBorder="1" applyAlignment="1" applyProtection="1">
      <alignment horizontal="center" vertical="center" shrinkToFit="1"/>
      <protection hidden="1"/>
    </xf>
    <xf numFmtId="166" fontId="24" fillId="0" borderId="13" xfId="0" applyFont="1" applyFill="1" applyBorder="1" applyAlignment="1" applyProtection="1">
      <alignment horizontal="center" vertical="center" shrinkToFit="1"/>
      <protection hidden="1"/>
    </xf>
    <xf numFmtId="170" fontId="24" fillId="0" borderId="13" xfId="4" applyNumberFormat="1" applyFont="1" applyFill="1" applyBorder="1" applyAlignment="1" applyProtection="1">
      <alignment horizontal="center" vertical="center" shrinkToFit="1"/>
      <protection hidden="1"/>
    </xf>
    <xf numFmtId="167" fontId="24" fillId="0" borderId="13" xfId="1" applyNumberFormat="1" applyFont="1" applyFill="1" applyBorder="1" applyAlignment="1" applyProtection="1">
      <alignment horizontal="center" vertical="center" shrinkToFit="1"/>
      <protection hidden="1"/>
    </xf>
    <xf numFmtId="167" fontId="28" fillId="0" borderId="13" xfId="1" applyNumberFormat="1" applyFont="1" applyFill="1" applyBorder="1" applyAlignment="1" applyProtection="1">
      <alignment horizontal="center" vertical="center" shrinkToFit="1"/>
      <protection hidden="1"/>
    </xf>
    <xf numFmtId="0" fontId="24" fillId="0" borderId="14" xfId="0" applyNumberFormat="1" applyFont="1" applyFill="1" applyBorder="1" applyAlignment="1" applyProtection="1">
      <alignment horizontal="center" vertical="center" shrinkToFit="1"/>
      <protection hidden="1"/>
    </xf>
    <xf numFmtId="0" fontId="24" fillId="0" borderId="15" xfId="0" applyNumberFormat="1" applyFont="1" applyFill="1" applyBorder="1" applyAlignment="1" applyProtection="1">
      <alignment horizontal="center" vertical="center" shrinkToFit="1"/>
      <protection hidden="1"/>
    </xf>
    <xf numFmtId="0" fontId="25" fillId="0" borderId="15" xfId="0" applyNumberFormat="1" applyFont="1" applyFill="1" applyBorder="1" applyAlignment="1" applyProtection="1">
      <alignment horizontal="center" vertical="center" shrinkToFit="1"/>
      <protection hidden="1"/>
    </xf>
    <xf numFmtId="164" fontId="24" fillId="0" borderId="16" xfId="4" applyFont="1" applyFill="1" applyBorder="1" applyAlignment="1" applyProtection="1">
      <alignment horizontal="center" vertical="center" shrinkToFit="1"/>
      <protection hidden="1"/>
    </xf>
    <xf numFmtId="164" fontId="24" fillId="0" borderId="16" xfId="4" applyFont="1" applyBorder="1" applyAlignment="1" applyProtection="1">
      <alignment horizontal="center" vertical="center" shrinkToFit="1"/>
      <protection hidden="1"/>
    </xf>
    <xf numFmtId="164" fontId="24" fillId="0" borderId="16" xfId="4" applyFont="1" applyBorder="1" applyAlignment="1" applyProtection="1">
      <alignment horizontal="center" vertical="center" wrapText="1" shrinkToFit="1"/>
      <protection hidden="1"/>
    </xf>
    <xf numFmtId="170" fontId="24" fillId="0" borderId="16" xfId="4" applyNumberFormat="1" applyFont="1" applyBorder="1" applyAlignment="1" applyProtection="1">
      <alignment horizontal="center" vertical="center" shrinkToFit="1"/>
      <protection hidden="1"/>
    </xf>
    <xf numFmtId="170" fontId="24" fillId="0" borderId="16" xfId="4" applyNumberFormat="1" applyFont="1" applyFill="1" applyBorder="1" applyAlignment="1" applyProtection="1">
      <alignment horizontal="center" vertical="center" shrinkToFit="1"/>
      <protection hidden="1"/>
    </xf>
    <xf numFmtId="49" fontId="27" fillId="0" borderId="19" xfId="5" applyNumberFormat="1" applyFont="1" applyFill="1" applyBorder="1" applyAlignment="1" applyProtection="1">
      <alignment horizontal="center" vertical="center" shrinkToFit="1"/>
      <protection hidden="1"/>
    </xf>
    <xf numFmtId="168" fontId="27" fillId="0" borderId="20" xfId="5" applyNumberFormat="1" applyFont="1" applyFill="1" applyBorder="1" applyAlignment="1" applyProtection="1">
      <alignment horizontal="center" vertical="center" shrinkToFit="1"/>
      <protection hidden="1"/>
    </xf>
    <xf numFmtId="167" fontId="27" fillId="0" borderId="20" xfId="5" applyNumberFormat="1" applyFont="1" applyFill="1" applyBorder="1" applyAlignment="1" applyProtection="1">
      <alignment horizontal="center" vertical="center" shrinkToFit="1"/>
      <protection hidden="1"/>
    </xf>
    <xf numFmtId="49" fontId="27" fillId="0" borderId="21" xfId="5" applyNumberFormat="1" applyFont="1" applyBorder="1" applyAlignment="1" applyProtection="1">
      <alignment horizontal="center" vertical="center" shrinkToFit="1"/>
      <protection hidden="1"/>
    </xf>
    <xf numFmtId="168" fontId="27" fillId="0" borderId="22" xfId="5" applyNumberFormat="1" applyFont="1" applyBorder="1" applyAlignment="1" applyProtection="1">
      <alignment horizontal="center" vertical="center" shrinkToFit="1"/>
      <protection hidden="1"/>
    </xf>
    <xf numFmtId="167" fontId="27" fillId="0" borderId="22" xfId="5" applyNumberFormat="1" applyFont="1" applyBorder="1" applyAlignment="1" applyProtection="1">
      <alignment horizontal="center" vertical="center" shrinkToFit="1"/>
      <protection hidden="1"/>
    </xf>
    <xf numFmtId="49" fontId="27" fillId="0" borderId="21" xfId="6" applyNumberFormat="1" applyFont="1" applyBorder="1" applyAlignment="1" applyProtection="1">
      <alignment horizontal="center" vertical="center" shrinkToFit="1"/>
      <protection hidden="1"/>
    </xf>
    <xf numFmtId="49" fontId="27" fillId="0" borderId="21" xfId="5" applyNumberFormat="1" applyFont="1" applyFill="1" applyBorder="1" applyAlignment="1" applyProtection="1">
      <alignment horizontal="center" vertical="center" shrinkToFit="1"/>
      <protection hidden="1"/>
    </xf>
    <xf numFmtId="168" fontId="27" fillId="0" borderId="22" xfId="5" applyNumberFormat="1" applyFont="1" applyFill="1" applyBorder="1" applyAlignment="1" applyProtection="1">
      <alignment horizontal="center" vertical="center" shrinkToFit="1"/>
      <protection hidden="1"/>
    </xf>
    <xf numFmtId="167" fontId="27" fillId="0" borderId="22" xfId="5" applyNumberFormat="1" applyFont="1" applyFill="1" applyBorder="1" applyAlignment="1" applyProtection="1">
      <alignment horizontal="center" vertical="center" shrinkToFit="1"/>
      <protection hidden="1"/>
    </xf>
    <xf numFmtId="49" fontId="27" fillId="0" borderId="21" xfId="1" applyNumberFormat="1" applyFont="1" applyBorder="1" applyAlignment="1" applyProtection="1">
      <alignment horizontal="center" vertical="center" shrinkToFit="1"/>
      <protection hidden="1"/>
    </xf>
    <xf numFmtId="168" fontId="27" fillId="0" borderId="22" xfId="1" applyNumberFormat="1" applyFont="1" applyBorder="1" applyAlignment="1" applyProtection="1">
      <alignment horizontal="center" vertical="center" shrinkToFit="1"/>
      <protection hidden="1"/>
    </xf>
    <xf numFmtId="167" fontId="27" fillId="0" borderId="22" xfId="1" applyNumberFormat="1" applyFont="1" applyBorder="1" applyAlignment="1" applyProtection="1">
      <alignment horizontal="center" vertical="center" shrinkToFit="1"/>
      <protection hidden="1"/>
    </xf>
    <xf numFmtId="49" fontId="27" fillId="0" borderId="21" xfId="1" applyNumberFormat="1" applyFont="1" applyFill="1" applyBorder="1" applyAlignment="1" applyProtection="1">
      <alignment horizontal="center" vertical="center" shrinkToFit="1"/>
      <protection hidden="1"/>
    </xf>
    <xf numFmtId="168" fontId="27" fillId="0" borderId="22" xfId="1" applyNumberFormat="1" applyFont="1" applyFill="1" applyBorder="1" applyAlignment="1" applyProtection="1">
      <alignment horizontal="center" vertical="center" shrinkToFit="1"/>
      <protection hidden="1"/>
    </xf>
    <xf numFmtId="167" fontId="27" fillId="0" borderId="22" xfId="1" applyNumberFormat="1" applyFont="1" applyFill="1" applyBorder="1" applyAlignment="1" applyProtection="1">
      <alignment horizontal="center" vertical="center" shrinkToFit="1"/>
      <protection hidden="1"/>
    </xf>
    <xf numFmtId="49" fontId="27" fillId="0" borderId="23" xfId="1" applyNumberFormat="1" applyFont="1" applyFill="1" applyBorder="1" applyAlignment="1" applyProtection="1">
      <alignment horizontal="center" vertical="center" shrinkToFit="1"/>
      <protection hidden="1"/>
    </xf>
    <xf numFmtId="168" fontId="27" fillId="0" borderId="24" xfId="1" applyNumberFormat="1" applyFont="1" applyFill="1" applyBorder="1" applyAlignment="1" applyProtection="1">
      <alignment horizontal="center" vertical="center" shrinkToFit="1"/>
      <protection hidden="1"/>
    </xf>
    <xf numFmtId="167" fontId="27" fillId="0" borderId="24" xfId="1" applyNumberFormat="1" applyFont="1" applyFill="1" applyBorder="1" applyAlignment="1" applyProtection="1">
      <alignment horizontal="center" vertical="center" shrinkToFit="1"/>
      <protection hidden="1"/>
    </xf>
    <xf numFmtId="164" fontId="24" fillId="0" borderId="17" xfId="4" applyFont="1" applyFill="1" applyBorder="1" applyAlignment="1" applyProtection="1">
      <alignment horizontal="center" vertical="center" shrinkToFit="1"/>
      <protection hidden="1"/>
    </xf>
    <xf numFmtId="164" fontId="24" fillId="0" borderId="17" xfId="4" applyFont="1" applyBorder="1" applyAlignment="1" applyProtection="1">
      <alignment horizontal="center" vertical="center" shrinkToFit="1"/>
      <protection hidden="1"/>
    </xf>
    <xf numFmtId="167" fontId="32" fillId="0" borderId="13" xfId="5" applyNumberFormat="1" applyFont="1" applyFill="1" applyBorder="1" applyAlignment="1" applyProtection="1">
      <alignment horizontal="center" vertical="center" shrinkToFit="1"/>
      <protection hidden="1"/>
    </xf>
    <xf numFmtId="167" fontId="32" fillId="0" borderId="18" xfId="5" applyNumberFormat="1" applyFont="1" applyFill="1" applyBorder="1" applyAlignment="1" applyProtection="1">
      <alignment horizontal="center" vertical="center" shrinkToFit="1"/>
      <protection hidden="1"/>
    </xf>
    <xf numFmtId="167" fontId="32" fillId="0" borderId="13" xfId="5" applyNumberFormat="1" applyFont="1" applyBorder="1" applyAlignment="1" applyProtection="1">
      <alignment horizontal="center" vertical="center" shrinkToFit="1"/>
      <protection hidden="1"/>
    </xf>
    <xf numFmtId="167" fontId="32" fillId="0" borderId="18" xfId="5" applyNumberFormat="1" applyFont="1" applyBorder="1" applyAlignment="1" applyProtection="1">
      <alignment horizontal="center" vertical="center" shrinkToFit="1"/>
      <protection hidden="1"/>
    </xf>
    <xf numFmtId="0" fontId="32" fillId="0" borderId="13" xfId="4" applyNumberFormat="1" applyFont="1" applyBorder="1" applyAlignment="1" applyProtection="1">
      <alignment horizontal="center" vertical="center" shrinkToFit="1"/>
      <protection hidden="1"/>
    </xf>
    <xf numFmtId="167" fontId="32" fillId="0" borderId="13" xfId="1" applyNumberFormat="1" applyFont="1" applyBorder="1" applyAlignment="1" applyProtection="1">
      <alignment horizontal="center" vertical="center" shrinkToFit="1"/>
      <protection hidden="1"/>
    </xf>
    <xf numFmtId="167" fontId="32" fillId="0" borderId="18" xfId="1" applyNumberFormat="1" applyFont="1" applyBorder="1" applyAlignment="1" applyProtection="1">
      <alignment horizontal="center" vertical="center" shrinkToFit="1"/>
      <protection hidden="1"/>
    </xf>
    <xf numFmtId="167" fontId="32" fillId="0" borderId="13" xfId="1" applyNumberFormat="1" applyFont="1" applyFill="1" applyBorder="1" applyAlignment="1" applyProtection="1">
      <alignment horizontal="center" vertical="center" shrinkToFit="1"/>
      <protection hidden="1"/>
    </xf>
    <xf numFmtId="167" fontId="32" fillId="0" borderId="18" xfId="1" applyNumberFormat="1" applyFont="1" applyFill="1" applyBorder="1" applyAlignment="1" applyProtection="1">
      <alignment horizontal="center" vertical="center" shrinkToFit="1"/>
      <protection hidden="1"/>
    </xf>
    <xf numFmtId="1" fontId="24" fillId="0" borderId="17" xfId="4" applyNumberFormat="1" applyFont="1" applyFill="1" applyBorder="1" applyAlignment="1" applyProtection="1">
      <alignment horizontal="center" vertical="center" shrinkToFit="1"/>
      <protection hidden="1"/>
    </xf>
    <xf numFmtId="167" fontId="30" fillId="0" borderId="16" xfId="1" applyNumberFormat="1" applyFont="1" applyFill="1" applyBorder="1" applyAlignment="1" applyProtection="1">
      <alignment horizontal="center" vertical="center" shrinkToFit="1"/>
      <protection hidden="1"/>
    </xf>
    <xf numFmtId="10" fontId="24" fillId="0" borderId="13" xfId="4" applyNumberFormat="1" applyFont="1" applyFill="1" applyBorder="1" applyAlignment="1" applyProtection="1">
      <alignment horizontal="center" vertical="center" shrinkToFit="1"/>
      <protection hidden="1"/>
    </xf>
    <xf numFmtId="1" fontId="0" fillId="0" borderId="12" xfId="4" applyNumberFormat="1" applyFont="1" applyBorder="1" applyAlignment="1" applyProtection="1">
      <alignment horizontal="center" vertical="center" shrinkToFit="1"/>
      <protection hidden="1"/>
    </xf>
    <xf numFmtId="1" fontId="33" fillId="0" borderId="13" xfId="4" applyNumberFormat="1" applyFont="1" applyFill="1" applyBorder="1" applyAlignment="1" applyProtection="1">
      <alignment horizontal="center" vertical="center" shrinkToFit="1"/>
      <protection hidden="1"/>
    </xf>
    <xf numFmtId="0" fontId="33" fillId="0" borderId="13" xfId="4" applyNumberFormat="1" applyFont="1" applyFill="1" applyBorder="1" applyAlignment="1" applyProtection="1">
      <alignment horizontal="center" vertical="center" shrinkToFit="1"/>
      <protection hidden="1"/>
    </xf>
    <xf numFmtId="167" fontId="33" fillId="0" borderId="13" xfId="5" applyNumberFormat="1" applyFont="1" applyFill="1" applyBorder="1" applyAlignment="1" applyProtection="1">
      <alignment horizontal="center" vertical="center" shrinkToFit="1"/>
      <protection hidden="1"/>
    </xf>
    <xf numFmtId="1" fontId="33" fillId="0" borderId="13" xfId="4" applyNumberFormat="1" applyFont="1" applyBorder="1" applyAlignment="1" applyProtection="1">
      <alignment horizontal="center" vertical="center" shrinkToFit="1"/>
      <protection hidden="1"/>
    </xf>
    <xf numFmtId="0" fontId="33" fillId="0" borderId="13" xfId="4" applyNumberFormat="1" applyFont="1" applyBorder="1" applyAlignment="1" applyProtection="1">
      <alignment horizontal="center" vertical="center" shrinkToFit="1"/>
      <protection hidden="1"/>
    </xf>
    <xf numFmtId="167" fontId="33" fillId="0" borderId="13" xfId="5" applyNumberFormat="1" applyFont="1" applyBorder="1" applyAlignment="1" applyProtection="1">
      <alignment horizontal="center" vertical="center" shrinkToFit="1"/>
      <protection hidden="1"/>
    </xf>
    <xf numFmtId="167" fontId="33" fillId="0" borderId="13" xfId="6" applyNumberFormat="1" applyFont="1" applyBorder="1" applyAlignment="1" applyProtection="1">
      <alignment horizontal="center" vertical="center" shrinkToFit="1"/>
      <protection hidden="1"/>
    </xf>
    <xf numFmtId="167" fontId="33" fillId="0" borderId="13" xfId="1" applyNumberFormat="1" applyFont="1" applyBorder="1" applyAlignment="1" applyProtection="1">
      <alignment horizontal="center" vertical="center" shrinkToFit="1"/>
      <protection hidden="1"/>
    </xf>
    <xf numFmtId="167" fontId="33" fillId="0" borderId="13" xfId="1" applyNumberFormat="1" applyFont="1" applyFill="1" applyBorder="1" applyAlignment="1" applyProtection="1">
      <alignment horizontal="center" vertical="center" shrinkToFit="1"/>
      <protection hidden="1"/>
    </xf>
    <xf numFmtId="167" fontId="13" fillId="2" borderId="8" xfId="5" applyNumberFormat="1" applyFont="1" applyFill="1" applyBorder="1" applyAlignment="1" applyProtection="1">
      <alignment horizontal="center" vertical="center" shrinkToFit="1"/>
      <protection hidden="1"/>
    </xf>
    <xf numFmtId="167" fontId="20" fillId="0" borderId="25" xfId="5" applyNumberFormat="1" applyFont="1" applyFill="1" applyBorder="1" applyAlignment="1" applyProtection="1">
      <alignment horizontal="center" vertical="center" wrapText="1" shrinkToFit="1"/>
      <protection hidden="1"/>
    </xf>
    <xf numFmtId="167" fontId="30" fillId="0" borderId="16" xfId="5" applyNumberFormat="1" applyFont="1" applyFill="1" applyBorder="1" applyAlignment="1" applyProtection="1">
      <alignment horizontal="center" vertical="center" shrinkToFit="1"/>
      <protection hidden="1"/>
    </xf>
    <xf numFmtId="167" fontId="30" fillId="0" borderId="16" xfId="5" applyNumberFormat="1" applyFont="1" applyBorder="1" applyAlignment="1" applyProtection="1">
      <alignment horizontal="center" vertical="center" shrinkToFit="1"/>
      <protection hidden="1"/>
    </xf>
    <xf numFmtId="167" fontId="30" fillId="0" borderId="16" xfId="1" applyNumberFormat="1" applyFont="1" applyBorder="1" applyAlignment="1" applyProtection="1">
      <alignment horizontal="center" vertical="center" shrinkToFit="1"/>
      <protection hidden="1"/>
    </xf>
    <xf numFmtId="0" fontId="30" fillId="0" borderId="26" xfId="0" applyNumberFormat="1" applyFont="1" applyFill="1" applyBorder="1" applyAlignment="1" applyProtection="1">
      <alignment horizontal="center" vertical="center" shrinkToFit="1"/>
      <protection hidden="1"/>
    </xf>
    <xf numFmtId="164" fontId="2" fillId="0" borderId="0" xfId="4" applyBorder="1" applyProtection="1">
      <protection hidden="1"/>
    </xf>
    <xf numFmtId="164" fontId="6" fillId="0" borderId="0" xfId="4" applyFont="1" applyBorder="1" applyAlignment="1" applyProtection="1">
      <alignment horizontal="center" vertical="center"/>
      <protection hidden="1"/>
    </xf>
    <xf numFmtId="164" fontId="23" fillId="0" borderId="0" xfId="4" applyFont="1" applyFill="1" applyBorder="1" applyAlignment="1" applyProtection="1">
      <alignment wrapText="1" shrinkToFit="1"/>
      <protection hidden="1"/>
    </xf>
    <xf numFmtId="164" fontId="31" fillId="0" borderId="0" xfId="4" applyFont="1" applyFill="1" applyBorder="1" applyAlignment="1" applyProtection="1">
      <alignment shrinkToFit="1"/>
      <protection hidden="1"/>
    </xf>
    <xf numFmtId="164" fontId="31" fillId="0" borderId="0" xfId="4" applyFont="1" applyBorder="1" applyAlignment="1" applyProtection="1">
      <alignment shrinkToFit="1"/>
      <protection hidden="1"/>
    </xf>
    <xf numFmtId="43" fontId="0" fillId="0" borderId="0" xfId="0" applyNumberFormat="1" applyFill="1"/>
    <xf numFmtId="164" fontId="25" fillId="0" borderId="13" xfId="4" applyFont="1" applyBorder="1" applyAlignment="1" applyProtection="1">
      <alignment horizontal="center" vertical="center" wrapText="1" shrinkToFit="1"/>
      <protection hidden="1"/>
    </xf>
    <xf numFmtId="1" fontId="0" fillId="0" borderId="17" xfId="4" applyNumberFormat="1" applyFont="1" applyFill="1" applyBorder="1" applyAlignment="1" applyProtection="1">
      <alignment horizontal="center" vertical="center" shrinkToFit="1"/>
      <protection hidden="1"/>
    </xf>
    <xf numFmtId="164" fontId="20" fillId="0" borderId="25" xfId="4" applyFont="1" applyFill="1" applyBorder="1" applyAlignment="1" applyProtection="1">
      <alignment horizontal="center" vertical="center" wrapText="1" shrinkToFit="1"/>
      <protection hidden="1"/>
    </xf>
    <xf numFmtId="0" fontId="24" fillId="0" borderId="26" xfId="0" applyNumberFormat="1" applyFont="1" applyFill="1" applyBorder="1" applyAlignment="1" applyProtection="1">
      <alignment horizontal="center" vertical="center" shrinkToFit="1"/>
      <protection hidden="1"/>
    </xf>
    <xf numFmtId="0" fontId="24" fillId="0" borderId="28" xfId="0" applyNumberFormat="1" applyFont="1" applyFill="1" applyBorder="1" applyAlignment="1" applyProtection="1">
      <alignment horizontal="center" vertical="center" shrinkToFit="1"/>
      <protection hidden="1"/>
    </xf>
    <xf numFmtId="49" fontId="20" fillId="0" borderId="32" xfId="4" applyNumberFormat="1" applyFont="1" applyFill="1" applyBorder="1" applyAlignment="1" applyProtection="1">
      <alignment horizontal="center" vertical="center" wrapText="1" shrinkToFit="1"/>
      <protection hidden="1"/>
    </xf>
    <xf numFmtId="167" fontId="20" fillId="0" borderId="33" xfId="5" applyNumberFormat="1" applyFont="1" applyFill="1" applyBorder="1" applyAlignment="1" applyProtection="1">
      <alignment horizontal="center" vertical="center" wrapText="1" shrinkToFit="1"/>
      <protection hidden="1"/>
    </xf>
    <xf numFmtId="49" fontId="33" fillId="0" borderId="34" xfId="4" applyNumberFormat="1" applyFont="1" applyFill="1" applyBorder="1" applyAlignment="1" applyProtection="1">
      <alignment horizontal="center" vertical="center" shrinkToFit="1"/>
      <protection hidden="1"/>
    </xf>
    <xf numFmtId="167" fontId="33" fillId="0" borderId="35" xfId="5" applyNumberFormat="1" applyFont="1" applyFill="1" applyBorder="1" applyAlignment="1" applyProtection="1">
      <alignment horizontal="center" vertical="center" shrinkToFit="1"/>
      <protection hidden="1"/>
    </xf>
    <xf numFmtId="49" fontId="33" fillId="0" borderId="34" xfId="4" applyNumberFormat="1" applyFont="1" applyBorder="1" applyAlignment="1" applyProtection="1">
      <alignment horizontal="center" vertical="center" shrinkToFit="1"/>
      <protection hidden="1"/>
    </xf>
    <xf numFmtId="167" fontId="33" fillId="0" borderId="35" xfId="5" applyNumberFormat="1" applyFont="1" applyBorder="1" applyAlignment="1" applyProtection="1">
      <alignment horizontal="center" vertical="center" shrinkToFit="1"/>
      <protection hidden="1"/>
    </xf>
    <xf numFmtId="49" fontId="33" fillId="0" borderId="34" xfId="5" applyNumberFormat="1" applyFont="1" applyBorder="1" applyAlignment="1" applyProtection="1">
      <alignment horizontal="center" vertical="center" shrinkToFit="1"/>
      <protection hidden="1"/>
    </xf>
    <xf numFmtId="49" fontId="33" fillId="0" borderId="34" xfId="6" applyNumberFormat="1" applyFont="1" applyBorder="1" applyAlignment="1" applyProtection="1">
      <alignment horizontal="center" vertical="center" shrinkToFit="1"/>
      <protection hidden="1"/>
    </xf>
    <xf numFmtId="49" fontId="33" fillId="0" borderId="34" xfId="4" applyNumberFormat="1" applyFont="1" applyBorder="1" applyAlignment="1" applyProtection="1">
      <alignment horizontal="center" vertical="center" wrapText="1" shrinkToFit="1"/>
      <protection hidden="1"/>
    </xf>
    <xf numFmtId="167" fontId="33" fillId="0" borderId="35" xfId="1" applyNumberFormat="1" applyFont="1" applyBorder="1" applyAlignment="1" applyProtection="1">
      <alignment horizontal="center" vertical="center" shrinkToFit="1"/>
      <protection hidden="1"/>
    </xf>
    <xf numFmtId="167" fontId="33" fillId="0" borderId="35" xfId="1" applyNumberFormat="1" applyFont="1" applyFill="1" applyBorder="1" applyAlignment="1" applyProtection="1">
      <alignment horizontal="center" vertical="center" shrinkToFit="1"/>
      <protection hidden="1"/>
    </xf>
    <xf numFmtId="49" fontId="33" fillId="0" borderId="34" xfId="4" applyNumberFormat="1" applyFont="1" applyFill="1" applyBorder="1" applyAlignment="1" applyProtection="1">
      <alignment horizontal="center" vertical="center" wrapText="1" shrinkToFit="1"/>
      <protection hidden="1"/>
    </xf>
    <xf numFmtId="0" fontId="26" fillId="0" borderId="36" xfId="0" applyNumberFormat="1" applyFont="1" applyFill="1" applyBorder="1" applyAlignment="1" applyProtection="1">
      <alignment horizontal="center" vertical="center" shrinkToFit="1"/>
      <protection hidden="1"/>
    </xf>
    <xf numFmtId="0" fontId="26" fillId="0" borderId="37" xfId="0" applyNumberFormat="1" applyFont="1" applyFill="1" applyBorder="1" applyAlignment="1" applyProtection="1">
      <alignment horizontal="center" vertical="center" shrinkToFit="1"/>
      <protection hidden="1"/>
    </xf>
    <xf numFmtId="0" fontId="24" fillId="0" borderId="38" xfId="0" applyNumberFormat="1" applyFont="1" applyFill="1" applyBorder="1" applyAlignment="1" applyProtection="1">
      <alignment horizontal="center" vertical="center" shrinkToFit="1"/>
      <protection hidden="1"/>
    </xf>
    <xf numFmtId="49" fontId="20" fillId="0" borderId="27" xfId="5" applyNumberFormat="1" applyFont="1" applyFill="1" applyBorder="1" applyAlignment="1" applyProtection="1">
      <alignment horizontal="center" vertical="center" wrapText="1" shrinkToFit="1"/>
      <protection hidden="1"/>
    </xf>
    <xf numFmtId="167" fontId="20" fillId="0" borderId="32" xfId="5" applyNumberFormat="1" applyFont="1" applyFill="1" applyBorder="1" applyAlignment="1" applyProtection="1">
      <alignment horizontal="center" vertical="center" wrapText="1" shrinkToFit="1"/>
      <protection hidden="1"/>
    </xf>
    <xf numFmtId="167" fontId="20" fillId="0" borderId="42" xfId="5" applyNumberFormat="1" applyFont="1" applyFill="1" applyBorder="1" applyAlignment="1" applyProtection="1">
      <alignment horizontal="center" vertical="center" wrapText="1" shrinkToFit="1"/>
      <protection hidden="1"/>
    </xf>
    <xf numFmtId="167" fontId="32" fillId="0" borderId="34" xfId="5" applyNumberFormat="1" applyFont="1" applyFill="1" applyBorder="1" applyAlignment="1" applyProtection="1">
      <alignment horizontal="center" vertical="center" shrinkToFit="1"/>
      <protection hidden="1"/>
    </xf>
    <xf numFmtId="167" fontId="32" fillId="0" borderId="34" xfId="5" applyNumberFormat="1" applyFont="1" applyBorder="1" applyAlignment="1" applyProtection="1">
      <alignment horizontal="center" vertical="center" shrinkToFit="1"/>
      <protection hidden="1"/>
    </xf>
    <xf numFmtId="1" fontId="32" fillId="0" borderId="34" xfId="4" applyNumberFormat="1" applyFont="1" applyBorder="1" applyAlignment="1" applyProtection="1">
      <alignment horizontal="center" vertical="center" shrinkToFit="1"/>
      <protection hidden="1"/>
    </xf>
    <xf numFmtId="167" fontId="32" fillId="0" borderId="34" xfId="1" applyNumberFormat="1" applyFont="1" applyFill="1" applyBorder="1" applyAlignment="1" applyProtection="1">
      <alignment horizontal="center" vertical="center" shrinkToFit="1"/>
      <protection hidden="1"/>
    </xf>
    <xf numFmtId="0" fontId="24" fillId="0" borderId="43" xfId="0" applyNumberFormat="1" applyFont="1" applyFill="1" applyBorder="1" applyAlignment="1" applyProtection="1">
      <alignment horizontal="center" vertical="center" shrinkToFit="1"/>
      <protection hidden="1"/>
    </xf>
    <xf numFmtId="0" fontId="24" fillId="0" borderId="44" xfId="0" applyNumberFormat="1" applyFont="1" applyFill="1" applyBorder="1" applyAlignment="1" applyProtection="1">
      <alignment horizontal="center" vertical="center" shrinkToFit="1"/>
      <protection hidden="1"/>
    </xf>
    <xf numFmtId="0" fontId="24" fillId="0" borderId="45" xfId="0" applyNumberFormat="1" applyFont="1" applyFill="1" applyBorder="1" applyAlignment="1" applyProtection="1">
      <alignment horizontal="center" vertical="center" shrinkToFit="1"/>
      <protection hidden="1"/>
    </xf>
    <xf numFmtId="49" fontId="20" fillId="0" borderId="47" xfId="5" applyNumberFormat="1" applyFont="1" applyFill="1" applyBorder="1" applyAlignment="1" applyProtection="1">
      <alignment horizontal="center" vertical="center" wrapText="1" shrinkToFit="1"/>
      <protection hidden="1"/>
    </xf>
    <xf numFmtId="167" fontId="27" fillId="0" borderId="48" xfId="5" applyNumberFormat="1" applyFont="1" applyFill="1" applyBorder="1" applyAlignment="1" applyProtection="1">
      <alignment horizontal="center" vertical="center" shrinkToFit="1"/>
      <protection hidden="1"/>
    </xf>
    <xf numFmtId="167" fontId="27" fillId="0" borderId="49" xfId="5" applyNumberFormat="1" applyFont="1" applyBorder="1" applyAlignment="1" applyProtection="1">
      <alignment horizontal="center" vertical="center" shrinkToFit="1"/>
      <protection hidden="1"/>
    </xf>
    <xf numFmtId="167" fontId="27" fillId="0" borderId="49" xfId="5" applyNumberFormat="1" applyFont="1" applyFill="1" applyBorder="1" applyAlignment="1" applyProtection="1">
      <alignment horizontal="center" vertical="center" shrinkToFit="1"/>
      <protection hidden="1"/>
    </xf>
    <xf numFmtId="167" fontId="27" fillId="0" borderId="49" xfId="1" applyNumberFormat="1" applyFont="1" applyBorder="1" applyAlignment="1" applyProtection="1">
      <alignment horizontal="center" vertical="center" shrinkToFit="1"/>
      <protection hidden="1"/>
    </xf>
    <xf numFmtId="167" fontId="27" fillId="0" borderId="49" xfId="1" applyNumberFormat="1" applyFont="1" applyFill="1" applyBorder="1" applyAlignment="1" applyProtection="1">
      <alignment horizontal="center" vertical="center" shrinkToFit="1"/>
      <protection hidden="1"/>
    </xf>
    <xf numFmtId="167" fontId="27" fillId="0" borderId="50" xfId="1" applyNumberFormat="1" applyFont="1" applyFill="1" applyBorder="1" applyAlignment="1" applyProtection="1">
      <alignment horizontal="center" vertical="center" shrinkToFit="1"/>
      <protection hidden="1"/>
    </xf>
    <xf numFmtId="0" fontId="27" fillId="0" borderId="51" xfId="0" applyNumberFormat="1" applyFont="1" applyFill="1" applyBorder="1" applyAlignment="1" applyProtection="1">
      <alignment horizontal="center" vertical="center" shrinkToFit="1"/>
      <protection hidden="1"/>
    </xf>
    <xf numFmtId="0" fontId="27" fillId="0" borderId="37" xfId="0" applyNumberFormat="1" applyFont="1" applyFill="1" applyBorder="1" applyAlignment="1" applyProtection="1">
      <alignment horizontal="center" vertical="center" shrinkToFit="1"/>
      <protection hidden="1"/>
    </xf>
    <xf numFmtId="0" fontId="27" fillId="0" borderId="38" xfId="0" applyNumberFormat="1" applyFont="1" applyFill="1" applyBorder="1" applyAlignment="1" applyProtection="1">
      <alignment horizontal="center" vertical="center" shrinkToFit="1"/>
      <protection hidden="1"/>
    </xf>
    <xf numFmtId="164" fontId="20" fillId="0" borderId="27" xfId="4" applyFont="1" applyFill="1" applyBorder="1" applyAlignment="1" applyProtection="1">
      <alignment horizontal="center" vertical="center" wrapText="1" shrinkToFit="1"/>
      <protection hidden="1"/>
    </xf>
    <xf numFmtId="164" fontId="20" fillId="0" borderId="55" xfId="4" applyFont="1" applyFill="1" applyBorder="1" applyAlignment="1" applyProtection="1">
      <alignment horizontal="center" vertical="center" wrapText="1" shrinkToFit="1"/>
      <protection hidden="1"/>
    </xf>
    <xf numFmtId="167" fontId="24" fillId="0" borderId="34" xfId="5" applyNumberFormat="1" applyFont="1" applyFill="1" applyBorder="1" applyAlignment="1" applyProtection="1">
      <alignment horizontal="center" vertical="center" shrinkToFit="1"/>
      <protection hidden="1"/>
    </xf>
    <xf numFmtId="164" fontId="24" fillId="0" borderId="56" xfId="4" applyFont="1" applyFill="1" applyBorder="1" applyAlignment="1" applyProtection="1">
      <alignment horizontal="center" vertical="center" shrinkToFit="1"/>
      <protection hidden="1"/>
    </xf>
    <xf numFmtId="167" fontId="24" fillId="0" borderId="34" xfId="5" applyNumberFormat="1" applyFont="1" applyBorder="1" applyAlignment="1" applyProtection="1">
      <alignment horizontal="center" vertical="center" shrinkToFit="1"/>
      <protection hidden="1"/>
    </xf>
    <xf numFmtId="164" fontId="24" fillId="0" borderId="56" xfId="4" applyFont="1" applyBorder="1" applyAlignment="1" applyProtection="1">
      <alignment horizontal="center" vertical="center" shrinkToFit="1"/>
      <protection hidden="1"/>
    </xf>
    <xf numFmtId="167" fontId="24" fillId="0" borderId="34" xfId="1" applyNumberFormat="1" applyFont="1" applyBorder="1" applyAlignment="1" applyProtection="1">
      <alignment horizontal="center" vertical="center" shrinkToFit="1"/>
      <protection hidden="1"/>
    </xf>
    <xf numFmtId="167" fontId="24" fillId="0" borderId="34" xfId="1" applyNumberFormat="1" applyFont="1" applyFill="1" applyBorder="1" applyAlignment="1" applyProtection="1">
      <alignment horizontal="center" vertical="center" shrinkToFit="1"/>
      <protection hidden="1"/>
    </xf>
    <xf numFmtId="0" fontId="24" fillId="0" borderId="57" xfId="0" applyNumberFormat="1" applyFont="1" applyFill="1" applyBorder="1" applyAlignment="1" applyProtection="1">
      <alignment horizontal="center" vertical="center" shrinkToFit="1"/>
      <protection hidden="1"/>
    </xf>
    <xf numFmtId="0" fontId="24" fillId="0" borderId="58" xfId="0" applyNumberFormat="1" applyFont="1" applyFill="1" applyBorder="1" applyAlignment="1" applyProtection="1">
      <alignment horizontal="center" vertical="center" shrinkToFit="1"/>
      <protection hidden="1"/>
    </xf>
    <xf numFmtId="0" fontId="24" fillId="0" borderId="59" xfId="0" applyNumberFormat="1" applyFont="1" applyFill="1" applyBorder="1" applyAlignment="1" applyProtection="1">
      <alignment horizontal="center" vertical="center" shrinkToFit="1"/>
      <protection hidden="1"/>
    </xf>
    <xf numFmtId="167" fontId="28" fillId="0" borderId="16" xfId="5" applyNumberFormat="1" applyFont="1" applyFill="1" applyBorder="1" applyAlignment="1" applyProtection="1">
      <alignment horizontal="center" vertical="center" shrinkToFit="1"/>
      <protection hidden="1"/>
    </xf>
    <xf numFmtId="167" fontId="28" fillId="0" borderId="16" xfId="5" applyNumberFormat="1" applyFont="1" applyBorder="1" applyAlignment="1" applyProtection="1">
      <alignment horizontal="center" vertical="center" shrinkToFit="1"/>
      <protection hidden="1"/>
    </xf>
    <xf numFmtId="167" fontId="28" fillId="0" borderId="16" xfId="1" applyNumberFormat="1" applyFont="1" applyBorder="1" applyAlignment="1" applyProtection="1">
      <alignment horizontal="center" vertical="center" shrinkToFit="1"/>
      <protection hidden="1"/>
    </xf>
    <xf numFmtId="167" fontId="28" fillId="0" borderId="16" xfId="1" applyNumberFormat="1" applyFont="1" applyFill="1" applyBorder="1" applyAlignment="1" applyProtection="1">
      <alignment horizontal="center" vertical="center" shrinkToFit="1"/>
      <protection hidden="1"/>
    </xf>
    <xf numFmtId="0" fontId="28" fillId="0" borderId="26" xfId="0" applyNumberFormat="1" applyFont="1" applyFill="1" applyBorder="1" applyAlignment="1" applyProtection="1">
      <alignment horizontal="center" vertical="center" shrinkToFit="1"/>
      <protection hidden="1"/>
    </xf>
    <xf numFmtId="49" fontId="29" fillId="0" borderId="17" xfId="5" applyNumberFormat="1" applyFont="1" applyFill="1" applyBorder="1" applyAlignment="1" applyProtection="1">
      <alignment horizontal="center" vertical="center" shrinkToFit="1"/>
      <protection hidden="1"/>
    </xf>
    <xf numFmtId="49" fontId="29" fillId="0" borderId="17" xfId="5" applyNumberFormat="1" applyFont="1" applyBorder="1" applyAlignment="1" applyProtection="1">
      <alignment horizontal="center" vertical="center" shrinkToFit="1"/>
      <protection hidden="1"/>
    </xf>
    <xf numFmtId="49" fontId="29" fillId="0" borderId="17" xfId="1" applyNumberFormat="1" applyFont="1" applyBorder="1" applyAlignment="1" applyProtection="1">
      <alignment horizontal="center" vertical="center" shrinkToFit="1"/>
      <protection hidden="1"/>
    </xf>
    <xf numFmtId="49" fontId="29" fillId="0" borderId="17" xfId="1" applyNumberFormat="1" applyFont="1" applyFill="1" applyBorder="1" applyAlignment="1" applyProtection="1">
      <alignment horizontal="center" vertical="center" shrinkToFit="1"/>
      <protection hidden="1"/>
    </xf>
    <xf numFmtId="0" fontId="29" fillId="0" borderId="28" xfId="0" applyNumberFormat="1" applyFont="1" applyFill="1" applyBorder="1" applyAlignment="1" applyProtection="1">
      <alignment horizontal="center" vertical="center" shrinkToFit="1"/>
      <protection hidden="1"/>
    </xf>
    <xf numFmtId="167" fontId="20" fillId="0" borderId="63" xfId="5" applyNumberFormat="1" applyFont="1" applyFill="1" applyBorder="1" applyAlignment="1" applyProtection="1">
      <alignment horizontal="center" vertical="center" wrapText="1" shrinkToFit="1"/>
      <protection hidden="1"/>
    </xf>
    <xf numFmtId="167" fontId="20" fillId="0" borderId="64" xfId="5" applyNumberFormat="1" applyFont="1" applyFill="1" applyBorder="1" applyAlignment="1" applyProtection="1">
      <alignment horizontal="center" vertical="center" wrapText="1" shrinkToFit="1"/>
      <protection hidden="1"/>
    </xf>
    <xf numFmtId="167" fontId="28" fillId="0" borderId="65" xfId="5" applyNumberFormat="1" applyFont="1" applyFill="1" applyBorder="1" applyAlignment="1" applyProtection="1">
      <alignment horizontal="center" vertical="center" shrinkToFit="1"/>
      <protection hidden="1"/>
    </xf>
    <xf numFmtId="167" fontId="28" fillId="0" borderId="66" xfId="5" applyNumberFormat="1" applyFont="1" applyFill="1" applyBorder="1" applyAlignment="1" applyProtection="1">
      <alignment horizontal="center" vertical="center" shrinkToFit="1"/>
      <protection hidden="1"/>
    </xf>
    <xf numFmtId="167" fontId="28" fillId="0" borderId="65" xfId="5" applyNumberFormat="1" applyFont="1" applyBorder="1" applyAlignment="1" applyProtection="1">
      <alignment horizontal="center" vertical="center" shrinkToFit="1"/>
      <protection hidden="1"/>
    </xf>
    <xf numFmtId="167" fontId="28" fillId="0" borderId="66" xfId="5" applyNumberFormat="1" applyFont="1" applyBorder="1" applyAlignment="1" applyProtection="1">
      <alignment horizontal="center" vertical="center" shrinkToFit="1"/>
      <protection hidden="1"/>
    </xf>
    <xf numFmtId="167" fontId="28" fillId="0" borderId="65" xfId="1" applyNumberFormat="1" applyFont="1" applyBorder="1" applyAlignment="1" applyProtection="1">
      <alignment horizontal="center" vertical="center" shrinkToFit="1"/>
      <protection hidden="1"/>
    </xf>
    <xf numFmtId="167" fontId="28" fillId="0" borderId="66" xfId="1" applyNumberFormat="1" applyFont="1" applyBorder="1" applyAlignment="1" applyProtection="1">
      <alignment horizontal="center" vertical="center" shrinkToFit="1"/>
      <protection hidden="1"/>
    </xf>
    <xf numFmtId="167" fontId="28" fillId="0" borderId="65" xfId="1" applyNumberFormat="1" applyFont="1" applyFill="1" applyBorder="1" applyAlignment="1" applyProtection="1">
      <alignment horizontal="center" vertical="center" shrinkToFit="1"/>
      <protection hidden="1"/>
    </xf>
    <xf numFmtId="167" fontId="28" fillId="0" borderId="66" xfId="1" applyNumberFormat="1" applyFont="1" applyFill="1" applyBorder="1" applyAlignment="1" applyProtection="1">
      <alignment horizontal="center" vertical="center" shrinkToFit="1"/>
      <protection hidden="1"/>
    </xf>
    <xf numFmtId="0" fontId="28" fillId="0" borderId="67" xfId="0" applyNumberFormat="1" applyFont="1" applyFill="1" applyBorder="1" applyAlignment="1" applyProtection="1">
      <alignment horizontal="center" vertical="center" shrinkToFit="1"/>
      <protection hidden="1"/>
    </xf>
    <xf numFmtId="0" fontId="28" fillId="0" borderId="68" xfId="0" applyNumberFormat="1" applyFont="1" applyFill="1" applyBorder="1" applyAlignment="1" applyProtection="1">
      <alignment horizontal="center" vertical="center" shrinkToFit="1"/>
      <protection hidden="1"/>
    </xf>
    <xf numFmtId="0" fontId="28" fillId="0" borderId="69" xfId="0" applyNumberFormat="1" applyFont="1" applyFill="1" applyBorder="1" applyAlignment="1" applyProtection="1">
      <alignment horizontal="center" vertical="center" shrinkToFit="1"/>
      <protection hidden="1"/>
    </xf>
    <xf numFmtId="167" fontId="33" fillId="0" borderId="18" xfId="1" applyNumberFormat="1" applyFont="1" applyFill="1" applyBorder="1" applyAlignment="1" applyProtection="1">
      <alignment horizontal="center" vertical="center" shrinkToFit="1"/>
      <protection hidden="1"/>
    </xf>
    <xf numFmtId="167" fontId="27" fillId="0" borderId="70" xfId="1" applyNumberFormat="1" applyFont="1" applyFill="1" applyBorder="1" applyAlignment="1" applyProtection="1">
      <alignment horizontal="center" vertical="center" shrinkToFit="1"/>
      <protection hidden="1"/>
    </xf>
    <xf numFmtId="164" fontId="24" fillId="0" borderId="18" xfId="4" applyFont="1" applyFill="1" applyBorder="1" applyAlignment="1" applyProtection="1">
      <alignment horizontal="center" vertical="center" shrinkToFit="1"/>
      <protection hidden="1"/>
    </xf>
    <xf numFmtId="49" fontId="29" fillId="0" borderId="13" xfId="1" applyNumberFormat="1" applyFont="1" applyFill="1" applyBorder="1" applyAlignment="1" applyProtection="1">
      <alignment horizontal="center" vertical="center" shrinkToFit="1"/>
      <protection hidden="1"/>
    </xf>
    <xf numFmtId="0" fontId="24" fillId="0" borderId="13" xfId="4" applyNumberFormat="1" applyFont="1" applyFill="1" applyBorder="1" applyAlignment="1" applyProtection="1">
      <alignment horizontal="center" vertical="center" wrapText="1" shrinkToFit="1"/>
      <protection hidden="1"/>
    </xf>
    <xf numFmtId="164" fontId="25" fillId="0" borderId="13" xfId="4" applyFont="1" applyFill="1" applyBorder="1" applyAlignment="1" applyProtection="1">
      <alignment horizontal="center" vertical="center" shrinkToFit="1" readingOrder="2"/>
      <protection hidden="1"/>
    </xf>
    <xf numFmtId="164" fontId="25" fillId="0" borderId="13" xfId="4" applyFont="1" applyBorder="1" applyAlignment="1" applyProtection="1">
      <alignment horizontal="center" vertical="center" shrinkToFit="1" readingOrder="2"/>
      <protection hidden="1"/>
    </xf>
    <xf numFmtId="164" fontId="24" fillId="0" borderId="13" xfId="4" applyFont="1" applyBorder="1" applyAlignment="1" applyProtection="1">
      <alignment horizontal="center" vertical="center" shrinkToFit="1" readingOrder="2"/>
      <protection hidden="1"/>
    </xf>
    <xf numFmtId="164" fontId="25" fillId="0" borderId="13" xfId="4" applyFont="1" applyBorder="1" applyAlignment="1" applyProtection="1">
      <alignment horizontal="center" vertical="center" wrapText="1" shrinkToFit="1" readingOrder="2"/>
      <protection hidden="1"/>
    </xf>
    <xf numFmtId="164" fontId="25" fillId="0" borderId="13" xfId="4" applyNumberFormat="1" applyFont="1" applyFill="1" applyBorder="1" applyAlignment="1" applyProtection="1">
      <alignment horizontal="center" vertical="center" shrinkToFit="1" readingOrder="2"/>
      <protection hidden="1"/>
    </xf>
    <xf numFmtId="170" fontId="24" fillId="0" borderId="16" xfId="4" applyNumberFormat="1" applyFont="1" applyBorder="1" applyAlignment="1" applyProtection="1">
      <alignment horizontal="center" vertical="center" wrapText="1" shrinkToFit="1"/>
      <protection hidden="1"/>
    </xf>
    <xf numFmtId="1" fontId="24" fillId="0" borderId="17" xfId="4" applyNumberFormat="1" applyFont="1" applyBorder="1" applyAlignment="1" applyProtection="1">
      <alignment horizontal="center" vertical="center" shrinkToFit="1"/>
      <protection hidden="1"/>
    </xf>
    <xf numFmtId="164" fontId="24" fillId="0" borderId="13" xfId="4" applyFont="1" applyBorder="1" applyAlignment="1" applyProtection="1">
      <alignment horizontal="center" vertical="center" wrapText="1" shrinkToFit="1"/>
      <protection hidden="1"/>
    </xf>
    <xf numFmtId="167" fontId="33" fillId="0" borderId="18" xfId="5" applyNumberFormat="1" applyFont="1" applyBorder="1" applyAlignment="1" applyProtection="1">
      <alignment horizontal="center" vertical="center" shrinkToFit="1"/>
      <protection hidden="1"/>
    </xf>
    <xf numFmtId="167" fontId="27" fillId="0" borderId="70" xfId="5" applyNumberFormat="1" applyFont="1" applyBorder="1" applyAlignment="1" applyProtection="1">
      <alignment horizontal="center" vertical="center" shrinkToFit="1"/>
      <protection hidden="1"/>
    </xf>
    <xf numFmtId="164" fontId="24" fillId="0" borderId="18" xfId="4" applyFont="1" applyBorder="1" applyAlignment="1" applyProtection="1">
      <alignment horizontal="center" vertical="center" shrinkToFit="1"/>
      <protection hidden="1"/>
    </xf>
    <xf numFmtId="49" fontId="29" fillId="0" borderId="13" xfId="5" applyNumberFormat="1" applyFont="1" applyBorder="1" applyAlignment="1" applyProtection="1">
      <alignment horizontal="center" vertical="center" shrinkToFit="1"/>
      <protection hidden="1"/>
    </xf>
    <xf numFmtId="167" fontId="33" fillId="0" borderId="18" xfId="1" applyNumberFormat="1" applyFont="1" applyBorder="1" applyAlignment="1" applyProtection="1">
      <alignment horizontal="center" vertical="center" shrinkToFit="1"/>
      <protection hidden="1"/>
    </xf>
    <xf numFmtId="167" fontId="27" fillId="0" borderId="70" xfId="1" applyNumberFormat="1" applyFont="1" applyBorder="1" applyAlignment="1" applyProtection="1">
      <alignment horizontal="center" vertical="center" shrinkToFit="1"/>
      <protection hidden="1"/>
    </xf>
    <xf numFmtId="49" fontId="29" fillId="0" borderId="13" xfId="1" applyNumberFormat="1" applyFont="1" applyBorder="1" applyAlignment="1" applyProtection="1">
      <alignment horizontal="center" vertical="center" shrinkToFit="1"/>
      <protection hidden="1"/>
    </xf>
    <xf numFmtId="170" fontId="24" fillId="0" borderId="13" xfId="4" applyNumberFormat="1" applyFont="1" applyBorder="1" applyAlignment="1" applyProtection="1">
      <alignment horizontal="center" vertical="center" wrapText="1" shrinkToFit="1"/>
      <protection hidden="1"/>
    </xf>
    <xf numFmtId="164" fontId="34" fillId="10" borderId="60" xfId="4" applyFont="1" applyFill="1" applyBorder="1" applyAlignment="1" applyProtection="1">
      <alignment horizontal="center" vertical="center"/>
      <protection hidden="1"/>
    </xf>
    <xf numFmtId="164" fontId="34" fillId="10" borderId="61" xfId="4" applyFont="1" applyFill="1" applyBorder="1" applyAlignment="1" applyProtection="1">
      <alignment horizontal="center" vertical="center"/>
      <protection hidden="1"/>
    </xf>
    <xf numFmtId="164" fontId="34" fillId="10" borderId="62" xfId="4" applyFont="1" applyFill="1" applyBorder="1" applyAlignment="1" applyProtection="1">
      <alignment horizontal="center" vertical="center"/>
      <protection hidden="1"/>
    </xf>
    <xf numFmtId="164" fontId="8" fillId="0" borderId="3" xfId="4" applyFont="1" applyBorder="1" applyAlignment="1" applyProtection="1">
      <alignment horizontal="center" vertical="center"/>
      <protection hidden="1"/>
    </xf>
    <xf numFmtId="164" fontId="18" fillId="6" borderId="29" xfId="4" applyFont="1" applyFill="1" applyBorder="1" applyAlignment="1" applyProtection="1">
      <alignment horizontal="center" vertical="center"/>
      <protection hidden="1"/>
    </xf>
    <xf numFmtId="164" fontId="18" fillId="6" borderId="30" xfId="4" applyFont="1" applyFill="1" applyBorder="1" applyAlignment="1" applyProtection="1">
      <alignment horizontal="center" vertical="center"/>
      <protection hidden="1"/>
    </xf>
    <xf numFmtId="164" fontId="18" fillId="6" borderId="31" xfId="4" applyFont="1" applyFill="1" applyBorder="1" applyAlignment="1" applyProtection="1">
      <alignment horizontal="center" vertical="center"/>
      <protection hidden="1"/>
    </xf>
    <xf numFmtId="164" fontId="18" fillId="7" borderId="39" xfId="4" applyFont="1" applyFill="1" applyBorder="1" applyAlignment="1" applyProtection="1">
      <alignment horizontal="center" vertical="center"/>
      <protection hidden="1"/>
    </xf>
    <xf numFmtId="164" fontId="18" fillId="7" borderId="40" xfId="4" applyFont="1" applyFill="1" applyBorder="1" applyAlignment="1" applyProtection="1">
      <alignment horizontal="center" vertical="center"/>
      <protection hidden="1"/>
    </xf>
    <xf numFmtId="164" fontId="18" fillId="7" borderId="41" xfId="4" applyFont="1" applyFill="1" applyBorder="1" applyAlignment="1" applyProtection="1">
      <alignment horizontal="center" vertical="center"/>
      <protection hidden="1"/>
    </xf>
    <xf numFmtId="164" fontId="18" fillId="8" borderId="46" xfId="4" applyFont="1" applyFill="1" applyBorder="1" applyAlignment="1" applyProtection="1">
      <alignment horizontal="center" vertical="center"/>
      <protection hidden="1"/>
    </xf>
    <xf numFmtId="164" fontId="18" fillId="8" borderId="30" xfId="4" applyFont="1" applyFill="1" applyBorder="1" applyAlignment="1" applyProtection="1">
      <alignment horizontal="center" vertical="center"/>
      <protection hidden="1"/>
    </xf>
    <xf numFmtId="164" fontId="18" fillId="8" borderId="31" xfId="4" applyFont="1" applyFill="1" applyBorder="1" applyAlignment="1" applyProtection="1">
      <alignment horizontal="center" vertical="center"/>
      <protection hidden="1"/>
    </xf>
    <xf numFmtId="164" fontId="19" fillId="9" borderId="52" xfId="4" applyFont="1" applyFill="1" applyBorder="1" applyAlignment="1" applyProtection="1">
      <alignment horizontal="center" vertical="center"/>
      <protection hidden="1"/>
    </xf>
    <xf numFmtId="164" fontId="19" fillId="9" borderId="53" xfId="4" applyFont="1" applyFill="1" applyBorder="1" applyAlignment="1" applyProtection="1">
      <alignment horizontal="center" vertical="center"/>
      <protection hidden="1"/>
    </xf>
    <xf numFmtId="164" fontId="19" fillId="9" borderId="54" xfId="4" applyFont="1" applyFill="1" applyBorder="1" applyAlignment="1" applyProtection="1">
      <alignment horizontal="center" vertical="center"/>
      <protection hidden="1"/>
    </xf>
  </cellXfs>
  <cellStyles count="7">
    <cellStyle name="Comma" xfId="1" builtinId="3"/>
    <cellStyle name="Comma 5" xfId="6" xr:uid="{8DDA669D-0C5D-41CC-AC77-DFEC6BF58C9F}"/>
    <cellStyle name="Comma 5 2" xfId="5" xr:uid="{F304B6BB-CBEA-441B-AD77-18388EF51C22}"/>
    <cellStyle name="Hyperlink" xfId="3" builtinId="8"/>
    <cellStyle name="Normal" xfId="0" builtinId="0"/>
    <cellStyle name="Normal 6" xfId="4" xr:uid="{5EC66AB8-8632-45EB-A773-59D920ED7DEA}"/>
    <cellStyle name="Percent" xfId="2" builtinId="5"/>
  </cellStyles>
  <dxfs count="473">
    <dxf>
      <numFmt numFmtId="0" formatCode="General"/>
    </dxf>
    <dxf>
      <numFmt numFmtId="0" formatCode="General"/>
    </dxf>
    <dxf>
      <numFmt numFmtId="165" formatCode="_-* #,##0.00_-;_-* #,##0.00\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numFmt numFmtId="0" formatCode="General"/>
    </dxf>
    <dxf>
      <numFmt numFmtId="165" formatCode="_-* #,##0.00_-;_-* #,##0.00\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numFmt numFmtId="0" formatCode="General"/>
    </dxf>
    <dxf>
      <numFmt numFmtId="165" formatCode="_-* #,##0.00_-;_-* #,##0.00\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numFmt numFmtId="0" formatCode="General"/>
    </dxf>
    <dxf>
      <numFmt numFmtId="165" formatCode="_-* #,##0.00_-;_-* #,##0.00\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numFmt numFmtId="0" formatCode="General"/>
    </dxf>
    <dxf>
      <numFmt numFmtId="165" formatCode="_-* #,##0.00_-;_-* #,##0.00\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numFmt numFmtId="0" formatCode="General"/>
    </dxf>
    <dxf>
      <numFmt numFmtId="165" formatCode="_-* #,##0.00_-;_-* #,##0.00\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numFmt numFmtId="0" formatCode="General"/>
    </dxf>
    <dxf>
      <numFmt numFmtId="165" formatCode="_-* #,##0.00_-;_-* #,##0.00\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numFmt numFmtId="0" formatCode="General"/>
    </dxf>
    <dxf>
      <numFmt numFmtId="165" formatCode="_-* #,##0.00_-;_-* #,##0.00\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numFmt numFmtId="0" formatCode="General"/>
    </dxf>
    <dxf>
      <numFmt numFmtId="165" formatCode="_-* #,##0.00_-;_-* #,##0.00\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numFmt numFmtId="0" formatCode="General"/>
    </dxf>
    <dxf>
      <numFmt numFmtId="165" formatCode="_-* #,##0.00_-;_-* #,##0.00\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numFmt numFmtId="0" formatCode="General"/>
    </dxf>
    <dxf>
      <numFmt numFmtId="165" formatCode="_-* #,##0.00_-;_-* #,##0.00\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numFmt numFmtId="0" formatCode="General"/>
    </dxf>
    <dxf>
      <numFmt numFmtId="165" formatCode="_-* #,##0.00_-;_-* #,##0.00\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doubleAccounting"/>
        <vertAlign val="baseline"/>
        <sz val="24"/>
        <color rgb="FF00206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/>
        <top style="dashed">
          <color rgb="FF7030A0"/>
        </top>
        <bottom style="medium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doubleAccounting"/>
        <vertAlign val="baseline"/>
        <sz val="24"/>
        <color rgb="FF002060"/>
        <name val="Calibri"/>
        <family val="2"/>
        <scheme val="minor"/>
      </font>
      <numFmt numFmtId="167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/>
        <top style="dashed">
          <color rgb="FF7030A0"/>
        </top>
        <bottom style="dashed">
          <color rgb="FF7030A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 style="dashed">
          <color rgb="FF7030A0"/>
        </right>
        <top style="dashed">
          <color rgb="FF7030A0"/>
        </top>
        <bottom style="medium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167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 style="dashed">
          <color rgb="FF7030A0"/>
        </right>
        <top style="dashed">
          <color rgb="FF7030A0"/>
        </top>
        <bottom style="dashed">
          <color rgb="FF7030A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singleAccounting"/>
        <vertAlign val="baseline"/>
        <sz val="24"/>
        <color rgb="FFFF000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/>
        <right style="dashed">
          <color rgb="FF7030A0"/>
        </right>
        <top style="dashed">
          <color rgb="FF7030A0"/>
        </top>
        <bottom style="medium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singleAccounting"/>
        <vertAlign val="baseline"/>
        <sz val="24"/>
        <color rgb="FFFF0000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 style="dashed">
          <color rgb="FF7030A0"/>
        </right>
        <top style="dashed">
          <color rgb="FF7030A0"/>
        </top>
        <bottom style="dashed">
          <color rgb="FF7030A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singleAccounting"/>
        <vertAlign val="baseline"/>
        <sz val="24"/>
        <color rgb="FFC0000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 style="double">
          <color rgb="FF0070C0"/>
        </right>
        <top style="dashed">
          <color rgb="FF7030A0"/>
        </top>
        <bottom style="double">
          <color rgb="FF0070C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singleAccounting"/>
        <vertAlign val="baseline"/>
        <sz val="24"/>
        <color rgb="FFC00000"/>
        <name val="Calibri"/>
        <family val="2"/>
        <scheme val="minor"/>
      </font>
      <numFmt numFmtId="167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dashed">
          <color rgb="FF7030A0"/>
        </left>
        <right style="dashed">
          <color rgb="FF7030A0"/>
        </right>
        <top style="dashed">
          <color rgb="FF7030A0"/>
        </top>
        <bottom style="dashed">
          <color rgb="FF7030A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singleAccounting"/>
        <vertAlign val="baseline"/>
        <sz val="24"/>
        <color rgb="FFC0000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 style="dashed">
          <color rgb="FF7030A0"/>
        </right>
        <top style="dashed">
          <color rgb="FF7030A0"/>
        </top>
        <bottom style="double">
          <color rgb="FF0070C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singleAccounting"/>
        <vertAlign val="baseline"/>
        <sz val="24"/>
        <color rgb="FFC00000"/>
        <name val="Calibri"/>
        <family val="2"/>
        <scheme val="minor"/>
      </font>
      <numFmt numFmtId="167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dashed">
          <color rgb="FF7030A0"/>
        </left>
        <right style="dashed">
          <color rgb="FF7030A0"/>
        </right>
        <top style="dashed">
          <color rgb="FF7030A0"/>
        </top>
        <bottom style="dashed">
          <color rgb="FF7030A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singleAccounting"/>
        <vertAlign val="baseline"/>
        <sz val="24"/>
        <color rgb="FFC0000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double">
          <color rgb="FF0070C0"/>
        </left>
        <right style="dashed">
          <color rgb="FF7030A0"/>
        </right>
        <top style="dashed">
          <color rgb="FF7030A0"/>
        </top>
        <bottom style="double">
          <color rgb="FF0070C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singleAccounting"/>
        <vertAlign val="baseline"/>
        <sz val="24"/>
        <color rgb="FFC00000"/>
        <name val="Calibri"/>
        <family val="2"/>
        <scheme val="minor"/>
      </font>
      <numFmt numFmtId="167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double">
          <color rgb="FF0070C0"/>
        </left>
        <right style="dashed">
          <color rgb="FF7030A0"/>
        </right>
        <top style="dashed">
          <color rgb="FF7030A0"/>
        </top>
        <bottom style="dashed">
          <color rgb="FF7030A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singleAccounting"/>
        <vertAlign val="baseline"/>
        <sz val="24"/>
        <color rgb="FFC0000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/>
        <top style="dashed">
          <color rgb="FF7030A0"/>
        </top>
        <bottom style="medium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singleAccounting"/>
        <vertAlign val="baseline"/>
        <sz val="24"/>
        <color rgb="FFC00000"/>
        <name val="Calibri"/>
        <family val="2"/>
        <scheme val="minor"/>
      </font>
      <numFmt numFmtId="167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 style="dashed">
          <color rgb="FF7030A0"/>
        </right>
        <top style="dashed">
          <color rgb="FF7030A0"/>
        </top>
        <bottom style="dashed">
          <color rgb="FF7030A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/>
        <right style="dashed">
          <color rgb="FF7030A0"/>
        </right>
        <top style="dashed">
          <color rgb="FF7030A0"/>
        </top>
        <bottom style="medium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 style="dashed">
          <color rgb="FF7030A0"/>
        </right>
        <top style="dashed">
          <color rgb="FF7030A0"/>
        </top>
        <bottom style="dashed">
          <color rgb="FF7030A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 style="double">
          <color rgb="FF00B050"/>
        </right>
        <top style="dashed">
          <color rgb="FF7030A0"/>
        </top>
        <bottom style="double">
          <color rgb="FF00B05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dashed">
          <color rgb="FF7030A0"/>
        </left>
        <right style="double">
          <color rgb="FF7030A0"/>
        </right>
        <top style="dashed">
          <color rgb="FF7030A0"/>
        </top>
        <bottom style="dashed">
          <color rgb="FF7030A0"/>
        </bottom>
        <vertical style="dashed">
          <color rgb="FF7030A0"/>
        </vertical>
        <horizontal style="dashed">
          <color rgb="FF7030A0"/>
        </horizontal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 style="dashed">
          <color rgb="FF7030A0"/>
        </right>
        <top style="dashed">
          <color rgb="FF7030A0"/>
        </top>
        <bottom style="double">
          <color rgb="FF00B05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dashed">
          <color rgb="FF7030A0"/>
        </left>
        <right style="dashed">
          <color rgb="FF7030A0"/>
        </right>
        <top style="dashed">
          <color rgb="FF7030A0"/>
        </top>
        <bottom style="dashed">
          <color rgb="FF7030A0"/>
        </bottom>
        <vertical style="dashed">
          <color rgb="FF7030A0"/>
        </vertical>
        <horizontal style="dashed">
          <color rgb="FF7030A0"/>
        </horizontal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 style="dashed">
          <color rgb="FF7030A0"/>
        </right>
        <top style="dashed">
          <color rgb="FF7030A0"/>
        </top>
        <bottom style="double">
          <color rgb="FF00B05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167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dashed">
          <color rgb="FF7030A0"/>
        </left>
        <right style="dashed">
          <color rgb="FF7030A0"/>
        </right>
        <top style="dashed">
          <color rgb="FF7030A0"/>
        </top>
        <bottom style="dashed">
          <color rgb="FF7030A0"/>
        </bottom>
        <vertical style="dashed">
          <color rgb="FF7030A0"/>
        </vertical>
        <horizontal style="dashed">
          <color rgb="FF7030A0"/>
        </horizontal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double">
          <color rgb="FFC00000"/>
        </left>
        <right style="dashed">
          <color rgb="FF7030A0"/>
        </right>
        <top style="dashed">
          <color rgb="FF7030A0"/>
        </top>
        <bottom style="double">
          <color rgb="FF00B05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167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double">
          <color rgb="FFC00000"/>
        </left>
        <right style="dashed">
          <color rgb="FF7030A0"/>
        </right>
        <top style="dashed">
          <color rgb="FF7030A0"/>
        </top>
        <bottom style="dashed">
          <color rgb="FF7030A0"/>
        </bottom>
        <vertical style="dashed">
          <color rgb="FF7030A0"/>
        </vertical>
        <horizontal style="dashed">
          <color rgb="FF7030A0"/>
        </horizontal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C0000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 style="double">
          <color rgb="FFC00000"/>
        </right>
        <top style="dashed">
          <color rgb="FF7030A0"/>
        </top>
        <bottom style="double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C00000"/>
        <name val="Calibri"/>
        <family val="2"/>
        <scheme val="minor"/>
      </font>
      <numFmt numFmtId="167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dashDot">
          <color rgb="FFC00000"/>
        </left>
        <right style="double">
          <color rgb="FF7030A0"/>
        </right>
        <top style="dashDot">
          <color rgb="FFC00000"/>
        </top>
        <bottom style="dashDot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C0000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 style="dashed">
          <color rgb="FF7030A0"/>
        </right>
        <top style="dashed">
          <color rgb="FF7030A0"/>
        </top>
        <bottom style="double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C00000"/>
        <name val="Calibri"/>
        <family val="2"/>
        <scheme val="minor"/>
      </font>
      <numFmt numFmtId="167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C0000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 style="dashed">
          <color rgb="FF7030A0"/>
        </right>
        <top style="dashed">
          <color rgb="FF7030A0"/>
        </top>
        <bottom style="double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C00000"/>
        <name val="Calibri"/>
        <family val="2"/>
        <scheme val="minor"/>
      </font>
      <numFmt numFmtId="167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C0000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 style="dashed">
          <color rgb="FF7030A0"/>
        </right>
        <top style="dashed">
          <color rgb="FF7030A0"/>
        </top>
        <bottom style="double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C00000"/>
        <name val="Calibri"/>
        <family val="2"/>
        <scheme val="minor"/>
      </font>
      <numFmt numFmtId="167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C0000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 style="dashed">
          <color rgb="FF7030A0"/>
        </right>
        <top style="dashed">
          <color rgb="FF7030A0"/>
        </top>
        <bottom style="double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C00000"/>
        <name val="Calibri"/>
        <family val="2"/>
        <scheme val="minor"/>
      </font>
      <numFmt numFmtId="167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C0000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 style="dashed">
          <color rgb="FF7030A0"/>
        </right>
        <top style="dashed">
          <color rgb="FF7030A0"/>
        </top>
        <bottom style="double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C00000"/>
        <name val="Calibri"/>
        <family val="2"/>
        <scheme val="minor"/>
      </font>
      <numFmt numFmtId="167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C0000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 style="dashed">
          <color rgb="FF7030A0"/>
        </right>
        <top style="dashed">
          <color rgb="FF7030A0"/>
        </top>
        <bottom style="double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C00000"/>
        <name val="Calibri"/>
        <family val="2"/>
        <scheme val="minor"/>
      </font>
      <numFmt numFmtId="168" formatCode="yyyy\-mm\-dd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dashDot">
          <color rgb="FFC0000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C0000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double">
          <color rgb="FF7030A0"/>
        </left>
        <right style="dashed">
          <color rgb="FF7030A0"/>
        </right>
        <top style="dashed">
          <color rgb="FF7030A0"/>
        </top>
        <bottom style="double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C00000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double">
          <color rgb="FF7030A0"/>
        </left>
        <right style="dashDot">
          <color rgb="FFC00000"/>
        </right>
        <top style="dashDot">
          <color rgb="FFC00000"/>
        </top>
        <bottom style="dashDot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 style="double">
          <color rgb="FF7030A0"/>
        </right>
        <top style="dashed">
          <color rgb="FF7030A0"/>
        </top>
        <bottom style="double">
          <color rgb="FF7030A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9" tint="-0.499984740745262"/>
        <name val="Calibri"/>
        <family val="2"/>
        <scheme val="minor"/>
      </font>
      <numFmt numFmtId="167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dashed">
          <color rgb="FF7030A0"/>
        </left>
        <right style="double">
          <color rgb="FF7030A0"/>
        </right>
        <top style="dashed">
          <color rgb="FF7030A0"/>
        </top>
        <bottom style="dashed">
          <color rgb="FF7030A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 style="dashed">
          <color rgb="FF7030A0"/>
        </right>
        <top style="dashed">
          <color rgb="FF7030A0"/>
        </top>
        <bottom style="double">
          <color rgb="FF7030A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9" tint="-0.499984740745262"/>
        <name val="Calibri"/>
        <family val="2"/>
        <scheme val="minor"/>
      </font>
      <numFmt numFmtId="167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dashed">
          <color rgb="FF7030A0"/>
        </left>
        <right style="dashed">
          <color rgb="FF7030A0"/>
        </right>
        <top style="dashed">
          <color rgb="FF7030A0"/>
        </top>
        <bottom style="dashed">
          <color rgb="FF7030A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 style="dashed">
          <color rgb="FF7030A0"/>
        </right>
        <top style="dashed">
          <color rgb="FF7030A0"/>
        </top>
        <bottom style="double">
          <color rgb="FF7030A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9" tint="-0.499984740745262"/>
        <name val="Calibri"/>
        <family val="2"/>
        <scheme val="minor"/>
      </font>
      <numFmt numFmtId="167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dashed">
          <color rgb="FF7030A0"/>
        </left>
        <right style="dashed">
          <color rgb="FF7030A0"/>
        </right>
        <top style="dashed">
          <color rgb="FF7030A0"/>
        </top>
        <bottom style="dashed">
          <color rgb="FF7030A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double">
          <color rgb="FFC00000"/>
        </left>
        <right style="dashed">
          <color rgb="FF7030A0"/>
        </right>
        <top style="dashed">
          <color rgb="FF7030A0"/>
        </top>
        <bottom style="double">
          <color rgb="FF7030A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9" tint="-0.499984740745262"/>
        <name val="Calibri"/>
        <family val="2"/>
        <scheme val="minor"/>
      </font>
      <numFmt numFmtId="167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double">
          <color rgb="FFC00000"/>
        </left>
        <right style="dashed">
          <color rgb="FF7030A0"/>
        </right>
        <top style="dashed">
          <color rgb="FF7030A0"/>
        </top>
        <bottom style="dashed">
          <color rgb="FF7030A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 style="double">
          <color rgb="FFC00000"/>
        </right>
        <top style="dashed">
          <color rgb="FF7030A0"/>
        </top>
        <bottom style="double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8" tint="-0.499984740745262"/>
        <name val="Calibri"/>
        <family val="2"/>
        <scheme val="minor"/>
      </font>
      <numFmt numFmtId="167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dashed">
          <color rgb="FF7030A0"/>
        </left>
        <right style="double">
          <color rgb="FF7030A0"/>
        </right>
        <top style="dashed">
          <color rgb="FF7030A0"/>
        </top>
        <bottom style="dashed">
          <color rgb="FF7030A0"/>
        </bottom>
        <vertical style="dashed">
          <color rgb="FF7030A0"/>
        </vertical>
        <horizontal style="dashed">
          <color rgb="FF7030A0"/>
        </horizontal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314D44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 style="dashed">
          <color rgb="FF7030A0"/>
        </right>
        <top style="dashed">
          <color rgb="FF7030A0"/>
        </top>
        <bottom style="double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8" tint="-0.499984740745262"/>
        <name val="Calibri"/>
        <family val="2"/>
        <scheme val="minor"/>
      </font>
      <numFmt numFmtId="167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dashed">
          <color rgb="FF7030A0"/>
        </left>
        <right style="dashed">
          <color rgb="FF7030A0"/>
        </right>
        <top style="dashed">
          <color rgb="FF7030A0"/>
        </top>
        <bottom style="dashed">
          <color rgb="FF7030A0"/>
        </bottom>
        <vertical style="dashed">
          <color rgb="FF7030A0"/>
        </vertical>
        <horizontal style="dashed">
          <color rgb="FF7030A0"/>
        </horizontal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314D44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 style="dashed">
          <color rgb="FF7030A0"/>
        </right>
        <top style="dashed">
          <color rgb="FF7030A0"/>
        </top>
        <bottom style="double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8" tint="-0.499984740745262"/>
        <name val="Calibri"/>
        <family val="2"/>
        <scheme val="minor"/>
      </font>
      <numFmt numFmtId="167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dashed">
          <color rgb="FF7030A0"/>
        </left>
        <right style="dashed">
          <color rgb="FF7030A0"/>
        </right>
        <top style="dashed">
          <color rgb="FF7030A0"/>
        </top>
        <bottom style="dashed">
          <color rgb="FF7030A0"/>
        </bottom>
        <vertical style="dashed">
          <color rgb="FF7030A0"/>
        </vertical>
        <horizontal style="dashed">
          <color rgb="FF7030A0"/>
        </horizontal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314D44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 style="dashed">
          <color rgb="FF7030A0"/>
        </right>
        <top style="dashed">
          <color rgb="FF7030A0"/>
        </top>
        <bottom style="double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8" tint="-0.499984740745262"/>
        <name val="Calibri"/>
        <family val="2"/>
        <scheme val="minor"/>
      </font>
      <numFmt numFmtId="167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dashed">
          <color rgb="FF7030A0"/>
        </left>
        <right style="dashed">
          <color rgb="FF7030A0"/>
        </right>
        <top style="dashed">
          <color rgb="FF7030A0"/>
        </top>
        <bottom style="dashed">
          <color rgb="FF7030A0"/>
        </bottom>
        <vertical style="dashed">
          <color rgb="FF7030A0"/>
        </vertical>
        <horizontal style="dashed">
          <color rgb="FF7030A0"/>
        </horizontal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314D44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 style="dashed">
          <color rgb="FF7030A0"/>
        </right>
        <top style="dashed">
          <color rgb="FF7030A0"/>
        </top>
        <bottom style="double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8" tint="-0.499984740745262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dashed">
          <color rgb="FF7030A0"/>
        </left>
        <right style="dashed">
          <color rgb="FF7030A0"/>
        </right>
        <top style="dashed">
          <color rgb="FF7030A0"/>
        </top>
        <bottom style="dashed">
          <color rgb="FF7030A0"/>
        </bottom>
        <vertical style="dashed">
          <color rgb="FF7030A0"/>
        </vertical>
        <horizontal style="dashed">
          <color rgb="FF7030A0"/>
        </horizontal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314D44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 style="dashed">
          <color rgb="FF7030A0"/>
        </right>
        <top style="dashed">
          <color rgb="FF7030A0"/>
        </top>
        <bottom style="double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8" tint="-0.499984740745262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dashed">
          <color rgb="FF7030A0"/>
        </left>
        <right style="dashed">
          <color rgb="FF7030A0"/>
        </right>
        <top style="dashed">
          <color rgb="FF7030A0"/>
        </top>
        <bottom style="dashed">
          <color rgb="FF7030A0"/>
        </bottom>
        <vertical style="dashed">
          <color rgb="FF7030A0"/>
        </vertical>
        <horizontal style="dashed">
          <color rgb="FF7030A0"/>
        </horizontal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314D44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double">
          <color rgb="FFC00000"/>
        </left>
        <right style="dashed">
          <color rgb="FF7030A0"/>
        </right>
        <top style="dashed">
          <color rgb="FF7030A0"/>
        </top>
        <bottom style="double">
          <color rgb="FFC0000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8" tint="-0.499984740745262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>
        <left style="double">
          <color rgb="FFC00000"/>
        </left>
        <right style="dashed">
          <color rgb="FF7030A0"/>
        </right>
        <top style="dashed">
          <color rgb="FF7030A0"/>
        </top>
        <bottom style="dashed">
          <color rgb="FF7030A0"/>
        </bottom>
        <vertical style="dashed">
          <color rgb="FF7030A0"/>
        </vertical>
        <horizontal style="dashed">
          <color rgb="FF7030A0"/>
        </horizontal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/>
        <top style="dashed">
          <color rgb="FF7030A0"/>
        </top>
        <bottom style="medium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170" formatCode="[$-10B0000]d\ mmmm\ yy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 style="dashed">
          <color rgb="FF7030A0"/>
        </right>
        <top style="dashed">
          <color rgb="FF7030A0"/>
        </top>
        <bottom style="dashed">
          <color rgb="FF7030A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 style="dashed">
          <color rgb="FF7030A0"/>
        </right>
        <top style="dashed">
          <color rgb="FF7030A0"/>
        </top>
        <bottom style="medium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170" formatCode="[$-10B0000]d\ mmmm\ yy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 style="dashed">
          <color rgb="FF7030A0"/>
        </right>
        <top style="dashed">
          <color rgb="FF7030A0"/>
        </top>
        <bottom style="dashed">
          <color rgb="FF7030A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 style="dashed">
          <color rgb="FF7030A0"/>
        </right>
        <top style="dashed">
          <color rgb="FF7030A0"/>
        </top>
        <bottom style="medium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 style="dashed">
          <color rgb="FF7030A0"/>
        </right>
        <top style="dashed">
          <color rgb="FF7030A0"/>
        </top>
        <bottom style="dashed">
          <color rgb="FF7030A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 style="dashed">
          <color rgb="FF7030A0"/>
        </right>
        <top style="dashed">
          <color rgb="FF7030A0"/>
        </top>
        <bottom style="medium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 style="dashed">
          <color rgb="FF7030A0"/>
        </right>
        <top style="dashed">
          <color rgb="FF7030A0"/>
        </top>
        <bottom style="dashed">
          <color rgb="FF7030A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 style="dashed">
          <color rgb="FF7030A0"/>
        </right>
        <top style="dashed">
          <color rgb="FF7030A0"/>
        </top>
        <bottom style="medium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 style="dashed">
          <color rgb="FF7030A0"/>
        </right>
        <top style="dashed">
          <color rgb="FF7030A0"/>
        </top>
        <bottom style="dashed">
          <color rgb="FF7030A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 style="dashed">
          <color rgb="FF7030A0"/>
        </right>
        <top style="dashed">
          <color rgb="FF7030A0"/>
        </top>
        <bottom style="medium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 style="dashed">
          <color rgb="FF7030A0"/>
        </right>
        <top style="dashed">
          <color rgb="FF7030A0"/>
        </top>
        <bottom style="dashed">
          <color rgb="FF7030A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 style="dashed">
          <color rgb="FF7030A0"/>
        </right>
        <top style="dashed">
          <color rgb="FF7030A0"/>
        </top>
        <bottom style="medium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 style="dashed">
          <color rgb="FF7030A0"/>
        </right>
        <top style="dashed">
          <color rgb="FF7030A0"/>
        </top>
        <bottom style="dashed">
          <color rgb="FF7030A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/>
        <vertAlign val="baseline"/>
        <sz val="24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 style="dashed">
          <color rgb="FF7030A0"/>
        </right>
        <top style="dashed">
          <color rgb="FF7030A0"/>
        </top>
        <bottom style="medium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/>
        <vertAlign val="baseline"/>
        <sz val="24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 style="dashed">
          <color rgb="FF7030A0"/>
        </right>
        <top style="dashed">
          <color rgb="FF7030A0"/>
        </top>
        <bottom style="medium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/>
        <vertAlign val="baseline"/>
        <sz val="24"/>
        <color theme="1"/>
        <name val="Calibri"/>
        <family val="2"/>
        <scheme val="minor"/>
      </font>
      <numFmt numFmtId="164" formatCode="[$-409]d/mmm/yy;@"/>
      <alignment horizontal="center" vertical="center" textRotation="0" wrapText="0" indent="0" justifyLastLine="0" shrinkToFit="1" readingOrder="2"/>
      <border diagonalUp="0" diagonalDown="0" outline="0">
        <left style="dashed">
          <color rgb="FF7030A0"/>
        </left>
        <right style="dashed">
          <color rgb="FF7030A0"/>
        </right>
        <top style="dashed">
          <color rgb="FF7030A0"/>
        </top>
        <bottom style="dashed">
          <color rgb="FF7030A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/>
        <vertAlign val="baseline"/>
        <sz val="24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 style="dashed">
          <color rgb="FF7030A0"/>
        </right>
        <top style="dashed">
          <color rgb="FF7030A0"/>
        </top>
        <bottom style="medium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/>
        <vertAlign val="baseline"/>
        <sz val="2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 style="dashed">
          <color rgb="FF7030A0"/>
        </right>
        <top style="dashed">
          <color rgb="FF7030A0"/>
        </top>
        <bottom style="dashed">
          <color rgb="FF7030A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 style="dashed">
          <color rgb="FF7030A0"/>
        </right>
        <top style="dashed">
          <color rgb="FF7030A0"/>
        </top>
        <bottom style="medium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/>
        <vertAlign val="baseline"/>
        <sz val="2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 style="dashed">
          <color rgb="FF7030A0"/>
        </right>
        <top style="dashed">
          <color rgb="FF7030A0"/>
        </top>
        <bottom style="dashed">
          <color rgb="FF7030A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/>
        <vertAlign val="baseline"/>
        <sz val="24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 style="dashed">
          <color rgb="FF7030A0"/>
        </right>
        <top style="dashed">
          <color rgb="FF7030A0"/>
        </top>
        <bottom style="medium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/>
        <vertAlign val="baseline"/>
        <sz val="2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 style="dashed">
          <color rgb="FF7030A0"/>
        </right>
        <top style="dashed">
          <color rgb="FF7030A0"/>
        </top>
        <bottom style="dashed">
          <color rgb="FF7030A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 style="dashed">
          <color rgb="FF7030A0"/>
        </right>
        <top style="dashed">
          <color rgb="FF7030A0"/>
        </top>
        <bottom style="medium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 outline="0">
        <left style="dashed">
          <color rgb="FF7030A0"/>
        </left>
        <right style="dashed">
          <color rgb="FF7030A0"/>
        </right>
        <top style="dashed">
          <color rgb="FF7030A0"/>
        </top>
        <bottom style="dashed">
          <color rgb="FF7030A0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 style="medium">
          <color auto="1"/>
        </left>
        <right style="dashed">
          <color rgb="FF7030A0"/>
        </right>
        <top style="dashed">
          <color rgb="FF7030A0"/>
        </top>
        <bottom style="medium">
          <color auto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border diagonalUp="0" diagonalDown="0" outline="0">
        <left/>
        <right style="dashed">
          <color rgb="FF7030A0"/>
        </right>
        <top style="dashed">
          <color rgb="FF7030A0"/>
        </top>
        <bottom style="dashed">
          <color rgb="FF7030A0"/>
        </bottom>
      </border>
      <protection locked="1" hidden="1"/>
    </dxf>
    <dxf>
      <border>
        <top style="medium">
          <color auto="1"/>
        </top>
      </border>
    </dxf>
    <dxf>
      <font>
        <strike val="0"/>
        <outline val="0"/>
        <shadow val="0"/>
        <vertAlign val="baseline"/>
        <sz val="24"/>
        <name val="Calibri"/>
        <family val="2"/>
        <scheme val="minor"/>
      </font>
      <numFmt numFmtId="167" formatCode="_-* #,##0_-;_-* #,##0\-;_-* &quot;-&quot;??_-;_-@_-"/>
      <fill>
        <patternFill patternType="none">
          <fgColor indexed="64"/>
          <bgColor auto="1"/>
        </patternFill>
      </fill>
      <alignment textRotation="0" justifyLastLine="0" shrinkToFit="1" readingOrder="0"/>
      <border diagonalUp="0" diagonalDown="0" outline="0">
        <left style="dashed">
          <color rgb="FF7030A0"/>
        </left>
        <right style="dashed">
          <color rgb="FF7030A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000000"/>
        <name val="Calibri"/>
        <family val="2"/>
        <scheme val="minor"/>
      </font>
      <numFmt numFmtId="167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1" readingOrder="0"/>
      <protection locked="1" hidden="1"/>
    </dxf>
    <dxf>
      <font>
        <b/>
        <i val="0"/>
        <strike val="0"/>
        <condense val="0"/>
        <extend val="0"/>
        <outline val="0"/>
        <shadow val="0"/>
        <u/>
        <vertAlign val="baseline"/>
        <sz val="24"/>
        <color theme="0"/>
        <name val="Calibri"/>
        <family val="2"/>
        <scheme val="minor"/>
      </font>
      <numFmt numFmtId="167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1" readingOrder="0"/>
      <border diagonalUp="0" diagonalDown="0" outline="0">
        <left style="dashed">
          <color rgb="FF7030A0"/>
        </left>
        <right style="dashed">
          <color rgb="FF7030A0"/>
        </right>
        <top/>
        <bottom/>
      </border>
      <protection locked="1" hidden="1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wrapText="1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_-* #,##0.00_-;_-* #,##0.00\-;_-* &quot;-&quot;??_-;_-@_-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&#1571;&#1589;&#1608;&#1604; 2018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&#1605;&#1604;&#1582;&#1589; &#1575;&#1604;&#1571;&#1589;&#1608;&#1604;'!A1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6" Type="http://schemas.openxmlformats.org/officeDocument/2006/relationships/image" Target="../media/image1.emf"/><Relationship Id="rId5" Type="http://schemas.openxmlformats.org/officeDocument/2006/relationships/image" Target="../media/image2.emf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333376</xdr:colOff>
      <xdr:row>3</xdr:row>
      <xdr:rowOff>57151</xdr:rowOff>
    </xdr:from>
    <xdr:to>
      <xdr:col>11</xdr:col>
      <xdr:colOff>400050</xdr:colOff>
      <xdr:row>8</xdr:row>
      <xdr:rowOff>123824</xdr:rowOff>
    </xdr:to>
    <xdr:sp macro="" textlink="">
      <xdr:nvSpPr>
        <xdr:cNvPr id="4" name="Oval 3">
          <a:hlinkClick xmlns:r="http://schemas.openxmlformats.org/officeDocument/2006/relationships" r:id="rId1" tooltip="الرئيسية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1115676" y="819151"/>
          <a:ext cx="1523999" cy="1019173"/>
        </a:xfrm>
        <a:prstGeom prst="ellipse">
          <a:avLst/>
        </a:prstGeom>
        <a:noFill/>
        <a:ln w="76200"/>
        <a:effectLst>
          <a:glow rad="228600">
            <a:schemeClr val="accent6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SA" sz="1500" b="1" u="sng">
              <a:solidFill>
                <a:schemeClr val="tx1"/>
              </a:solidFill>
              <a:cs typeface="Sultan Medium" pitchFamily="2" charset="-78"/>
            </a:rPr>
            <a:t>تفاصيل الأصول</a:t>
          </a:r>
          <a:endParaRPr lang="en-US" sz="1500" b="1" u="sng">
            <a:solidFill>
              <a:schemeClr val="tx1"/>
            </a:solidFill>
            <a:cs typeface="Sultan Medium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0</xdr:row>
          <xdr:rowOff>0</xdr:rowOff>
        </xdr:from>
        <xdr:to>
          <xdr:col>45</xdr:col>
          <xdr:colOff>19050</xdr:colOff>
          <xdr:row>0</xdr:row>
          <xdr:rowOff>19050</xdr:rowOff>
        </xdr:to>
        <xdr:sp macro="" textlink="">
          <xdr:nvSpPr>
            <xdr:cNvPr id="1025" name="Image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0</xdr:row>
          <xdr:rowOff>0</xdr:rowOff>
        </xdr:from>
        <xdr:to>
          <xdr:col>45</xdr:col>
          <xdr:colOff>19050</xdr:colOff>
          <xdr:row>0</xdr:row>
          <xdr:rowOff>9525</xdr:rowOff>
        </xdr:to>
        <xdr:sp macro="" textlink="">
          <xdr:nvSpPr>
            <xdr:cNvPr id="1026" name="CommandButton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0</xdr:row>
          <xdr:rowOff>0</xdr:rowOff>
        </xdr:from>
        <xdr:to>
          <xdr:col>45</xdr:col>
          <xdr:colOff>19050</xdr:colOff>
          <xdr:row>0</xdr:row>
          <xdr:rowOff>19050</xdr:rowOff>
        </xdr:to>
        <xdr:sp macro="" textlink="">
          <xdr:nvSpPr>
            <xdr:cNvPr id="1027" name="Image2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0</xdr:row>
          <xdr:rowOff>9525</xdr:rowOff>
        </xdr:from>
        <xdr:to>
          <xdr:col>45</xdr:col>
          <xdr:colOff>9525</xdr:colOff>
          <xdr:row>0</xdr:row>
          <xdr:rowOff>19050</xdr:rowOff>
        </xdr:to>
        <xdr:sp macro="" textlink="">
          <xdr:nvSpPr>
            <xdr:cNvPr id="1028" name="CommandButton2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0</xdr:row>
          <xdr:rowOff>0</xdr:rowOff>
        </xdr:from>
        <xdr:to>
          <xdr:col>45</xdr:col>
          <xdr:colOff>28575</xdr:colOff>
          <xdr:row>0</xdr:row>
          <xdr:rowOff>19050</xdr:rowOff>
        </xdr:to>
        <xdr:sp macro="" textlink="">
          <xdr:nvSpPr>
            <xdr:cNvPr id="1029" name="Image3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0</xdr:row>
      <xdr:rowOff>241680</xdr:rowOff>
    </xdr:from>
    <xdr:to>
      <xdr:col>2</xdr:col>
      <xdr:colOff>1476375</xdr:colOff>
      <xdr:row>2</xdr:row>
      <xdr:rowOff>261938</xdr:rowOff>
    </xdr:to>
    <xdr:sp macro="" textlink="">
      <xdr:nvSpPr>
        <xdr:cNvPr id="7" name="Oval 6">
          <a:hlinkClick xmlns:r="http://schemas.openxmlformats.org/officeDocument/2006/relationships" r:id="rId1" tooltip="الرئيسية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10188225750" y="241680"/>
          <a:ext cx="4762500" cy="1258508"/>
        </a:xfrm>
        <a:prstGeom prst="ellipse">
          <a:avLst/>
        </a:prstGeom>
        <a:noFill/>
        <a:ln w="76200"/>
        <a:effectLst>
          <a:glow rad="228600">
            <a:schemeClr val="accent6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ar-SA" sz="4400" b="1" u="sng">
              <a:solidFill>
                <a:schemeClr val="tx1"/>
              </a:solidFill>
              <a:latin typeface="Andalus" panose="02020603050405020304" pitchFamily="18" charset="-78"/>
              <a:cs typeface="Andalus" panose="02020603050405020304" pitchFamily="18" charset="-78"/>
            </a:rPr>
            <a:t>ملخص الأصول</a:t>
          </a:r>
          <a:endParaRPr lang="en-US" sz="4400" b="1" u="sng">
            <a:solidFill>
              <a:schemeClr val="tx1"/>
            </a:solidFill>
            <a:latin typeface="Andalus" panose="02020603050405020304" pitchFamily="18" charset="-78"/>
            <a:cs typeface="Andalus" panose="02020603050405020304" pitchFamily="18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0</xdr:row>
          <xdr:rowOff>0</xdr:rowOff>
        </xdr:from>
        <xdr:to>
          <xdr:col>45</xdr:col>
          <xdr:colOff>57150</xdr:colOff>
          <xdr:row>0</xdr:row>
          <xdr:rowOff>47625</xdr:rowOff>
        </xdr:to>
        <xdr:sp macro="" textlink="">
          <xdr:nvSpPr>
            <xdr:cNvPr id="1030" name="Image4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0</xdr:row>
          <xdr:rowOff>9525</xdr:rowOff>
        </xdr:from>
        <xdr:to>
          <xdr:col>45</xdr:col>
          <xdr:colOff>38100</xdr:colOff>
          <xdr:row>0</xdr:row>
          <xdr:rowOff>28575</xdr:rowOff>
        </xdr:to>
        <xdr:sp macro="" textlink="">
          <xdr:nvSpPr>
            <xdr:cNvPr id="1031" name="CommandButton3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mo7amed%20ma7di\Dropbox\Al%20Raseen%202017%20(Autosaved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l%20Raseen%202017%20(Autosaved)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bu%20Ahmed\Al%20Raseen\Financing\General%20Journal%20Entries\2017\Al%20Raseen%202017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1575;&#1604;&#1605;&#1575;&#1604;&#1610;&#1577;\&#1581;&#1587;&#1575;&#1576;&#1575;&#1578;%202011\&#1593;&#1575;&#1605;%202017\&#1575;&#1604;&#1581;&#1587;&#1575;&#1576;&#1575;&#1578;2017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%20drive\&#1571;&#1581;&#1605;&#1583;%20&#1576;&#1593;&#1583;%20&#1575;&#1604;&#1578;&#1581;&#1583;&#1610;&#1579;\&#1575;&#1583;&#1575;&#1585;&#1577;%20&#1575;&#1604;&#1581;&#1587;&#1575;&#1576;&#1575;&#1578;\&#1581;&#1587;&#1575;&#1576;&#1575;&#1578;%202011\&#1593;&#1575;&#1605;%202017\&#1575;&#1604;&#1581;&#1587;&#1575;&#1576;&#1575;&#1578;201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رئيسية"/>
      <sheetName val="دليل"/>
      <sheetName val="اليوميه"/>
      <sheetName val="الصندوق"/>
      <sheetName val="جرد الصندوق"/>
      <sheetName val="حساب العملاء"/>
      <sheetName val="بيان العملاء"/>
      <sheetName val="تحصيل"/>
      <sheetName val="إستعلام"/>
      <sheetName val="أصول2016 "/>
      <sheetName val="الاريل"/>
      <sheetName val="جرد"/>
      <sheetName val="جمجوم"/>
      <sheetName val="الحبتور"/>
      <sheetName val="السكن"/>
      <sheetName val="خطابات الضمان "/>
      <sheetName val="Sheet1"/>
      <sheetName val="العثيم"/>
      <sheetName val="مسك الاغذيه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>
        <row r="5">
          <cell r="Q5">
            <v>1200</v>
          </cell>
        </row>
        <row r="6">
          <cell r="Q6">
            <v>0</v>
          </cell>
        </row>
        <row r="7">
          <cell r="Q7">
            <v>2700</v>
          </cell>
        </row>
        <row r="8">
          <cell r="Q8">
            <v>0</v>
          </cell>
        </row>
        <row r="9">
          <cell r="Q9">
            <v>1500</v>
          </cell>
        </row>
        <row r="10">
          <cell r="Q10">
            <v>2400</v>
          </cell>
        </row>
        <row r="11">
          <cell r="Q11">
            <v>2700</v>
          </cell>
        </row>
        <row r="12">
          <cell r="Q12">
            <v>1800</v>
          </cell>
        </row>
        <row r="13">
          <cell r="Q13">
            <v>1800</v>
          </cell>
        </row>
        <row r="14">
          <cell r="Q14">
            <v>1800</v>
          </cell>
        </row>
        <row r="15">
          <cell r="Q15">
            <v>-300</v>
          </cell>
        </row>
        <row r="16">
          <cell r="Q16">
            <v>1500</v>
          </cell>
        </row>
        <row r="17">
          <cell r="Q17">
            <v>1500</v>
          </cell>
        </row>
        <row r="18">
          <cell r="Q18">
            <v>400</v>
          </cell>
        </row>
        <row r="19">
          <cell r="Q19">
            <v>900</v>
          </cell>
        </row>
        <row r="20">
          <cell r="Q20">
            <v>0</v>
          </cell>
        </row>
        <row r="21">
          <cell r="Q21">
            <v>1800</v>
          </cell>
        </row>
        <row r="22">
          <cell r="Q22">
            <v>1800</v>
          </cell>
        </row>
        <row r="23">
          <cell r="Q23">
            <v>500</v>
          </cell>
        </row>
        <row r="24">
          <cell r="Q24">
            <v>500</v>
          </cell>
        </row>
        <row r="25">
          <cell r="Q25">
            <v>300</v>
          </cell>
        </row>
        <row r="26">
          <cell r="Q26">
            <v>1800</v>
          </cell>
        </row>
        <row r="27">
          <cell r="Q27">
            <v>1500</v>
          </cell>
        </row>
        <row r="28">
          <cell r="Q28">
            <v>2250</v>
          </cell>
        </row>
        <row r="29">
          <cell r="Q29">
            <v>1500</v>
          </cell>
        </row>
        <row r="30">
          <cell r="Q30">
            <v>600</v>
          </cell>
        </row>
        <row r="31">
          <cell r="Q31">
            <v>1250</v>
          </cell>
        </row>
        <row r="32">
          <cell r="Q32">
            <v>1500</v>
          </cell>
        </row>
        <row r="33">
          <cell r="Q33">
            <v>1200</v>
          </cell>
        </row>
        <row r="34">
          <cell r="Q34">
            <v>400</v>
          </cell>
        </row>
        <row r="35">
          <cell r="Q35">
            <v>400</v>
          </cell>
        </row>
        <row r="36">
          <cell r="Q36">
            <v>800</v>
          </cell>
        </row>
        <row r="37">
          <cell r="Q37">
            <v>1120</v>
          </cell>
        </row>
        <row r="38">
          <cell r="Q38">
            <v>1200</v>
          </cell>
        </row>
        <row r="39">
          <cell r="Q39">
            <v>900</v>
          </cell>
        </row>
        <row r="40">
          <cell r="Q40">
            <v>900</v>
          </cell>
        </row>
        <row r="41">
          <cell r="Q41">
            <v>500</v>
          </cell>
        </row>
        <row r="42">
          <cell r="Q42">
            <v>0</v>
          </cell>
        </row>
        <row r="43">
          <cell r="Q43">
            <v>700</v>
          </cell>
        </row>
        <row r="44">
          <cell r="Q44">
            <v>900</v>
          </cell>
        </row>
        <row r="45">
          <cell r="Q45">
            <v>0</v>
          </cell>
        </row>
        <row r="46">
          <cell r="Q46">
            <v>300</v>
          </cell>
        </row>
        <row r="47">
          <cell r="Q47">
            <v>500</v>
          </cell>
        </row>
        <row r="48">
          <cell r="Q48">
            <v>1680</v>
          </cell>
        </row>
        <row r="49">
          <cell r="Q49">
            <v>600</v>
          </cell>
        </row>
        <row r="50">
          <cell r="Q50">
            <v>400</v>
          </cell>
        </row>
        <row r="51">
          <cell r="Q51">
            <v>600</v>
          </cell>
        </row>
        <row r="52">
          <cell r="Q52">
            <v>0</v>
          </cell>
        </row>
        <row r="53">
          <cell r="Q53">
            <v>900</v>
          </cell>
        </row>
        <row r="54">
          <cell r="Q54">
            <v>0</v>
          </cell>
        </row>
        <row r="55">
          <cell r="Q55">
            <v>400</v>
          </cell>
        </row>
        <row r="56">
          <cell r="Q56">
            <v>400</v>
          </cell>
        </row>
        <row r="57">
          <cell r="Q57">
            <v>800</v>
          </cell>
        </row>
        <row r="58">
          <cell r="Q58">
            <v>400</v>
          </cell>
        </row>
        <row r="59">
          <cell r="Q59">
            <v>400</v>
          </cell>
        </row>
        <row r="60">
          <cell r="Q60">
            <v>900</v>
          </cell>
        </row>
        <row r="61">
          <cell r="Q61">
            <v>400</v>
          </cell>
        </row>
        <row r="62">
          <cell r="Q62">
            <v>800</v>
          </cell>
        </row>
        <row r="63">
          <cell r="Q63">
            <v>600</v>
          </cell>
        </row>
        <row r="64">
          <cell r="Q64">
            <v>1400</v>
          </cell>
        </row>
        <row r="65">
          <cell r="Q65">
            <v>1500</v>
          </cell>
        </row>
        <row r="66">
          <cell r="Q66">
            <v>600</v>
          </cell>
        </row>
        <row r="67">
          <cell r="Q67">
            <v>600</v>
          </cell>
        </row>
        <row r="68">
          <cell r="Q68">
            <v>1000</v>
          </cell>
        </row>
        <row r="69">
          <cell r="Q69">
            <v>2000</v>
          </cell>
        </row>
        <row r="70">
          <cell r="Q70">
            <v>1500</v>
          </cell>
        </row>
        <row r="71">
          <cell r="Q71">
            <v>750</v>
          </cell>
        </row>
        <row r="72">
          <cell r="Q72">
            <v>750</v>
          </cell>
        </row>
        <row r="73">
          <cell r="Q73">
            <v>1200</v>
          </cell>
        </row>
        <row r="74">
          <cell r="Q74">
            <v>750</v>
          </cell>
        </row>
        <row r="75">
          <cell r="Q75">
            <v>2400</v>
          </cell>
        </row>
        <row r="76">
          <cell r="Q76">
            <v>4050</v>
          </cell>
        </row>
        <row r="77">
          <cell r="Q77">
            <v>1000</v>
          </cell>
        </row>
        <row r="78">
          <cell r="Q78">
            <v>1750</v>
          </cell>
        </row>
        <row r="79">
          <cell r="Q79">
            <v>1000</v>
          </cell>
        </row>
        <row r="80">
          <cell r="Q80">
            <v>0</v>
          </cell>
        </row>
        <row r="81">
          <cell r="Q81">
            <v>750</v>
          </cell>
        </row>
        <row r="82">
          <cell r="Q82">
            <v>750</v>
          </cell>
        </row>
        <row r="83">
          <cell r="Q83">
            <v>1000</v>
          </cell>
        </row>
        <row r="84">
          <cell r="Q84">
            <v>1000</v>
          </cell>
        </row>
        <row r="85">
          <cell r="Q85">
            <v>750</v>
          </cell>
        </row>
        <row r="86">
          <cell r="Q86">
            <v>0</v>
          </cell>
        </row>
        <row r="87">
          <cell r="Q87">
            <v>0</v>
          </cell>
        </row>
        <row r="88">
          <cell r="Q88">
            <v>600</v>
          </cell>
        </row>
        <row r="89">
          <cell r="Q89">
            <v>0</v>
          </cell>
        </row>
        <row r="90">
          <cell r="Q90">
            <v>1500</v>
          </cell>
        </row>
        <row r="91">
          <cell r="Q91">
            <v>750</v>
          </cell>
        </row>
        <row r="92">
          <cell r="Q92">
            <v>750</v>
          </cell>
        </row>
        <row r="93">
          <cell r="Q93">
            <v>1500</v>
          </cell>
        </row>
        <row r="94">
          <cell r="Q94">
            <v>600</v>
          </cell>
        </row>
        <row r="95">
          <cell r="Q95">
            <v>0</v>
          </cell>
        </row>
        <row r="96">
          <cell r="Q96">
            <v>1500</v>
          </cell>
        </row>
        <row r="97">
          <cell r="Q97">
            <v>0</v>
          </cell>
        </row>
        <row r="98">
          <cell r="Q98">
            <v>0</v>
          </cell>
        </row>
        <row r="99">
          <cell r="Q99">
            <v>1800</v>
          </cell>
        </row>
        <row r="100">
          <cell r="Q100">
            <v>0</v>
          </cell>
        </row>
        <row r="101">
          <cell r="Q101">
            <v>0</v>
          </cell>
        </row>
        <row r="102">
          <cell r="Q102">
            <v>1500</v>
          </cell>
        </row>
        <row r="103">
          <cell r="Q103">
            <v>3000</v>
          </cell>
        </row>
        <row r="104">
          <cell r="Q104">
            <v>1500</v>
          </cell>
        </row>
        <row r="105">
          <cell r="Q105">
            <v>1500</v>
          </cell>
        </row>
        <row r="106">
          <cell r="Q106">
            <v>2760</v>
          </cell>
        </row>
        <row r="107">
          <cell r="Q107">
            <v>1500</v>
          </cell>
        </row>
        <row r="108">
          <cell r="Q108">
            <v>0</v>
          </cell>
        </row>
        <row r="109">
          <cell r="Q109">
            <v>3600</v>
          </cell>
        </row>
        <row r="110">
          <cell r="Q110">
            <v>0</v>
          </cell>
        </row>
        <row r="111">
          <cell r="Q111">
            <v>1500</v>
          </cell>
        </row>
        <row r="112">
          <cell r="Q112">
            <v>1800</v>
          </cell>
        </row>
        <row r="113">
          <cell r="Q113">
            <v>1800</v>
          </cell>
        </row>
        <row r="114">
          <cell r="Q114">
            <v>0</v>
          </cell>
        </row>
        <row r="115">
          <cell r="Q115">
            <v>900</v>
          </cell>
        </row>
        <row r="116">
          <cell r="Q116">
            <v>1500</v>
          </cell>
        </row>
        <row r="117">
          <cell r="Q117">
            <v>2250</v>
          </cell>
        </row>
        <row r="118">
          <cell r="Q118">
            <v>1500</v>
          </cell>
        </row>
        <row r="119">
          <cell r="Q119">
            <v>1200</v>
          </cell>
        </row>
        <row r="120">
          <cell r="Q120">
            <v>1500</v>
          </cell>
        </row>
        <row r="121">
          <cell r="Q121">
            <v>0</v>
          </cell>
        </row>
        <row r="122">
          <cell r="Q122">
            <v>1500</v>
          </cell>
        </row>
        <row r="123">
          <cell r="Q123">
            <v>1800</v>
          </cell>
        </row>
        <row r="124">
          <cell r="Q124">
            <v>600</v>
          </cell>
        </row>
        <row r="125">
          <cell r="Q125">
            <v>1800</v>
          </cell>
        </row>
        <row r="126">
          <cell r="Q126">
            <v>0</v>
          </cell>
        </row>
        <row r="127">
          <cell r="Q127">
            <v>0</v>
          </cell>
        </row>
        <row r="128">
          <cell r="Q128">
            <v>0</v>
          </cell>
        </row>
        <row r="129">
          <cell r="Q129">
            <v>0</v>
          </cell>
        </row>
        <row r="130">
          <cell r="Q130">
            <v>0</v>
          </cell>
        </row>
        <row r="131">
          <cell r="Q131">
            <v>0</v>
          </cell>
        </row>
        <row r="132">
          <cell r="Q132">
            <v>0</v>
          </cell>
        </row>
        <row r="133">
          <cell r="Q133">
            <v>0</v>
          </cell>
        </row>
        <row r="134">
          <cell r="Q134">
            <v>0</v>
          </cell>
        </row>
        <row r="135">
          <cell r="Q135">
            <v>1200</v>
          </cell>
        </row>
        <row r="136">
          <cell r="Q136">
            <v>2700</v>
          </cell>
        </row>
        <row r="137">
          <cell r="Q137">
            <v>1500</v>
          </cell>
        </row>
        <row r="138">
          <cell r="Q138">
            <v>0</v>
          </cell>
        </row>
        <row r="139">
          <cell r="Q139">
            <v>1200</v>
          </cell>
        </row>
        <row r="140">
          <cell r="Q140">
            <v>900</v>
          </cell>
        </row>
        <row r="141">
          <cell r="Q141">
            <v>575</v>
          </cell>
        </row>
        <row r="142">
          <cell r="Q142">
            <v>2520</v>
          </cell>
        </row>
        <row r="143">
          <cell r="Q143">
            <v>1500</v>
          </cell>
        </row>
        <row r="144">
          <cell r="Q144">
            <v>1800</v>
          </cell>
        </row>
        <row r="145">
          <cell r="Q145">
            <v>0</v>
          </cell>
        </row>
        <row r="146">
          <cell r="Q146">
            <v>1800</v>
          </cell>
        </row>
        <row r="147">
          <cell r="Q147">
            <v>1200</v>
          </cell>
        </row>
        <row r="148">
          <cell r="Q148">
            <v>1500</v>
          </cell>
        </row>
        <row r="149">
          <cell r="Q149">
            <v>1800</v>
          </cell>
        </row>
        <row r="150">
          <cell r="Q150">
            <v>2250</v>
          </cell>
        </row>
        <row r="151">
          <cell r="Q151">
            <v>1500</v>
          </cell>
        </row>
        <row r="152">
          <cell r="Q152">
            <v>1200</v>
          </cell>
        </row>
        <row r="153">
          <cell r="Q153">
            <v>2250</v>
          </cell>
        </row>
        <row r="154">
          <cell r="Q154">
            <v>1200</v>
          </cell>
        </row>
        <row r="155">
          <cell r="Q155">
            <v>1200</v>
          </cell>
        </row>
        <row r="156">
          <cell r="Q156">
            <v>3000</v>
          </cell>
        </row>
        <row r="157">
          <cell r="Q157">
            <v>600</v>
          </cell>
        </row>
        <row r="158">
          <cell r="Q158">
            <v>1800</v>
          </cell>
        </row>
        <row r="159">
          <cell r="Q159">
            <v>1200</v>
          </cell>
        </row>
        <row r="160">
          <cell r="Q160">
            <v>1200</v>
          </cell>
        </row>
        <row r="161">
          <cell r="Q161">
            <v>1200</v>
          </cell>
        </row>
        <row r="162">
          <cell r="Q162">
            <v>1800</v>
          </cell>
        </row>
        <row r="163">
          <cell r="Q163">
            <v>510</v>
          </cell>
        </row>
        <row r="164">
          <cell r="Q164">
            <v>3000</v>
          </cell>
        </row>
        <row r="165">
          <cell r="Q165">
            <v>600</v>
          </cell>
        </row>
        <row r="166">
          <cell r="Q166">
            <v>1020</v>
          </cell>
        </row>
        <row r="167">
          <cell r="Q167">
            <v>1800</v>
          </cell>
        </row>
        <row r="168">
          <cell r="Q168">
            <v>0</v>
          </cell>
        </row>
        <row r="169">
          <cell r="Q169">
            <v>0</v>
          </cell>
        </row>
        <row r="170">
          <cell r="Q170">
            <v>0</v>
          </cell>
        </row>
        <row r="171">
          <cell r="Q171">
            <v>1200</v>
          </cell>
        </row>
        <row r="172">
          <cell r="Q172">
            <v>1200</v>
          </cell>
        </row>
        <row r="173">
          <cell r="Q173">
            <v>1800</v>
          </cell>
        </row>
        <row r="174">
          <cell r="Q174">
            <v>3000</v>
          </cell>
        </row>
        <row r="175">
          <cell r="Q175">
            <v>1200</v>
          </cell>
        </row>
        <row r="176">
          <cell r="Q176">
            <v>1200</v>
          </cell>
        </row>
        <row r="177">
          <cell r="Q177">
            <v>1200</v>
          </cell>
        </row>
        <row r="178">
          <cell r="Q178">
            <v>1500</v>
          </cell>
        </row>
        <row r="179">
          <cell r="Q179">
            <v>1200</v>
          </cell>
        </row>
        <row r="180">
          <cell r="Q180">
            <v>1800</v>
          </cell>
        </row>
        <row r="181">
          <cell r="Q181">
            <v>1800</v>
          </cell>
        </row>
        <row r="182">
          <cell r="Q182">
            <v>1200</v>
          </cell>
        </row>
        <row r="183">
          <cell r="Q183">
            <v>1200</v>
          </cell>
        </row>
        <row r="184">
          <cell r="Q184">
            <v>2250</v>
          </cell>
        </row>
        <row r="185">
          <cell r="Q185">
            <v>1200</v>
          </cell>
        </row>
        <row r="186">
          <cell r="Q186">
            <v>0</v>
          </cell>
        </row>
        <row r="187">
          <cell r="Q187">
            <v>3000</v>
          </cell>
        </row>
        <row r="188">
          <cell r="Q188">
            <v>1200</v>
          </cell>
        </row>
        <row r="189">
          <cell r="Q189">
            <v>1500</v>
          </cell>
        </row>
        <row r="190">
          <cell r="Q190">
            <v>1500</v>
          </cell>
        </row>
        <row r="191">
          <cell r="Q191">
            <v>2100</v>
          </cell>
        </row>
        <row r="192">
          <cell r="Q192">
            <v>1200</v>
          </cell>
        </row>
        <row r="193">
          <cell r="Q193">
            <v>900</v>
          </cell>
        </row>
        <row r="194">
          <cell r="Q194">
            <v>1800</v>
          </cell>
        </row>
        <row r="195">
          <cell r="Q195">
            <v>1200</v>
          </cell>
        </row>
        <row r="196">
          <cell r="Q196">
            <v>1500</v>
          </cell>
        </row>
        <row r="197">
          <cell r="Q197">
            <v>1800</v>
          </cell>
        </row>
        <row r="198">
          <cell r="Q198">
            <v>3600</v>
          </cell>
        </row>
        <row r="199">
          <cell r="Q199">
            <v>1500</v>
          </cell>
        </row>
        <row r="200">
          <cell r="Q200">
            <v>1250</v>
          </cell>
        </row>
        <row r="201">
          <cell r="Q201">
            <v>1500</v>
          </cell>
        </row>
        <row r="202">
          <cell r="Q202">
            <v>1500</v>
          </cell>
        </row>
        <row r="203">
          <cell r="Q203">
            <v>1000</v>
          </cell>
        </row>
        <row r="204">
          <cell r="Q204">
            <v>1500</v>
          </cell>
        </row>
        <row r="205">
          <cell r="Q205">
            <v>1800</v>
          </cell>
        </row>
        <row r="206">
          <cell r="Q206">
            <v>5000</v>
          </cell>
        </row>
        <row r="207">
          <cell r="Q207">
            <v>1800</v>
          </cell>
        </row>
        <row r="208">
          <cell r="Q208">
            <v>1800</v>
          </cell>
        </row>
        <row r="209">
          <cell r="Q209">
            <v>1500</v>
          </cell>
        </row>
        <row r="210">
          <cell r="Q210">
            <v>1200</v>
          </cell>
        </row>
        <row r="211">
          <cell r="Q211">
            <v>400</v>
          </cell>
        </row>
        <row r="212">
          <cell r="Q212">
            <v>1200</v>
          </cell>
        </row>
        <row r="213">
          <cell r="Q213">
            <v>1800</v>
          </cell>
        </row>
        <row r="214">
          <cell r="Q214">
            <v>1800</v>
          </cell>
        </row>
        <row r="215">
          <cell r="Q215">
            <v>2100</v>
          </cell>
        </row>
        <row r="216">
          <cell r="Q216">
            <v>600</v>
          </cell>
        </row>
        <row r="217">
          <cell r="Q217">
            <v>1500</v>
          </cell>
        </row>
        <row r="218">
          <cell r="Q218">
            <v>2400</v>
          </cell>
        </row>
        <row r="219">
          <cell r="Q219">
            <v>1500</v>
          </cell>
        </row>
        <row r="220">
          <cell r="Q220">
            <v>1800</v>
          </cell>
        </row>
        <row r="221">
          <cell r="Q221">
            <v>1200</v>
          </cell>
        </row>
        <row r="222">
          <cell r="Q222">
            <v>1500</v>
          </cell>
        </row>
        <row r="223">
          <cell r="Q223">
            <v>750</v>
          </cell>
        </row>
        <row r="224">
          <cell r="Q224">
            <v>1800</v>
          </cell>
        </row>
        <row r="225">
          <cell r="Q225">
            <v>1500</v>
          </cell>
        </row>
        <row r="226">
          <cell r="Q226">
            <v>2400</v>
          </cell>
        </row>
        <row r="227">
          <cell r="Q227">
            <v>750</v>
          </cell>
        </row>
        <row r="228">
          <cell r="Q228">
            <v>750</v>
          </cell>
        </row>
        <row r="229">
          <cell r="Q229">
            <v>750</v>
          </cell>
        </row>
        <row r="230">
          <cell r="Q230">
            <v>750</v>
          </cell>
        </row>
        <row r="231">
          <cell r="Q231">
            <v>750</v>
          </cell>
        </row>
        <row r="232">
          <cell r="Q232">
            <v>1000</v>
          </cell>
        </row>
        <row r="233">
          <cell r="Q233">
            <v>0</v>
          </cell>
        </row>
        <row r="234">
          <cell r="Q234">
            <v>0</v>
          </cell>
        </row>
        <row r="235">
          <cell r="Q235">
            <v>1200</v>
          </cell>
        </row>
        <row r="236">
          <cell r="Q236">
            <v>0</v>
          </cell>
        </row>
        <row r="237">
          <cell r="Q237">
            <v>1000</v>
          </cell>
        </row>
        <row r="238">
          <cell r="Q238">
            <v>1500</v>
          </cell>
        </row>
        <row r="239">
          <cell r="Q239">
            <v>1500</v>
          </cell>
        </row>
        <row r="240">
          <cell r="Q240">
            <v>1500</v>
          </cell>
        </row>
        <row r="241">
          <cell r="Q241">
            <v>1500</v>
          </cell>
        </row>
        <row r="242">
          <cell r="Q242">
            <v>1500</v>
          </cell>
        </row>
        <row r="243">
          <cell r="Q243">
            <v>1500</v>
          </cell>
        </row>
        <row r="244">
          <cell r="Q244">
            <v>0</v>
          </cell>
        </row>
        <row r="245">
          <cell r="Q245">
            <v>0</v>
          </cell>
        </row>
        <row r="246">
          <cell r="Q246">
            <v>600</v>
          </cell>
        </row>
        <row r="247">
          <cell r="Q247">
            <v>1000</v>
          </cell>
        </row>
        <row r="248">
          <cell r="Q248">
            <v>0</v>
          </cell>
        </row>
        <row r="249">
          <cell r="Q249">
            <v>0</v>
          </cell>
        </row>
        <row r="250">
          <cell r="Q250">
            <v>1250</v>
          </cell>
        </row>
        <row r="251">
          <cell r="Q251">
            <v>0</v>
          </cell>
        </row>
        <row r="252">
          <cell r="Q252">
            <v>2000</v>
          </cell>
        </row>
        <row r="253">
          <cell r="Q253">
            <v>0</v>
          </cell>
        </row>
        <row r="254">
          <cell r="Q254">
            <v>600</v>
          </cell>
        </row>
        <row r="255">
          <cell r="Q255">
            <v>1500</v>
          </cell>
        </row>
        <row r="256">
          <cell r="Q256">
            <v>750</v>
          </cell>
        </row>
        <row r="257">
          <cell r="Q257" t="str">
            <v>أدخل رقم العقد</v>
          </cell>
        </row>
        <row r="258">
          <cell r="Q258" t="str">
            <v>أدخل رقم العقد</v>
          </cell>
        </row>
        <row r="259">
          <cell r="Q259" t="str">
            <v>أدخل رقم العقد</v>
          </cell>
        </row>
        <row r="260">
          <cell r="Q260" t="str">
            <v>أدخل رقم العقد</v>
          </cell>
        </row>
        <row r="261">
          <cell r="Q261" t="str">
            <v>أدخل رقم العقد</v>
          </cell>
        </row>
        <row r="262">
          <cell r="Q262" t="str">
            <v>أدخل رقم العقد</v>
          </cell>
        </row>
        <row r="263">
          <cell r="Q263" t="str">
            <v>أدخل رقم العقد</v>
          </cell>
        </row>
        <row r="264">
          <cell r="Q264" t="str">
            <v>أدخل رقم العقد</v>
          </cell>
        </row>
        <row r="265">
          <cell r="Q265" t="str">
            <v>أدخل رقم العقد</v>
          </cell>
        </row>
        <row r="266">
          <cell r="Q266" t="str">
            <v>أدخل رقم العقد</v>
          </cell>
        </row>
        <row r="267">
          <cell r="Q267" t="str">
            <v>أدخل رقم العقد</v>
          </cell>
        </row>
        <row r="268">
          <cell r="Q268" t="str">
            <v>أدخل رقم العقد</v>
          </cell>
        </row>
        <row r="269">
          <cell r="Q269" t="str">
            <v>أدخل رقم العقد</v>
          </cell>
        </row>
        <row r="270">
          <cell r="Q270" t="str">
            <v>أدخل رقم العقد</v>
          </cell>
        </row>
        <row r="271">
          <cell r="Q271" t="str">
            <v>أدخل رقم العقد</v>
          </cell>
        </row>
        <row r="272">
          <cell r="Q272" t="str">
            <v>أدخل رقم العقد</v>
          </cell>
        </row>
        <row r="273">
          <cell r="Q273" t="str">
            <v>أدخل رقم العقد</v>
          </cell>
        </row>
        <row r="274">
          <cell r="Q274" t="str">
            <v>أدخل رقم العقد</v>
          </cell>
        </row>
        <row r="275">
          <cell r="Q275" t="str">
            <v>أدخل رقم العقد</v>
          </cell>
        </row>
        <row r="276">
          <cell r="Q276" t="str">
            <v>أدخل رقم العقد</v>
          </cell>
        </row>
        <row r="277">
          <cell r="Q277" t="str">
            <v>أدخل رقم العقد</v>
          </cell>
        </row>
        <row r="278">
          <cell r="Q278" t="str">
            <v>أدخل رقم العقد</v>
          </cell>
        </row>
        <row r="279">
          <cell r="Q279" t="str">
            <v>أدخل رقم العقد</v>
          </cell>
        </row>
        <row r="280">
          <cell r="Q280" t="str">
            <v>أدخل رقم العقد</v>
          </cell>
        </row>
        <row r="281">
          <cell r="Q281" t="str">
            <v>أدخل رقم العقد</v>
          </cell>
        </row>
        <row r="282">
          <cell r="Q282" t="str">
            <v>أدخل رقم العقد</v>
          </cell>
        </row>
        <row r="283">
          <cell r="Q283" t="str">
            <v>أدخل رقم العقد</v>
          </cell>
        </row>
        <row r="284">
          <cell r="Q284" t="str">
            <v>أدخل رقم العقد</v>
          </cell>
        </row>
        <row r="285">
          <cell r="Q285" t="str">
            <v>أدخل رقم العقد</v>
          </cell>
        </row>
        <row r="286">
          <cell r="Q286" t="str">
            <v>أدخل رقم العقد</v>
          </cell>
        </row>
        <row r="287">
          <cell r="Q287" t="str">
            <v>أدخل رقم العقد</v>
          </cell>
        </row>
        <row r="288">
          <cell r="Q288" t="str">
            <v>أدخل رقم العقد</v>
          </cell>
        </row>
        <row r="289">
          <cell r="Q289" t="str">
            <v>أدخل رقم العقد</v>
          </cell>
        </row>
        <row r="290">
          <cell r="Q290" t="str">
            <v>أدخل رقم العقد</v>
          </cell>
        </row>
        <row r="291">
          <cell r="Q291" t="str">
            <v>أدخل رقم العقد</v>
          </cell>
        </row>
        <row r="292">
          <cell r="Q292" t="str">
            <v>أدخل رقم العقد</v>
          </cell>
        </row>
        <row r="293">
          <cell r="Q293" t="str">
            <v>أدخل رقم العقد</v>
          </cell>
        </row>
        <row r="294">
          <cell r="Q294" t="str">
            <v>أدخل رقم العقد</v>
          </cell>
        </row>
        <row r="295">
          <cell r="Q295" t="str">
            <v>أدخل رقم العقد</v>
          </cell>
        </row>
        <row r="296">
          <cell r="Q296" t="str">
            <v>أدخل رقم العقد</v>
          </cell>
        </row>
        <row r="297">
          <cell r="Q297" t="str">
            <v>أدخل رقم العقد</v>
          </cell>
        </row>
        <row r="298">
          <cell r="Q298" t="str">
            <v>أدخل رقم العقد</v>
          </cell>
        </row>
        <row r="299">
          <cell r="Q299" t="str">
            <v>أدخل رقم العقد</v>
          </cell>
        </row>
        <row r="300">
          <cell r="Q300" t="str">
            <v>أدخل رقم العقد</v>
          </cell>
        </row>
        <row r="301">
          <cell r="Q301" t="str">
            <v>أدخل رقم العقد</v>
          </cell>
        </row>
        <row r="302">
          <cell r="Q302" t="str">
            <v>أدخل رقم العقد</v>
          </cell>
        </row>
        <row r="303">
          <cell r="Q303" t="str">
            <v>أدخل رقم العقد</v>
          </cell>
        </row>
        <row r="304">
          <cell r="Q304" t="str">
            <v>أدخل رقم العقد</v>
          </cell>
        </row>
        <row r="305">
          <cell r="Q305" t="str">
            <v>أدخل رقم العقد</v>
          </cell>
        </row>
        <row r="306">
          <cell r="Q306" t="str">
            <v>أدخل رقم العقد</v>
          </cell>
        </row>
        <row r="307">
          <cell r="Q307" t="str">
            <v>أدخل رقم العقد</v>
          </cell>
        </row>
        <row r="308">
          <cell r="Q308" t="str">
            <v>أدخل رقم العقد</v>
          </cell>
        </row>
        <row r="309">
          <cell r="Q309" t="str">
            <v>أدخل رقم العقد</v>
          </cell>
        </row>
        <row r="310">
          <cell r="Q310" t="str">
            <v>أدخل رقم العقد</v>
          </cell>
        </row>
        <row r="311">
          <cell r="Q311" t="str">
            <v>أدخل رقم العقد</v>
          </cell>
        </row>
        <row r="312">
          <cell r="Q312" t="str">
            <v>أدخل رقم العقد</v>
          </cell>
        </row>
        <row r="313">
          <cell r="Q313" t="str">
            <v>أدخل رقم العقد</v>
          </cell>
        </row>
        <row r="314">
          <cell r="Q314" t="str">
            <v>أدخل رقم العقد</v>
          </cell>
        </row>
        <row r="315">
          <cell r="Q315" t="str">
            <v>أدخل رقم العقد</v>
          </cell>
        </row>
        <row r="316">
          <cell r="Q316" t="str">
            <v>أدخل رقم العقد</v>
          </cell>
        </row>
        <row r="317">
          <cell r="Q317" t="str">
            <v>أدخل رقم العقد</v>
          </cell>
        </row>
        <row r="318">
          <cell r="Q318" t="str">
            <v>أدخل رقم العقد</v>
          </cell>
        </row>
        <row r="319">
          <cell r="Q319" t="str">
            <v>أدخل رقم العقد</v>
          </cell>
        </row>
        <row r="320">
          <cell r="Q320" t="str">
            <v>أدخل رقم العقد</v>
          </cell>
        </row>
        <row r="321">
          <cell r="Q321" t="str">
            <v>أدخل رقم العقد</v>
          </cell>
        </row>
        <row r="322">
          <cell r="Q322" t="str">
            <v>أدخل رقم العقد</v>
          </cell>
        </row>
        <row r="323">
          <cell r="Q323" t="str">
            <v>أدخل رقم العقد</v>
          </cell>
        </row>
        <row r="324">
          <cell r="Q324" t="str">
            <v>أدخل رقم العقد</v>
          </cell>
        </row>
        <row r="325">
          <cell r="Q325" t="str">
            <v>أدخل رقم العقد</v>
          </cell>
        </row>
        <row r="326">
          <cell r="Q326" t="str">
            <v>أدخل رقم العقد</v>
          </cell>
        </row>
        <row r="327">
          <cell r="Q327" t="str">
            <v>أدخل رقم العقد</v>
          </cell>
        </row>
        <row r="328">
          <cell r="Q328" t="str">
            <v>أدخل رقم العقد</v>
          </cell>
        </row>
        <row r="329">
          <cell r="Q329" t="str">
            <v>أدخل رقم العقد</v>
          </cell>
        </row>
        <row r="330">
          <cell r="Q330" t="str">
            <v>أدخل رقم العقد</v>
          </cell>
        </row>
        <row r="331">
          <cell r="Q331" t="str">
            <v>أدخل رقم العقد</v>
          </cell>
        </row>
        <row r="332">
          <cell r="Q332" t="str">
            <v>أدخل رقم العقد</v>
          </cell>
        </row>
        <row r="333">
          <cell r="Q333" t="str">
            <v>أدخل رقم العقد</v>
          </cell>
        </row>
        <row r="334">
          <cell r="Q334" t="str">
            <v>أدخل رقم العقد</v>
          </cell>
        </row>
        <row r="335">
          <cell r="Q335" t="str">
            <v>أدخل رقم العقد</v>
          </cell>
        </row>
        <row r="336">
          <cell r="Q336" t="str">
            <v>أدخل رقم العقد</v>
          </cell>
        </row>
        <row r="337">
          <cell r="Q337" t="str">
            <v>أدخل رقم العقد</v>
          </cell>
        </row>
        <row r="338">
          <cell r="Q338" t="str">
            <v>أدخل رقم العقد</v>
          </cell>
        </row>
        <row r="339">
          <cell r="Q339" t="str">
            <v>أدخل رقم العقد</v>
          </cell>
        </row>
        <row r="340">
          <cell r="Q340" t="str">
            <v>أدخل رقم العقد</v>
          </cell>
        </row>
        <row r="341">
          <cell r="Q341" t="str">
            <v>أدخل رقم العقد</v>
          </cell>
        </row>
        <row r="342">
          <cell r="Q342" t="str">
            <v>أدخل رقم العقد</v>
          </cell>
        </row>
        <row r="343">
          <cell r="Q343" t="str">
            <v>أدخل رقم العقد</v>
          </cell>
        </row>
        <row r="344">
          <cell r="Q344" t="str">
            <v>أدخل رقم العقد</v>
          </cell>
        </row>
        <row r="345">
          <cell r="Q345" t="str">
            <v>أدخل رقم العقد</v>
          </cell>
        </row>
        <row r="346">
          <cell r="Q346" t="str">
            <v>أدخل رقم العقد</v>
          </cell>
        </row>
        <row r="347">
          <cell r="Q347" t="str">
            <v>أدخل رقم العقد</v>
          </cell>
        </row>
        <row r="348">
          <cell r="Q348" t="str">
            <v>أدخل رقم العقد</v>
          </cell>
        </row>
        <row r="349">
          <cell r="Q349" t="str">
            <v>أدخل رقم العقد</v>
          </cell>
        </row>
        <row r="350">
          <cell r="Q350" t="str">
            <v>أدخل رقم العقد</v>
          </cell>
        </row>
        <row r="351">
          <cell r="Q351" t="str">
            <v>أدخل رقم العقد</v>
          </cell>
        </row>
        <row r="352">
          <cell r="Q352" t="str">
            <v>أدخل رقم العقد</v>
          </cell>
        </row>
        <row r="353">
          <cell r="Q353" t="str">
            <v>أدخل رقم العقد</v>
          </cell>
        </row>
        <row r="354">
          <cell r="Q354" t="str">
            <v>أدخل رقم العقد</v>
          </cell>
        </row>
        <row r="355">
          <cell r="Q355" t="str">
            <v>أدخل رقم العقد</v>
          </cell>
        </row>
        <row r="356">
          <cell r="Q356" t="str">
            <v>أدخل رقم العقد</v>
          </cell>
        </row>
        <row r="357">
          <cell r="Q357" t="str">
            <v>أدخل رقم العقد</v>
          </cell>
        </row>
        <row r="358">
          <cell r="Q358" t="str">
            <v>أدخل رقم العقد</v>
          </cell>
        </row>
        <row r="359">
          <cell r="Q359" t="str">
            <v>أدخل رقم العقد</v>
          </cell>
        </row>
        <row r="360">
          <cell r="Q360" t="str">
            <v>أدخل رقم العقد</v>
          </cell>
        </row>
        <row r="361">
          <cell r="Q361" t="str">
            <v>أدخل رقم العقد</v>
          </cell>
        </row>
        <row r="362">
          <cell r="Q362" t="str">
            <v>أدخل رقم العقد</v>
          </cell>
        </row>
        <row r="363">
          <cell r="Q363" t="str">
            <v>أدخل رقم العقد</v>
          </cell>
        </row>
        <row r="364">
          <cell r="Q364" t="str">
            <v>أدخل رقم العقد</v>
          </cell>
        </row>
        <row r="365">
          <cell r="Q365" t="str">
            <v>أدخل رقم العقد</v>
          </cell>
        </row>
        <row r="366">
          <cell r="Q366" t="str">
            <v>أدخل رقم العقد</v>
          </cell>
        </row>
        <row r="367">
          <cell r="Q367" t="str">
            <v>أدخل رقم العقد</v>
          </cell>
        </row>
        <row r="368">
          <cell r="Q368" t="str">
            <v>أدخل رقم العقد</v>
          </cell>
        </row>
        <row r="369">
          <cell r="Q369" t="str">
            <v>أدخل رقم العقد</v>
          </cell>
        </row>
        <row r="370">
          <cell r="Q370" t="str">
            <v>أدخل رقم العقد</v>
          </cell>
        </row>
        <row r="371">
          <cell r="Q371" t="str">
            <v>أدخل رقم العقد</v>
          </cell>
        </row>
        <row r="372">
          <cell r="Q372" t="str">
            <v>أدخل رقم العقد</v>
          </cell>
        </row>
        <row r="373">
          <cell r="Q373" t="str">
            <v>أدخل رقم العقد</v>
          </cell>
        </row>
        <row r="374">
          <cell r="Q374" t="str">
            <v>أدخل رقم العقد</v>
          </cell>
        </row>
        <row r="375">
          <cell r="Q375" t="str">
            <v>أدخل رقم العقد</v>
          </cell>
        </row>
        <row r="376">
          <cell r="Q376" t="str">
            <v>أدخل رقم العقد</v>
          </cell>
        </row>
        <row r="377">
          <cell r="Q377" t="str">
            <v>أدخل رقم العقد</v>
          </cell>
        </row>
        <row r="378">
          <cell r="Q378" t="str">
            <v>أدخل رقم العقد</v>
          </cell>
        </row>
        <row r="379">
          <cell r="Q379" t="str">
            <v>أدخل رقم العقد</v>
          </cell>
        </row>
        <row r="380">
          <cell r="Q380" t="str">
            <v>أدخل رقم العقد</v>
          </cell>
        </row>
        <row r="381">
          <cell r="Q381" t="str">
            <v>أدخل رقم العقد</v>
          </cell>
        </row>
        <row r="382">
          <cell r="Q382" t="str">
            <v>أدخل رقم العقد</v>
          </cell>
        </row>
        <row r="383">
          <cell r="Q383" t="str">
            <v>أدخل رقم العقد</v>
          </cell>
        </row>
        <row r="384">
          <cell r="Q384" t="str">
            <v>أدخل رقم العقد</v>
          </cell>
        </row>
        <row r="385">
          <cell r="Q385" t="str">
            <v>أدخل رقم العقد</v>
          </cell>
        </row>
        <row r="386">
          <cell r="Q386" t="str">
            <v>أدخل رقم العقد</v>
          </cell>
        </row>
        <row r="387">
          <cell r="Q387" t="str">
            <v>أدخل رقم العقد</v>
          </cell>
        </row>
        <row r="388">
          <cell r="Q388" t="str">
            <v>أدخل رقم العقد</v>
          </cell>
        </row>
        <row r="389">
          <cell r="Q389" t="str">
            <v>أدخل رقم العقد</v>
          </cell>
        </row>
        <row r="390">
          <cell r="Q390" t="str">
            <v>أدخل رقم العقد</v>
          </cell>
        </row>
        <row r="391">
          <cell r="Q391" t="str">
            <v>أدخل رقم العقد</v>
          </cell>
        </row>
        <row r="392">
          <cell r="Q392" t="str">
            <v>أدخل رقم العقد</v>
          </cell>
        </row>
        <row r="393">
          <cell r="Q393" t="str">
            <v>أدخل رقم العقد</v>
          </cell>
        </row>
        <row r="394">
          <cell r="Q394" t="str">
            <v>أدخل رقم العقد</v>
          </cell>
        </row>
        <row r="395">
          <cell r="Q395" t="str">
            <v>أدخل رقم العقد</v>
          </cell>
        </row>
        <row r="396">
          <cell r="Q396" t="str">
            <v>أدخل رقم العقد</v>
          </cell>
        </row>
        <row r="397">
          <cell r="Q397" t="str">
            <v>أدخل رقم العقد</v>
          </cell>
        </row>
        <row r="398">
          <cell r="Q398" t="str">
            <v>أدخل رقم العقد</v>
          </cell>
        </row>
        <row r="399">
          <cell r="Q399" t="str">
            <v>أدخل رقم العقد</v>
          </cell>
        </row>
        <row r="400">
          <cell r="Q400" t="str">
            <v>أدخل رقم العقد</v>
          </cell>
        </row>
        <row r="401">
          <cell r="Q401" t="str">
            <v>أدخل رقم العقد</v>
          </cell>
        </row>
        <row r="402">
          <cell r="Q402" t="str">
            <v>أدخل رقم العقد</v>
          </cell>
        </row>
        <row r="403">
          <cell r="Q403" t="str">
            <v>أدخل رقم العقد</v>
          </cell>
        </row>
        <row r="404">
          <cell r="Q404" t="str">
            <v>أدخل رقم العقد</v>
          </cell>
        </row>
        <row r="405">
          <cell r="Q405" t="str">
            <v>أدخل رقم العقد</v>
          </cell>
        </row>
        <row r="406">
          <cell r="Q406" t="str">
            <v>أدخل رقم العقد</v>
          </cell>
        </row>
        <row r="407">
          <cell r="Q407" t="str">
            <v>أدخل رقم العقد</v>
          </cell>
        </row>
        <row r="408">
          <cell r="Q408" t="str">
            <v>أدخل رقم العقد</v>
          </cell>
        </row>
        <row r="409">
          <cell r="Q409" t="str">
            <v>أدخل رقم العقد</v>
          </cell>
        </row>
        <row r="410">
          <cell r="Q410" t="str">
            <v>أدخل رقم العقد</v>
          </cell>
        </row>
        <row r="411">
          <cell r="Q411" t="str">
            <v>أدخل رقم العقد</v>
          </cell>
        </row>
        <row r="412">
          <cell r="Q412" t="str">
            <v>أدخل رقم العقد</v>
          </cell>
        </row>
        <row r="413">
          <cell r="Q413" t="str">
            <v>أدخل رقم العقد</v>
          </cell>
        </row>
        <row r="414">
          <cell r="Q414" t="str">
            <v>أدخل رقم العقد</v>
          </cell>
        </row>
        <row r="415">
          <cell r="Q415" t="str">
            <v>أدخل رقم العقد</v>
          </cell>
        </row>
        <row r="416">
          <cell r="Q416" t="str">
            <v>أدخل رقم العقد</v>
          </cell>
        </row>
        <row r="417">
          <cell r="Q417" t="str">
            <v>أدخل رقم العقد</v>
          </cell>
        </row>
        <row r="418">
          <cell r="Q418" t="str">
            <v>أدخل رقم العقد</v>
          </cell>
        </row>
        <row r="419">
          <cell r="Q419" t="str">
            <v>أدخل رقم العقد</v>
          </cell>
        </row>
        <row r="420">
          <cell r="Q420" t="str">
            <v>أدخل رقم العقد</v>
          </cell>
        </row>
        <row r="421">
          <cell r="Q421" t="str">
            <v>أدخل رقم العقد</v>
          </cell>
        </row>
        <row r="422">
          <cell r="Q422" t="str">
            <v>أدخل رقم العقد</v>
          </cell>
        </row>
        <row r="423">
          <cell r="Q423" t="str">
            <v>أدخل رقم العقد</v>
          </cell>
        </row>
        <row r="424">
          <cell r="Q424" t="str">
            <v>أدخل رقم العقد</v>
          </cell>
        </row>
        <row r="425">
          <cell r="Q425" t="str">
            <v>أدخل رقم العقد</v>
          </cell>
        </row>
        <row r="426">
          <cell r="Q426" t="str">
            <v>أدخل رقم العقد</v>
          </cell>
        </row>
        <row r="427">
          <cell r="Q427" t="str">
            <v>أدخل رقم العقد</v>
          </cell>
        </row>
        <row r="428">
          <cell r="Q428" t="str">
            <v>أدخل رقم العقد</v>
          </cell>
        </row>
        <row r="429">
          <cell r="Q429" t="str">
            <v>أدخل رقم العقد</v>
          </cell>
        </row>
        <row r="430">
          <cell r="Q430" t="str">
            <v>أدخل رقم العقد</v>
          </cell>
        </row>
        <row r="431">
          <cell r="Q431" t="str">
            <v>أدخل رقم العقد</v>
          </cell>
        </row>
        <row r="432">
          <cell r="Q432" t="str">
            <v>أدخل رقم العقد</v>
          </cell>
        </row>
        <row r="433">
          <cell r="Q433" t="str">
            <v>أدخل رقم العقد</v>
          </cell>
        </row>
        <row r="434">
          <cell r="Q434" t="str">
            <v>أدخل رقم العقد</v>
          </cell>
        </row>
        <row r="435">
          <cell r="Q435" t="str">
            <v>أدخل رقم العقد</v>
          </cell>
        </row>
        <row r="436">
          <cell r="Q436" t="str">
            <v>أدخل رقم العقد</v>
          </cell>
        </row>
        <row r="437">
          <cell r="Q437" t="str">
            <v>أدخل رقم العقد</v>
          </cell>
        </row>
        <row r="438">
          <cell r="Q438" t="str">
            <v>أدخل رقم العقد</v>
          </cell>
        </row>
        <row r="439">
          <cell r="Q439" t="str">
            <v>أدخل رقم العقد</v>
          </cell>
        </row>
        <row r="440">
          <cell r="Q440" t="str">
            <v>أدخل رقم العقد</v>
          </cell>
        </row>
        <row r="441">
          <cell r="Q441" t="str">
            <v>أدخل رقم العقد</v>
          </cell>
        </row>
        <row r="442">
          <cell r="Q442" t="str">
            <v>أدخل رقم العقد</v>
          </cell>
        </row>
        <row r="443">
          <cell r="Q443" t="str">
            <v>أدخل رقم العقد</v>
          </cell>
        </row>
        <row r="444">
          <cell r="Q444" t="str">
            <v>أدخل رقم العقد</v>
          </cell>
        </row>
        <row r="445">
          <cell r="Q445" t="str">
            <v>أدخل رقم العقد</v>
          </cell>
        </row>
        <row r="446">
          <cell r="Q446" t="str">
            <v>أدخل رقم العقد</v>
          </cell>
        </row>
        <row r="447">
          <cell r="Q447" t="str">
            <v>أدخل رقم العقد</v>
          </cell>
        </row>
        <row r="448">
          <cell r="Q448" t="str">
            <v>أدخل رقم العقد</v>
          </cell>
        </row>
        <row r="449">
          <cell r="Q449" t="str">
            <v>أدخل رقم العقد</v>
          </cell>
        </row>
        <row r="450">
          <cell r="Q450" t="str">
            <v>أدخل رقم العقد</v>
          </cell>
        </row>
        <row r="451">
          <cell r="Q451" t="str">
            <v>أدخل رقم العقد</v>
          </cell>
        </row>
        <row r="452">
          <cell r="Q452" t="str">
            <v>أدخل رقم العقد</v>
          </cell>
        </row>
        <row r="453">
          <cell r="Q453" t="str">
            <v>أدخل رقم العقد</v>
          </cell>
        </row>
        <row r="454">
          <cell r="Q454" t="str">
            <v>أدخل رقم العقد</v>
          </cell>
        </row>
        <row r="455">
          <cell r="Q455" t="str">
            <v>أدخل رقم العقد</v>
          </cell>
        </row>
        <row r="456">
          <cell r="Q456" t="str">
            <v>أدخل رقم العقد</v>
          </cell>
        </row>
        <row r="457">
          <cell r="Q457" t="str">
            <v>أدخل رقم العقد</v>
          </cell>
        </row>
        <row r="458">
          <cell r="Q458" t="str">
            <v>أدخل رقم العقد</v>
          </cell>
        </row>
        <row r="459">
          <cell r="Q459" t="str">
            <v>أدخل رقم العقد</v>
          </cell>
        </row>
        <row r="460">
          <cell r="Q460" t="str">
            <v>أدخل رقم العقد</v>
          </cell>
        </row>
        <row r="461">
          <cell r="Q461" t="str">
            <v>أدخل رقم العقد</v>
          </cell>
        </row>
        <row r="462">
          <cell r="Q462" t="str">
            <v>أدخل رقم العقد</v>
          </cell>
        </row>
        <row r="463">
          <cell r="Q463" t="str">
            <v>أدخل رقم العقد</v>
          </cell>
        </row>
        <row r="464">
          <cell r="Q464" t="str">
            <v>أدخل رقم العقد</v>
          </cell>
        </row>
        <row r="465">
          <cell r="Q465" t="str">
            <v>أدخل رقم العقد</v>
          </cell>
        </row>
        <row r="466">
          <cell r="Q466" t="str">
            <v>أدخل رقم العقد</v>
          </cell>
        </row>
        <row r="467">
          <cell r="Q467" t="str">
            <v>أدخل رقم العقد</v>
          </cell>
        </row>
        <row r="468">
          <cell r="Q468" t="str">
            <v>أدخل رقم العقد</v>
          </cell>
        </row>
        <row r="469">
          <cell r="Q469" t="str">
            <v>أدخل رقم العقد</v>
          </cell>
        </row>
        <row r="470">
          <cell r="Q470" t="str">
            <v>أدخل رقم العقد</v>
          </cell>
        </row>
        <row r="471">
          <cell r="Q471" t="str">
            <v>أدخل رقم العقد</v>
          </cell>
        </row>
        <row r="472">
          <cell r="Q472" t="str">
            <v>أدخل رقم العقد</v>
          </cell>
        </row>
        <row r="473">
          <cell r="Q473" t="str">
            <v>أدخل رقم العقد</v>
          </cell>
        </row>
        <row r="474">
          <cell r="Q474" t="str">
            <v>أدخل رقم العقد</v>
          </cell>
        </row>
        <row r="475">
          <cell r="Q475" t="str">
            <v>أدخل رقم العقد</v>
          </cell>
        </row>
        <row r="476">
          <cell r="Q476" t="str">
            <v>أدخل رقم العقد</v>
          </cell>
        </row>
        <row r="477">
          <cell r="Q477" t="str">
            <v>أدخل رقم العقد</v>
          </cell>
        </row>
        <row r="478">
          <cell r="Q478" t="str">
            <v>أدخل رقم العقد</v>
          </cell>
        </row>
        <row r="479">
          <cell r="Q479" t="str">
            <v>أدخل رقم العقد</v>
          </cell>
        </row>
        <row r="480">
          <cell r="Q480" t="str">
            <v>أدخل رقم العقد</v>
          </cell>
        </row>
        <row r="481">
          <cell r="Q481" t="str">
            <v>أدخل رقم العقد</v>
          </cell>
        </row>
        <row r="482">
          <cell r="Q482" t="str">
            <v>أدخل رقم العقد</v>
          </cell>
        </row>
        <row r="483">
          <cell r="Q483" t="str">
            <v>أدخل رقم العقد</v>
          </cell>
        </row>
        <row r="484">
          <cell r="Q484" t="str">
            <v>أدخل رقم العقد</v>
          </cell>
        </row>
        <row r="485">
          <cell r="Q485" t="str">
            <v>أدخل رقم العقد</v>
          </cell>
        </row>
        <row r="486">
          <cell r="Q486" t="str">
            <v>أدخل رقم العقد</v>
          </cell>
        </row>
        <row r="487">
          <cell r="Q487" t="str">
            <v>أدخل رقم العقد</v>
          </cell>
        </row>
        <row r="488">
          <cell r="Q488" t="str">
            <v>أدخل رقم العقد</v>
          </cell>
        </row>
        <row r="489">
          <cell r="Q489" t="str">
            <v>أدخل رقم العقد</v>
          </cell>
        </row>
        <row r="490">
          <cell r="Q490" t="str">
            <v>أدخل رقم العقد</v>
          </cell>
        </row>
        <row r="491">
          <cell r="Q491" t="str">
            <v>أدخل رقم العقد</v>
          </cell>
        </row>
        <row r="492">
          <cell r="Q492" t="str">
            <v>أدخل رقم العقد</v>
          </cell>
        </row>
        <row r="493">
          <cell r="Q493" t="str">
            <v>أدخل رقم العقد</v>
          </cell>
        </row>
        <row r="494">
          <cell r="Q494" t="str">
            <v>أدخل رقم العقد</v>
          </cell>
        </row>
        <row r="495">
          <cell r="Q495" t="str">
            <v>أدخل رقم العقد</v>
          </cell>
        </row>
        <row r="496">
          <cell r="Q496" t="str">
            <v>أدخل رقم العقد</v>
          </cell>
        </row>
        <row r="497">
          <cell r="Q497" t="str">
            <v>أدخل رقم العقد</v>
          </cell>
        </row>
        <row r="498">
          <cell r="Q498" t="str">
            <v>أدخل رقم العقد</v>
          </cell>
        </row>
        <row r="499">
          <cell r="Q499" t="str">
            <v>أدخل رقم العقد</v>
          </cell>
        </row>
        <row r="500">
          <cell r="Q500" t="str">
            <v>أدخل رقم العقد</v>
          </cell>
        </row>
        <row r="501">
          <cell r="Q501" t="str">
            <v>أدخل رقم العقد</v>
          </cell>
        </row>
        <row r="502">
          <cell r="Q502" t="str">
            <v>أدخل رقم العقد</v>
          </cell>
        </row>
        <row r="503">
          <cell r="Q503" t="str">
            <v>أدخل رقم العقد</v>
          </cell>
        </row>
        <row r="504">
          <cell r="Q504" t="str">
            <v>أدخل رقم العقد</v>
          </cell>
        </row>
        <row r="505">
          <cell r="Q505" t="str">
            <v>أدخل رقم العقد</v>
          </cell>
        </row>
        <row r="506">
          <cell r="Q506" t="str">
            <v>أدخل رقم العقد</v>
          </cell>
        </row>
        <row r="507">
          <cell r="Q507" t="str">
            <v>أدخل رقم العقد</v>
          </cell>
        </row>
        <row r="508">
          <cell r="Q508" t="str">
            <v>أدخل رقم العقد</v>
          </cell>
        </row>
        <row r="509">
          <cell r="Q509" t="str">
            <v>أدخل رقم العقد</v>
          </cell>
        </row>
        <row r="510">
          <cell r="Q510" t="str">
            <v>أدخل رقم العقد</v>
          </cell>
        </row>
        <row r="511">
          <cell r="Q511" t="str">
            <v>أدخل رقم العقد</v>
          </cell>
        </row>
        <row r="512">
          <cell r="Q512" t="str">
            <v>أدخل رقم العقد</v>
          </cell>
        </row>
        <row r="513">
          <cell r="Q513" t="str">
            <v>أدخل رقم العقد</v>
          </cell>
        </row>
        <row r="514">
          <cell r="Q514" t="str">
            <v>أدخل رقم العقد</v>
          </cell>
        </row>
        <row r="515">
          <cell r="Q515" t="str">
            <v>أدخل رقم العقد</v>
          </cell>
        </row>
        <row r="516">
          <cell r="Q516" t="str">
            <v>أدخل رقم العقد</v>
          </cell>
        </row>
        <row r="517">
          <cell r="Q517" t="str">
            <v>أدخل رقم العقد</v>
          </cell>
        </row>
        <row r="518">
          <cell r="Q518" t="str">
            <v>أدخل رقم العقد</v>
          </cell>
        </row>
        <row r="519">
          <cell r="Q519" t="str">
            <v>أدخل رقم العقد</v>
          </cell>
        </row>
        <row r="520">
          <cell r="Q520" t="str">
            <v>أدخل رقم العقد</v>
          </cell>
        </row>
        <row r="521">
          <cell r="Q521" t="str">
            <v>أدخل رقم العقد</v>
          </cell>
        </row>
        <row r="522">
          <cell r="Q522" t="str">
            <v>أدخل رقم العقد</v>
          </cell>
        </row>
        <row r="523">
          <cell r="Q523" t="str">
            <v>أدخل رقم العقد</v>
          </cell>
        </row>
        <row r="524">
          <cell r="Q524" t="str">
            <v>أدخل رقم العقد</v>
          </cell>
        </row>
        <row r="525">
          <cell r="Q525" t="str">
            <v>أدخل رقم العقد</v>
          </cell>
        </row>
        <row r="526">
          <cell r="Q526" t="str">
            <v>أدخل رقم العقد</v>
          </cell>
        </row>
        <row r="527">
          <cell r="Q527" t="str">
            <v>أدخل رقم العقد</v>
          </cell>
        </row>
        <row r="528">
          <cell r="Q528" t="str">
            <v>أدخل رقم العقد</v>
          </cell>
        </row>
        <row r="529">
          <cell r="Q529" t="str">
            <v>أدخل رقم العقد</v>
          </cell>
        </row>
        <row r="530">
          <cell r="Q530" t="str">
            <v>أدخل رقم العقد</v>
          </cell>
        </row>
        <row r="531">
          <cell r="Q531" t="str">
            <v>أدخل رقم العقد</v>
          </cell>
        </row>
        <row r="532">
          <cell r="Q532" t="str">
            <v>أدخل رقم العقد</v>
          </cell>
        </row>
        <row r="533">
          <cell r="Q533" t="str">
            <v>أدخل رقم العقد</v>
          </cell>
        </row>
        <row r="534">
          <cell r="Q534" t="str">
            <v>أدخل رقم العقد</v>
          </cell>
        </row>
        <row r="535">
          <cell r="Q535" t="str">
            <v>أدخل رقم العقد</v>
          </cell>
        </row>
        <row r="536">
          <cell r="Q536" t="str">
            <v>أدخل رقم العقد</v>
          </cell>
        </row>
        <row r="537">
          <cell r="Q537" t="str">
            <v>أدخل رقم العقد</v>
          </cell>
        </row>
        <row r="538">
          <cell r="Q538" t="str">
            <v>أدخل رقم العقد</v>
          </cell>
        </row>
        <row r="539">
          <cell r="Q539" t="str">
            <v>أدخل رقم العقد</v>
          </cell>
        </row>
        <row r="540">
          <cell r="Q540" t="str">
            <v>أدخل رقم العقد</v>
          </cell>
        </row>
        <row r="541">
          <cell r="Q541" t="str">
            <v>أدخل رقم العقد</v>
          </cell>
        </row>
        <row r="542">
          <cell r="Q542" t="str">
            <v>أدخل رقم العقد</v>
          </cell>
        </row>
        <row r="543">
          <cell r="Q543" t="str">
            <v>أدخل رقم العقد</v>
          </cell>
        </row>
        <row r="544">
          <cell r="Q544" t="str">
            <v>أدخل رقم العقد</v>
          </cell>
        </row>
        <row r="545">
          <cell r="Q545" t="str">
            <v>أدخل رقم العقد</v>
          </cell>
        </row>
        <row r="546">
          <cell r="Q546" t="str">
            <v>أدخل رقم العقد</v>
          </cell>
        </row>
        <row r="547">
          <cell r="Q547" t="str">
            <v>أدخل رقم العقد</v>
          </cell>
        </row>
        <row r="548">
          <cell r="Q548" t="str">
            <v>أدخل رقم العقد</v>
          </cell>
        </row>
        <row r="549">
          <cell r="Q549" t="str">
            <v>أدخل رقم العقد</v>
          </cell>
        </row>
        <row r="550">
          <cell r="Q550" t="str">
            <v>أدخل رقم العقد</v>
          </cell>
        </row>
        <row r="551">
          <cell r="Q551" t="str">
            <v>أدخل رقم العقد</v>
          </cell>
        </row>
        <row r="552">
          <cell r="Q552" t="str">
            <v>أدخل رقم العقد</v>
          </cell>
        </row>
        <row r="553">
          <cell r="Q553" t="str">
            <v>أدخل رقم العقد</v>
          </cell>
        </row>
        <row r="554">
          <cell r="Q554" t="str">
            <v>أدخل رقم العقد</v>
          </cell>
        </row>
        <row r="555">
          <cell r="Q555" t="str">
            <v>أدخل رقم العقد</v>
          </cell>
        </row>
        <row r="556">
          <cell r="Q556" t="str">
            <v>أدخل رقم العقد</v>
          </cell>
        </row>
        <row r="557">
          <cell r="Q557" t="str">
            <v>أدخل رقم العقد</v>
          </cell>
        </row>
        <row r="558">
          <cell r="Q558" t="str">
            <v>أدخل رقم العقد</v>
          </cell>
        </row>
        <row r="559">
          <cell r="Q559" t="str">
            <v>أدخل رقم العقد</v>
          </cell>
        </row>
        <row r="560">
          <cell r="Q560" t="str">
            <v>أدخل رقم العقد</v>
          </cell>
        </row>
        <row r="561">
          <cell r="Q561" t="str">
            <v>أدخل رقم العقد</v>
          </cell>
        </row>
        <row r="562">
          <cell r="Q562" t="str">
            <v>أدخل رقم العقد</v>
          </cell>
        </row>
        <row r="563">
          <cell r="Q563" t="str">
            <v>أدخل رقم العقد</v>
          </cell>
        </row>
        <row r="564">
          <cell r="Q564" t="str">
            <v>أدخل رقم العقد</v>
          </cell>
        </row>
        <row r="565">
          <cell r="Q565" t="str">
            <v>أدخل رقم العقد</v>
          </cell>
        </row>
        <row r="566">
          <cell r="Q566" t="str">
            <v>أدخل رقم العقد</v>
          </cell>
        </row>
        <row r="567">
          <cell r="Q567" t="str">
            <v>أدخل رقم العقد</v>
          </cell>
        </row>
        <row r="568">
          <cell r="Q568" t="str">
            <v>أدخل رقم العقد</v>
          </cell>
        </row>
        <row r="569">
          <cell r="Q569" t="str">
            <v>أدخل رقم العقد</v>
          </cell>
        </row>
        <row r="570">
          <cell r="Q570" t="str">
            <v>أدخل رقم العقد</v>
          </cell>
        </row>
        <row r="571">
          <cell r="Q571" t="str">
            <v>أدخل رقم العقد</v>
          </cell>
        </row>
        <row r="572">
          <cell r="Q572" t="str">
            <v>أدخل رقم العقد</v>
          </cell>
        </row>
        <row r="573">
          <cell r="Q573" t="str">
            <v>أدخل رقم العقد</v>
          </cell>
        </row>
        <row r="574">
          <cell r="Q574" t="str">
            <v>أدخل رقم العقد</v>
          </cell>
        </row>
        <row r="575">
          <cell r="Q575" t="str">
            <v>أدخل رقم العقد</v>
          </cell>
        </row>
        <row r="576">
          <cell r="Q576" t="str">
            <v>أدخل رقم العقد</v>
          </cell>
        </row>
        <row r="577">
          <cell r="Q577" t="str">
            <v>أدخل رقم العقد</v>
          </cell>
        </row>
        <row r="578">
          <cell r="Q578" t="str">
            <v>أدخل رقم العقد</v>
          </cell>
        </row>
        <row r="579">
          <cell r="Q579" t="str">
            <v>أدخل رقم العقد</v>
          </cell>
        </row>
        <row r="580">
          <cell r="Q580" t="str">
            <v>أدخل رقم العقد</v>
          </cell>
        </row>
        <row r="581">
          <cell r="Q581" t="str">
            <v>أدخل رقم العقد</v>
          </cell>
        </row>
        <row r="582">
          <cell r="Q582" t="str">
            <v>أدخل رقم العقد</v>
          </cell>
        </row>
        <row r="583">
          <cell r="Q583" t="str">
            <v>أدخل رقم العقد</v>
          </cell>
        </row>
        <row r="584">
          <cell r="Q584" t="str">
            <v>أدخل رقم العقد</v>
          </cell>
        </row>
        <row r="585">
          <cell r="Q585" t="str">
            <v>أدخل رقم العقد</v>
          </cell>
        </row>
        <row r="586">
          <cell r="Q586" t="str">
            <v>أدخل رقم العقد</v>
          </cell>
        </row>
        <row r="587">
          <cell r="Q587" t="str">
            <v>أدخل رقم العقد</v>
          </cell>
        </row>
        <row r="588">
          <cell r="Q588" t="str">
            <v>أدخل رقم العقد</v>
          </cell>
        </row>
        <row r="589">
          <cell r="Q589" t="str">
            <v>أدخل رقم العقد</v>
          </cell>
        </row>
        <row r="590">
          <cell r="Q590" t="str">
            <v>أدخل رقم العقد</v>
          </cell>
        </row>
        <row r="591">
          <cell r="Q591" t="str">
            <v>أدخل رقم العقد</v>
          </cell>
        </row>
        <row r="592">
          <cell r="Q592" t="str">
            <v>أدخل رقم العقد</v>
          </cell>
        </row>
        <row r="593">
          <cell r="Q593" t="str">
            <v>أدخل رقم العقد</v>
          </cell>
        </row>
        <row r="594">
          <cell r="Q594" t="str">
            <v>أدخل رقم العقد</v>
          </cell>
        </row>
        <row r="595">
          <cell r="Q595" t="str">
            <v>أدخل رقم العقد</v>
          </cell>
        </row>
        <row r="596">
          <cell r="Q596" t="str">
            <v>أدخل رقم العقد</v>
          </cell>
        </row>
        <row r="597">
          <cell r="Q597" t="str">
            <v>أدخل رقم العقد</v>
          </cell>
        </row>
        <row r="598">
          <cell r="Q598" t="str">
            <v>أدخل رقم العقد</v>
          </cell>
        </row>
        <row r="599">
          <cell r="Q599" t="str">
            <v>أدخل رقم العقد</v>
          </cell>
        </row>
        <row r="600">
          <cell r="Q600" t="str">
            <v>أدخل رقم العقد</v>
          </cell>
        </row>
        <row r="601">
          <cell r="Q601" t="str">
            <v>أدخل رقم العقد</v>
          </cell>
        </row>
        <row r="602">
          <cell r="Q602" t="str">
            <v>أدخل رقم العقد</v>
          </cell>
        </row>
        <row r="603">
          <cell r="Q603" t="str">
            <v>أدخل رقم العقد</v>
          </cell>
        </row>
        <row r="604">
          <cell r="Q604" t="str">
            <v>أدخل رقم العقد</v>
          </cell>
        </row>
        <row r="605">
          <cell r="Q605" t="str">
            <v>أدخل رقم العقد</v>
          </cell>
        </row>
        <row r="606">
          <cell r="Q606" t="str">
            <v>أدخل رقم العقد</v>
          </cell>
        </row>
        <row r="607">
          <cell r="Q607" t="str">
            <v>أدخل رقم العقد</v>
          </cell>
        </row>
        <row r="608">
          <cell r="Q608" t="str">
            <v>أدخل رقم العقد</v>
          </cell>
        </row>
        <row r="609">
          <cell r="Q609" t="str">
            <v>أدخل رقم العقد</v>
          </cell>
        </row>
        <row r="610">
          <cell r="Q610" t="str">
            <v>أدخل رقم العقد</v>
          </cell>
        </row>
        <row r="611">
          <cell r="Q611" t="str">
            <v>أدخل رقم العقد</v>
          </cell>
        </row>
        <row r="612">
          <cell r="Q612" t="str">
            <v>أدخل رقم العقد</v>
          </cell>
        </row>
        <row r="613">
          <cell r="Q613" t="str">
            <v>أدخل رقم العقد</v>
          </cell>
        </row>
        <row r="614">
          <cell r="Q614" t="str">
            <v>أدخل رقم العقد</v>
          </cell>
        </row>
        <row r="615">
          <cell r="Q615" t="str">
            <v>أدخل رقم العقد</v>
          </cell>
        </row>
        <row r="616">
          <cell r="Q616" t="str">
            <v>أدخل رقم العقد</v>
          </cell>
        </row>
        <row r="617">
          <cell r="Q617" t="str">
            <v>أدخل رقم العقد</v>
          </cell>
        </row>
        <row r="618">
          <cell r="Q618" t="str">
            <v>أدخل رقم العقد</v>
          </cell>
        </row>
        <row r="619">
          <cell r="Q619" t="str">
            <v>أدخل رقم العقد</v>
          </cell>
        </row>
        <row r="620">
          <cell r="Q620" t="str">
            <v>أدخل رقم العقد</v>
          </cell>
        </row>
        <row r="621">
          <cell r="Q621" t="str">
            <v>أدخل رقم العقد</v>
          </cell>
        </row>
        <row r="622">
          <cell r="Q622" t="str">
            <v>أدخل رقم العقد</v>
          </cell>
        </row>
        <row r="623">
          <cell r="Q623" t="str">
            <v>أدخل رقم العقد</v>
          </cell>
        </row>
        <row r="624">
          <cell r="Q624" t="str">
            <v>أدخل رقم العقد</v>
          </cell>
        </row>
        <row r="625">
          <cell r="Q625" t="str">
            <v>أدخل رقم العقد</v>
          </cell>
        </row>
        <row r="626">
          <cell r="Q626" t="str">
            <v>أدخل رقم العقد</v>
          </cell>
        </row>
        <row r="627">
          <cell r="Q627" t="str">
            <v>أدخل رقم العقد</v>
          </cell>
        </row>
        <row r="628">
          <cell r="Q628" t="str">
            <v>أدخل رقم العقد</v>
          </cell>
        </row>
        <row r="629">
          <cell r="Q629" t="str">
            <v>أدخل رقم العقد</v>
          </cell>
        </row>
        <row r="630">
          <cell r="Q630" t="str">
            <v>أدخل رقم العقد</v>
          </cell>
        </row>
        <row r="631">
          <cell r="Q631" t="str">
            <v>أدخل رقم العقد</v>
          </cell>
        </row>
        <row r="632">
          <cell r="Q632" t="str">
            <v>أدخل رقم العقد</v>
          </cell>
        </row>
        <row r="633">
          <cell r="Q633" t="str">
            <v>أدخل رقم العقد</v>
          </cell>
        </row>
        <row r="634">
          <cell r="Q634" t="str">
            <v>أدخل رقم العقد</v>
          </cell>
        </row>
        <row r="635">
          <cell r="Q635" t="str">
            <v>أدخل رقم العقد</v>
          </cell>
        </row>
        <row r="636">
          <cell r="Q636" t="str">
            <v>أدخل رقم العقد</v>
          </cell>
        </row>
        <row r="637">
          <cell r="Q637" t="str">
            <v>أدخل رقم العقد</v>
          </cell>
        </row>
        <row r="638">
          <cell r="Q638" t="str">
            <v>أدخل رقم العقد</v>
          </cell>
        </row>
        <row r="639">
          <cell r="Q639" t="str">
            <v>أدخل رقم العقد</v>
          </cell>
        </row>
        <row r="640">
          <cell r="Q640" t="str">
            <v>أدخل رقم العقد</v>
          </cell>
        </row>
        <row r="641">
          <cell r="Q641" t="str">
            <v>أدخل رقم العقد</v>
          </cell>
        </row>
        <row r="642">
          <cell r="Q642" t="str">
            <v>أدخل رقم العقد</v>
          </cell>
        </row>
        <row r="643">
          <cell r="Q643" t="str">
            <v>أدخل رقم العقد</v>
          </cell>
        </row>
        <row r="644">
          <cell r="Q644" t="str">
            <v>أدخل رقم العقد</v>
          </cell>
        </row>
        <row r="645">
          <cell r="Q645" t="str">
            <v>أدخل رقم العقد</v>
          </cell>
        </row>
        <row r="646">
          <cell r="Q646" t="str">
            <v>أدخل رقم العقد</v>
          </cell>
        </row>
        <row r="647">
          <cell r="Q647" t="str">
            <v>أدخل رقم العقد</v>
          </cell>
        </row>
        <row r="648">
          <cell r="Q648" t="str">
            <v>أدخل رقم العقد</v>
          </cell>
        </row>
        <row r="649">
          <cell r="Q649" t="str">
            <v>أدخل رقم العقد</v>
          </cell>
        </row>
        <row r="650">
          <cell r="Q650" t="str">
            <v>أدخل رقم العقد</v>
          </cell>
        </row>
        <row r="651">
          <cell r="Q651" t="str">
            <v>أدخل رقم العقد</v>
          </cell>
        </row>
        <row r="652">
          <cell r="Q652" t="str">
            <v>أدخل رقم العقد</v>
          </cell>
        </row>
        <row r="653">
          <cell r="Q653" t="str">
            <v>أدخل رقم العقد</v>
          </cell>
        </row>
        <row r="654">
          <cell r="Q654" t="str">
            <v>أدخل رقم العقد</v>
          </cell>
        </row>
        <row r="655">
          <cell r="Q655" t="str">
            <v>أدخل رقم العقد</v>
          </cell>
        </row>
        <row r="656">
          <cell r="Q656" t="str">
            <v>أدخل رقم العقد</v>
          </cell>
        </row>
        <row r="657">
          <cell r="Q657" t="str">
            <v>أدخل رقم العقد</v>
          </cell>
        </row>
        <row r="658">
          <cell r="Q658" t="str">
            <v>أدخل رقم العقد</v>
          </cell>
        </row>
        <row r="659">
          <cell r="Q659" t="str">
            <v>أدخل رقم العقد</v>
          </cell>
        </row>
        <row r="660">
          <cell r="Q660" t="str">
            <v>أدخل رقم العقد</v>
          </cell>
        </row>
        <row r="661">
          <cell r="Q661" t="str">
            <v>أدخل رقم العقد</v>
          </cell>
        </row>
        <row r="662">
          <cell r="Q662" t="str">
            <v>أدخل رقم العقد</v>
          </cell>
        </row>
        <row r="663">
          <cell r="Q663" t="str">
            <v>أدخل رقم العقد</v>
          </cell>
        </row>
        <row r="664">
          <cell r="Q664" t="str">
            <v>أدخل رقم العقد</v>
          </cell>
        </row>
        <row r="665">
          <cell r="Q665" t="str">
            <v>أدخل رقم العقد</v>
          </cell>
        </row>
        <row r="666">
          <cell r="Q666" t="str">
            <v>أدخل رقم العقد</v>
          </cell>
        </row>
        <row r="667">
          <cell r="Q667" t="str">
            <v>أدخل رقم العقد</v>
          </cell>
        </row>
        <row r="668">
          <cell r="Q668" t="str">
            <v>أدخل رقم العقد</v>
          </cell>
        </row>
        <row r="669">
          <cell r="Q669" t="str">
            <v>أدخل رقم العقد</v>
          </cell>
        </row>
        <row r="670">
          <cell r="Q670" t="str">
            <v>أدخل رقم العقد</v>
          </cell>
        </row>
        <row r="671">
          <cell r="Q671" t="str">
            <v>أدخل رقم العقد</v>
          </cell>
        </row>
        <row r="672">
          <cell r="Q672" t="str">
            <v>أدخل رقم العقد</v>
          </cell>
        </row>
        <row r="673">
          <cell r="Q673" t="str">
            <v>أدخل رقم العقد</v>
          </cell>
        </row>
        <row r="674">
          <cell r="Q674" t="str">
            <v>أدخل رقم العقد</v>
          </cell>
        </row>
        <row r="675">
          <cell r="Q675" t="str">
            <v>أدخل رقم العقد</v>
          </cell>
        </row>
        <row r="676">
          <cell r="Q676" t="str">
            <v>أدخل رقم العقد</v>
          </cell>
        </row>
        <row r="677">
          <cell r="Q677" t="str">
            <v>أدخل رقم العقد</v>
          </cell>
        </row>
        <row r="678">
          <cell r="Q678" t="str">
            <v>أدخل رقم العقد</v>
          </cell>
        </row>
        <row r="679">
          <cell r="Q679" t="str">
            <v>أدخل رقم العقد</v>
          </cell>
        </row>
        <row r="680">
          <cell r="Q680" t="str">
            <v>أدخل رقم العقد</v>
          </cell>
        </row>
        <row r="681">
          <cell r="Q681" t="str">
            <v>أدخل رقم العقد</v>
          </cell>
        </row>
        <row r="682">
          <cell r="Q682" t="str">
            <v>أدخل رقم العقد</v>
          </cell>
        </row>
        <row r="683">
          <cell r="Q683" t="str">
            <v>أدخل رقم العقد</v>
          </cell>
        </row>
        <row r="684">
          <cell r="Q684" t="str">
            <v>أدخل رقم العقد</v>
          </cell>
        </row>
        <row r="685">
          <cell r="Q685" t="str">
            <v>أدخل رقم العقد</v>
          </cell>
        </row>
        <row r="686">
          <cell r="Q686" t="str">
            <v>أدخل رقم العقد</v>
          </cell>
        </row>
        <row r="687">
          <cell r="Q687" t="str">
            <v>أدخل رقم العقد</v>
          </cell>
        </row>
        <row r="688">
          <cell r="Q688" t="str">
            <v>أدخل رقم العقد</v>
          </cell>
        </row>
        <row r="689">
          <cell r="Q689" t="str">
            <v>أدخل رقم العقد</v>
          </cell>
        </row>
        <row r="690">
          <cell r="Q690" t="str">
            <v>أدخل رقم العقد</v>
          </cell>
        </row>
        <row r="691">
          <cell r="Q691" t="str">
            <v>أدخل رقم العقد</v>
          </cell>
        </row>
        <row r="692">
          <cell r="Q692" t="str">
            <v>أدخل رقم العقد</v>
          </cell>
        </row>
        <row r="693">
          <cell r="Q693" t="str">
            <v>أدخل رقم العقد</v>
          </cell>
        </row>
        <row r="694">
          <cell r="Q694" t="str">
            <v>أدخل رقم العقد</v>
          </cell>
        </row>
        <row r="695">
          <cell r="Q695" t="str">
            <v>أدخل رقم العقد</v>
          </cell>
        </row>
        <row r="696">
          <cell r="Q696" t="str">
            <v>أدخل رقم العقد</v>
          </cell>
        </row>
        <row r="697">
          <cell r="Q697" t="str">
            <v>أدخل رقم العقد</v>
          </cell>
        </row>
        <row r="698">
          <cell r="Q698" t="str">
            <v>أدخل رقم العقد</v>
          </cell>
        </row>
        <row r="699">
          <cell r="Q699" t="str">
            <v>أدخل رقم العقد</v>
          </cell>
        </row>
        <row r="700">
          <cell r="Q700" t="str">
            <v>أدخل رقم العقد</v>
          </cell>
        </row>
        <row r="701">
          <cell r="Q701" t="str">
            <v>أدخل رقم العقد</v>
          </cell>
        </row>
        <row r="702">
          <cell r="Q702" t="str">
            <v>أدخل رقم العقد</v>
          </cell>
        </row>
        <row r="703">
          <cell r="Q703" t="str">
            <v>أدخل رقم العقد</v>
          </cell>
        </row>
        <row r="704">
          <cell r="Q704" t="str">
            <v>أدخل رقم العقد</v>
          </cell>
        </row>
        <row r="705">
          <cell r="Q705" t="str">
            <v>أدخل رقم العقد</v>
          </cell>
        </row>
        <row r="706">
          <cell r="Q706" t="str">
            <v>أدخل رقم العقد</v>
          </cell>
        </row>
        <row r="707">
          <cell r="Q707" t="str">
            <v>أدخل رقم العقد</v>
          </cell>
        </row>
        <row r="708">
          <cell r="Q708" t="str">
            <v>أدخل رقم العقد</v>
          </cell>
        </row>
        <row r="709">
          <cell r="Q709" t="str">
            <v>أدخل رقم العقد</v>
          </cell>
        </row>
        <row r="710">
          <cell r="Q710" t="str">
            <v>أدخل رقم العقد</v>
          </cell>
        </row>
        <row r="711">
          <cell r="Q711" t="str">
            <v>أدخل رقم العقد</v>
          </cell>
        </row>
        <row r="712">
          <cell r="Q712" t="str">
            <v>أدخل رقم العقد</v>
          </cell>
        </row>
        <row r="713">
          <cell r="Q713" t="str">
            <v>أدخل رقم العقد</v>
          </cell>
        </row>
        <row r="714">
          <cell r="Q714" t="str">
            <v>أدخل رقم العقد</v>
          </cell>
        </row>
        <row r="715">
          <cell r="Q715" t="str">
            <v>أدخل رقم العقد</v>
          </cell>
        </row>
        <row r="716">
          <cell r="Q716" t="str">
            <v>أدخل رقم العقد</v>
          </cell>
        </row>
        <row r="717">
          <cell r="Q717" t="str">
            <v>أدخل رقم العقد</v>
          </cell>
        </row>
        <row r="718">
          <cell r="Q718" t="str">
            <v>أدخل رقم العقد</v>
          </cell>
        </row>
        <row r="719">
          <cell r="Q719" t="str">
            <v>أدخل رقم العقد</v>
          </cell>
        </row>
        <row r="720">
          <cell r="Q720" t="str">
            <v>أدخل رقم العقد</v>
          </cell>
        </row>
        <row r="721">
          <cell r="Q721" t="str">
            <v>أدخل رقم العقد</v>
          </cell>
        </row>
        <row r="722">
          <cell r="Q722" t="str">
            <v>أدخل رقم العقد</v>
          </cell>
        </row>
        <row r="723">
          <cell r="Q723" t="str">
            <v>أدخل رقم العقد</v>
          </cell>
        </row>
        <row r="724">
          <cell r="Q724" t="str">
            <v>أدخل رقم العقد</v>
          </cell>
        </row>
        <row r="725">
          <cell r="Q725" t="str">
            <v>أدخل رقم العقد</v>
          </cell>
        </row>
        <row r="726">
          <cell r="Q726" t="str">
            <v>أدخل رقم العقد</v>
          </cell>
        </row>
        <row r="727">
          <cell r="Q727" t="str">
            <v>أدخل رقم العقد</v>
          </cell>
        </row>
        <row r="728">
          <cell r="Q728" t="str">
            <v>أدخل رقم العقد</v>
          </cell>
        </row>
        <row r="729">
          <cell r="Q729" t="str">
            <v>أدخل رقم العقد</v>
          </cell>
        </row>
        <row r="730">
          <cell r="Q730" t="str">
            <v>أدخل رقم العقد</v>
          </cell>
        </row>
        <row r="731">
          <cell r="Q731" t="str">
            <v>أدخل رقم العقد</v>
          </cell>
        </row>
        <row r="732">
          <cell r="Q732" t="str">
            <v>أدخل رقم العقد</v>
          </cell>
        </row>
        <row r="733">
          <cell r="Q733" t="str">
            <v>أدخل رقم العقد</v>
          </cell>
        </row>
        <row r="734">
          <cell r="Q734" t="str">
            <v>أدخل رقم العقد</v>
          </cell>
        </row>
        <row r="735">
          <cell r="Q735" t="str">
            <v>أدخل رقم العقد</v>
          </cell>
        </row>
        <row r="736">
          <cell r="Q736" t="str">
            <v>أدخل رقم العقد</v>
          </cell>
        </row>
        <row r="737">
          <cell r="Q737" t="str">
            <v>أدخل رقم العقد</v>
          </cell>
        </row>
        <row r="738">
          <cell r="Q738" t="str">
            <v>أدخل رقم العقد</v>
          </cell>
        </row>
        <row r="739">
          <cell r="Q739" t="str">
            <v>أدخل رقم العقد</v>
          </cell>
        </row>
        <row r="740">
          <cell r="Q740" t="str">
            <v>أدخل رقم العقد</v>
          </cell>
        </row>
        <row r="741">
          <cell r="Q741" t="str">
            <v>أدخل رقم العقد</v>
          </cell>
        </row>
        <row r="742">
          <cell r="Q742" t="str">
            <v>أدخل رقم العقد</v>
          </cell>
        </row>
        <row r="743">
          <cell r="Q743" t="str">
            <v>أدخل رقم العقد</v>
          </cell>
        </row>
        <row r="744">
          <cell r="Q744" t="str">
            <v>أدخل رقم العقد</v>
          </cell>
        </row>
        <row r="745">
          <cell r="Q745" t="str">
            <v>أدخل رقم العقد</v>
          </cell>
        </row>
        <row r="746">
          <cell r="Q746" t="str">
            <v>أدخل رقم العقد</v>
          </cell>
        </row>
        <row r="747">
          <cell r="Q747" t="str">
            <v>أدخل رقم العقد</v>
          </cell>
        </row>
        <row r="748">
          <cell r="Q748" t="str">
            <v>أدخل رقم العقد</v>
          </cell>
        </row>
        <row r="749">
          <cell r="Q749" t="str">
            <v>أدخل رقم العقد</v>
          </cell>
        </row>
        <row r="750">
          <cell r="Q750" t="str">
            <v>أدخل رقم العقد</v>
          </cell>
        </row>
        <row r="751">
          <cell r="Q751" t="str">
            <v>أدخل رقم العقد</v>
          </cell>
        </row>
        <row r="752">
          <cell r="Q752" t="str">
            <v>أدخل رقم العقد</v>
          </cell>
        </row>
        <row r="753">
          <cell r="Q753" t="str">
            <v>أدخل رقم العقد</v>
          </cell>
        </row>
        <row r="754">
          <cell r="Q754" t="str">
            <v>أدخل رقم العقد</v>
          </cell>
        </row>
        <row r="755">
          <cell r="Q755" t="str">
            <v>أدخل رقم العقد</v>
          </cell>
        </row>
        <row r="756">
          <cell r="Q756" t="str">
            <v>أدخل رقم العقد</v>
          </cell>
        </row>
        <row r="757">
          <cell r="Q757" t="str">
            <v>أدخل رقم العقد</v>
          </cell>
        </row>
        <row r="758">
          <cell r="Q758" t="str">
            <v>أدخل رقم العقد</v>
          </cell>
        </row>
        <row r="759">
          <cell r="Q759" t="str">
            <v>أدخل رقم العقد</v>
          </cell>
        </row>
        <row r="760">
          <cell r="Q760" t="str">
            <v>أدخل رقم العقد</v>
          </cell>
        </row>
        <row r="761">
          <cell r="Q761" t="str">
            <v>أدخل رقم العقد</v>
          </cell>
        </row>
        <row r="762">
          <cell r="Q762" t="str">
            <v>أدخل رقم العقد</v>
          </cell>
        </row>
        <row r="763">
          <cell r="Q763" t="str">
            <v>أدخل رقم العقد</v>
          </cell>
        </row>
        <row r="764">
          <cell r="Q764" t="str">
            <v>أدخل رقم العقد</v>
          </cell>
        </row>
        <row r="765">
          <cell r="Q765" t="str">
            <v>أدخل رقم العقد</v>
          </cell>
        </row>
        <row r="766">
          <cell r="Q766" t="str">
            <v>أدخل رقم العقد</v>
          </cell>
        </row>
        <row r="767">
          <cell r="Q767" t="str">
            <v>أدخل رقم العقد</v>
          </cell>
        </row>
        <row r="768">
          <cell r="Q768" t="str">
            <v>أدخل رقم العقد</v>
          </cell>
        </row>
        <row r="769">
          <cell r="Q769" t="str">
            <v>أدخل رقم العقد</v>
          </cell>
        </row>
        <row r="770">
          <cell r="Q770" t="str">
            <v>أدخل رقم العقد</v>
          </cell>
        </row>
        <row r="771">
          <cell r="Q771" t="str">
            <v>أدخل رقم العقد</v>
          </cell>
        </row>
        <row r="772">
          <cell r="Q772" t="str">
            <v>أدخل رقم العقد</v>
          </cell>
        </row>
        <row r="773">
          <cell r="Q773" t="str">
            <v>أدخل رقم العقد</v>
          </cell>
        </row>
        <row r="774">
          <cell r="Q774" t="str">
            <v>أدخل رقم العقد</v>
          </cell>
        </row>
        <row r="775">
          <cell r="Q775" t="str">
            <v>أدخل رقم العقد</v>
          </cell>
        </row>
        <row r="776">
          <cell r="Q776" t="str">
            <v>أدخل رقم العقد</v>
          </cell>
        </row>
        <row r="777">
          <cell r="Q777" t="str">
            <v>أدخل رقم العقد</v>
          </cell>
        </row>
        <row r="778">
          <cell r="Q778" t="str">
            <v>أدخل رقم العقد</v>
          </cell>
        </row>
        <row r="779">
          <cell r="Q779" t="str">
            <v>أدخل رقم العقد</v>
          </cell>
        </row>
        <row r="780">
          <cell r="Q780" t="str">
            <v>أدخل رقم العقد</v>
          </cell>
        </row>
        <row r="781">
          <cell r="Q781" t="str">
            <v>أدخل رقم العقد</v>
          </cell>
        </row>
        <row r="782">
          <cell r="Q782" t="str">
            <v>أدخل رقم العقد</v>
          </cell>
        </row>
        <row r="783">
          <cell r="Q783" t="str">
            <v>أدخل رقم العقد</v>
          </cell>
        </row>
        <row r="784">
          <cell r="Q784" t="str">
            <v>أدخل رقم العقد</v>
          </cell>
        </row>
        <row r="785">
          <cell r="Q785" t="str">
            <v>أدخل رقم العقد</v>
          </cell>
        </row>
        <row r="786">
          <cell r="Q786" t="str">
            <v>أدخل رقم العقد</v>
          </cell>
        </row>
        <row r="787">
          <cell r="Q787" t="str">
            <v>أدخل رقم العقد</v>
          </cell>
        </row>
        <row r="788">
          <cell r="Q788" t="str">
            <v>أدخل رقم العقد</v>
          </cell>
        </row>
        <row r="789">
          <cell r="Q789" t="str">
            <v>أدخل رقم العقد</v>
          </cell>
        </row>
        <row r="790">
          <cell r="Q790" t="str">
            <v>أدخل رقم العقد</v>
          </cell>
        </row>
        <row r="791">
          <cell r="Q791" t="str">
            <v>أدخل رقم العقد</v>
          </cell>
        </row>
        <row r="792">
          <cell r="Q792" t="str">
            <v>أدخل رقم العقد</v>
          </cell>
        </row>
        <row r="793">
          <cell r="Q793" t="str">
            <v>أدخل رقم العقد</v>
          </cell>
        </row>
        <row r="794">
          <cell r="Q794" t="str">
            <v>أدخل رقم العقد</v>
          </cell>
        </row>
        <row r="795">
          <cell r="Q795" t="str">
            <v>أدخل رقم العقد</v>
          </cell>
        </row>
        <row r="796">
          <cell r="Q796" t="str">
            <v>أدخل رقم العقد</v>
          </cell>
        </row>
        <row r="797">
          <cell r="Q797" t="str">
            <v>أدخل رقم العقد</v>
          </cell>
        </row>
        <row r="798">
          <cell r="Q798" t="str">
            <v>أدخل رقم العقد</v>
          </cell>
        </row>
        <row r="799">
          <cell r="Q799" t="str">
            <v>أدخل رقم العقد</v>
          </cell>
        </row>
        <row r="800">
          <cell r="Q800" t="str">
            <v>أدخل رقم العقد</v>
          </cell>
        </row>
        <row r="801">
          <cell r="Q801" t="str">
            <v>أدخل رقم العقد</v>
          </cell>
        </row>
        <row r="802">
          <cell r="Q802" t="str">
            <v>أدخل رقم العقد</v>
          </cell>
        </row>
        <row r="803">
          <cell r="Q803" t="str">
            <v>أدخل رقم العقد</v>
          </cell>
        </row>
        <row r="804">
          <cell r="Q804" t="str">
            <v>أدخل رقم العقد</v>
          </cell>
        </row>
        <row r="805">
          <cell r="Q805" t="str">
            <v>أدخل رقم العقد</v>
          </cell>
        </row>
        <row r="806">
          <cell r="Q806" t="str">
            <v>أدخل رقم العقد</v>
          </cell>
        </row>
        <row r="807">
          <cell r="Q807" t="str">
            <v>أدخل رقم العقد</v>
          </cell>
        </row>
        <row r="808">
          <cell r="Q808" t="str">
            <v>أدخل رقم العقد</v>
          </cell>
        </row>
        <row r="809">
          <cell r="Q809" t="str">
            <v>أدخل رقم العقد</v>
          </cell>
        </row>
        <row r="810">
          <cell r="Q810" t="str">
            <v>أدخل رقم العقد</v>
          </cell>
        </row>
        <row r="811">
          <cell r="Q811" t="str">
            <v>أدخل رقم العقد</v>
          </cell>
        </row>
        <row r="812">
          <cell r="Q812" t="str">
            <v>أدخل رقم العقد</v>
          </cell>
        </row>
        <row r="813">
          <cell r="Q813" t="str">
            <v>أدخل رقم العقد</v>
          </cell>
        </row>
        <row r="814">
          <cell r="Q814" t="str">
            <v>أدخل رقم العقد</v>
          </cell>
        </row>
        <row r="815">
          <cell r="Q815" t="str">
            <v>أدخل رقم العقد</v>
          </cell>
        </row>
        <row r="816">
          <cell r="Q816" t="str">
            <v>أدخل رقم العقد</v>
          </cell>
        </row>
        <row r="817">
          <cell r="Q817" t="str">
            <v>أدخل رقم العقد</v>
          </cell>
        </row>
        <row r="818">
          <cell r="Q818" t="str">
            <v>أدخل رقم العقد</v>
          </cell>
        </row>
        <row r="819">
          <cell r="Q819" t="str">
            <v>أدخل رقم العقد</v>
          </cell>
        </row>
        <row r="820">
          <cell r="Q820" t="str">
            <v>أدخل رقم العقد</v>
          </cell>
        </row>
        <row r="821">
          <cell r="Q821" t="str">
            <v>أدخل رقم العقد</v>
          </cell>
        </row>
        <row r="822">
          <cell r="Q822" t="str">
            <v>أدخل رقم العقد</v>
          </cell>
        </row>
        <row r="823">
          <cell r="Q823" t="str">
            <v>أدخل رقم العقد</v>
          </cell>
        </row>
        <row r="824">
          <cell r="Q824" t="str">
            <v>أدخل رقم العقد</v>
          </cell>
        </row>
        <row r="825">
          <cell r="Q825" t="str">
            <v>أدخل رقم العقد</v>
          </cell>
        </row>
        <row r="826">
          <cell r="Q826" t="str">
            <v>أدخل رقم العقد</v>
          </cell>
        </row>
        <row r="827">
          <cell r="Q827" t="str">
            <v>أدخل رقم العقد</v>
          </cell>
        </row>
        <row r="828">
          <cell r="Q828" t="str">
            <v>أدخل رقم العقد</v>
          </cell>
        </row>
        <row r="829">
          <cell r="Q829" t="str">
            <v>أدخل رقم العقد</v>
          </cell>
        </row>
        <row r="830">
          <cell r="Q830" t="str">
            <v>أدخل رقم العقد</v>
          </cell>
        </row>
        <row r="831">
          <cell r="Q831" t="str">
            <v>أدخل رقم العقد</v>
          </cell>
        </row>
        <row r="832">
          <cell r="Q832" t="str">
            <v>أدخل رقم العقد</v>
          </cell>
        </row>
        <row r="833">
          <cell r="Q833" t="str">
            <v>أدخل رقم العقد</v>
          </cell>
        </row>
        <row r="834">
          <cell r="Q834" t="str">
            <v>أدخل رقم العقد</v>
          </cell>
        </row>
        <row r="835">
          <cell r="Q835" t="str">
            <v>أدخل رقم العقد</v>
          </cell>
        </row>
        <row r="836">
          <cell r="Q836" t="str">
            <v>أدخل رقم العقد</v>
          </cell>
        </row>
        <row r="837">
          <cell r="Q837" t="str">
            <v>أدخل رقم العقد</v>
          </cell>
        </row>
        <row r="838">
          <cell r="Q838" t="str">
            <v>أدخل رقم العقد</v>
          </cell>
        </row>
        <row r="839">
          <cell r="Q839" t="str">
            <v>أدخل رقم العقد</v>
          </cell>
        </row>
        <row r="840">
          <cell r="Q840" t="str">
            <v>أدخل رقم العقد</v>
          </cell>
        </row>
        <row r="841">
          <cell r="Q841" t="str">
            <v>أدخل رقم العقد</v>
          </cell>
        </row>
        <row r="842">
          <cell r="Q842" t="str">
            <v>أدخل رقم العقد</v>
          </cell>
        </row>
        <row r="843">
          <cell r="Q843" t="str">
            <v>أدخل رقم العقد</v>
          </cell>
        </row>
        <row r="844">
          <cell r="Q844" t="str">
            <v>أدخل رقم العقد</v>
          </cell>
        </row>
        <row r="845">
          <cell r="Q845" t="str">
            <v>أدخل رقم العقد</v>
          </cell>
        </row>
        <row r="846">
          <cell r="Q846" t="str">
            <v>أدخل رقم العقد</v>
          </cell>
        </row>
        <row r="847">
          <cell r="Q847" t="str">
            <v>أدخل رقم العقد</v>
          </cell>
        </row>
        <row r="848">
          <cell r="Q848" t="str">
            <v>أدخل رقم العقد</v>
          </cell>
        </row>
        <row r="849">
          <cell r="Q849" t="str">
            <v>أدخل رقم العقد</v>
          </cell>
        </row>
        <row r="850">
          <cell r="Q850" t="str">
            <v>أدخل رقم العقد</v>
          </cell>
        </row>
        <row r="851">
          <cell r="Q851" t="str">
            <v>أدخل رقم العقد</v>
          </cell>
        </row>
        <row r="852">
          <cell r="Q852" t="str">
            <v>أدخل رقم العقد</v>
          </cell>
        </row>
        <row r="853">
          <cell r="Q853" t="str">
            <v>أدخل رقم العقد</v>
          </cell>
        </row>
        <row r="854">
          <cell r="Q854" t="str">
            <v>أدخل رقم العقد</v>
          </cell>
        </row>
        <row r="855">
          <cell r="Q855" t="str">
            <v>أدخل رقم العقد</v>
          </cell>
        </row>
        <row r="856">
          <cell r="Q856" t="str">
            <v>أدخل رقم العقد</v>
          </cell>
        </row>
        <row r="857">
          <cell r="Q857" t="str">
            <v>أدخل رقم العقد</v>
          </cell>
        </row>
        <row r="858">
          <cell r="Q858" t="str">
            <v>أدخل رقم العقد</v>
          </cell>
        </row>
        <row r="859">
          <cell r="Q859" t="str">
            <v>أدخل رقم العقد</v>
          </cell>
        </row>
        <row r="860">
          <cell r="Q860" t="str">
            <v>أدخل رقم العقد</v>
          </cell>
        </row>
        <row r="861">
          <cell r="Q861" t="str">
            <v>أدخل رقم العقد</v>
          </cell>
        </row>
        <row r="862">
          <cell r="Q862" t="str">
            <v>أدخل رقم العقد</v>
          </cell>
        </row>
        <row r="863">
          <cell r="Q863" t="str">
            <v>أدخل رقم العقد</v>
          </cell>
        </row>
        <row r="864">
          <cell r="Q864" t="str">
            <v>أدخل رقم العقد</v>
          </cell>
        </row>
        <row r="865">
          <cell r="Q865" t="str">
            <v>أدخل رقم العقد</v>
          </cell>
        </row>
        <row r="866">
          <cell r="Q866" t="str">
            <v>أدخل رقم العقد</v>
          </cell>
        </row>
        <row r="867">
          <cell r="Q867" t="str">
            <v>أدخل رقم العقد</v>
          </cell>
        </row>
        <row r="868">
          <cell r="Q868" t="str">
            <v>أدخل رقم العقد</v>
          </cell>
        </row>
        <row r="869">
          <cell r="Q869" t="str">
            <v>أدخل رقم العقد</v>
          </cell>
        </row>
        <row r="870">
          <cell r="Q870" t="str">
            <v>أدخل رقم العقد</v>
          </cell>
        </row>
        <row r="871">
          <cell r="Q871" t="str">
            <v>أدخل رقم العقد</v>
          </cell>
        </row>
        <row r="872">
          <cell r="Q872" t="str">
            <v>أدخل رقم العقد</v>
          </cell>
        </row>
        <row r="873">
          <cell r="Q873" t="str">
            <v>أدخل رقم العقد</v>
          </cell>
        </row>
        <row r="874">
          <cell r="Q874" t="str">
            <v>أدخل رقم العقد</v>
          </cell>
        </row>
        <row r="875">
          <cell r="Q875" t="str">
            <v>أدخل رقم العقد</v>
          </cell>
        </row>
        <row r="876">
          <cell r="Q876" t="str">
            <v>أدخل رقم العقد</v>
          </cell>
        </row>
        <row r="877">
          <cell r="Q877" t="str">
            <v>أدخل رقم العقد</v>
          </cell>
        </row>
        <row r="878">
          <cell r="Q878" t="str">
            <v>أدخل رقم العقد</v>
          </cell>
        </row>
        <row r="879">
          <cell r="Q879" t="str">
            <v>أدخل رقم العقد</v>
          </cell>
        </row>
        <row r="880">
          <cell r="Q880" t="str">
            <v>أدخل رقم العقد</v>
          </cell>
        </row>
        <row r="881">
          <cell r="Q881" t="str">
            <v>أدخل رقم العقد</v>
          </cell>
        </row>
        <row r="882">
          <cell r="Q882" t="str">
            <v>أدخل رقم العقد</v>
          </cell>
        </row>
        <row r="883">
          <cell r="Q883" t="str">
            <v>أدخل رقم العقد</v>
          </cell>
        </row>
        <row r="884">
          <cell r="Q884" t="str">
            <v>أدخل رقم العقد</v>
          </cell>
        </row>
        <row r="885">
          <cell r="Q885" t="str">
            <v>أدخل رقم العقد</v>
          </cell>
        </row>
        <row r="886">
          <cell r="Q886" t="str">
            <v>أدخل رقم العقد</v>
          </cell>
        </row>
        <row r="887">
          <cell r="Q887" t="str">
            <v>أدخل رقم العقد</v>
          </cell>
        </row>
        <row r="888">
          <cell r="Q888" t="str">
            <v>أدخل رقم العقد</v>
          </cell>
        </row>
        <row r="889">
          <cell r="Q889" t="str">
            <v>أدخل رقم العقد</v>
          </cell>
        </row>
        <row r="890">
          <cell r="Q890" t="str">
            <v>أدخل رقم العقد</v>
          </cell>
        </row>
        <row r="891">
          <cell r="Q891" t="str">
            <v>أدخل رقم العقد</v>
          </cell>
        </row>
        <row r="892">
          <cell r="Q892" t="str">
            <v>أدخل رقم العقد</v>
          </cell>
        </row>
        <row r="893">
          <cell r="Q893" t="str">
            <v>أدخل رقم العقد</v>
          </cell>
        </row>
        <row r="894">
          <cell r="Q894" t="str">
            <v>أدخل رقم العقد</v>
          </cell>
        </row>
        <row r="895">
          <cell r="Q895" t="str">
            <v>أدخل رقم العقد</v>
          </cell>
        </row>
        <row r="896">
          <cell r="Q896" t="str">
            <v>أدخل رقم العقد</v>
          </cell>
        </row>
        <row r="897">
          <cell r="Q897" t="str">
            <v>أدخل رقم العقد</v>
          </cell>
        </row>
        <row r="898">
          <cell r="Q898" t="str">
            <v>أدخل رقم العقد</v>
          </cell>
        </row>
        <row r="899">
          <cell r="Q899" t="str">
            <v>أدخل رقم العقد</v>
          </cell>
        </row>
        <row r="900">
          <cell r="Q900" t="str">
            <v>أدخل رقم العقد</v>
          </cell>
        </row>
        <row r="901">
          <cell r="Q901" t="str">
            <v>أدخل رقم العقد</v>
          </cell>
        </row>
        <row r="902">
          <cell r="Q902" t="str">
            <v>أدخل رقم العقد</v>
          </cell>
        </row>
        <row r="903">
          <cell r="Q903" t="str">
            <v>أدخل رقم العقد</v>
          </cell>
        </row>
        <row r="904">
          <cell r="Q904" t="str">
            <v>أدخل رقم العقد</v>
          </cell>
        </row>
        <row r="905">
          <cell r="Q905" t="str">
            <v>أدخل رقم العقد</v>
          </cell>
        </row>
        <row r="906">
          <cell r="Q906" t="str">
            <v>أدخل رقم العقد</v>
          </cell>
        </row>
        <row r="907">
          <cell r="Q907" t="str">
            <v>أدخل رقم العقد</v>
          </cell>
        </row>
        <row r="908">
          <cell r="Q908" t="str">
            <v>أدخل رقم العقد</v>
          </cell>
        </row>
        <row r="909">
          <cell r="Q909" t="str">
            <v>أدخل رقم العقد</v>
          </cell>
        </row>
        <row r="910">
          <cell r="Q910" t="str">
            <v>أدخل رقم العقد</v>
          </cell>
        </row>
        <row r="911">
          <cell r="Q911" t="str">
            <v>أدخل رقم العقد</v>
          </cell>
        </row>
        <row r="912">
          <cell r="Q912" t="str">
            <v>أدخل رقم العقد</v>
          </cell>
        </row>
        <row r="913">
          <cell r="Q913" t="str">
            <v>أدخل رقم العقد</v>
          </cell>
        </row>
        <row r="914">
          <cell r="Q914" t="str">
            <v>أدخل رقم العقد</v>
          </cell>
        </row>
        <row r="915">
          <cell r="Q915" t="str">
            <v>أدخل رقم العقد</v>
          </cell>
        </row>
        <row r="916">
          <cell r="Q916" t="str">
            <v>أدخل رقم العقد</v>
          </cell>
        </row>
        <row r="917">
          <cell r="Q917" t="str">
            <v>أدخل رقم العقد</v>
          </cell>
        </row>
        <row r="918">
          <cell r="Q918" t="str">
            <v>أدخل رقم العقد</v>
          </cell>
        </row>
        <row r="919">
          <cell r="Q919" t="str">
            <v>أدخل رقم العقد</v>
          </cell>
        </row>
        <row r="920">
          <cell r="Q920" t="str">
            <v>أدخل رقم العقد</v>
          </cell>
        </row>
        <row r="921">
          <cell r="Q921" t="str">
            <v>أدخل رقم العقد</v>
          </cell>
        </row>
        <row r="922">
          <cell r="Q922" t="str">
            <v>أدخل رقم العقد</v>
          </cell>
        </row>
        <row r="923">
          <cell r="Q923" t="str">
            <v>أدخل رقم العقد</v>
          </cell>
        </row>
        <row r="924">
          <cell r="Q924" t="str">
            <v>أدخل رقم العقد</v>
          </cell>
        </row>
        <row r="925">
          <cell r="Q925" t="str">
            <v>أدخل رقم العقد</v>
          </cell>
        </row>
        <row r="926">
          <cell r="Q926" t="str">
            <v>أدخل رقم العقد</v>
          </cell>
        </row>
        <row r="927">
          <cell r="Q927" t="str">
            <v>أدخل رقم العقد</v>
          </cell>
        </row>
        <row r="928">
          <cell r="Q928" t="str">
            <v>أدخل رقم العقد</v>
          </cell>
        </row>
        <row r="929">
          <cell r="Q929" t="str">
            <v>أدخل رقم العقد</v>
          </cell>
        </row>
        <row r="930">
          <cell r="Q930" t="str">
            <v>أدخل رقم العقد</v>
          </cell>
        </row>
        <row r="931">
          <cell r="Q931" t="str">
            <v>أدخل رقم العقد</v>
          </cell>
        </row>
        <row r="932">
          <cell r="Q932" t="str">
            <v>أدخل رقم العقد</v>
          </cell>
        </row>
        <row r="933">
          <cell r="Q933" t="str">
            <v>أدخل رقم العقد</v>
          </cell>
        </row>
        <row r="934">
          <cell r="Q934" t="str">
            <v>أدخل رقم العقد</v>
          </cell>
        </row>
        <row r="935">
          <cell r="Q935" t="str">
            <v>أدخل رقم العقد</v>
          </cell>
        </row>
        <row r="936">
          <cell r="Q936" t="str">
            <v>أدخل رقم العقد</v>
          </cell>
        </row>
        <row r="937">
          <cell r="Q937" t="str">
            <v>أدخل رقم العقد</v>
          </cell>
        </row>
        <row r="938">
          <cell r="Q938" t="str">
            <v>أدخل رقم العقد</v>
          </cell>
        </row>
        <row r="939">
          <cell r="Q939" t="str">
            <v>أدخل رقم العقد</v>
          </cell>
        </row>
        <row r="940">
          <cell r="Q940" t="str">
            <v>أدخل رقم العقد</v>
          </cell>
        </row>
        <row r="941">
          <cell r="Q941" t="str">
            <v>أدخل رقم العقد</v>
          </cell>
        </row>
        <row r="942">
          <cell r="Q942" t="str">
            <v>أدخل رقم العقد</v>
          </cell>
        </row>
        <row r="943">
          <cell r="Q943" t="str">
            <v>أدخل رقم العقد</v>
          </cell>
        </row>
        <row r="944">
          <cell r="Q944" t="str">
            <v>أدخل رقم العقد</v>
          </cell>
        </row>
        <row r="945">
          <cell r="Q945" t="str">
            <v>أدخل رقم العقد</v>
          </cell>
        </row>
        <row r="946">
          <cell r="Q946" t="str">
            <v>أدخل رقم العقد</v>
          </cell>
        </row>
        <row r="947">
          <cell r="Q947" t="str">
            <v>أدخل رقم العقد</v>
          </cell>
        </row>
        <row r="948">
          <cell r="Q948" t="str">
            <v>أدخل رقم العقد</v>
          </cell>
        </row>
        <row r="949">
          <cell r="Q949" t="str">
            <v>أدخل رقم العقد</v>
          </cell>
        </row>
        <row r="950">
          <cell r="Q950" t="str">
            <v>أدخل رقم العقد</v>
          </cell>
        </row>
        <row r="951">
          <cell r="Q951" t="str">
            <v>أدخل رقم العقد</v>
          </cell>
        </row>
        <row r="952">
          <cell r="Q952" t="str">
            <v>أدخل رقم العقد</v>
          </cell>
        </row>
        <row r="953">
          <cell r="Q953" t="str">
            <v>أدخل رقم العقد</v>
          </cell>
        </row>
        <row r="954">
          <cell r="Q954" t="str">
            <v>أدخل رقم العقد</v>
          </cell>
        </row>
        <row r="955">
          <cell r="Q955" t="str">
            <v>أدخل رقم العقد</v>
          </cell>
        </row>
        <row r="956">
          <cell r="Q956" t="str">
            <v>أدخل رقم العقد</v>
          </cell>
        </row>
        <row r="957">
          <cell r="Q957" t="str">
            <v>أدخل رقم العقد</v>
          </cell>
        </row>
        <row r="958">
          <cell r="Q958" t="str">
            <v>أدخل رقم العقد</v>
          </cell>
        </row>
        <row r="959">
          <cell r="Q959" t="str">
            <v>أدخل رقم العقد</v>
          </cell>
        </row>
        <row r="960">
          <cell r="Q960" t="str">
            <v>أدخل رقم العقد</v>
          </cell>
        </row>
        <row r="961">
          <cell r="Q961" t="str">
            <v>أدخل رقم العقد</v>
          </cell>
        </row>
        <row r="962">
          <cell r="Q962" t="str">
            <v>أدخل رقم العقد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أصول2016 (2)"/>
      <sheetName val="الرئيسية"/>
      <sheetName val="دليل"/>
      <sheetName val="اليوميه"/>
      <sheetName val="الصندوق"/>
      <sheetName val="جرد الصندوق"/>
      <sheetName val="حساب العملاء"/>
      <sheetName val="بيان العملاء"/>
      <sheetName val="جرد"/>
      <sheetName val="أصول 2016"/>
      <sheetName val="أصول2017"/>
      <sheetName val="معلومات"/>
      <sheetName val="جمجوم"/>
      <sheetName val="الحبتور"/>
      <sheetName val="Sheet1"/>
      <sheetName val="Al Raseen 2017 (Autosaved)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B5" t="str">
            <v>أثاث و مفروشات</v>
          </cell>
          <cell r="C5" t="str">
            <v>الرياض</v>
          </cell>
          <cell r="E5" t="str">
            <v xml:space="preserve">الحسابات </v>
          </cell>
          <cell r="F5" t="str">
            <v>محمد مهدي</v>
          </cell>
        </row>
        <row r="6">
          <cell r="B6" t="str">
            <v>سيارات التشغيل</v>
          </cell>
          <cell r="C6" t="str">
            <v>ينبع</v>
          </cell>
          <cell r="E6" t="str">
            <v>الإدارية</v>
          </cell>
          <cell r="F6" t="str">
            <v>أحمد الشاعر</v>
          </cell>
        </row>
        <row r="7">
          <cell r="B7" t="str">
            <v>حاويات نفايات</v>
          </cell>
          <cell r="C7" t="str">
            <v>المدينة</v>
          </cell>
          <cell r="E7" t="str">
            <v>التشغيل</v>
          </cell>
          <cell r="F7" t="str">
            <v>محمد خليل محمد خليل</v>
          </cell>
        </row>
        <row r="8">
          <cell r="B8" t="str">
            <v>حاويات أنقاض</v>
          </cell>
          <cell r="C8" t="str">
            <v>حائل</v>
          </cell>
          <cell r="E8" t="str">
            <v>المبيعات</v>
          </cell>
          <cell r="F8" t="str">
            <v>محمد السعيد</v>
          </cell>
        </row>
        <row r="9">
          <cell r="B9" t="str">
            <v>سيارات سيدان</v>
          </cell>
          <cell r="C9" t="str">
            <v>الأحساء</v>
          </cell>
          <cell r="E9" t="str">
            <v>التحصيل</v>
          </cell>
          <cell r="F9" t="str">
            <v>محمد خميس</v>
          </cell>
        </row>
        <row r="10">
          <cell r="B10" t="str">
            <v>مكابس أرضية</v>
          </cell>
          <cell r="C10" t="str">
            <v>عنيزة</v>
          </cell>
          <cell r="F10" t="str">
            <v>محمد الكاتب</v>
          </cell>
        </row>
        <row r="11">
          <cell r="B11" t="str">
            <v>محولات مكابس أرضية</v>
          </cell>
          <cell r="C11" t="str">
            <v>الدرب</v>
          </cell>
          <cell r="F11" t="str">
            <v>إبراهيم عبد الله الباحوث</v>
          </cell>
        </row>
        <row r="12">
          <cell r="B12" t="str">
            <v>إلكترونيات</v>
          </cell>
          <cell r="C12" t="str">
            <v>جده</v>
          </cell>
          <cell r="F12" t="str">
            <v>مشروع المطار الرياض</v>
          </cell>
        </row>
        <row r="13">
          <cell r="B13" t="str">
            <v>بيوت جاهزة</v>
          </cell>
          <cell r="C13" t="str">
            <v>الشقيق</v>
          </cell>
        </row>
        <row r="14">
          <cell r="B14" t="str">
            <v>مكابس نفايات</v>
          </cell>
          <cell r="C14" t="str">
            <v>ارامكو</v>
          </cell>
        </row>
        <row r="15">
          <cell r="B15" t="str">
            <v>تجهيزات أصول</v>
          </cell>
        </row>
        <row r="16">
          <cell r="B16" t="str">
            <v>عدد و أدوات ميكانيكية</v>
          </cell>
        </row>
        <row r="17">
          <cell r="B17" t="str">
            <v>عدد و أدوات أخرى</v>
          </cell>
        </row>
      </sheetData>
      <sheetData sheetId="12"/>
      <sheetData sheetId="13"/>
      <sheetData sheetId="14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دليل"/>
      <sheetName val="اليوميه "/>
      <sheetName val="الصندوق"/>
      <sheetName val="جرد الصندوق"/>
      <sheetName val="حساب العملاء"/>
      <sheetName val="بيان العملاء"/>
      <sheetName val="جرد"/>
      <sheetName val="أصول"/>
      <sheetName val="Sheet3"/>
      <sheetName val="جمجوم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B5" t="str">
            <v>أثاث و مفروشات</v>
          </cell>
          <cell r="C5" t="str">
            <v>الرياض</v>
          </cell>
          <cell r="E5" t="str">
            <v xml:space="preserve">الحسابات </v>
          </cell>
          <cell r="F5" t="str">
            <v>محمد مهدي</v>
          </cell>
        </row>
        <row r="6">
          <cell r="B6" t="str">
            <v>سيارات التشغيل</v>
          </cell>
          <cell r="C6" t="str">
            <v>ينبع</v>
          </cell>
          <cell r="E6" t="str">
            <v>الإدارية</v>
          </cell>
          <cell r="F6" t="str">
            <v>أحمد الشاعر</v>
          </cell>
        </row>
        <row r="7">
          <cell r="B7" t="str">
            <v>حاويات نفايات</v>
          </cell>
          <cell r="C7" t="str">
            <v>المدينة</v>
          </cell>
          <cell r="E7" t="str">
            <v>التشغيل</v>
          </cell>
          <cell r="F7" t="str">
            <v>محمد خليل محمد خليل</v>
          </cell>
        </row>
        <row r="8">
          <cell r="B8" t="str">
            <v>حاويات أنقاض</v>
          </cell>
          <cell r="C8" t="str">
            <v>حائل</v>
          </cell>
          <cell r="E8" t="str">
            <v>المبيعات</v>
          </cell>
          <cell r="F8" t="str">
            <v>محمد السعيد</v>
          </cell>
        </row>
        <row r="9">
          <cell r="B9" t="str">
            <v>سيارات سيدان</v>
          </cell>
          <cell r="C9" t="str">
            <v>الأحساء</v>
          </cell>
          <cell r="E9" t="str">
            <v>التحصيل</v>
          </cell>
          <cell r="F9" t="str">
            <v>محمد خميس</v>
          </cell>
        </row>
        <row r="10">
          <cell r="B10" t="str">
            <v>مكابس أرضية</v>
          </cell>
          <cell r="C10" t="str">
            <v>عنيزة</v>
          </cell>
          <cell r="F10" t="str">
            <v>محمد الكاتب</v>
          </cell>
        </row>
        <row r="11">
          <cell r="B11" t="str">
            <v>محولات مكابس أرضية</v>
          </cell>
          <cell r="C11" t="str">
            <v>الدرب</v>
          </cell>
          <cell r="F11" t="str">
            <v>إبراهيم عبد الله الباحوث</v>
          </cell>
        </row>
        <row r="12">
          <cell r="B12" t="str">
            <v>إلكترونيات</v>
          </cell>
          <cell r="C12" t="str">
            <v>جده</v>
          </cell>
        </row>
        <row r="13">
          <cell r="B13" t="str">
            <v>بيوت جاهزة</v>
          </cell>
          <cell r="C13" t="str">
            <v>الشقيق</v>
          </cell>
        </row>
        <row r="14">
          <cell r="B14" t="str">
            <v>مكابس نفايات</v>
          </cell>
          <cell r="C14" t="str">
            <v>ارامكو</v>
          </cell>
        </row>
        <row r="15">
          <cell r="B15" t="str">
            <v>تجهيزات أصول</v>
          </cell>
        </row>
      </sheetData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ليل الحسابات"/>
      <sheetName val="مصاريف البيع"/>
      <sheetName val="تفاصيل الحسابات "/>
      <sheetName val="قيود اليومية"/>
      <sheetName val="ميزان المراجعة"/>
      <sheetName val="المبيعات(قطع غيار)"/>
      <sheetName val="مبيعات الكفرات"/>
      <sheetName val="مبيعات الزيوت"/>
      <sheetName val="مبيعات البطاريات"/>
      <sheetName val="تتبع المركبات VTM"/>
      <sheetName val="مبيعات المكانس"/>
      <sheetName val="إيجار المعدات"/>
      <sheetName val="مبيعات قطع غيار المكانس"/>
      <sheetName val="الصندوق"/>
      <sheetName val="مبيعات الفلاتر"/>
      <sheetName val="شركة الأواني التجارية"/>
      <sheetName val="دار الكساب"/>
      <sheetName val="مؤسسة عبدالله الزهير"/>
      <sheetName val="العقيل للفلاتر"/>
      <sheetName val="المطلق للفلاتر"/>
      <sheetName val="أبوزياب خميس مشيط"/>
      <sheetName val="محلات محمد الشاعر"/>
      <sheetName val="مؤسسة الصغير التجارية المدينة ا"/>
      <sheetName val="النور للتجارة"/>
      <sheetName val="مؤسسة الصغير للتجارة فرع ينبع"/>
      <sheetName val="مؤسسة الصغير للتجارة فرع الرياض"/>
      <sheetName val="الساهلي للفلاتر"/>
      <sheetName val="مؤسسة بيت بلقيس"/>
      <sheetName val="مؤسسة الهيفاني التجارية"/>
      <sheetName val="مؤسسة تركي بن مقرن"/>
      <sheetName val="الاهتمام بالتقنية للتجارة"/>
      <sheetName val="الوطن للهيدروليك"/>
      <sheetName val="مركز حائل للهيدروليك"/>
      <sheetName val="مؤسسة السعادة الحقيقية"/>
      <sheetName val="أبو رامز ببريدة"/>
      <sheetName val="مؤسسة أحمد سعد العتيبي للتجارة"/>
      <sheetName val="مؤسسة محمد مفرح العتيبي"/>
      <sheetName val="مؤسسة مكانة للتجارة"/>
      <sheetName val="شركة جاسورا العربية للتجارة"/>
      <sheetName val="مؤسسة صالح البغشان للتجارة"/>
      <sheetName val="شركة الروسان"/>
      <sheetName val="مؤسسة تطوير المروان للتجارة"/>
      <sheetName val="مؤسسة العجلات للتجارة"/>
      <sheetName val="مؤسسة الرشيد"/>
      <sheetName val="مركز عبدالله للهيدروليك"/>
      <sheetName val="عالم الفلاتر للتجارة "/>
      <sheetName val="مؤسسة أحمد للتجارة "/>
      <sheetName val="القربان للهيدروليك"/>
      <sheetName val="الصغير فرع الدمام"/>
      <sheetName val="المشيلي"/>
      <sheetName val="الوهابي للتجارة "/>
      <sheetName val="مؤسسة أعمال الارياف للتجارة "/>
      <sheetName val="شكيل"/>
      <sheetName val="عماد الشاير"/>
      <sheetName val="مؤسسة الأنصاري"/>
      <sheetName val="مؤسسة بن هاشم "/>
      <sheetName val="مؤسسة يحيي أحمد رقواني"/>
      <sheetName val="قباء للمعدات الثقيلة "/>
      <sheetName val="الصغير للتجارة فرع الجبيل "/>
      <sheetName val="فيصل للهيدروليك"/>
      <sheetName val="conseco"/>
      <sheetName val="مؤسسة الوسام"/>
      <sheetName val="مؤسسة طيف الله العجمي"/>
      <sheetName val="I.F.C"/>
      <sheetName val="TWC ARABIA"/>
      <sheetName val="ماجد للهيدروليك"/>
      <sheetName val="SUPPORT"/>
      <sheetName val="LAMSATH"/>
      <sheetName val="الرسام"/>
      <sheetName val="خالد المنيف"/>
      <sheetName val="معرض الخليج"/>
      <sheetName val="ALI TALEB"/>
      <sheetName val="أبيار القصيم"/>
      <sheetName val="الصبياني"/>
      <sheetName val="SHAMS BLOCK"/>
      <sheetName val="تركي للمقاولات"/>
      <sheetName val="مؤسسة الأكتساب"/>
      <sheetName val="مؤسسة الرائد"/>
      <sheetName val="مغربان للفلاتر"/>
      <sheetName val="فهد دهيم "/>
      <sheetName val="الترسيب"/>
      <sheetName val="المثالية العالمية "/>
      <sheetName val="شامل لقطع الغيار"/>
      <sheetName val="العيد للمعدات الثقيلة "/>
      <sheetName val="k.e al johani est"/>
      <sheetName val="الرياض لقطع الغيار"/>
      <sheetName val="السلطة الكبيرة"/>
      <sheetName val="فهيد الصقور"/>
      <sheetName val="باكارموم"/>
      <sheetName val="الخليج للتصدير"/>
      <sheetName val="الجهيني"/>
      <sheetName val="عالم قطع غيار الديزل"/>
      <sheetName val="العرب للديزل"/>
      <sheetName val="عبدالله ناصر"/>
      <sheetName val="السوهال للتجارة"/>
      <sheetName val="سلمان إشفاق"/>
      <sheetName val="مؤسسة الثقة الكاملة"/>
      <sheetName val="المولاوي"/>
      <sheetName val="I.P.C"/>
      <sheetName val="مركز جدة لقطع الغيار"/>
      <sheetName val="شركة أمداد"/>
      <sheetName val="التويجري للهيدرولبك"/>
      <sheetName val="التويجري "/>
      <sheetName val="عبدالله المغربي"/>
      <sheetName val="الفلاح"/>
      <sheetName val="الزروي"/>
      <sheetName val="ASIAN TAJ"/>
      <sheetName val="محمد عبدالرحمن الطريف"/>
      <sheetName val="الإنصاف للهيدروليك"/>
      <sheetName val="جلموج"/>
      <sheetName val="زوالفقار للتجارة "/>
      <sheetName val="عبدالله ناصر للتجارة "/>
      <sheetName val="سعد الحارثي للتجارة "/>
      <sheetName val="HASAN EBRAHIM AL MAKHAWY "/>
      <sheetName val="ALTAHNOON TRD "/>
      <sheetName val="حمود"/>
      <sheetName val="مؤسسة صالح حسين"/>
      <sheetName val="سعودي للهيدروليك"/>
      <sheetName val="أبوزياب"/>
      <sheetName val="yellow partes "/>
      <sheetName val="HYDROGEN TRADING "/>
      <sheetName val="الشزلي"/>
      <sheetName val="الفاني لقطع الغيار "/>
      <sheetName val="قرية الطاقة"/>
      <sheetName val="دنيا الرمان"/>
      <sheetName val="مؤسسة الجليفي"/>
      <sheetName val="سعيد بازاهير"/>
      <sheetName val="الفهاد سنتر"/>
      <sheetName val="ورشة البراق"/>
      <sheetName val="مؤسسة النهضة"/>
      <sheetName val="al soghoo"/>
      <sheetName val="مؤسسة ركن الجنوب"/>
      <sheetName val="مؤسسة أبراهيم للتجارة "/>
      <sheetName val="التهامي"/>
      <sheetName val="أحمد النجيب"/>
      <sheetName val="ALMESFER ATORE "/>
      <sheetName val="ابراهيم عبدالله "/>
      <sheetName val="صقور الوادي"/>
      <sheetName val="الحواس"/>
      <sheetName val="سعيد محمد مرزوق "/>
      <sheetName val="مرسيدس سنتر"/>
      <sheetName val="مؤسسة طارق فهد المعجل"/>
      <sheetName val="MAJDAL EST"/>
      <sheetName val="شبة الجزيرة"/>
      <sheetName val="بن جلبان"/>
      <sheetName val="EASTERN MOUNTAIN TRD.EST"/>
      <sheetName val="globe marine"/>
      <sheetName val="AL SAMED"/>
      <sheetName val="صقور الروابي"/>
      <sheetName val="نبعت الريحان للتجارة"/>
      <sheetName val="ورشة طريق"/>
      <sheetName val="EAGLE TOWER"/>
      <sheetName val="مركز الخدمات"/>
      <sheetName val="abu hani"/>
      <sheetName val="العيسا"/>
      <sheetName val="JEEDAH PARTS"/>
      <sheetName val="ITLAL AL SHARQ "/>
      <sheetName val="GLOBAL HEAVY "/>
      <sheetName val="مؤسسة نجيب"/>
      <sheetName val="عبيد الشمري"/>
      <sheetName val="شركة العويضة"/>
      <sheetName val="AL SIYAL "/>
      <sheetName val="AL SALMIA EST "/>
      <sheetName val="الهيدرس"/>
      <sheetName val="بن همام"/>
      <sheetName val="al julaify"/>
      <sheetName val="ground sound "/>
      <sheetName val="FILTER EXPERT EST"/>
      <sheetName val="المزيد للقطع الثقيلة "/>
      <sheetName val="FILA CENTER"/>
      <sheetName val="AL SARWAT"/>
      <sheetName val="AL WASEEL TRD"/>
      <sheetName val="دار الغايا"/>
      <sheetName val="AL JIDANY"/>
      <sheetName val="فلاح الشمري"/>
      <sheetName val="خالد الزهراني"/>
      <sheetName val="AL DKHINI TRD"/>
      <sheetName val="GULF TRD"/>
      <sheetName val="العجمي لقطع الغيار "/>
      <sheetName val="مؤسسة المحميد للتجارة"/>
      <sheetName val="أمانات لقطع الغيار"/>
      <sheetName val="الأنفال"/>
      <sheetName val="خالد إبراهيم"/>
      <sheetName val="مؤسسة التامر"/>
      <sheetName val="SAHILE FILTER"/>
      <sheetName val="خبراء الفلاتر"/>
      <sheetName val="AL SAIRI"/>
      <sheetName val="AL GOOD UNITED"/>
      <sheetName val="أحمد للهيدروليك"/>
      <sheetName val="القفاري للهيدروليك"/>
      <sheetName val="AL NAZAL BEARINDA"/>
      <sheetName val="الشمري للتجارة"/>
      <sheetName val="AL DAGHRERY"/>
      <sheetName val="الرفيع"/>
      <sheetName val="AL ZAWI"/>
      <sheetName val="AL AWLAQI"/>
      <sheetName val="أسيا للتجارة"/>
      <sheetName val="الحماد"/>
      <sheetName val="AL DARWI HYD"/>
      <sheetName val="صقور الشرورا"/>
      <sheetName val="SPORT PARTS"/>
      <sheetName val="SALAH MAKKAH"/>
      <sheetName val="عالم عزان للتجارة"/>
      <sheetName val="AL MENHALI"/>
      <sheetName val="افهاد صقور"/>
      <sheetName val="مركز عصام"/>
      <sheetName val="واحة الوادي"/>
      <sheetName val="محمد الراجح"/>
      <sheetName val="يعقوب الميمني"/>
      <sheetName val="SONDOS"/>
      <sheetName val="القصير"/>
      <sheetName val="مركز المعدات الصناعية"/>
      <sheetName val="UMER AL AHMADI EST"/>
      <sheetName val="دونجو الكورية"/>
      <sheetName val="ALAM AZAN"/>
      <sheetName val="JAMEEL ENTERPRISES"/>
      <sheetName val="الشجيران"/>
      <sheetName val="سرايا الجزيرة"/>
      <sheetName val="C.P.C"/>
      <sheetName val="ياسر عبدالعال"/>
      <sheetName val="خبراء الديزل"/>
      <sheetName val="WAFAQ"/>
      <sheetName val="السوكير"/>
      <sheetName val="قحطاني"/>
      <sheetName val="TRUSTED SOURCE"/>
      <sheetName val="سعود فلتر"/>
      <sheetName val="مؤسسة السلطان"/>
      <sheetName val="القواه الخضراء "/>
      <sheetName val="al jalwi"/>
      <sheetName val="رواد الفلاتر"/>
      <sheetName val="al saqoor"/>
      <sheetName val="المسار"/>
      <sheetName val="بوازير"/>
      <sheetName val="عجيل الصبر"/>
      <sheetName val="فيراس"/>
      <sheetName val="شاكر"/>
      <sheetName val="رواد القطع"/>
      <sheetName val="خبراء المعدات"/>
      <sheetName val="الهوشان"/>
      <sheetName val="المقهوي التجارية"/>
      <sheetName val="المزعل"/>
      <sheetName val="البيان"/>
      <sheetName val="دريل تك لقطع الغيار"/>
      <sheetName val="القسي"/>
      <sheetName val="عبدالله خالد"/>
      <sheetName val="الثقه التامة"/>
      <sheetName val="الراقي"/>
      <sheetName val="مؤسسة الرفاد"/>
      <sheetName val="مؤسسة مشاتل العاصمة"/>
      <sheetName val="RADEEF AL HAMOOD"/>
      <sheetName val="شركة بيشة"/>
      <sheetName val="نور المدينة"/>
      <sheetName val="التكنولوجيا الخليجية"/>
      <sheetName val="AL SAHAL "/>
      <sheetName val="FAC"/>
      <sheetName val="الخراشي"/>
      <sheetName val="أمين"/>
      <sheetName val="عامر "/>
      <sheetName val="شركة جمجوم"/>
      <sheetName val="مؤسسة محمد الظافر"/>
      <sheetName val="شركة ماثيو الفرنسية"/>
      <sheetName val="شركة نتلوج للشحن"/>
      <sheetName val="شركة إسكارب"/>
      <sheetName val="ماسكات التركية أوراتشي"/>
      <sheetName val="بروسري لكلر الفرنسية "/>
      <sheetName val="شافي القحطاني للتخليص الجمركي"/>
      <sheetName val="شركة الخضري دائن"/>
      <sheetName val="دائنون متنوعون"/>
      <sheetName val="سرايا الجزيرةمعدات"/>
      <sheetName val="المجال العربي"/>
      <sheetName val="مدينون متنوعون"/>
      <sheetName val="شركة مشاتل العاصمة"/>
      <sheetName val="شركة زهران"/>
      <sheetName val="مصنع أسكارب"/>
      <sheetName val="شركة آيلكا"/>
      <sheetName val="سالم بغشان"/>
      <sheetName val="شركة فاست"/>
      <sheetName val="ARAIL CONSTRUCTION"/>
      <sheetName val="شركة سفاري"/>
      <sheetName val="الأسطول الآلي"/>
      <sheetName val="شركة طويق"/>
      <sheetName val="مؤسسة ألوان الشموس"/>
      <sheetName val="مقدم بيع سيارات "/>
      <sheetName val="ذمم الموظفين"/>
      <sheetName val="تمويلات البنك العربي"/>
      <sheetName val="الإعتمادات المفتوجة"/>
      <sheetName val="أصول الإدارة"/>
      <sheetName val="مشروعات تحت التنفيذ"/>
      <sheetName val="تحليل مصاريف الفلاتر"/>
      <sheetName val="متنوع"/>
      <sheetName val="البيانات الجمركية"/>
      <sheetName val="شركة الحدادة"/>
      <sheetName val="المشتريات الخارجية"/>
      <sheetName val="الحسابات2017"/>
    </sheetNames>
    <sheetDataSet>
      <sheetData sheetId="0"/>
      <sheetData sheetId="1"/>
      <sheetData sheetId="2"/>
      <sheetData sheetId="3"/>
      <sheetData sheetId="4">
        <row r="45">
          <cell r="B45">
            <v>38395565.479999997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ليل الحسابات"/>
      <sheetName val="مصاريف البيع"/>
      <sheetName val="تفاصيل الحسابات "/>
      <sheetName val="قيود اليومية"/>
      <sheetName val="ميزان المراجعة"/>
      <sheetName val="المبيعات(قطع غيار)"/>
      <sheetName val="مبيعات الكفرات"/>
      <sheetName val="مبيعات الزيوت"/>
      <sheetName val="مبيعات البطاريات"/>
      <sheetName val="تتبع المركبات VTM"/>
      <sheetName val="مبيعات المكانس"/>
      <sheetName val="إيجار المعدات"/>
      <sheetName val="الدليل بالأرقام"/>
      <sheetName val="مبيعات قطع غيار المكانس"/>
      <sheetName val="صيانة المكانس"/>
      <sheetName val="مبيعات الفلاتر"/>
      <sheetName val="تقرير مبيعات الفلاتر"/>
      <sheetName val="الصندوق"/>
      <sheetName val="البنك العربي"/>
      <sheetName val="بنك الرياض"/>
      <sheetName val="البنك السعودي الهولندي"/>
      <sheetName val="بنك الأنماء"/>
      <sheetName val="مصرف الراجحي"/>
      <sheetName val="شركة الأواني التجارية"/>
      <sheetName val="دار الكساب"/>
      <sheetName val="مؤسسة عبدالله الزهير"/>
      <sheetName val="العقيل للفلاتر"/>
      <sheetName val="المطلق للفلاتر"/>
      <sheetName val="سيد باوزير"/>
      <sheetName val="أبوزياب خميس مشيط"/>
      <sheetName val="محلات محمد الشاعر"/>
      <sheetName val="مؤسسة الصغير التجارية المدينة ا"/>
      <sheetName val="النور للتجارة"/>
      <sheetName val="مؤسسة الصغير للتجارة فرع ينبع"/>
      <sheetName val="مؤسسة الصغير للتجارة فرع الرياض"/>
      <sheetName val="الساهلي للفلاتر"/>
      <sheetName val="مؤسسة بيت بلقيس"/>
      <sheetName val="مؤسسة الهيفاني التجارية"/>
      <sheetName val="مؤسسة تركي بن مقرن"/>
      <sheetName val="الاهتمام بالتقنية للتجارة"/>
      <sheetName val="الوطن للهيدروليك"/>
      <sheetName val="مركز حائل للهيدروليك"/>
      <sheetName val="مؤسسة السعادة الحقيقية"/>
      <sheetName val="أبو رامز ببريدة"/>
      <sheetName val="مؤسسة أحمد سعد العتيبي للتجارة"/>
      <sheetName val="مؤسسة محمد مفرح العتيبي"/>
      <sheetName val="مؤسسة مكانة للتجارة"/>
      <sheetName val="شركة جاسورا العربية للتجارة"/>
      <sheetName val="مؤسسة صالح البغشان للتجارة"/>
      <sheetName val="شركة الروسان"/>
      <sheetName val="مؤسسة تطوير المروان للتجارة"/>
      <sheetName val="مؤسسة العجلات للتجارة"/>
      <sheetName val="مؤسسة الرشيد"/>
      <sheetName val="مركز عبدالله للهيدروليك"/>
      <sheetName val="عالم الفلاتر للتجارة "/>
      <sheetName val="مؤسسة أحمد للتجارة "/>
      <sheetName val="القربان للهيدروليك"/>
      <sheetName val="الصغير فرع الدمام"/>
      <sheetName val="المشيلي"/>
      <sheetName val="الوهابي للتجارة "/>
      <sheetName val="مؤسسة أعمال الارياف للتجارة "/>
      <sheetName val="شكيل"/>
      <sheetName val="عماد الشاير"/>
      <sheetName val="مؤسسة الأنصاري"/>
      <sheetName val="مؤسسة بن هاشم "/>
      <sheetName val="مؤسسة يحيي أحمد رقواني"/>
      <sheetName val="قباء للمعدات الثقيلة "/>
      <sheetName val="الصغير للتجارة فرع الجبيل "/>
      <sheetName val="فيصل للهيدروليك"/>
      <sheetName val="conseco"/>
      <sheetName val="مؤسسة الوسام"/>
      <sheetName val="مؤسسة طيف الله العجمي"/>
      <sheetName val="I.F.C"/>
      <sheetName val="TWC ARABIA"/>
      <sheetName val="ماجد للهيدروليك"/>
      <sheetName val="SUPPORT"/>
      <sheetName val="LAMSATH"/>
      <sheetName val="الرسام"/>
      <sheetName val="خالد المنيف"/>
      <sheetName val="معرض الخليج"/>
      <sheetName val="ALI TALEB"/>
      <sheetName val="أبيار القصيم"/>
      <sheetName val="الصبياني"/>
      <sheetName val="SHAMS BLOCK"/>
      <sheetName val="تركي للمقاولات"/>
      <sheetName val="مؤسسة الأكتساب"/>
      <sheetName val="مؤسسة الرائد"/>
      <sheetName val="مغربان للفلاتر"/>
      <sheetName val="فهد دهيم "/>
      <sheetName val="الترسيب"/>
      <sheetName val="المثالية العالمية "/>
      <sheetName val="شامل لقطع الغيار"/>
      <sheetName val="العيد للمعدات الثقيلة "/>
      <sheetName val="k.e al johani est"/>
      <sheetName val="الرياض لقطع الغيار"/>
      <sheetName val="السلطة الكبيرة"/>
      <sheetName val="فهيد الصقور"/>
      <sheetName val="باكارموم"/>
      <sheetName val="الخليج للتصدير"/>
      <sheetName val="الجهيني"/>
      <sheetName val="عالم قطع غيار الديزل"/>
      <sheetName val="العرب للديزل"/>
      <sheetName val="عبدالله ناصر"/>
      <sheetName val="السوهال للتجارة"/>
      <sheetName val="سلمان إشفاق"/>
      <sheetName val="مؤسسة الثقة الكاملة"/>
      <sheetName val="المولاوي"/>
      <sheetName val="I.P.C"/>
      <sheetName val="مركز جدة لقطع الغيار"/>
      <sheetName val="شركة أمداد"/>
      <sheetName val="التويجري للهيدرولبك"/>
      <sheetName val="التويجري "/>
      <sheetName val="عبدالله المغربي"/>
      <sheetName val="الفلاح"/>
      <sheetName val="الزروي"/>
      <sheetName val="ASIAN TAJ"/>
      <sheetName val="محمد عبدالرحمن الطريف"/>
      <sheetName val="الإنصاف للهيدروليك"/>
      <sheetName val="جلموج"/>
      <sheetName val="زوالفقار للتجارة "/>
      <sheetName val="عبدالله ناصر للتجارة "/>
      <sheetName val="سعد الحارثي للتجارة "/>
      <sheetName val="HASAN EBRAHIM AL MAKHAWY "/>
      <sheetName val="ALTAHNOON TRD "/>
      <sheetName val="حمود"/>
      <sheetName val="مؤسسة صالح حسين"/>
      <sheetName val="سعودي للهيدروليك"/>
      <sheetName val="أبوزياب"/>
      <sheetName val="yellow partes "/>
      <sheetName val="HYDROGEN TRADING "/>
      <sheetName val="الشزلي"/>
      <sheetName val="الفاني لقطع الغيار "/>
      <sheetName val="قرية الطاقة"/>
      <sheetName val="دنيا الرمان"/>
      <sheetName val="مؤسسة الجليفي"/>
      <sheetName val="سعيد بازاهير"/>
      <sheetName val="الفهاد سنتر"/>
      <sheetName val="ورشة البراق"/>
      <sheetName val="مؤسسة النهضة"/>
      <sheetName val="al soghoo"/>
      <sheetName val="مؤسسة ركن الجنوب"/>
      <sheetName val="مؤسسة أبراهيم للتجارة "/>
      <sheetName val="التهامي"/>
      <sheetName val="أحمد النجيب"/>
      <sheetName val="ALMESFER ATORE "/>
      <sheetName val="ابراهيم عبدالله "/>
      <sheetName val="صقور الوادي"/>
      <sheetName val="الحواس"/>
      <sheetName val="سعيد محمد مرزوق "/>
      <sheetName val="مرسيدس سنتر"/>
      <sheetName val="مؤسسة طارق فهد المعجل"/>
      <sheetName val="MAJDAL EST"/>
      <sheetName val="شبة الجزيرة"/>
      <sheetName val="بن جلبان"/>
      <sheetName val="EASTERN MOUNTAIN TRD.EST"/>
      <sheetName val="globe marine"/>
      <sheetName val="AL SAMED"/>
      <sheetName val="صقور الروابي"/>
      <sheetName val="نبعت الريحان للتجارة"/>
      <sheetName val="ورشة طريق"/>
      <sheetName val="EAGLE TOWER"/>
      <sheetName val="مركز الخدمات"/>
      <sheetName val="abu hani"/>
      <sheetName val="العيسا"/>
      <sheetName val="JEEDAH PARTS"/>
      <sheetName val="ITLAL AL SHARQ "/>
      <sheetName val="GLOBAL HEAVY "/>
      <sheetName val="مؤسسة نجيب"/>
      <sheetName val="عبيد الشمري"/>
      <sheetName val="شركة العويضة"/>
      <sheetName val="AL SIYAL "/>
      <sheetName val="AL SALMIA EST "/>
      <sheetName val="الهيدرس"/>
      <sheetName val="بن همام"/>
      <sheetName val="al julaify"/>
      <sheetName val="ground sound "/>
      <sheetName val="FILTER EXPERT EST"/>
      <sheetName val="المزيد للقطع الثقيلة "/>
      <sheetName val="FILA CENTER"/>
      <sheetName val="AL SARWAT"/>
      <sheetName val="AL WASEEL TRD"/>
      <sheetName val="دار الغايا"/>
      <sheetName val="AL JIDANY"/>
      <sheetName val="فلاح الشمري"/>
      <sheetName val="خالد الزهراني"/>
      <sheetName val="AL DKHINI TRD"/>
      <sheetName val="GULF TRD"/>
      <sheetName val="العجمي لقطع الغيار "/>
      <sheetName val="مؤسسة المحميد للتجارة"/>
      <sheetName val="أمانات لقطع الغيار"/>
      <sheetName val="الأنفال"/>
      <sheetName val="خالد إبراهيم"/>
      <sheetName val="مؤسسة التامر"/>
      <sheetName val="SAHILE FILTER"/>
      <sheetName val="خبراء الفلاتر"/>
      <sheetName val="AL SAIRI"/>
      <sheetName val="AL GOOD UNITED"/>
      <sheetName val="أحمد للهيدروليك"/>
      <sheetName val="القفاري للهيدروليك"/>
      <sheetName val="AL NAZAL BEARINDA"/>
      <sheetName val="الشمري للتجارة"/>
      <sheetName val="AL DAGHRERY"/>
      <sheetName val="الرفيع"/>
      <sheetName val="AL ZAWI"/>
      <sheetName val="AL AWLAQI"/>
      <sheetName val="أسيا للتجارة"/>
      <sheetName val="الحماد"/>
      <sheetName val="AL DARWI HYD"/>
      <sheetName val="صقور الشرورا"/>
      <sheetName val="SPORT PARTS"/>
      <sheetName val="SALAH MAKKAH"/>
      <sheetName val="عالم عزان للتجارة"/>
      <sheetName val="AL MENHALI"/>
      <sheetName val="افهاد صقور"/>
      <sheetName val="مركز عصام"/>
      <sheetName val="واحة الوادي"/>
      <sheetName val="محمد الراجح"/>
      <sheetName val="يعقوب الميمني"/>
      <sheetName val="SONDOS"/>
      <sheetName val="القصير"/>
      <sheetName val="مركز المعدات الصناعية"/>
      <sheetName val="UMER AL AHMADI EST"/>
      <sheetName val="دونجو الكورية"/>
      <sheetName val="ALAM AZAN"/>
      <sheetName val="JAMEEL ENTERPRISES"/>
      <sheetName val="الشجيران"/>
      <sheetName val="سرايا الجزيرة"/>
      <sheetName val="C.P.C"/>
      <sheetName val="ياسر عبدالعال"/>
      <sheetName val="خبراء الديزل"/>
      <sheetName val="WAFAQ"/>
      <sheetName val="السوكير"/>
      <sheetName val="قحطاني"/>
      <sheetName val="TRUSTED SOURCE"/>
      <sheetName val="سعود فلتر"/>
      <sheetName val="مؤسسة السلطان"/>
      <sheetName val="القواه الخضراء "/>
      <sheetName val="al jalwi"/>
      <sheetName val="رواد الفلاتر"/>
      <sheetName val="al saqoor"/>
      <sheetName val="المسار"/>
      <sheetName val="بوازير"/>
      <sheetName val="عجيل الصبر"/>
      <sheetName val="فيراس"/>
      <sheetName val="شاكر"/>
      <sheetName val="رواد القطع"/>
      <sheetName val="خبراء المعدات"/>
      <sheetName val="الهوشان"/>
      <sheetName val="المقهوي التجارية"/>
      <sheetName val="المزعل"/>
      <sheetName val="البيان"/>
      <sheetName val="دريل تك لقطع الغيار"/>
      <sheetName val="القسي"/>
      <sheetName val="عبدالله خالد"/>
      <sheetName val="الثقه التامة"/>
      <sheetName val="الراقي"/>
      <sheetName val="مؤسسة الرفاد"/>
      <sheetName val="مؤسسة مشاتل العاصمة"/>
      <sheetName val="RADEEF AL HAMOOD"/>
      <sheetName val="شركة بيشة"/>
      <sheetName val="نور المدينة"/>
      <sheetName val="أمين"/>
      <sheetName val="عامر "/>
      <sheetName val="شركة جمجوم"/>
      <sheetName val="مؤسسة محمد الظافر"/>
      <sheetName val="شركة ماثيو الفرنسية"/>
      <sheetName val="شركة نتلوج للشحن"/>
      <sheetName val="شركة إسكارب"/>
      <sheetName val="ماسكات التركية أوراتشي"/>
      <sheetName val="بروسري لكلر الفرنسية "/>
      <sheetName val="شافي القحطاني للتخليص الجمركي"/>
      <sheetName val="شركة الخضري دائن"/>
      <sheetName val="دائنون متنوعون"/>
      <sheetName val="سرايا الجزيرةمعدات"/>
      <sheetName val="المجال العربي"/>
      <sheetName val="مدينون متنوعون"/>
      <sheetName val="شركة مشاتل العاصمة"/>
      <sheetName val="شركة زهران"/>
      <sheetName val="مصنع أسكارب"/>
      <sheetName val="شركة آيلكا"/>
      <sheetName val="سالم بغشان"/>
      <sheetName val="شركة فاست"/>
      <sheetName val="شركة سفاري"/>
      <sheetName val="الأسطول الآلي"/>
      <sheetName val="شركة طويق"/>
      <sheetName val="مؤسسة ألوان الشموس"/>
      <sheetName val="مقدم بيع سيارات "/>
      <sheetName val="ذمم الموظفين"/>
      <sheetName val="تمويلات البنك العربي"/>
      <sheetName val="الإعتمادات المفتوجة"/>
      <sheetName val="أصول الإدارة"/>
      <sheetName val="مشروعات تحت التنفيذ"/>
      <sheetName val="تحليل مصاريف الفلاتر"/>
      <sheetName val="متنوع"/>
      <sheetName val="تسوية فواتير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07AMED MAHDI" refreshedDate="43572.685516666665" createdVersion="6" refreshedVersion="6" minRefreshableVersion="3" recordCount="462" xr:uid="{BEF4EE5D-EBAA-441F-9715-2E8A85B4D9DF}">
  <cacheSource type="worksheet">
    <worksheetSource name="Table5101345411"/>
  </cacheSource>
  <cacheFields count="45">
    <cacheField name="م" numFmtId="1">
      <sharedItems containsMixedTypes="1" containsNumber="1" containsInteger="1" minValue="1" maxValue="461"/>
    </cacheField>
    <cacheField name="الأصل" numFmtId="0">
      <sharedItems containsBlank="1"/>
    </cacheField>
    <cacheField name="المالك" numFmtId="164">
      <sharedItems containsBlank="1" count="8">
        <s v="مؤسسة الرسين للصيانة"/>
        <s v="شركة الفهاد"/>
        <s v="شركة الفهاد "/>
        <s v="شركة الرسين للصيانة "/>
        <s v="مؤسسة ألوان الشموس "/>
        <s v="شركة الفهاد - الرسين"/>
        <s v="مؤسسة الرفاد"/>
        <m/>
      </sharedItems>
    </cacheField>
    <cacheField name="مجموعة الاصول" numFmtId="164">
      <sharedItems containsBlank="1" count="18">
        <s v="أثاث و مفروشات"/>
        <s v="الحاويات"/>
        <s v="مكابس أرضية"/>
        <s v="أجهزة حاسب و الكترونيات"/>
        <s v="سيارات الركوب"/>
        <s v="سيارات التشغيل"/>
        <s v="أراضي"/>
        <s v="معدات ثقيلة"/>
        <s v="عدد و أدوات ميكانيكية"/>
        <s v="المباني"/>
        <m/>
        <s v="حاويات الأنقاض" u="1"/>
        <s v="اثاثات مكتبية" u="1"/>
        <s v="اثاثات سكنية" u="1"/>
        <s v="بيوت جاهزة" u="1"/>
        <s v="غير محدد" u="1"/>
        <s v="الحاويات " u="1"/>
        <s v="حاويات النفايات" u="1"/>
      </sharedItems>
    </cacheField>
    <cacheField name="الرئيسية" numFmtId="164">
      <sharedItems containsBlank="1" count="71">
        <s v="أثاثات مكتبية"/>
        <s v="Containers 02 Yrds"/>
        <s v="محول مكبس نفايات أرضي"/>
        <s v="طابعات"/>
        <s v="هيونداي أكسنت "/>
        <s v="ضاغط 22 ياردة"/>
        <s v="سيارات التشغيل"/>
        <s v="أثاثات سكنية"/>
        <s v="أجهزة مراقبة"/>
        <s v="ضاغط ميتسوبيشي"/>
        <s v="ونش"/>
        <s v="بيك أب غمارة"/>
        <s v="Containers 04 Yrds"/>
        <s v="Containers 06 Yrds"/>
        <s v="مكبس نفايات أرضي  الساطعة"/>
        <s v=" روول أون روول أوف "/>
        <s v="وايت مياه"/>
        <s v="بيك أب غمارتين"/>
        <s v="مكبس نفايات أرضي  سابتك"/>
        <s v="مكبس نفايات أرضي تصنيع المعادن"/>
        <s v="Containers 30 Yrds"/>
        <s v="نيسان إكستيرا"/>
        <m/>
        <s v="شيفورولية تاهو"/>
        <s v="شفورولية كابريس"/>
        <s v="تويوتا فورتشنر"/>
        <s v="وايت مياه "/>
        <s v="ضاغط 07 ياردة "/>
        <s v="أجهزة حاسب محمولة"/>
        <s v="شرائح تتبع"/>
        <s v="لوود لوجر"/>
        <s v="Containers 20 Yrds"/>
        <s v="Containers 10 Yrds"/>
        <s v="شيفورولية كابريس"/>
        <s v="Land"/>
        <s v="ضاغط 32 ياردة"/>
        <s v="هيونداي توسان"/>
        <s v="Containers 240 Liter"/>
        <s v="عدد و أدوات ميكانيكية"/>
        <s v="بيوت جاهزة"/>
        <s v="أجهزة حاسب مكتبية"/>
        <s v="جوالات"/>
        <s v="Containers 12 Yrds"/>
        <s v="أجهزة تتبع"/>
        <s v="شاشات حاسب "/>
        <s v="شاشات تلفزيون"/>
        <s v="Buildings"/>
        <s v="ضاغط ميتسوبيشي 32 ياردة  ب.ح.ر 8874" u="1"/>
        <s v="مكبس نفايات أرضي" u="1"/>
        <s v="سيارات الركوب" u="1"/>
        <s v="ضاغط ميتسوبيشي 22 ياردة  أ.ن.أ  7095" u="1"/>
        <s v="ضاغط هينو 22 ياردة   ب.ح.ك  6843" u="1"/>
        <s v="غير محدد" u="1"/>
        <s v="ضاغط هينو 22 ياردة  ب.ح.ك 6835" u="1"/>
        <s v="ضاغط ميتسوبيشي 32 ياردة  ب.ح.ر 8872" u="1"/>
        <s v="ضاغط هينو  22 ياردة  ب.ح.ك  6838" u="1"/>
        <s v="ضاغط هينو 22 ياردة  ب.ح.ك 6836" u="1"/>
        <s v="ضاغط إيسوزو 22 ياردة  ب.د.ط  7600" u="1"/>
        <s v="ضاغط هينو 22 ياردة  ب.ح.ك 6837" u="1"/>
        <s v="طابعات " u="1"/>
        <s v="ضاغط ميتسوبيشي 22 ياردة  ب.أ.ص 3889" u="1"/>
        <s v="مكابس " u="1"/>
        <s v="ضاغط هينو 22 ياردة  ب.ح.ك  6840" u="1"/>
        <s v="غمارتين" u="1"/>
        <s v="حاويات النفايات " u="1"/>
        <s v="ضاغط إيسوزو 07 ياردة  أ.م.د  2439" u="1"/>
        <s v="ضاغط ميتسوبيشي 22 ياردة  أ.ن.أ  7110" u="1"/>
        <s v=" ميتسوبيشي روول أون روول أوف " u="1"/>
        <s v="أجهزة حاسب والكترونيات" u="1"/>
        <s v="ضاغط هينو 22 ياردة  ب.ح.ك  6842" u="1"/>
        <s v="ضاغط ميتسوبيشي 22 ياردة  ب.أ.ص 5959" u="1"/>
      </sharedItems>
    </cacheField>
    <cacheField name="الفرعي" numFmtId="164">
      <sharedItems containsDate="1" containsBlank="1" containsMixedTypes="1" minDate="1899-12-30T00:00:00" maxDate="1899-12-31T00:00:00" count="150">
        <s v="أثاثات مكتبية"/>
        <s v="Containers 02 Yrds"/>
        <s v="محول مكبس نفايات أرضي"/>
        <s v="طابعات"/>
        <s v="هيونداي أكسنت     2016    د.أ.ق    9788"/>
        <s v="ضاغط هينو 22 ياردة  ب.ح.ك 6835"/>
        <s v="ضاغط هينو 22 ياردة  ب.ح.ك 6836"/>
        <s v="ضاغط هينو  22 ياردة  ب.ح.ك  6838"/>
        <s v="ضاغط هينو 22 ياردة  ب.ح.ك  6840"/>
        <s v="ضاغط هينو 22 ياردة  ب.ح.ك  6842"/>
        <s v="ضاغط هينو 22 ياردة   ب.ح.ك  6843"/>
        <s v="ضاغط هينو 22 ياردة  ب.ح.ك 6837"/>
        <s v="سيارات التشغيل"/>
        <s v="ضاغط هينو 22 ياردة  ب.ح.ك  6843"/>
        <s v="أثاثات سكنية"/>
        <s v="أجهزة مراقبة"/>
        <s v="هيونداي أكسنت     2016    ح.ي.ق    8469"/>
        <s v="هيونداي أكسنت     2016    ح.ي.ق    8467"/>
        <s v="هيونداي أكسنت     2016    ح.ي.ق    8468"/>
        <s v="هيونداي أكسنت     2016    ح.ي.ق    8470"/>
        <s v="ضاغط ميتسوبيشي"/>
        <s v="ضاغط ميتسوبيشي 22 ياردة  أ.ن.أ  7095"/>
        <s v="ونش  2008   إيسوزو   8277 "/>
        <s v="ضاغط ميتسوبيشي 22 ياردة  أ.ن.أ  7110"/>
        <s v="بيك أب غمارة   2011        أ.ن.ب    4069"/>
        <s v="بيك أب غمارة   2008        أ.ع.س    4986"/>
        <s v="Containers 04 Yrds"/>
        <s v="Containers 06 Yrds"/>
        <s v="مكبس نفايات أرضي رمادي  001/034"/>
        <s v=" ميتسوبيشي روول أون روول أوف   ب.أ.ص  3453"/>
        <s v="وايت مياه    2008  إنترناشونال    1215"/>
        <s v="بيك أب غمارتين         أ.ن.م    7174"/>
        <s v="مكبس نفايات أرضي رمادي  002/034"/>
        <s v="مكبس نفايات أرضي رمادي  003/034"/>
        <s v="مكبس نفايات أرضي رمادي  004/034"/>
        <s v="مكبس نفايات أرضي    SA001"/>
        <s v="مكبس نفايات أرضي    SA002"/>
        <s v="مكبس نفايات أرضي رمادي  005/034"/>
        <s v="مكبس نفايات أرضي رمادي  006/034"/>
        <s v="مكبس نفايات أرضي رمادي  007/034"/>
        <s v="مكبس نفايات أرضي رمادي  008/034"/>
        <s v="مكبس نفايات أرضي رمادي  009/034"/>
        <s v="مكبس نفايات أرضي رمادي  010/034"/>
        <s v="مكبس نفايات أرضي رمادي  011/034"/>
        <s v="مكبس نفايات أرضي رمادي  012/034"/>
        <s v="مكبس نفايات أرضي رمادي  013/034"/>
        <s v="مكبس نفايات أرضي رمادي  014/034"/>
        <s v="مكبس نفايات أرضي رمادي   MT001"/>
        <s v="مكبس نفايات أرضي رمادي   MT002"/>
        <s v="مكبس نفايات أرضي رمادي   MT003"/>
        <s v="مكبس نفايات أرضي رمادي  015/034"/>
        <s v="مكبس نفايات أرضي رمادي  016/034"/>
        <s v="مكبس نفايات أرضي رمادي  017/034"/>
        <s v=" ميتسوبيشي روول أون روول أوف   ب.ب.ن  6797"/>
        <s v=" ميتسوبيشي روول أون روول أوف   ب.ب.ن  6796"/>
        <s v="Containers 30 Yrds"/>
        <s v="نيسان إكستيرا    2012    ب.س.ه   6869"/>
        <s v="هيونداي أكسنت    2016    ح.ب.د    4859"/>
        <d v="1899-12-30T00:00:00"/>
        <s v="ونش  2012   هينو   أ.م.د     9306 "/>
        <s v="ضاغط ميتسوبيشي 22 ياردة  ب.أ.ص 3889"/>
        <s v="ضاغط ميتسوبيشي 22 ياردة  ب.أ.ص 5959"/>
        <s v="بيك أب غمارتين                    6416"/>
        <s v="شيفورولية تاهو    2015    ح.ل.أ    9685"/>
        <s v="شفورولية كابريس        أ.ي.س    7915"/>
        <s v="     ميتسوبيشي روول أون روول أوف   أ.ي.ه  6239"/>
        <s v="  ميتسوبيشي روول أون روول أوف   أ.ي.ه   6177 "/>
        <s v=" ميتسوبيشي روول أون روول أوف   أ.ي.ه.  6180"/>
        <s v=" ميتسوبيشي روول أون روول أوف   أ.م.م.  5755"/>
        <s v=" ميتسوبيشي روول أون روول أوف   أ.م.م.  5751"/>
        <s v=" ميتسوبيشي روول أون روول أوف   أ.م.م.  5754"/>
        <s v=" ميتسوبيشي روول أون روول أوف   أ.ن.أ.  7083"/>
        <s v=" ميتسوبيشي روول أون روول أوف          5773"/>
        <s v=" ميتسوبيشي روول أون روول أوف "/>
        <s v="سيارات الركوب"/>
        <s v="تويوتا فورتشنر    2011    ب.س.ن    4643"/>
        <s v=" ميتسوبيشي روول أون روول أوف   .  3454"/>
        <s v="ضاغط إيسوزو 07 ياردة  أ.م.د  2439"/>
        <s v="ضاغط إيسوزو 22 ياردة  ب.د.ط  7600"/>
        <s v="أجهزة حاسب محمولة"/>
        <s v="شرائح تتبع"/>
        <s v="مكبس نفايات أرضي رمادي  018/034"/>
        <s v="مكبس نفايات أرضي رمادي  019/034"/>
        <s v="مكبس نفايات أرضي رمادي  020/034"/>
        <s v="مكبس نفايات أرضي رمادي  021/034"/>
        <s v="مكبس نفايات أرضي رمادي  022/034"/>
        <s v="مكبس نفايات أرضي رمادي  023/034"/>
        <s v="مكبس نفايات أرضي رمادي  024/034"/>
        <s v="مكبس نفايات أرضي رمادي  025/034"/>
        <s v="مكبس نفايات أرضي رمادي  026/034"/>
        <s v="مكبس نفايات أرضي رمادي  027/034"/>
        <s v="مكبس نفايات أرضي رمادي  028/034"/>
        <s v="مكبس نفايات أرضي رمادي  029/034"/>
        <s v="لوود لوجر  2012  إيسوزو   أ.م.أ    1930"/>
        <s v="لوود لوجر  2012  إيسوزو                 4454"/>
        <s v="لوود لوجر  2007  ميتسوبيشي   أ.ح.و    1992"/>
        <s v="Containers 20 Yrds"/>
        <s v="Containers 10 Yrds"/>
        <s v="مكبس نفايات أرضي رمادي  030/034"/>
        <s v="مكبس نفايات أرضي    SA003"/>
        <s v="Land"/>
        <s v="ضاغط ميتسوبيشي 32 ياردة  ب.ح.ر 8872"/>
        <s v="ضاغط ميتسوبيشي 32 ياردة  ب.ح.ر 8874"/>
        <s v="هيونداي أكسنت     2016    د.ب.ن    8432"/>
        <s v="هيونداي أكسنت     2016    د.ب.ن    8433"/>
        <s v="هيونداي أكسنت     2016    د.ب.ن    8434"/>
        <s v="هيونداي أكسنت     2016    د.ب.ن    8436"/>
        <s v="هيونداي توسان   2016    د.ب.ن    8437"/>
        <s v="Containers 240 Liter"/>
        <s v="عدد و أدوات ميكانيكية"/>
        <s v="بيوت جاهزة"/>
        <s v="أجهزة حاسب مكتبية"/>
        <s v="جوالات"/>
        <s v="Containers 12 Yrds"/>
        <s v=" ميتسوبيشي روول أون روول أوف   .  7109"/>
        <s v="أجهزة تتبع"/>
        <s v="هيونداي أكسنت     2018    د.ص.ق    4369"/>
        <s v="هيونداي أكسنت     2018    د.ص.ق    4360"/>
        <s v="هيونداي أكسنت     2018    د.ص.ق    4361"/>
        <s v="هيونداي أكسنت     2018    د.ص.ق    4362"/>
        <s v="هيونداي أكسنت     2018    د.ص.ق    4363"/>
        <s v="هيونداي أكسنت    2018    د.ص.ق    4364"/>
        <s v="هيونداي أكسنت    2018    د.ص.ق    4365"/>
        <s v="هيونداي أكسنت    2018    د.ص.ق    4366"/>
        <s v="هيونداي أكسنت    2018    د.ص.ق    4367"/>
        <s v="هيونداي أكسنت    2018    د.ص.ق    4368"/>
        <s v="مكبس نفايات أرضي    SA004"/>
        <s v="مكبس نفايات أرضي    SA005"/>
        <s v="مكبس نفايات أرضي    SA006"/>
        <s v="مكبس نفايات أرضي    SA007"/>
        <s v="مكبس نفايات أرضي    SA008"/>
        <s v="مكبس نفايات أرضي    SA009"/>
        <s v="مكبس نفايات أرضي    SA010"/>
        <s v="مكبس نفايات أرضي    SA011"/>
        <s v="مكبس نفايات أرضي    SA012"/>
        <s v="مكبس نفايات أرضي    SA013"/>
        <s v="مكبس نفايات أرضي    SA014"/>
        <s v="مكبس نفايات أرضي    SA015"/>
        <s v="مكبس نفايات أرضي    SA016"/>
        <s v="مكبس نفايات أرضي    SA017"/>
        <s v="مكبس نفايات أرضي    SA018"/>
        <s v="شاشات حاسب "/>
        <s v="شاشات تلفزيون"/>
        <s v="Buildings"/>
        <m/>
        <s v="تويوتا فورتشنر" u="1"/>
        <s v="مكبس نفايات أرضي" u="1"/>
        <s v="مكابس " u="1"/>
        <s v="شفورولية كابريس" u="1"/>
        <s v="هيونداي أكسنت " u="1"/>
      </sharedItems>
    </cacheField>
    <cacheField name="الكود" numFmtId="164">
      <sharedItems containsBlank="1"/>
    </cacheField>
    <cacheField name="المشروع" numFmtId="164">
      <sharedItems containsBlank="1" count="12">
        <s v="الرياض"/>
        <s v="جازان"/>
        <m/>
        <s v="المدينة"/>
        <s v="الأحساء"/>
        <s v="إدارية"/>
        <s v="جده"/>
        <s v="عنيزة"/>
        <s v="حائل"/>
        <s v="ينبع"/>
        <s v="القصيم"/>
        <s v="الإدارة "/>
      </sharedItems>
    </cacheField>
    <cacheField name="القطاع" numFmtId="164">
      <sharedItems containsBlank="1"/>
    </cacheField>
    <cacheField name="الإدارة" numFmtId="164">
      <sharedItems containsBlank="1"/>
    </cacheField>
    <cacheField name="المستخدم" numFmtId="164">
      <sharedItems containsBlank="1"/>
    </cacheField>
    <cacheField name="plate" numFmtId="0">
      <sharedItems containsBlank="1" containsMixedTypes="1" containsNumber="1" containsInteger="1" minValue="1764" maxValue="8876"/>
    </cacheField>
    <cacheField name="تاريخ الشراء-الاستلام" numFmtId="0">
      <sharedItems containsNonDate="0" containsDate="1" containsString="0" containsBlank="1" minDate="2006-01-01T00:00:00" maxDate="2019-01-02T00:00:00"/>
    </cacheField>
    <cacheField name="المورد" numFmtId="0">
      <sharedItems containsBlank="1"/>
    </cacheField>
    <cacheField name="قيد الاثبات" numFmtId="49">
      <sharedItems containsBlank="1"/>
    </cacheField>
    <cacheField name="الكمية" numFmtId="1">
      <sharedItems containsString="0" containsBlank="1" containsNumber="1" containsInteger="1" minValue="1" maxValue="260"/>
    </cacheField>
    <cacheField name="رقم الفاتورة" numFmtId="0">
      <sharedItems containsBlank="1" containsMixedTypes="1" containsNumber="1" containsInteger="1" minValue="1942" maxValue="27363"/>
    </cacheField>
    <cacheField name="سعر/الحبة" numFmtId="167">
      <sharedItems containsString="0" containsBlank="1" containsNumber="1" minValue="0" maxValue="11460000"/>
    </cacheField>
    <cacheField name="الإجمالي" numFmtId="167">
      <sharedItems containsSemiMixedTypes="0" containsString="0" containsNumber="1" minValue="0" maxValue="11460000"/>
    </cacheField>
    <cacheField name="مجمع الاهلاك _x000a_في 01-01-2018" numFmtId="167">
      <sharedItems containsString="0" containsBlank="1" containsNumber="1" minValue="0" maxValue="1017000"/>
    </cacheField>
    <cacheField name="القيمة الدفترية _x000a_في 01-01-2018" numFmtId="167">
      <sharedItems containsMixedTypes="1" containsNumber="1" minValue="0" maxValue="11460000"/>
    </cacheField>
    <cacheField name="عدد الإضافات" numFmtId="0">
      <sharedItems containsString="0" containsBlank="1" containsNumber="1" containsInteger="1" minValue="1" maxValue="250"/>
    </cacheField>
    <cacheField name="الفاتورة للإضافة" numFmtId="0">
      <sharedItems containsBlank="1" containsMixedTypes="1" containsNumber="1" containsInteger="1" minValue="17" maxValue="6201664"/>
    </cacheField>
    <cacheField name="سعر الحبة المضافة" numFmtId="167">
      <sharedItems containsString="0" containsBlank="1" containsNumber="1" minValue="126" maxValue="322000"/>
    </cacheField>
    <cacheField name="إجمالي الإضافات" numFmtId="167">
      <sharedItems containsSemiMixedTypes="0" containsString="0" containsNumber="1" minValue="0" maxValue="1288000"/>
    </cacheField>
    <cacheField name="رقم القيد" numFmtId="49">
      <sharedItems containsBlank="1"/>
    </cacheField>
    <cacheField name="التاريخ" numFmtId="168">
      <sharedItems containsNonDate="0" containsDate="1" containsString="0" containsBlank="1" minDate="2018-01-01T00:00:00" maxDate="2019-01-01T00:00:00"/>
    </cacheField>
    <cacheField name="العدد" numFmtId="167">
      <sharedItems containsString="0" containsBlank="1" containsNumber="1" containsInteger="1" minValue="0" maxValue="12"/>
    </cacheField>
    <cacheField name="عن طريق" numFmtId="167">
      <sharedItems containsBlank="1"/>
    </cacheField>
    <cacheField name="مبلغ البيع" numFmtId="167">
      <sharedItems containsString="0" containsBlank="1" containsNumber="1" minValue="1575" maxValue="50000"/>
    </cacheField>
    <cacheField name="قيمة الشراء" numFmtId="167">
      <sharedItems containsString="0" containsBlank="1" containsNumber="1" containsInteger="1" minValue="1375" maxValue="61000"/>
    </cacheField>
    <cacheField name="إجمالي المستبعد" numFmtId="167">
      <sharedItems containsSemiMixedTypes="0" containsString="0" containsNumber="1" containsInteger="1" minValue="0" maxValue="61000"/>
    </cacheField>
    <cacheField name="اهلاك المستبعد_x000a_في 2018" numFmtId="167">
      <sharedItems containsSemiMixedTypes="0" containsString="0" containsNumber="1" minValue="0" maxValue="378.59589041095893"/>
    </cacheField>
    <cacheField name="العدد2" numFmtId="167">
      <sharedItems containsSemiMixedTypes="0" containsString="0" containsNumber="1" containsInteger="1" minValue="0" maxValue="260"/>
    </cacheField>
    <cacheField name="الإجمالي الصافي" numFmtId="167">
      <sharedItems containsSemiMixedTypes="0" containsString="0" containsNumber="1" minValue="0" maxValue="11460000"/>
    </cacheField>
    <cacheField name="العمر الافتراضي" numFmtId="10">
      <sharedItems containsString="0" containsBlank="1" containsNumber="1" minValue="0" maxValue="0.2"/>
    </cacheField>
    <cacheField name="كود الاصل" numFmtId="164">
      <sharedItems containsNonDate="0" containsString="0" containsBlank="1"/>
    </cacheField>
    <cacheField name="حالة الاصل" numFmtId="164">
      <sharedItems containsBlank="1"/>
    </cacheField>
    <cacheField name="مصروف الاهلاك 2018" numFmtId="167">
      <sharedItems containsMixedTypes="1" containsNumber="1" minValue="0" maxValue="207000"/>
    </cacheField>
    <cacheField name="مجمع إهلاك المستبعد _x000a_01-01-2018" numFmtId="167">
      <sharedItems containsSemiMixedTypes="0" containsString="0" containsNumber="1" minValue="0" maxValue="12743.150684931499"/>
    </cacheField>
    <cacheField name="مجمع إهلاك المستبعد _x000a_بتاريخ الأستبعاد" numFmtId="167">
      <sharedItems containsSemiMixedTypes="0" containsString="0" containsNumber="1" minValue="0" maxValue="12743.150684931499"/>
    </cacheField>
    <cacheField name="الربح/الخسارة من الاستبعاد" numFmtId="167">
      <sharedItems containsSemiMixedTypes="0" containsString="0" containsNumber="1" minValue="-23743.150684931497" maxValue="2021.4041095890411"/>
    </cacheField>
    <cacheField name="رقم قيد الأهلاك" numFmtId="49">
      <sharedItems containsNonDate="0" containsString="0" containsBlank="1"/>
    </cacheField>
    <cacheField name="مجمع الاهلاك_x000a_في 31-12-2018" numFmtId="167">
      <sharedItems containsMixedTypes="1" containsNumber="1" minValue="0" maxValue="1017000"/>
    </cacheField>
    <cacheField name="القيمة الدفترية _x000a_في 31-12-2018" numFmtId="167">
      <sharedItems containsMixedTypes="1" containsNumber="1" minValue="0" maxValue="114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2">
  <r>
    <n v="1"/>
    <s v="خزنة"/>
    <x v="0"/>
    <x v="0"/>
    <x v="0"/>
    <x v="0"/>
    <m/>
    <x v="0"/>
    <s v="إدارية"/>
    <s v="الحسابات "/>
    <s v="محمد مهدي"/>
    <m/>
    <d v="2016-07-20T00:00:00"/>
    <m/>
    <m/>
    <n v="1"/>
    <n v="4232"/>
    <n v="1300"/>
    <n v="1300"/>
    <n v="282.61643835616439"/>
    <n v="1017.3835616438356"/>
    <m/>
    <m/>
    <m/>
    <n v="0"/>
    <m/>
    <m/>
    <m/>
    <m/>
    <m/>
    <m/>
    <n v="0"/>
    <n v="0"/>
    <n v="1"/>
    <n v="1300"/>
    <n v="0.125"/>
    <m/>
    <s v="في التشغيل"/>
    <n v="162.5"/>
    <n v="0"/>
    <n v="0"/>
    <n v="0"/>
    <m/>
    <n v="445.11643835616439"/>
    <n v="854.88356164383561"/>
  </r>
  <r>
    <n v="2"/>
    <s v="حاويات 02 ياردة"/>
    <x v="0"/>
    <x v="1"/>
    <x v="1"/>
    <x v="1"/>
    <m/>
    <x v="1"/>
    <m/>
    <s v="التشغيل"/>
    <m/>
    <m/>
    <d v="2016-11-21T00:00:00"/>
    <s v="مصنع الفهاد"/>
    <m/>
    <n v="150"/>
    <s v="10223-10228"/>
    <n v="700"/>
    <n v="105000"/>
    <n v="17476.027397260274"/>
    <n v="87523.972602739726"/>
    <m/>
    <m/>
    <m/>
    <n v="0"/>
    <m/>
    <m/>
    <m/>
    <m/>
    <m/>
    <m/>
    <n v="0"/>
    <n v="0"/>
    <n v="150"/>
    <n v="105000"/>
    <n v="0.125"/>
    <m/>
    <s v="في التشغيل"/>
    <n v="13125"/>
    <n v="0"/>
    <n v="0"/>
    <n v="0"/>
    <m/>
    <n v="30601.027397260274"/>
    <n v="74398.972602739726"/>
  </r>
  <r>
    <n v="3"/>
    <s v="محولات مكابس أرضية"/>
    <x v="0"/>
    <x v="2"/>
    <x v="2"/>
    <x v="2"/>
    <m/>
    <x v="0"/>
    <s v="أنقاض"/>
    <s v="التشغيل"/>
    <m/>
    <s v="مدارس الرواد"/>
    <d v="2016-12-07T00:00:00"/>
    <s v="مؤسسة الرمال "/>
    <s v="20-12-2016"/>
    <n v="1"/>
    <m/>
    <n v="971.25"/>
    <n v="971.25"/>
    <n v="207.02260273972601"/>
    <n v="764.22739726027396"/>
    <m/>
    <m/>
    <m/>
    <n v="0"/>
    <m/>
    <m/>
    <m/>
    <m/>
    <m/>
    <m/>
    <n v="0"/>
    <n v="0"/>
    <n v="1"/>
    <n v="971.25"/>
    <n v="0.15"/>
    <m/>
    <s v="في التشغيل"/>
    <n v="145.6875"/>
    <n v="0"/>
    <n v="0"/>
    <n v="0"/>
    <m/>
    <n v="352.71010273972604"/>
    <n v="618.53989726027396"/>
  </r>
  <r>
    <n v="4"/>
    <s v="مكتب خشبي"/>
    <x v="0"/>
    <x v="0"/>
    <x v="0"/>
    <x v="0"/>
    <m/>
    <x v="0"/>
    <s v="إدارية"/>
    <s v="الإدارية"/>
    <s v="أحمد الشاعر"/>
    <m/>
    <d v="2016-12-01T00:00:00"/>
    <s v="رموز المستقبل للتجارة"/>
    <m/>
    <n v="1"/>
    <m/>
    <n v="850"/>
    <n v="850"/>
    <n v="137.97945205479454"/>
    <n v="712.02054794520541"/>
    <m/>
    <m/>
    <m/>
    <n v="0"/>
    <m/>
    <m/>
    <m/>
    <m/>
    <m/>
    <m/>
    <n v="0"/>
    <n v="0"/>
    <n v="1"/>
    <n v="850"/>
    <n v="0.125"/>
    <m/>
    <s v="في التشغيل"/>
    <n v="106.25"/>
    <n v="0"/>
    <n v="0"/>
    <n v="0"/>
    <m/>
    <n v="244.22945205479454"/>
    <n v="605.77054794520541"/>
  </r>
  <r>
    <n v="5"/>
    <s v="طابعة"/>
    <x v="0"/>
    <x v="3"/>
    <x v="3"/>
    <x v="3"/>
    <m/>
    <x v="0"/>
    <s v="إدارية"/>
    <s v="الإدارية"/>
    <s v="أحمد الشاعر"/>
    <m/>
    <d v="2016-12-26T00:00:00"/>
    <s v="إكسترا"/>
    <m/>
    <n v="1"/>
    <m/>
    <n v="1400"/>
    <n v="1400"/>
    <n v="212.87671232876713"/>
    <n v="1187.1232876712329"/>
    <m/>
    <m/>
    <m/>
    <n v="0"/>
    <m/>
    <m/>
    <m/>
    <m/>
    <m/>
    <m/>
    <n v="0"/>
    <n v="0"/>
    <n v="1"/>
    <n v="1400"/>
    <n v="0.125"/>
    <m/>
    <s v="في التشغيل"/>
    <n v="175"/>
    <n v="0"/>
    <n v="0"/>
    <n v="0"/>
    <m/>
    <n v="387.8767123287671"/>
    <n v="1012.1232876712329"/>
  </r>
  <r>
    <n v="6"/>
    <s v="سيارة أكسنت "/>
    <x v="0"/>
    <x v="4"/>
    <x v="4"/>
    <x v="4"/>
    <s v="HYACC 001"/>
    <x v="1"/>
    <s v="النفايات"/>
    <s v="التشغيل"/>
    <s v="ياسر صبري"/>
    <s v="د.أ.ق_x000a_9788"/>
    <d v="2016-11-30T00:00:00"/>
    <s v="شركة تركي عبد العزيز الحميضي "/>
    <m/>
    <n v="1"/>
    <n v="3519"/>
    <n v="37500"/>
    <n v="37500"/>
    <n v="10171.232876712329"/>
    <n v="27328.767123287671"/>
    <m/>
    <m/>
    <m/>
    <n v="0"/>
    <m/>
    <m/>
    <m/>
    <m/>
    <m/>
    <m/>
    <n v="0"/>
    <n v="0"/>
    <n v="1"/>
    <n v="37500"/>
    <n v="0.15"/>
    <m/>
    <s v="في التشغيل"/>
    <n v="5625"/>
    <n v="0"/>
    <n v="0"/>
    <n v="0"/>
    <m/>
    <n v="15796.232876712329"/>
    <n v="21703.767123287671"/>
  </r>
  <r>
    <n v="7"/>
    <s v="شاحنة هينو"/>
    <x v="0"/>
    <x v="5"/>
    <x v="5"/>
    <x v="5"/>
    <m/>
    <x v="0"/>
    <s v="النفايات"/>
    <s v="التشغيل"/>
    <s v="ok"/>
    <s v="ب.ح.ك_x000a_6835"/>
    <d v="2016-12-31T00:00:00"/>
    <s v="جمجوم للسيارات و المعدات"/>
    <m/>
    <n v="1"/>
    <m/>
    <n v="170800"/>
    <n v="170800"/>
    <n v="42700"/>
    <n v="128100"/>
    <m/>
    <m/>
    <m/>
    <n v="0"/>
    <m/>
    <m/>
    <m/>
    <m/>
    <m/>
    <m/>
    <n v="0"/>
    <n v="0"/>
    <n v="1"/>
    <n v="170800"/>
    <n v="0.15"/>
    <m/>
    <s v="في التشغيل"/>
    <n v="25620"/>
    <n v="0"/>
    <n v="0"/>
    <n v="0"/>
    <m/>
    <n v="68320"/>
    <n v="102480"/>
  </r>
  <r>
    <n v="8"/>
    <s v="شاحنة هينو"/>
    <x v="0"/>
    <x v="5"/>
    <x v="5"/>
    <x v="6"/>
    <m/>
    <x v="0"/>
    <s v="النفايات"/>
    <s v="التشغيل"/>
    <s v="ok"/>
    <s v="ب.ح.ك_x000a_6836"/>
    <d v="2016-12-31T00:00:00"/>
    <s v="جمجوم للسيارات و المعدات"/>
    <m/>
    <n v="1"/>
    <m/>
    <n v="170800"/>
    <n v="170800"/>
    <n v="42700"/>
    <n v="128100"/>
    <m/>
    <m/>
    <m/>
    <n v="0"/>
    <m/>
    <m/>
    <m/>
    <m/>
    <m/>
    <m/>
    <n v="0"/>
    <n v="0"/>
    <n v="1"/>
    <n v="170800"/>
    <n v="0.15"/>
    <m/>
    <s v="في التشغيل"/>
    <n v="25620"/>
    <n v="0"/>
    <n v="0"/>
    <n v="0"/>
    <m/>
    <n v="68320"/>
    <n v="102480"/>
  </r>
  <r>
    <n v="9"/>
    <s v="شاحنة هينو"/>
    <x v="0"/>
    <x v="5"/>
    <x v="5"/>
    <x v="7"/>
    <m/>
    <x v="0"/>
    <s v="النفايات"/>
    <s v="التشغيل"/>
    <s v="ok"/>
    <s v="ب.ح.ك_x000a_6838"/>
    <d v="2016-12-31T00:00:00"/>
    <s v="جمجوم للسيارات و المعدات"/>
    <m/>
    <n v="1"/>
    <m/>
    <n v="170800"/>
    <n v="170800"/>
    <n v="42700"/>
    <n v="128100"/>
    <m/>
    <m/>
    <m/>
    <n v="0"/>
    <m/>
    <m/>
    <m/>
    <m/>
    <m/>
    <m/>
    <n v="0"/>
    <n v="0"/>
    <n v="1"/>
    <n v="170800"/>
    <n v="0.15"/>
    <m/>
    <s v="في التشغيل"/>
    <n v="25620"/>
    <n v="0"/>
    <n v="0"/>
    <n v="0"/>
    <m/>
    <n v="68320"/>
    <n v="102480"/>
  </r>
  <r>
    <n v="10"/>
    <s v="شاحنة هينو"/>
    <x v="0"/>
    <x v="5"/>
    <x v="5"/>
    <x v="8"/>
    <m/>
    <x v="0"/>
    <s v="النفايات"/>
    <s v="التشغيل"/>
    <s v="ok"/>
    <s v="ب.ح.ك_x000a_6840"/>
    <d v="2016-12-31T00:00:00"/>
    <s v="جمجوم للسيارات و المعدات"/>
    <m/>
    <n v="1"/>
    <m/>
    <n v="170800"/>
    <n v="170800"/>
    <n v="42700"/>
    <n v="128100"/>
    <m/>
    <m/>
    <m/>
    <n v="0"/>
    <m/>
    <m/>
    <m/>
    <m/>
    <m/>
    <m/>
    <n v="0"/>
    <n v="0"/>
    <n v="1"/>
    <n v="170800"/>
    <n v="0.15"/>
    <m/>
    <s v="في التشغيل"/>
    <n v="25620"/>
    <n v="0"/>
    <n v="0"/>
    <n v="0"/>
    <m/>
    <n v="68320"/>
    <n v="102480"/>
  </r>
  <r>
    <n v="11"/>
    <s v="شاحنة هينو"/>
    <x v="0"/>
    <x v="5"/>
    <x v="5"/>
    <x v="9"/>
    <m/>
    <x v="0"/>
    <s v="النفايات"/>
    <s v="التشغيل"/>
    <s v="ok"/>
    <s v="ب.ح.ك_x000a_6842"/>
    <d v="2016-12-31T00:00:00"/>
    <s v="جمجوم للسيارات و المعدات"/>
    <m/>
    <n v="1"/>
    <m/>
    <n v="170800"/>
    <n v="170800"/>
    <n v="42700"/>
    <n v="128100"/>
    <m/>
    <m/>
    <m/>
    <n v="0"/>
    <m/>
    <m/>
    <m/>
    <m/>
    <m/>
    <m/>
    <n v="0"/>
    <n v="0"/>
    <n v="1"/>
    <n v="170800"/>
    <n v="0.15"/>
    <m/>
    <s v="في التشغيل"/>
    <n v="25620"/>
    <n v="0"/>
    <n v="0"/>
    <n v="0"/>
    <m/>
    <n v="68320"/>
    <n v="102480"/>
  </r>
  <r>
    <n v="12"/>
    <s v="شاحنة هينو"/>
    <x v="0"/>
    <x v="5"/>
    <x v="5"/>
    <x v="10"/>
    <m/>
    <x v="2"/>
    <m/>
    <s v="التشغيل"/>
    <s v="ok"/>
    <s v="ب.ح.ك_x000a_6834"/>
    <d v="2016-12-31T00:00:00"/>
    <s v="جمجوم للسيارات و المعدات"/>
    <m/>
    <n v="1"/>
    <m/>
    <n v="170800"/>
    <n v="170800"/>
    <n v="42700"/>
    <n v="128100"/>
    <m/>
    <m/>
    <m/>
    <n v="0"/>
    <m/>
    <m/>
    <m/>
    <m/>
    <m/>
    <m/>
    <n v="0"/>
    <n v="0"/>
    <n v="1"/>
    <n v="170800"/>
    <n v="0.15"/>
    <m/>
    <s v="في التشغيل"/>
    <n v="25620"/>
    <n v="0"/>
    <n v="0"/>
    <n v="0"/>
    <m/>
    <n v="68320"/>
    <n v="102480"/>
  </r>
  <r>
    <n v="13"/>
    <s v="شاحنة هينو"/>
    <x v="0"/>
    <x v="5"/>
    <x v="5"/>
    <x v="11"/>
    <m/>
    <x v="0"/>
    <s v="النفايات"/>
    <s v="التشغيل"/>
    <s v="ok"/>
    <s v="ب.ح.ك_x000a_6837"/>
    <d v="2016-12-31T00:00:00"/>
    <s v="جمجوم للسيارات و المعدات"/>
    <m/>
    <n v="1"/>
    <m/>
    <n v="170800"/>
    <n v="170800"/>
    <n v="42700"/>
    <n v="128100"/>
    <m/>
    <m/>
    <m/>
    <n v="0"/>
    <m/>
    <m/>
    <m/>
    <m/>
    <m/>
    <m/>
    <n v="0"/>
    <n v="0"/>
    <n v="1"/>
    <n v="170800"/>
    <n v="0.15"/>
    <m/>
    <s v="في التشغيل"/>
    <n v="25620"/>
    <n v="0"/>
    <n v="0"/>
    <n v="0"/>
    <m/>
    <n v="68320"/>
    <n v="102480"/>
  </r>
  <r>
    <n v="14"/>
    <s v="شاحنة هينو"/>
    <x v="0"/>
    <x v="5"/>
    <x v="6"/>
    <x v="12"/>
    <m/>
    <x v="2"/>
    <m/>
    <s v="التشغيل"/>
    <s v="ok"/>
    <s v="ب.ح.ك_x000a_6839"/>
    <d v="2016-12-31T00:00:00"/>
    <s v="جمجوم للسيارات و المعدات"/>
    <m/>
    <n v="1"/>
    <m/>
    <n v="170800"/>
    <n v="170800"/>
    <n v="42700"/>
    <n v="128100"/>
    <m/>
    <m/>
    <m/>
    <n v="0"/>
    <m/>
    <m/>
    <m/>
    <m/>
    <m/>
    <m/>
    <n v="0"/>
    <n v="0"/>
    <n v="1"/>
    <n v="170800"/>
    <n v="0.15"/>
    <m/>
    <s v="في التشغيل"/>
    <n v="25620"/>
    <n v="0"/>
    <n v="0"/>
    <n v="0"/>
    <m/>
    <n v="68320"/>
    <n v="102480"/>
  </r>
  <r>
    <n v="15"/>
    <s v="شاحنة هينو"/>
    <x v="0"/>
    <x v="5"/>
    <x v="6"/>
    <x v="12"/>
    <m/>
    <x v="2"/>
    <m/>
    <s v="التشغيل"/>
    <s v="ok"/>
    <s v="ب.ح.ك_x000a_6841"/>
    <d v="2016-12-31T00:00:00"/>
    <s v="جمجوم للسيارات و المعدات"/>
    <m/>
    <n v="1"/>
    <m/>
    <n v="170800"/>
    <n v="170800"/>
    <n v="42700"/>
    <n v="128100"/>
    <m/>
    <m/>
    <m/>
    <n v="0"/>
    <m/>
    <m/>
    <m/>
    <m/>
    <m/>
    <m/>
    <n v="0"/>
    <n v="0"/>
    <n v="1"/>
    <n v="170800"/>
    <n v="0.15"/>
    <m/>
    <s v="في التشغيل"/>
    <n v="25620"/>
    <n v="0"/>
    <n v="0"/>
    <n v="0"/>
    <m/>
    <n v="68320"/>
    <n v="102480"/>
  </r>
  <r>
    <n v="16"/>
    <s v="شاحنة هينو"/>
    <x v="0"/>
    <x v="5"/>
    <x v="5"/>
    <x v="13"/>
    <m/>
    <x v="0"/>
    <s v="النفايات"/>
    <s v="التشغيل"/>
    <s v="ok"/>
    <s v="ب.ح.ك_x000a_6843"/>
    <d v="2016-12-31T00:00:00"/>
    <s v="جمجوم للسيارات و المعدات"/>
    <m/>
    <n v="1"/>
    <m/>
    <n v="170800"/>
    <n v="170800"/>
    <n v="42700"/>
    <n v="128100"/>
    <m/>
    <m/>
    <m/>
    <n v="0"/>
    <m/>
    <m/>
    <m/>
    <m/>
    <m/>
    <m/>
    <n v="0"/>
    <n v="0"/>
    <n v="1"/>
    <n v="170800"/>
    <n v="0.15"/>
    <m/>
    <s v="في التشغيل"/>
    <n v="25620"/>
    <n v="0"/>
    <n v="0"/>
    <n v="0"/>
    <m/>
    <n v="68320"/>
    <n v="102480"/>
  </r>
  <r>
    <n v="17"/>
    <s v="ثلاجة دانسات"/>
    <x v="0"/>
    <x v="0"/>
    <x v="0"/>
    <x v="0"/>
    <m/>
    <x v="3"/>
    <m/>
    <s v="التشغيل"/>
    <m/>
    <m/>
    <d v="2016-12-28T00:00:00"/>
    <s v="مؤسسة غسان للتجارة"/>
    <m/>
    <n v="1"/>
    <m/>
    <n v="1417"/>
    <n v="1417"/>
    <n v="214.29698630136986"/>
    <n v="1202.7030136986302"/>
    <m/>
    <m/>
    <m/>
    <n v="0"/>
    <m/>
    <m/>
    <m/>
    <m/>
    <m/>
    <m/>
    <n v="0"/>
    <n v="0"/>
    <n v="1"/>
    <n v="1417"/>
    <n v="0.125"/>
    <m/>
    <s v="في التشغيل"/>
    <n v="177.125"/>
    <n v="0"/>
    <n v="0"/>
    <n v="0"/>
    <m/>
    <n v="391.42198630136988"/>
    <n v="1025.57801369863"/>
  </r>
  <r>
    <n v="18"/>
    <s v="غسالة سامسونج 50 حوضين"/>
    <x v="0"/>
    <x v="0"/>
    <x v="7"/>
    <x v="14"/>
    <m/>
    <x v="3"/>
    <m/>
    <s v="التشغيل"/>
    <m/>
    <m/>
    <d v="2016-12-28T00:00:00"/>
    <s v="مؤسسة غسان للتجارة"/>
    <m/>
    <n v="1"/>
    <m/>
    <n v="683"/>
    <n v="683"/>
    <n v="103.29205479452055"/>
    <n v="579.7079452054794"/>
    <m/>
    <m/>
    <m/>
    <n v="0"/>
    <m/>
    <m/>
    <m/>
    <m/>
    <m/>
    <m/>
    <n v="0"/>
    <n v="0"/>
    <n v="1"/>
    <n v="683"/>
    <n v="0.125"/>
    <m/>
    <s v="في التشغيل"/>
    <n v="85.375"/>
    <n v="0"/>
    <n v="0"/>
    <n v="0"/>
    <m/>
    <n v="188.66705479452054"/>
    <n v="494.33294520547946"/>
  </r>
  <r>
    <n v="19"/>
    <s v="جهاز بصمة موديل f18"/>
    <x v="0"/>
    <x v="3"/>
    <x v="8"/>
    <x v="15"/>
    <m/>
    <x v="0"/>
    <s v="إدارية"/>
    <s v="التشغيل"/>
    <m/>
    <m/>
    <d v="2016-12-31T00:00:00"/>
    <s v="الحماية المتكاملة للتجارة"/>
    <m/>
    <n v="1"/>
    <m/>
    <n v="900"/>
    <n v="900"/>
    <n v="135"/>
    <n v="765"/>
    <m/>
    <m/>
    <m/>
    <n v="0"/>
    <m/>
    <m/>
    <m/>
    <m/>
    <m/>
    <m/>
    <n v="0"/>
    <n v="0"/>
    <n v="1"/>
    <n v="900"/>
    <n v="0.125"/>
    <m/>
    <s v="في التشغيل"/>
    <n v="112.5"/>
    <n v="0"/>
    <n v="0"/>
    <n v="0"/>
    <m/>
    <n v="247.5"/>
    <n v="652.5"/>
  </r>
  <r>
    <n v="20"/>
    <s v="سيارة أكسنت "/>
    <x v="0"/>
    <x v="4"/>
    <x v="4"/>
    <x v="16"/>
    <s v="HYACC 002"/>
    <x v="0"/>
    <s v="النفايات"/>
    <s v="المبيعات"/>
    <s v="محمد خليل محمد خليل"/>
    <s v="ح.ي.ق _x000a_8469"/>
    <d v="2016-08-12T00:00:00"/>
    <s v="شركة تركي عبد العزيز الحميضي "/>
    <m/>
    <n v="1"/>
    <m/>
    <n v="40000"/>
    <n v="40000"/>
    <n v="13863.013698630137"/>
    <n v="26136.986301369863"/>
    <m/>
    <m/>
    <m/>
    <n v="0"/>
    <m/>
    <m/>
    <m/>
    <m/>
    <m/>
    <m/>
    <n v="0"/>
    <n v="0"/>
    <n v="1"/>
    <n v="40000"/>
    <n v="0.15"/>
    <m/>
    <s v="في التشغيل"/>
    <n v="6000"/>
    <n v="0"/>
    <n v="0"/>
    <n v="0"/>
    <m/>
    <n v="19863.013698630137"/>
    <n v="20136.986301369863"/>
  </r>
  <r>
    <n v="21"/>
    <s v="سيارة أكسنت "/>
    <x v="0"/>
    <x v="4"/>
    <x v="4"/>
    <x v="17"/>
    <s v="HYACC 003"/>
    <x v="4"/>
    <s v="النفايات"/>
    <s v="المبيعات"/>
    <s v="محمد السعيد"/>
    <s v="ح.ي.ق_x000a_8467"/>
    <d v="2016-08-12T16:48:00"/>
    <s v="شركة تركي عبد العزيز الحميضي "/>
    <m/>
    <n v="1"/>
    <m/>
    <n v="40000"/>
    <n v="40000"/>
    <n v="13843.835616438435"/>
    <n v="26156.164383561565"/>
    <m/>
    <m/>
    <m/>
    <n v="0"/>
    <m/>
    <m/>
    <m/>
    <m/>
    <m/>
    <m/>
    <n v="0"/>
    <n v="0"/>
    <n v="1"/>
    <n v="40000"/>
    <n v="0.15"/>
    <m/>
    <s v="في التشغيل"/>
    <n v="6000"/>
    <n v="0"/>
    <n v="0"/>
    <n v="0"/>
    <m/>
    <n v="19843.835616438435"/>
    <n v="20156.164383561565"/>
  </r>
  <r>
    <n v="22"/>
    <s v="سيارة أكسنت "/>
    <x v="0"/>
    <x v="4"/>
    <x v="4"/>
    <x v="18"/>
    <s v="HYACC 004"/>
    <x v="5"/>
    <s v="إدارية"/>
    <s v="الإدارية"/>
    <s v="أحمد الشاعر"/>
    <s v="8468_x000a_ح.ي.ق "/>
    <d v="2016-08-13T00:00:00"/>
    <s v="شركة تركي عبد العزيز الحميضي "/>
    <m/>
    <n v="1"/>
    <m/>
    <n v="40000"/>
    <n v="40000"/>
    <n v="13835.616438356165"/>
    <n v="26164.383561643837"/>
    <m/>
    <m/>
    <m/>
    <n v="0"/>
    <m/>
    <m/>
    <m/>
    <m/>
    <m/>
    <m/>
    <n v="0"/>
    <n v="0"/>
    <n v="1"/>
    <n v="40000"/>
    <n v="0.15"/>
    <m/>
    <s v="في التشغيل"/>
    <n v="6000"/>
    <n v="0"/>
    <n v="0"/>
    <n v="0"/>
    <m/>
    <n v="19835.616438356163"/>
    <n v="20164.383561643837"/>
  </r>
  <r>
    <n v="23"/>
    <s v="سيارة أكسنت "/>
    <x v="0"/>
    <x v="4"/>
    <x v="4"/>
    <x v="19"/>
    <s v="HYACC 005"/>
    <x v="0"/>
    <s v="النفايات"/>
    <s v="التحصيل"/>
    <s v="محمد خميس"/>
    <s v="ح.ي.ق_x000a_8470"/>
    <d v="2016-08-13T00:00:00"/>
    <s v="شركة تركي عبد العزيز الحميضي "/>
    <m/>
    <n v="1"/>
    <m/>
    <n v="40000"/>
    <n v="40000"/>
    <n v="13835.616438356165"/>
    <n v="26164.383561643837"/>
    <m/>
    <m/>
    <m/>
    <n v="0"/>
    <m/>
    <m/>
    <m/>
    <m/>
    <m/>
    <m/>
    <n v="0"/>
    <n v="0"/>
    <n v="1"/>
    <n v="40000"/>
    <n v="0.15"/>
    <m/>
    <s v="في التشغيل"/>
    <n v="6000"/>
    <n v="0"/>
    <n v="0"/>
    <n v="0"/>
    <m/>
    <n v="19835.616438356163"/>
    <n v="20164.383561643837"/>
  </r>
  <r>
    <n v="24"/>
    <s v="شاحنة هينو"/>
    <x v="0"/>
    <x v="5"/>
    <x v="6"/>
    <x v="12"/>
    <m/>
    <x v="2"/>
    <m/>
    <s v="التشغيل"/>
    <s v="ok"/>
    <s v="ب.ح.ص_x000a_4108"/>
    <d v="2016-12-07T00:57:36"/>
    <s v="جمجوم للسيارات و المعدات"/>
    <m/>
    <n v="1"/>
    <m/>
    <n v="160000"/>
    <n v="160000"/>
    <n v="42625.753424657436"/>
    <n v="117374.24657534256"/>
    <m/>
    <m/>
    <m/>
    <n v="0"/>
    <m/>
    <m/>
    <m/>
    <m/>
    <m/>
    <m/>
    <n v="0"/>
    <n v="0"/>
    <n v="1"/>
    <n v="160000"/>
    <n v="0.15"/>
    <m/>
    <s v="في التشغيل"/>
    <n v="24000"/>
    <n v="0"/>
    <n v="0"/>
    <n v="0"/>
    <m/>
    <n v="66625.753424657436"/>
    <n v="93374.246575342564"/>
  </r>
  <r>
    <n v="25"/>
    <s v="شاحنة هينو"/>
    <x v="0"/>
    <x v="5"/>
    <x v="6"/>
    <x v="12"/>
    <m/>
    <x v="2"/>
    <m/>
    <s v="التشغيل"/>
    <s v="ok"/>
    <s v="ب.ح.ص_x000a_4106"/>
    <d v="2016-12-07T00:00:00"/>
    <s v="جمجوم للسيارات و المعدات"/>
    <m/>
    <n v="1"/>
    <m/>
    <n v="160000"/>
    <n v="160000"/>
    <n v="42630.136986301368"/>
    <n v="117369.86301369863"/>
    <m/>
    <m/>
    <m/>
    <n v="0"/>
    <m/>
    <m/>
    <m/>
    <m/>
    <m/>
    <m/>
    <n v="0"/>
    <n v="0"/>
    <n v="1"/>
    <n v="160000"/>
    <n v="0.15"/>
    <m/>
    <s v="في التشغيل"/>
    <n v="24000"/>
    <n v="0"/>
    <n v="0"/>
    <n v="0"/>
    <m/>
    <n v="66630.136986301368"/>
    <n v="93369.863013698632"/>
  </r>
  <r>
    <n v="26"/>
    <s v="ضاغط ميتسوبيشي"/>
    <x v="1"/>
    <x v="5"/>
    <x v="9"/>
    <x v="20"/>
    <m/>
    <x v="2"/>
    <m/>
    <s v="التشغيل"/>
    <m/>
    <s v="أ.ي.ك_x000a_4531"/>
    <d v="2015-01-01T00:00:00"/>
    <m/>
    <m/>
    <n v="1"/>
    <m/>
    <n v="217360"/>
    <n v="217360"/>
    <n v="130296.89863013699"/>
    <n v="87063.101369863012"/>
    <m/>
    <m/>
    <m/>
    <n v="0"/>
    <m/>
    <m/>
    <m/>
    <m/>
    <m/>
    <m/>
    <n v="0"/>
    <n v="0"/>
    <n v="1"/>
    <n v="217360"/>
    <n v="0.2"/>
    <m/>
    <s v="في التشغيل"/>
    <n v="43472"/>
    <n v="0"/>
    <n v="0"/>
    <n v="0"/>
    <m/>
    <n v="173768.89863013697"/>
    <n v="43591.101369863027"/>
  </r>
  <r>
    <n v="27"/>
    <s v="ضاغط متسوبيشي 22 ياردة"/>
    <x v="2"/>
    <x v="5"/>
    <x v="5"/>
    <x v="21"/>
    <m/>
    <x v="0"/>
    <s v="النفايات"/>
    <s v="التشغيل"/>
    <m/>
    <s v="أ.ن.أ_x000a_7095"/>
    <d v="2019-01-01T00:00:00"/>
    <s v="شركة الفهاد "/>
    <m/>
    <n v="1"/>
    <m/>
    <n v="0"/>
    <n v="0"/>
    <m/>
    <n v="0"/>
    <m/>
    <m/>
    <m/>
    <n v="0"/>
    <m/>
    <m/>
    <m/>
    <m/>
    <m/>
    <m/>
    <n v="0"/>
    <n v="0"/>
    <n v="1"/>
    <n v="0"/>
    <n v="0.15"/>
    <m/>
    <s v="في التشغيل"/>
    <n v="0"/>
    <n v="0"/>
    <n v="0"/>
    <n v="0"/>
    <m/>
    <n v="0"/>
    <n v="0"/>
  </r>
  <r>
    <n v="28"/>
    <s v="وينش إيسوزو"/>
    <x v="2"/>
    <x v="5"/>
    <x v="10"/>
    <x v="22"/>
    <m/>
    <x v="0"/>
    <s v="أنقاض"/>
    <s v="التشغيل"/>
    <m/>
    <n v="8277"/>
    <d v="2019-01-01T00:00:00"/>
    <s v="شركة الفهاد "/>
    <m/>
    <n v="1"/>
    <m/>
    <n v="0"/>
    <n v="0"/>
    <m/>
    <n v="0"/>
    <m/>
    <m/>
    <m/>
    <n v="0"/>
    <m/>
    <m/>
    <m/>
    <m/>
    <m/>
    <m/>
    <n v="0"/>
    <n v="0"/>
    <n v="1"/>
    <n v="0"/>
    <n v="0.15"/>
    <m/>
    <s v="في التشغيل"/>
    <n v="0"/>
    <n v="0"/>
    <n v="0"/>
    <n v="0"/>
    <m/>
    <n v="0"/>
    <n v="0"/>
  </r>
  <r>
    <n v="29"/>
    <s v="ضاغط متسوبيشي 22 ياردة"/>
    <x v="2"/>
    <x v="5"/>
    <x v="5"/>
    <x v="23"/>
    <m/>
    <x v="0"/>
    <s v="النفايات"/>
    <s v="التشغيل"/>
    <m/>
    <s v="أ.ن.أ_x000a_7110"/>
    <d v="2019-01-01T00:00:00"/>
    <s v="شركة الفهاد "/>
    <m/>
    <n v="1"/>
    <m/>
    <n v="0"/>
    <n v="0"/>
    <m/>
    <n v="0"/>
    <m/>
    <m/>
    <m/>
    <n v="0"/>
    <m/>
    <m/>
    <m/>
    <m/>
    <m/>
    <m/>
    <n v="0"/>
    <n v="0"/>
    <n v="1"/>
    <n v="0"/>
    <n v="0.15"/>
    <m/>
    <s v="في التشغيل"/>
    <n v="0"/>
    <n v="0"/>
    <n v="0"/>
    <n v="0"/>
    <m/>
    <n v="0"/>
    <n v="0"/>
  </r>
  <r>
    <n v="30"/>
    <s v="بيك أب غمارة "/>
    <x v="2"/>
    <x v="5"/>
    <x v="11"/>
    <x v="24"/>
    <m/>
    <x v="0"/>
    <s v="النفايات"/>
    <s v="التشغيل"/>
    <m/>
    <s v="أ.ن.ب_x000a_4069"/>
    <d v="2019-01-01T00:00:00"/>
    <s v="شركة الفهاد "/>
    <m/>
    <n v="1"/>
    <m/>
    <m/>
    <n v="0"/>
    <m/>
    <n v="0"/>
    <m/>
    <m/>
    <m/>
    <n v="0"/>
    <m/>
    <m/>
    <m/>
    <m/>
    <m/>
    <m/>
    <n v="0"/>
    <n v="0"/>
    <n v="1"/>
    <n v="0"/>
    <n v="0.15"/>
    <m/>
    <m/>
    <n v="0"/>
    <n v="0"/>
    <n v="0"/>
    <n v="0"/>
    <m/>
    <n v="0"/>
    <n v="0"/>
  </r>
  <r>
    <n v="31"/>
    <s v="بيك أب غمارة "/>
    <x v="2"/>
    <x v="5"/>
    <x v="11"/>
    <x v="25"/>
    <m/>
    <x v="0"/>
    <s v="النفايات"/>
    <s v="التشغيل"/>
    <m/>
    <s v="أ.ع.س_x000a_4986"/>
    <d v="2019-01-01T00:00:00"/>
    <s v="شركة الفهاد "/>
    <m/>
    <n v="1"/>
    <m/>
    <m/>
    <n v="0"/>
    <m/>
    <n v="0"/>
    <m/>
    <m/>
    <m/>
    <n v="0"/>
    <m/>
    <m/>
    <m/>
    <m/>
    <m/>
    <m/>
    <n v="0"/>
    <n v="0"/>
    <n v="1"/>
    <n v="0"/>
    <n v="0.15"/>
    <m/>
    <m/>
    <n v="0"/>
    <n v="0"/>
    <n v="0"/>
    <n v="0"/>
    <m/>
    <n v="0"/>
    <n v="0"/>
  </r>
  <r>
    <n v="32"/>
    <s v="ضاغط ميتسوبيشي"/>
    <x v="1"/>
    <x v="5"/>
    <x v="9"/>
    <x v="20"/>
    <m/>
    <x v="2"/>
    <m/>
    <s v="التشغيل"/>
    <m/>
    <s v="أ.ي.ك_x000a_4212"/>
    <d v="2015-01-01T00:00:00"/>
    <m/>
    <m/>
    <n v="1"/>
    <m/>
    <n v="217360"/>
    <n v="217360"/>
    <n v="130296.89863013699"/>
    <n v="87063.101369863012"/>
    <m/>
    <m/>
    <m/>
    <n v="0"/>
    <m/>
    <m/>
    <m/>
    <m/>
    <m/>
    <m/>
    <n v="0"/>
    <n v="0"/>
    <n v="1"/>
    <n v="217360"/>
    <n v="0.2"/>
    <m/>
    <s v="في التشغيل"/>
    <n v="43472"/>
    <n v="0"/>
    <n v="0"/>
    <n v="0"/>
    <m/>
    <n v="173768.89863013697"/>
    <n v="43591.101369863027"/>
  </r>
  <r>
    <n v="33"/>
    <s v="حاويات 02 ياردة"/>
    <x v="0"/>
    <x v="1"/>
    <x v="1"/>
    <x v="1"/>
    <m/>
    <x v="4"/>
    <m/>
    <s v="التشغيل"/>
    <m/>
    <m/>
    <d v="2015-01-01T00:00:00"/>
    <m/>
    <m/>
    <n v="34"/>
    <m/>
    <n v="650"/>
    <n v="22100"/>
    <n v="8833.9452054794529"/>
    <n v="13266.054794520547"/>
    <m/>
    <m/>
    <m/>
    <n v="0"/>
    <m/>
    <m/>
    <m/>
    <m/>
    <m/>
    <m/>
    <n v="0"/>
    <n v="0"/>
    <n v="34"/>
    <n v="22100"/>
    <n v="0.125"/>
    <m/>
    <s v="في التشغيل"/>
    <n v="2762.5"/>
    <n v="0"/>
    <n v="0"/>
    <n v="0"/>
    <m/>
    <n v="11596.445205479453"/>
    <n v="10503.554794520547"/>
  </r>
  <r>
    <n v="34"/>
    <s v="حاويات 04 ياردة"/>
    <x v="0"/>
    <x v="1"/>
    <x v="12"/>
    <x v="26"/>
    <m/>
    <x v="4"/>
    <m/>
    <s v="التشغيل"/>
    <m/>
    <m/>
    <d v="2015-01-01T00:00:00"/>
    <m/>
    <m/>
    <n v="71"/>
    <m/>
    <n v="800"/>
    <n v="56800"/>
    <n v="22704.438356164384"/>
    <n v="34095.561643835616"/>
    <m/>
    <m/>
    <m/>
    <n v="0"/>
    <m/>
    <m/>
    <m/>
    <m/>
    <m/>
    <m/>
    <n v="0"/>
    <n v="0"/>
    <n v="71"/>
    <n v="56800"/>
    <n v="0.125"/>
    <m/>
    <s v="في التشغيل"/>
    <n v="7100"/>
    <n v="0"/>
    <n v="0"/>
    <n v="0"/>
    <m/>
    <n v="29804.438356164384"/>
    <n v="26995.561643835616"/>
  </r>
  <r>
    <n v="35"/>
    <s v="حاويات 06ياردة"/>
    <x v="0"/>
    <x v="1"/>
    <x v="13"/>
    <x v="27"/>
    <m/>
    <x v="4"/>
    <m/>
    <s v="التشغيل"/>
    <m/>
    <m/>
    <d v="2015-01-01T00:00:00"/>
    <m/>
    <m/>
    <n v="26"/>
    <m/>
    <n v="1200"/>
    <n v="31200"/>
    <n v="12471.452054794521"/>
    <n v="18728.547945205479"/>
    <m/>
    <m/>
    <m/>
    <n v="0"/>
    <m/>
    <m/>
    <m/>
    <m/>
    <m/>
    <m/>
    <n v="0"/>
    <n v="0"/>
    <n v="26"/>
    <n v="31200"/>
    <n v="0.125"/>
    <m/>
    <s v="في التشغيل"/>
    <n v="3900"/>
    <n v="0"/>
    <n v="0"/>
    <n v="0"/>
    <m/>
    <n v="16371.452054794521"/>
    <n v="14828.547945205479"/>
  </r>
  <r>
    <n v="36"/>
    <s v="مكبس نفايات أرضي"/>
    <x v="0"/>
    <x v="2"/>
    <x v="14"/>
    <x v="28"/>
    <s v="مك 001/034"/>
    <x v="6"/>
    <s v="أنقاض"/>
    <s v="التشغيل"/>
    <m/>
    <s v="الوان الشموس"/>
    <d v="2016-09-05T04:48:00"/>
    <s v="الساطعة الحديثة تحويل من الوان الشموس"/>
    <s v="44-12-2016"/>
    <n v="1"/>
    <m/>
    <n v="66000"/>
    <n v="66000"/>
    <n v="13068.000000000075"/>
    <n v="52931.999999999927"/>
    <m/>
    <m/>
    <m/>
    <n v="0"/>
    <m/>
    <m/>
    <m/>
    <m/>
    <m/>
    <m/>
    <n v="0"/>
    <n v="0"/>
    <n v="1"/>
    <n v="66000"/>
    <n v="0.15"/>
    <m/>
    <s v="في التشغيل"/>
    <n v="9900"/>
    <n v="0"/>
    <n v="0"/>
    <n v="0"/>
    <m/>
    <n v="22968.000000000073"/>
    <n v="43031.999999999927"/>
  </r>
  <r>
    <n v="37"/>
    <s v="شاحنة ميتسوبيشي روول أون روول أوف "/>
    <x v="1"/>
    <x v="5"/>
    <x v="15"/>
    <x v="29"/>
    <m/>
    <x v="0"/>
    <s v="أنقاض"/>
    <s v="التشغيل"/>
    <s v="مشروع المطار الرياض"/>
    <s v="ب.أ.ص_x000a_3453"/>
    <d v="2016-01-01T00:00:00"/>
    <m/>
    <m/>
    <n v="1"/>
    <m/>
    <n v="286752"/>
    <n v="286752"/>
    <n v="86025.599999999991"/>
    <n v="200726.40000000002"/>
    <m/>
    <m/>
    <m/>
    <n v="0"/>
    <m/>
    <m/>
    <m/>
    <m/>
    <m/>
    <m/>
    <n v="0"/>
    <n v="0"/>
    <n v="1"/>
    <n v="286752"/>
    <n v="0.15"/>
    <m/>
    <s v="في التشغيل"/>
    <n v="43012.799999999996"/>
    <n v="0"/>
    <n v="0"/>
    <n v="0"/>
    <m/>
    <n v="129038.39999999999"/>
    <n v="157713.60000000001"/>
  </r>
  <r>
    <n v="38"/>
    <s v="وايت مياه"/>
    <x v="1"/>
    <x v="5"/>
    <x v="16"/>
    <x v="30"/>
    <m/>
    <x v="0"/>
    <s v="نفايات"/>
    <s v="التشغيل"/>
    <m/>
    <s v="أ.د.ه_x000a_1215"/>
    <d v="2008-12-31T00:00:00"/>
    <m/>
    <m/>
    <n v="1"/>
    <m/>
    <n v="585741"/>
    <n v="585741"/>
    <n v="585741"/>
    <n v="0"/>
    <m/>
    <m/>
    <m/>
    <n v="0"/>
    <m/>
    <m/>
    <m/>
    <m/>
    <m/>
    <m/>
    <n v="0"/>
    <n v="0"/>
    <n v="1"/>
    <n v="585741"/>
    <n v="0.15"/>
    <m/>
    <m/>
    <n v="0"/>
    <n v="0"/>
    <n v="0"/>
    <n v="0"/>
    <m/>
    <n v="585741"/>
    <n v="0"/>
  </r>
  <r>
    <n v="39"/>
    <s v="غمارتين"/>
    <x v="1"/>
    <x v="4"/>
    <x v="17"/>
    <x v="31"/>
    <s v="BICKUP 001"/>
    <x v="2"/>
    <m/>
    <s v="التشغيل"/>
    <m/>
    <s v="أ.ن.م_x000a_7174"/>
    <d v="2014-03-09T00:00:00"/>
    <m/>
    <m/>
    <n v="1"/>
    <m/>
    <n v="48400"/>
    <n v="48400"/>
    <n v="27687.452054794521"/>
    <n v="20712.547945205479"/>
    <m/>
    <m/>
    <m/>
    <n v="0"/>
    <m/>
    <m/>
    <m/>
    <m/>
    <m/>
    <m/>
    <n v="0"/>
    <n v="0"/>
    <n v="1"/>
    <n v="48400"/>
    <n v="0.15"/>
    <m/>
    <m/>
    <n v="7260"/>
    <n v="0"/>
    <n v="0"/>
    <n v="0"/>
    <m/>
    <n v="34947.452054794521"/>
    <n v="13452.547945205479"/>
  </r>
  <r>
    <n v="40"/>
    <s v="مكبس نفايات أرضي"/>
    <x v="0"/>
    <x v="2"/>
    <x v="14"/>
    <x v="32"/>
    <s v="مك 002/034"/>
    <x v="6"/>
    <s v="أنقاض"/>
    <s v="التشغيل"/>
    <m/>
    <s v="الوان الشموس"/>
    <d v="2016-09-05T04:48:00"/>
    <s v="الساطعة الحديثة تحويل من الوان الشموس"/>
    <s v="44-12-2016"/>
    <n v="1"/>
    <m/>
    <n v="66000"/>
    <n v="66000"/>
    <n v="13068.000000000075"/>
    <n v="52931.999999999927"/>
    <m/>
    <m/>
    <m/>
    <n v="0"/>
    <m/>
    <m/>
    <m/>
    <m/>
    <m/>
    <m/>
    <n v="0"/>
    <n v="0"/>
    <n v="1"/>
    <n v="66000"/>
    <n v="0.15"/>
    <m/>
    <s v="في التشغيل"/>
    <n v="9900"/>
    <n v="0"/>
    <n v="0"/>
    <n v="0"/>
    <m/>
    <n v="22968.000000000073"/>
    <n v="43031.999999999927"/>
  </r>
  <r>
    <n v="41"/>
    <s v="مكبس نفايات أرضي"/>
    <x v="0"/>
    <x v="2"/>
    <x v="14"/>
    <x v="33"/>
    <s v="مك 003/034"/>
    <x v="6"/>
    <s v="أنقاض"/>
    <s v="التشغيل"/>
    <m/>
    <s v="الوان الشموس"/>
    <d v="2016-09-05T04:48:00"/>
    <s v="الساطعة الحديثة تحويل من الوان الشموس"/>
    <s v="44-12-2016"/>
    <n v="1"/>
    <m/>
    <n v="66000"/>
    <n v="66000"/>
    <n v="13068.000000000075"/>
    <n v="52931.999999999927"/>
    <m/>
    <m/>
    <m/>
    <n v="0"/>
    <m/>
    <m/>
    <m/>
    <m/>
    <m/>
    <m/>
    <n v="0"/>
    <n v="0"/>
    <n v="1"/>
    <n v="66000"/>
    <n v="0.15"/>
    <m/>
    <s v="في التشغيل"/>
    <n v="9900"/>
    <n v="0"/>
    <n v="0"/>
    <n v="0"/>
    <m/>
    <n v="22968.000000000073"/>
    <n v="43031.999999999927"/>
  </r>
  <r>
    <n v="42"/>
    <s v="مكبس نفايات أرضي"/>
    <x v="0"/>
    <x v="2"/>
    <x v="14"/>
    <x v="34"/>
    <s v="مك 004/034"/>
    <x v="6"/>
    <s v="أنقاض"/>
    <s v="التشغيل"/>
    <m/>
    <s v="الوان الشموس"/>
    <d v="2016-09-05T04:48:00"/>
    <s v="الساطعة الحديثة تحويل من الوان الشموس"/>
    <s v="44-12-2016"/>
    <n v="1"/>
    <m/>
    <n v="66000"/>
    <n v="66000"/>
    <n v="13068.000000000075"/>
    <n v="52931.999999999927"/>
    <m/>
    <m/>
    <m/>
    <n v="0"/>
    <m/>
    <m/>
    <m/>
    <m/>
    <m/>
    <m/>
    <n v="0"/>
    <n v="0"/>
    <n v="1"/>
    <n v="66000"/>
    <n v="0.15"/>
    <m/>
    <s v="في التشغيل"/>
    <n v="9900"/>
    <n v="0"/>
    <n v="0"/>
    <n v="0"/>
    <m/>
    <n v="22968.000000000073"/>
    <n v="43031.999999999927"/>
  </r>
  <r>
    <n v="43"/>
    <s v="مكبس نفايات أرضي"/>
    <x v="0"/>
    <x v="2"/>
    <x v="18"/>
    <x v="35"/>
    <s v="SA001"/>
    <x v="0"/>
    <s v="أنقاض"/>
    <s v="التشغيل"/>
    <m/>
    <m/>
    <d v="2017-11-01T00:00:00"/>
    <s v="سابتك"/>
    <s v="13-11-2017_x000a_31-11-2017_x000a_5-11-2017"/>
    <n v="1"/>
    <m/>
    <n v="51750"/>
    <n v="51750"/>
    <n v="1276.027397260274"/>
    <n v="50473.972602739726"/>
    <m/>
    <m/>
    <m/>
    <n v="0"/>
    <m/>
    <m/>
    <m/>
    <m/>
    <m/>
    <m/>
    <n v="0"/>
    <n v="0"/>
    <n v="1"/>
    <n v="51750"/>
    <n v="0.15"/>
    <m/>
    <s v="في التشغيل"/>
    <n v="7762.5"/>
    <n v="0"/>
    <n v="0"/>
    <n v="0"/>
    <m/>
    <n v="9038.5273972602736"/>
    <n v="42711.472602739726"/>
  </r>
  <r>
    <n v="44"/>
    <s v="مكبس نفايات أرضي"/>
    <x v="3"/>
    <x v="2"/>
    <x v="18"/>
    <x v="36"/>
    <s v="SA002"/>
    <x v="0"/>
    <s v="أنقاض"/>
    <s v="التشغيل"/>
    <m/>
    <m/>
    <d v="2018-12-31T00:00:00"/>
    <s v="اعتماد مستندي 6201664 - مكابس ارضية عدد 15 مكبس من سابتك"/>
    <s v="JV-00492"/>
    <m/>
    <m/>
    <m/>
    <n v="0"/>
    <m/>
    <n v="0"/>
    <n v="1"/>
    <n v="6201664"/>
    <n v="70494"/>
    <n v="70494"/>
    <m/>
    <m/>
    <m/>
    <m/>
    <m/>
    <m/>
    <n v="0"/>
    <n v="0"/>
    <n v="1"/>
    <n v="70494"/>
    <n v="0.15"/>
    <m/>
    <m/>
    <n v="0"/>
    <n v="0"/>
    <n v="0"/>
    <n v="0"/>
    <m/>
    <n v="0"/>
    <n v="70494"/>
  </r>
  <r>
    <n v="45"/>
    <s v="مكبس نفايات أرضي"/>
    <x v="0"/>
    <x v="2"/>
    <x v="14"/>
    <x v="37"/>
    <s v="مك 005/034"/>
    <x v="7"/>
    <s v="أنقاض"/>
    <s v="التشغيل"/>
    <m/>
    <m/>
    <d v="2016-12-10T00:00:00"/>
    <s v="الساطعة الحديثة للمقاولات "/>
    <s v="12-06-2016"/>
    <n v="1"/>
    <m/>
    <n v="66000"/>
    <n v="66000"/>
    <n v="10469.5890410959"/>
    <n v="55530.410958904104"/>
    <m/>
    <m/>
    <m/>
    <n v="0"/>
    <m/>
    <m/>
    <m/>
    <m/>
    <m/>
    <m/>
    <n v="0"/>
    <n v="0"/>
    <n v="1"/>
    <n v="66000"/>
    <n v="0.15"/>
    <m/>
    <s v="في التشغيل"/>
    <n v="9900"/>
    <n v="0"/>
    <n v="0"/>
    <n v="0"/>
    <m/>
    <n v="20369.5890410959"/>
    <n v="45630.410958904104"/>
  </r>
  <r>
    <n v="46"/>
    <s v="مكبس نفايات أرضي"/>
    <x v="0"/>
    <x v="2"/>
    <x v="14"/>
    <x v="38"/>
    <s v="مك 006/034"/>
    <x v="6"/>
    <s v="أنقاض"/>
    <s v="التشغيل"/>
    <m/>
    <m/>
    <d v="2016-12-10T00:00:00"/>
    <s v="الساطعة الحديثة للمقاولات "/>
    <s v="12-06-2016"/>
    <n v="1"/>
    <m/>
    <n v="66000"/>
    <n v="66000"/>
    <n v="10469.5890410959"/>
    <n v="55530.410958904104"/>
    <m/>
    <m/>
    <m/>
    <n v="0"/>
    <m/>
    <m/>
    <m/>
    <m/>
    <m/>
    <m/>
    <n v="0"/>
    <n v="0"/>
    <n v="1"/>
    <n v="66000"/>
    <n v="0.15"/>
    <m/>
    <s v="في التشغيل"/>
    <n v="9900"/>
    <n v="0"/>
    <n v="0"/>
    <n v="0"/>
    <m/>
    <n v="20369.5890410959"/>
    <n v="45630.410958904104"/>
  </r>
  <r>
    <n v="47"/>
    <s v="مكبس نفايات أرضي"/>
    <x v="0"/>
    <x v="2"/>
    <x v="14"/>
    <x v="39"/>
    <s v="مك 007/034"/>
    <x v="6"/>
    <s v="أنقاض"/>
    <s v="التشغيل"/>
    <m/>
    <m/>
    <d v="2016-12-10T00:00:00"/>
    <s v="الساطعة الحديثة للمقاولات "/>
    <s v="12-06-2016"/>
    <n v="1"/>
    <m/>
    <n v="66000"/>
    <n v="66000"/>
    <n v="10469.5890410959"/>
    <n v="55530.410958904104"/>
    <m/>
    <m/>
    <m/>
    <n v="0"/>
    <m/>
    <m/>
    <m/>
    <m/>
    <m/>
    <m/>
    <n v="0"/>
    <n v="0"/>
    <n v="1"/>
    <n v="66000"/>
    <n v="0.15"/>
    <m/>
    <s v="في التشغيل"/>
    <n v="9900"/>
    <n v="0"/>
    <n v="0"/>
    <n v="0"/>
    <m/>
    <n v="20369.5890410959"/>
    <n v="45630.410958904104"/>
  </r>
  <r>
    <n v="48"/>
    <s v="مكبس نفايات أرضي"/>
    <x v="0"/>
    <x v="2"/>
    <x v="14"/>
    <x v="40"/>
    <s v="مك 008/034"/>
    <x v="6"/>
    <s v="أنقاض"/>
    <s v="التشغيل"/>
    <m/>
    <m/>
    <d v="2016-10-20T00:00:00"/>
    <s v="الساطعة الحديثة للمقاولات"/>
    <s v="12-06-2016"/>
    <n v="1"/>
    <m/>
    <n v="66000"/>
    <n v="66000"/>
    <n v="11852.876712328767"/>
    <n v="54147.123287671231"/>
    <m/>
    <m/>
    <m/>
    <n v="0"/>
    <m/>
    <m/>
    <m/>
    <m/>
    <m/>
    <m/>
    <n v="0"/>
    <n v="0"/>
    <n v="1"/>
    <n v="66000"/>
    <n v="0.15"/>
    <m/>
    <s v="في التشغيل"/>
    <n v="9900"/>
    <n v="0"/>
    <n v="0"/>
    <n v="0"/>
    <m/>
    <n v="21752.876712328769"/>
    <n v="44247.123287671231"/>
  </r>
  <r>
    <n v="49"/>
    <s v="مكبس نفايات أرضي"/>
    <x v="0"/>
    <x v="2"/>
    <x v="14"/>
    <x v="41"/>
    <s v="مك 009/034"/>
    <x v="6"/>
    <s v="أنقاض"/>
    <s v="التشغيل"/>
    <m/>
    <m/>
    <d v="2016-10-20T00:00:00"/>
    <s v="الساطعة الحديثة للمقاولات"/>
    <s v="12-06-2016"/>
    <n v="1"/>
    <m/>
    <n v="66000"/>
    <n v="66000"/>
    <n v="11852.876712328767"/>
    <n v="54147.123287671231"/>
    <m/>
    <m/>
    <m/>
    <n v="0"/>
    <m/>
    <m/>
    <m/>
    <m/>
    <m/>
    <m/>
    <n v="0"/>
    <n v="0"/>
    <n v="1"/>
    <n v="66000"/>
    <n v="0.15"/>
    <m/>
    <s v="في التشغيل"/>
    <n v="9900"/>
    <n v="0"/>
    <n v="0"/>
    <n v="0"/>
    <m/>
    <n v="21752.876712328769"/>
    <n v="44247.123287671231"/>
  </r>
  <r>
    <n v="50"/>
    <s v="مكبس نفايات أرضي"/>
    <x v="0"/>
    <x v="2"/>
    <x v="14"/>
    <x v="42"/>
    <s v="مك 010/034"/>
    <x v="6"/>
    <s v="أنقاض"/>
    <s v="التشغيل"/>
    <m/>
    <m/>
    <d v="2016-10-20T00:00:00"/>
    <s v="الساطعة الحديثة للمقاولات"/>
    <s v="12-06-2016"/>
    <n v="1"/>
    <m/>
    <n v="66000"/>
    <n v="66000"/>
    <n v="11852.876712328767"/>
    <n v="54147.123287671231"/>
    <m/>
    <m/>
    <m/>
    <n v="0"/>
    <m/>
    <m/>
    <m/>
    <m/>
    <m/>
    <m/>
    <n v="0"/>
    <n v="0"/>
    <n v="1"/>
    <n v="66000"/>
    <n v="0.15"/>
    <m/>
    <s v="في التشغيل"/>
    <n v="9900"/>
    <n v="0"/>
    <n v="0"/>
    <n v="0"/>
    <m/>
    <n v="21752.876712328769"/>
    <n v="44247.123287671231"/>
  </r>
  <r>
    <n v="51"/>
    <s v="مكبس نفايات أرضي"/>
    <x v="0"/>
    <x v="2"/>
    <x v="14"/>
    <x v="43"/>
    <s v="مك 011/034"/>
    <x v="6"/>
    <s v="أنقاض"/>
    <s v="التشغيل"/>
    <m/>
    <m/>
    <d v="2016-11-20T00:00:00"/>
    <s v="الساطعة الحديثة للمقاولات"/>
    <s v="37-12-2017"/>
    <n v="1"/>
    <m/>
    <n v="66000"/>
    <n v="66000"/>
    <n v="11012.054794520525"/>
    <n v="54987.945205479475"/>
    <m/>
    <m/>
    <m/>
    <n v="0"/>
    <m/>
    <m/>
    <m/>
    <m/>
    <m/>
    <m/>
    <n v="0"/>
    <n v="0"/>
    <n v="1"/>
    <n v="66000"/>
    <n v="0.15"/>
    <m/>
    <s v="في التشغيل"/>
    <n v="9900"/>
    <n v="0"/>
    <n v="0"/>
    <n v="0"/>
    <m/>
    <n v="20912.054794520525"/>
    <n v="45087.945205479475"/>
  </r>
  <r>
    <n v="52"/>
    <s v="مكبس نفايات أرضي"/>
    <x v="0"/>
    <x v="2"/>
    <x v="14"/>
    <x v="44"/>
    <s v="مك 012/034"/>
    <x v="6"/>
    <s v="أنقاض"/>
    <s v="التشغيل"/>
    <m/>
    <m/>
    <d v="2016-11-20T00:00:00"/>
    <s v="الساطعة الحديثة للمقاولات"/>
    <s v="37-12-2017"/>
    <n v="1"/>
    <m/>
    <n v="66000"/>
    <n v="66000"/>
    <n v="11012.054794520525"/>
    <n v="54987.945205479475"/>
    <m/>
    <m/>
    <m/>
    <n v="0"/>
    <m/>
    <m/>
    <m/>
    <m/>
    <m/>
    <m/>
    <n v="0"/>
    <n v="0"/>
    <n v="1"/>
    <n v="66000"/>
    <n v="0.15"/>
    <m/>
    <s v="في التشغيل"/>
    <n v="9900"/>
    <n v="0"/>
    <n v="0"/>
    <n v="0"/>
    <m/>
    <n v="20912.054794520525"/>
    <n v="45087.945205479475"/>
  </r>
  <r>
    <n v="53"/>
    <s v="مكبس نفايات أرضي"/>
    <x v="0"/>
    <x v="2"/>
    <x v="14"/>
    <x v="45"/>
    <s v="مك 013/034"/>
    <x v="0"/>
    <s v="أنقاض"/>
    <s v="التشغيل"/>
    <m/>
    <m/>
    <d v="2016-11-20T00:00:00"/>
    <s v="الساطعة الحديثة للمقاولات"/>
    <s v="37-12-2017"/>
    <n v="1"/>
    <m/>
    <n v="66000"/>
    <n v="66000"/>
    <n v="11012.054794520525"/>
    <n v="54987.945205479475"/>
    <m/>
    <m/>
    <m/>
    <n v="0"/>
    <m/>
    <m/>
    <m/>
    <m/>
    <m/>
    <m/>
    <n v="0"/>
    <n v="0"/>
    <n v="1"/>
    <n v="66000"/>
    <n v="0.15"/>
    <m/>
    <s v="في التشغيل"/>
    <n v="9900"/>
    <n v="0"/>
    <n v="0"/>
    <n v="0"/>
    <m/>
    <n v="20912.054794520525"/>
    <n v="45087.945205479475"/>
  </r>
  <r>
    <n v="54"/>
    <s v="مكبس نفايات أرضي"/>
    <x v="0"/>
    <x v="2"/>
    <x v="14"/>
    <x v="46"/>
    <s v="مك 014/034"/>
    <x v="0"/>
    <s v="أنقاض"/>
    <s v="التشغيل"/>
    <m/>
    <m/>
    <d v="2016-11-20T00:00:00"/>
    <s v="الساطعة الحديثة للمقاولات"/>
    <s v="37-12-2017"/>
    <n v="1"/>
    <m/>
    <n v="66000"/>
    <n v="66000"/>
    <n v="11012.054794520525"/>
    <n v="54987.945205479475"/>
    <m/>
    <m/>
    <m/>
    <n v="0"/>
    <m/>
    <m/>
    <m/>
    <m/>
    <m/>
    <m/>
    <n v="0"/>
    <n v="0"/>
    <n v="1"/>
    <n v="66000"/>
    <n v="0.15"/>
    <m/>
    <s v="في التشغيل"/>
    <n v="9900"/>
    <n v="0"/>
    <n v="0"/>
    <n v="0"/>
    <m/>
    <n v="20912.054794520525"/>
    <n v="45087.945205479475"/>
  </r>
  <r>
    <n v="55"/>
    <s v="مكبس نفايات أرضي"/>
    <x v="0"/>
    <x v="2"/>
    <x v="19"/>
    <x v="47"/>
    <s v="مك MT001"/>
    <x v="0"/>
    <s v="أنقاض"/>
    <s v="التشغيل"/>
    <m/>
    <m/>
    <d v="2016-06-21T00:00:00"/>
    <s v="شركة الفهاد"/>
    <s v="37-12-2016"/>
    <n v="1"/>
    <m/>
    <n v="80000"/>
    <n v="80000"/>
    <n v="18345.205479452066"/>
    <n v="61654.794520547934"/>
    <m/>
    <m/>
    <m/>
    <n v="0"/>
    <m/>
    <m/>
    <m/>
    <m/>
    <m/>
    <m/>
    <n v="0"/>
    <n v="0"/>
    <n v="1"/>
    <n v="80000"/>
    <n v="0.15"/>
    <m/>
    <s v="في التشغيل"/>
    <n v="12000"/>
    <n v="0"/>
    <n v="0"/>
    <n v="0"/>
    <m/>
    <n v="30345.205479452066"/>
    <n v="49654.794520547934"/>
  </r>
  <r>
    <n v="56"/>
    <s v="مكبس نفايات أرضي"/>
    <x v="0"/>
    <x v="2"/>
    <x v="19"/>
    <x v="48"/>
    <s v="مك MT002"/>
    <x v="0"/>
    <s v="أنقاض"/>
    <s v="التشغيل"/>
    <m/>
    <m/>
    <d v="2016-06-21T00:00:00"/>
    <s v="شركة الفهاد"/>
    <s v="37-12-2016"/>
    <n v="1"/>
    <m/>
    <n v="80000"/>
    <n v="80000"/>
    <n v="18345.205479452066"/>
    <n v="61654.794520547934"/>
    <m/>
    <m/>
    <m/>
    <n v="0"/>
    <m/>
    <m/>
    <m/>
    <m/>
    <m/>
    <m/>
    <n v="0"/>
    <n v="0"/>
    <n v="1"/>
    <n v="80000"/>
    <n v="0.15"/>
    <m/>
    <s v="في التشغيل"/>
    <n v="12000"/>
    <n v="0"/>
    <n v="0"/>
    <n v="0"/>
    <m/>
    <n v="30345.205479452066"/>
    <n v="49654.794520547934"/>
  </r>
  <r>
    <n v="57"/>
    <s v="مكبس نفايات أرضي"/>
    <x v="0"/>
    <x v="2"/>
    <x v="19"/>
    <x v="49"/>
    <s v="مك MT003"/>
    <x v="0"/>
    <s v="أنقاض"/>
    <s v="التشغيل"/>
    <m/>
    <m/>
    <d v="2016-06-21T00:00:00"/>
    <s v="شركة الفهاد"/>
    <s v="37-12-2016"/>
    <n v="1"/>
    <m/>
    <n v="80000"/>
    <n v="80000"/>
    <n v="18345.205479452066"/>
    <n v="61654.794520547934"/>
    <m/>
    <m/>
    <m/>
    <n v="0"/>
    <m/>
    <m/>
    <m/>
    <m/>
    <m/>
    <m/>
    <n v="0"/>
    <n v="0"/>
    <n v="1"/>
    <n v="80000"/>
    <n v="0.15"/>
    <m/>
    <s v="في التشغيل"/>
    <n v="12000"/>
    <n v="0"/>
    <n v="0"/>
    <n v="0"/>
    <m/>
    <n v="30345.205479452066"/>
    <n v="49654.794520547934"/>
  </r>
  <r>
    <n v="58"/>
    <s v="مكبس نفايات أرضي"/>
    <x v="0"/>
    <x v="2"/>
    <x v="14"/>
    <x v="50"/>
    <s v="مك 015/034"/>
    <x v="0"/>
    <s v="أنقاض"/>
    <s v="التشغيل"/>
    <m/>
    <m/>
    <d v="2016-08-25T00:00:00"/>
    <s v="الساطعة الحديثة للمقاولات _x000a_شيك 1907 من الفهاد"/>
    <s v="07-06-2016"/>
    <n v="1"/>
    <m/>
    <n v="66000"/>
    <n v="66000"/>
    <n v="13371.7808219178"/>
    <n v="52628.219178082203"/>
    <m/>
    <m/>
    <m/>
    <n v="0"/>
    <m/>
    <m/>
    <m/>
    <m/>
    <m/>
    <m/>
    <n v="0"/>
    <n v="0"/>
    <n v="1"/>
    <n v="66000"/>
    <n v="0.15"/>
    <m/>
    <s v="في التشغيل"/>
    <n v="9900"/>
    <n v="0"/>
    <n v="0"/>
    <n v="0"/>
    <m/>
    <n v="23271.7808219178"/>
    <n v="42728.219178082203"/>
  </r>
  <r>
    <n v="59"/>
    <s v="مكبس نفايات أرضي"/>
    <x v="0"/>
    <x v="2"/>
    <x v="14"/>
    <x v="51"/>
    <s v="مك 016/034"/>
    <x v="0"/>
    <s v="أنقاض"/>
    <s v="التشغيل"/>
    <m/>
    <m/>
    <d v="2016-08-25T00:00:00"/>
    <s v="الساطعة الحديثة للمقاولات _x000a_شيك 1907 من الفهاد"/>
    <s v="07-06-2016"/>
    <n v="1"/>
    <m/>
    <n v="66000"/>
    <n v="66000"/>
    <n v="13371.7808219178"/>
    <n v="52628.219178082203"/>
    <m/>
    <m/>
    <m/>
    <n v="0"/>
    <m/>
    <m/>
    <m/>
    <m/>
    <m/>
    <m/>
    <n v="0"/>
    <n v="0"/>
    <n v="1"/>
    <n v="66000"/>
    <n v="0.15"/>
    <m/>
    <s v="في التشغيل"/>
    <n v="9900"/>
    <n v="0"/>
    <n v="0"/>
    <n v="0"/>
    <m/>
    <n v="23271.7808219178"/>
    <n v="42728.219178082203"/>
  </r>
  <r>
    <n v="60"/>
    <s v="مكبس نفايات أرضي"/>
    <x v="0"/>
    <x v="2"/>
    <x v="14"/>
    <x v="52"/>
    <s v="مك 017/034"/>
    <x v="0"/>
    <s v="أنقاض"/>
    <s v="التشغيل"/>
    <m/>
    <m/>
    <d v="2016-08-25T00:00:00"/>
    <s v="الساطعة الحديثة للمقاولات _x000a_شيك 1907 من الفهاد"/>
    <s v="07-06-2016"/>
    <n v="1"/>
    <m/>
    <n v="66000"/>
    <n v="66000"/>
    <n v="13371.7808219178"/>
    <n v="52628.219178082203"/>
    <m/>
    <m/>
    <m/>
    <n v="0"/>
    <m/>
    <m/>
    <m/>
    <m/>
    <m/>
    <m/>
    <n v="0"/>
    <n v="0"/>
    <n v="1"/>
    <n v="66000"/>
    <n v="0.15"/>
    <m/>
    <s v="في التشغيل"/>
    <n v="9900"/>
    <n v="0"/>
    <n v="0"/>
    <n v="0"/>
    <m/>
    <n v="23271.7808219178"/>
    <n v="42728.219178082203"/>
  </r>
  <r>
    <n v="61"/>
    <s v="روول أون روول أوف"/>
    <x v="0"/>
    <x v="5"/>
    <x v="15"/>
    <x v="53"/>
    <m/>
    <x v="0"/>
    <s v="أنقاض"/>
    <s v="التشغيل"/>
    <s v="ok"/>
    <s v="ب.ب.ن_x000a_6797"/>
    <d v="2016-07-28T00:00:00"/>
    <s v="العيسائي"/>
    <m/>
    <n v="1"/>
    <m/>
    <n v="250000"/>
    <n v="250000"/>
    <n v="89212.328767123283"/>
    <n v="160787.67123287672"/>
    <m/>
    <m/>
    <m/>
    <n v="0"/>
    <m/>
    <m/>
    <m/>
    <m/>
    <m/>
    <m/>
    <n v="0"/>
    <n v="0"/>
    <n v="1"/>
    <n v="250000"/>
    <n v="0.15"/>
    <m/>
    <s v="في التشغيل"/>
    <n v="37500"/>
    <n v="0"/>
    <n v="0"/>
    <n v="0"/>
    <m/>
    <n v="126712.32876712328"/>
    <n v="123287.67123287672"/>
  </r>
  <r>
    <n v="62"/>
    <s v="روول أون روول أوف"/>
    <x v="0"/>
    <x v="5"/>
    <x v="15"/>
    <x v="54"/>
    <m/>
    <x v="0"/>
    <s v="أنقاض"/>
    <s v="التشغيل"/>
    <s v="ok"/>
    <s v="ب.ب.ن_x000a_6796"/>
    <d v="2016-07-29T00:00:00"/>
    <s v="العيسائي"/>
    <m/>
    <n v="1"/>
    <m/>
    <n v="250000"/>
    <n v="250000"/>
    <n v="89041.095890410958"/>
    <n v="160958.90410958906"/>
    <m/>
    <m/>
    <m/>
    <n v="0"/>
    <m/>
    <m/>
    <m/>
    <m/>
    <m/>
    <m/>
    <n v="0"/>
    <n v="0"/>
    <n v="1"/>
    <n v="250000"/>
    <n v="0.15"/>
    <m/>
    <s v="في التشغيل"/>
    <n v="37500"/>
    <n v="0"/>
    <n v="0"/>
    <n v="0"/>
    <m/>
    <n v="126541.09589041096"/>
    <n v="123458.90410958904"/>
  </r>
  <r>
    <n v="63"/>
    <s v="روول أون روول أوف"/>
    <x v="0"/>
    <x v="5"/>
    <x v="6"/>
    <x v="12"/>
    <m/>
    <x v="2"/>
    <m/>
    <s v="التشغيل"/>
    <s v="ok"/>
    <s v="ب.ب.ن_x000a_6795"/>
    <d v="2016-07-29T00:00:00"/>
    <s v="العيسائي"/>
    <m/>
    <n v="1"/>
    <m/>
    <n v="250000"/>
    <n v="250000"/>
    <n v="89041.095890410958"/>
    <n v="160958.90410958906"/>
    <m/>
    <m/>
    <m/>
    <n v="0"/>
    <m/>
    <m/>
    <m/>
    <m/>
    <m/>
    <m/>
    <n v="0"/>
    <n v="0"/>
    <n v="1"/>
    <n v="250000"/>
    <n v="0.15"/>
    <m/>
    <s v="في التشغيل"/>
    <n v="37500"/>
    <n v="0"/>
    <n v="0"/>
    <n v="0"/>
    <m/>
    <n v="126541.09589041096"/>
    <n v="123458.90410958904"/>
  </r>
  <r>
    <n v="64"/>
    <s v="حاويات 04 ياردة"/>
    <x v="0"/>
    <x v="1"/>
    <x v="12"/>
    <x v="26"/>
    <m/>
    <x v="0"/>
    <s v="نفايات"/>
    <s v="التشغيل"/>
    <m/>
    <m/>
    <d v="2016-06-30T00:00:00"/>
    <s v="ربوع كلادة للتشغيل"/>
    <m/>
    <n v="43"/>
    <m/>
    <n v="595.4"/>
    <n v="25602.2"/>
    <n v="5776.2771780821913"/>
    <n v="19825.922821917811"/>
    <m/>
    <m/>
    <m/>
    <n v="0"/>
    <m/>
    <m/>
    <m/>
    <m/>
    <m/>
    <m/>
    <n v="0"/>
    <n v="0"/>
    <n v="43"/>
    <n v="25602.2"/>
    <n v="0.125"/>
    <m/>
    <s v="في التشغيل"/>
    <n v="3200.2750000000001"/>
    <n v="0"/>
    <n v="0"/>
    <n v="0"/>
    <m/>
    <n v="8976.5521780821909"/>
    <n v="16625.64782191781"/>
  </r>
  <r>
    <n v="65"/>
    <s v="حاويات 06 ياردة"/>
    <x v="0"/>
    <x v="1"/>
    <x v="13"/>
    <x v="27"/>
    <m/>
    <x v="0"/>
    <s v="نفايات"/>
    <s v="التشغيل"/>
    <m/>
    <m/>
    <d v="2016-01-02T00:00:00"/>
    <s v="ربوع كلادة للتشغيل"/>
    <m/>
    <n v="75"/>
    <m/>
    <n v="1600"/>
    <n v="120000"/>
    <n v="35950.684931506854"/>
    <n v="84049.315068493146"/>
    <m/>
    <m/>
    <m/>
    <n v="0"/>
    <m/>
    <m/>
    <m/>
    <m/>
    <m/>
    <m/>
    <n v="0"/>
    <n v="0"/>
    <n v="75"/>
    <n v="120000"/>
    <n v="0.125"/>
    <m/>
    <s v="في التشغيل"/>
    <n v="15000"/>
    <n v="0"/>
    <n v="0"/>
    <n v="0"/>
    <m/>
    <n v="50950.684931506854"/>
    <n v="69049.315068493146"/>
  </r>
  <r>
    <n v="66"/>
    <s v="حاويات مكبس 30 ياردة"/>
    <x v="0"/>
    <x v="1"/>
    <x v="20"/>
    <x v="55"/>
    <m/>
    <x v="0"/>
    <s v="أنقاض"/>
    <s v="التشغيل"/>
    <m/>
    <s v="المطار"/>
    <d v="2016-08-30T00:00:00"/>
    <s v="ربوع كلادة للتشغيل"/>
    <m/>
    <n v="5"/>
    <m/>
    <n v="23000"/>
    <n v="115000"/>
    <n v="23063.013698630137"/>
    <n v="91936.986301369863"/>
    <m/>
    <m/>
    <m/>
    <n v="0"/>
    <m/>
    <m/>
    <m/>
    <m/>
    <m/>
    <m/>
    <n v="0"/>
    <n v="0"/>
    <n v="5"/>
    <n v="115000"/>
    <n v="0.125"/>
    <m/>
    <s v="في التشغيل"/>
    <n v="14375"/>
    <n v="0"/>
    <n v="0"/>
    <n v="0"/>
    <m/>
    <n v="37438.013698630137"/>
    <n v="77561.986301369863"/>
  </r>
  <r>
    <n v="67"/>
    <s v="حاويات 30 ياردة مفتوحة"/>
    <x v="0"/>
    <x v="1"/>
    <x v="20"/>
    <x v="55"/>
    <m/>
    <x v="0"/>
    <s v="أنقاض"/>
    <s v="التشغيل"/>
    <m/>
    <m/>
    <d v="2016-06-01T00:00:00"/>
    <s v="ربوع كلادة للتشغيل"/>
    <m/>
    <n v="3"/>
    <m/>
    <n v="12000"/>
    <n v="36000"/>
    <n v="8551.232876712329"/>
    <n v="27448.767123287671"/>
    <m/>
    <m/>
    <m/>
    <n v="0"/>
    <m/>
    <m/>
    <m/>
    <m/>
    <m/>
    <m/>
    <n v="0"/>
    <n v="0"/>
    <n v="3"/>
    <n v="36000"/>
    <n v="0.125"/>
    <m/>
    <s v="في التشغيل"/>
    <n v="4500"/>
    <n v="0"/>
    <n v="0"/>
    <n v="0"/>
    <m/>
    <n v="13051.232876712329"/>
    <n v="22948.767123287671"/>
  </r>
  <r>
    <n v="68"/>
    <s v="حاويات 02 ياردة"/>
    <x v="0"/>
    <x v="1"/>
    <x v="1"/>
    <x v="1"/>
    <m/>
    <x v="0"/>
    <s v="نفايات"/>
    <s v="التشغيل"/>
    <m/>
    <m/>
    <d v="2016-04-01T00:00:00"/>
    <s v="ربوع كلادة للتشغيل"/>
    <m/>
    <n v="15"/>
    <m/>
    <n v="850"/>
    <n v="12750"/>
    <n v="3348.1849315068494"/>
    <n v="9401.8150684931497"/>
    <m/>
    <m/>
    <m/>
    <n v="0"/>
    <m/>
    <m/>
    <m/>
    <m/>
    <m/>
    <m/>
    <n v="0"/>
    <n v="0"/>
    <n v="15"/>
    <n v="12750"/>
    <n v="0.125"/>
    <m/>
    <s v="في التشغيل"/>
    <n v="1593.75"/>
    <n v="0"/>
    <n v="0"/>
    <n v="0"/>
    <m/>
    <n v="4941.9349315068494"/>
    <n v="7808.0650684931506"/>
  </r>
  <r>
    <n v="69"/>
    <s v="حاويات 04 ياردة بغطاء"/>
    <x v="0"/>
    <x v="1"/>
    <x v="12"/>
    <x v="26"/>
    <m/>
    <x v="0"/>
    <s v="نفايات"/>
    <s v="التشغيل"/>
    <m/>
    <m/>
    <d v="2016-04-01T00:00:00"/>
    <s v="ربوع كلادة للتشغيل"/>
    <m/>
    <n v="4"/>
    <m/>
    <n v="1225"/>
    <n v="4900"/>
    <n v="1286.7534246575342"/>
    <n v="3613.2465753424658"/>
    <m/>
    <m/>
    <m/>
    <n v="0"/>
    <m/>
    <m/>
    <m/>
    <m/>
    <m/>
    <m/>
    <n v="0"/>
    <n v="0"/>
    <n v="4"/>
    <n v="4900"/>
    <n v="0.125"/>
    <m/>
    <s v="في التشغيل"/>
    <n v="612.5"/>
    <n v="0"/>
    <n v="0"/>
    <n v="0"/>
    <m/>
    <n v="1899.2534246575342"/>
    <n v="3000.7465753424658"/>
  </r>
  <r>
    <n v="70"/>
    <s v="حاويات 06 ياردة بغطاء"/>
    <x v="0"/>
    <x v="1"/>
    <x v="13"/>
    <x v="27"/>
    <m/>
    <x v="0"/>
    <s v="نفايات"/>
    <s v="التشغيل"/>
    <m/>
    <m/>
    <d v="2016-04-01T00:00:00"/>
    <s v="ربوع كلادة للتشغيل"/>
    <m/>
    <n v="9"/>
    <m/>
    <n v="1800"/>
    <n v="16200"/>
    <n v="4254.1643835616433"/>
    <n v="11945.835616438357"/>
    <m/>
    <m/>
    <m/>
    <n v="0"/>
    <m/>
    <m/>
    <m/>
    <m/>
    <m/>
    <m/>
    <n v="0"/>
    <n v="0"/>
    <n v="9"/>
    <n v="16200"/>
    <n v="0.125"/>
    <m/>
    <s v="في التشغيل"/>
    <n v="2025"/>
    <n v="0"/>
    <n v="0"/>
    <n v="0"/>
    <m/>
    <n v="6279.1643835616433"/>
    <n v="9920.8356164383567"/>
  </r>
  <r>
    <n v="71"/>
    <s v="أغطية حاويات 06 ياردة"/>
    <x v="0"/>
    <x v="1"/>
    <x v="13"/>
    <x v="27"/>
    <m/>
    <x v="0"/>
    <s v="نفايات"/>
    <s v="التشغيل"/>
    <m/>
    <m/>
    <d v="2016-04-01T00:00:00"/>
    <s v="ربوع كلادة للتشغيل"/>
    <m/>
    <n v="6"/>
    <m/>
    <n v="733"/>
    <n v="4398"/>
    <n v="1154.9268493150685"/>
    <n v="3243.0731506849315"/>
    <m/>
    <m/>
    <m/>
    <n v="0"/>
    <m/>
    <m/>
    <m/>
    <m/>
    <m/>
    <m/>
    <n v="0"/>
    <n v="0"/>
    <n v="6"/>
    <n v="4398"/>
    <n v="0.125"/>
    <m/>
    <s v="في التشغيل"/>
    <n v="549.75"/>
    <n v="0"/>
    <n v="0"/>
    <n v="0"/>
    <m/>
    <n v="1704.6768493150685"/>
    <n v="2693.3231506849315"/>
  </r>
  <r>
    <n v="72"/>
    <s v="أغطية حاويات 04 ياردة"/>
    <x v="0"/>
    <x v="1"/>
    <x v="12"/>
    <x v="26"/>
    <m/>
    <x v="0"/>
    <s v="نفايات"/>
    <s v="التشغيل"/>
    <m/>
    <m/>
    <d v="2016-04-01T00:00:00"/>
    <s v="ربوع كلادة للتشغيل"/>
    <m/>
    <n v="5"/>
    <m/>
    <n v="400"/>
    <n v="2000"/>
    <n v="525.20547945205476"/>
    <n v="1474.7945205479452"/>
    <m/>
    <m/>
    <m/>
    <n v="0"/>
    <m/>
    <m/>
    <m/>
    <m/>
    <m/>
    <m/>
    <n v="0"/>
    <n v="0"/>
    <n v="5"/>
    <n v="2000"/>
    <n v="0.125"/>
    <m/>
    <s v="في التشغيل"/>
    <n v="250"/>
    <n v="0"/>
    <n v="0"/>
    <n v="0"/>
    <m/>
    <n v="775.20547945205476"/>
    <n v="1224.7945205479452"/>
  </r>
  <r>
    <n v="73"/>
    <s v="حاويات 02 ياردة"/>
    <x v="4"/>
    <x v="1"/>
    <x v="1"/>
    <x v="1"/>
    <m/>
    <x v="8"/>
    <m/>
    <s v="التشغيل"/>
    <m/>
    <m/>
    <d v="2016-04-04T00:00:00"/>
    <s v="مصنع الفهاد"/>
    <m/>
    <n v="50"/>
    <m/>
    <n v="700"/>
    <n v="35000"/>
    <n v="6098.6301369863013"/>
    <n v="28901.369863013701"/>
    <m/>
    <m/>
    <m/>
    <n v="0"/>
    <m/>
    <m/>
    <m/>
    <m/>
    <m/>
    <m/>
    <n v="0"/>
    <n v="0"/>
    <n v="50"/>
    <n v="35000"/>
    <n v="0.1"/>
    <m/>
    <s v="في التشغيل"/>
    <n v="3500"/>
    <n v="0"/>
    <n v="0"/>
    <n v="0"/>
    <m/>
    <n v="9598.6301369863013"/>
    <n v="25401.369863013701"/>
  </r>
  <r>
    <n v="74"/>
    <s v="حاويات 02 ياردة"/>
    <x v="0"/>
    <x v="1"/>
    <x v="1"/>
    <x v="1"/>
    <m/>
    <x v="7"/>
    <m/>
    <s v="التشغيل"/>
    <m/>
    <m/>
    <d v="2013-08-05T23:58:34"/>
    <m/>
    <m/>
    <n v="126"/>
    <m/>
    <n v="692.07"/>
    <n v="87200.82"/>
    <n v="47502.311547945123"/>
    <n v="39698.508452054884"/>
    <m/>
    <m/>
    <m/>
    <n v="0"/>
    <m/>
    <m/>
    <m/>
    <m/>
    <m/>
    <m/>
    <n v="0"/>
    <n v="0"/>
    <n v="126"/>
    <n v="87200.82"/>
    <n v="0.125"/>
    <m/>
    <s v="في التشغيل"/>
    <n v="10900.102500000001"/>
    <n v="0"/>
    <n v="0"/>
    <n v="0"/>
    <m/>
    <n v="58402.414047945123"/>
    <n v="28798.405952054884"/>
  </r>
  <r>
    <n v="75"/>
    <s v="حاويات 02 ياردة "/>
    <x v="0"/>
    <x v="1"/>
    <x v="1"/>
    <x v="1"/>
    <m/>
    <x v="6"/>
    <m/>
    <s v="التشغيل"/>
    <m/>
    <m/>
    <d v="2016-09-01T00:00:00"/>
    <s v="مصنع الفهاد"/>
    <m/>
    <n v="100"/>
    <n v="10223"/>
    <n v="700"/>
    <n v="70000"/>
    <n v="13980.821917808218"/>
    <n v="56019.178082191778"/>
    <m/>
    <m/>
    <m/>
    <n v="0"/>
    <m/>
    <m/>
    <m/>
    <m/>
    <m/>
    <m/>
    <n v="0"/>
    <n v="0"/>
    <n v="100"/>
    <n v="70000"/>
    <n v="0.125"/>
    <m/>
    <s v="في التشغيل"/>
    <n v="8750"/>
    <n v="0"/>
    <n v="0"/>
    <n v="0"/>
    <m/>
    <n v="22730.821917808218"/>
    <n v="47269.178082191778"/>
  </r>
  <r>
    <n v="76"/>
    <s v="حاويات 02 ياردة "/>
    <x v="0"/>
    <x v="1"/>
    <x v="1"/>
    <x v="1"/>
    <m/>
    <x v="8"/>
    <m/>
    <s v="التشغيل"/>
    <m/>
    <m/>
    <d v="2016-09-01T00:00:00"/>
    <s v="مصنع الفهاد"/>
    <m/>
    <n v="50"/>
    <n v="10157"/>
    <n v="700"/>
    <n v="35000"/>
    <n v="6990.4109589041091"/>
    <n v="28009.589041095889"/>
    <m/>
    <m/>
    <m/>
    <n v="0"/>
    <m/>
    <m/>
    <m/>
    <m/>
    <m/>
    <m/>
    <n v="0"/>
    <n v="0"/>
    <n v="50"/>
    <n v="35000"/>
    <n v="0.125"/>
    <m/>
    <s v="في التشغيل"/>
    <n v="4375"/>
    <n v="0"/>
    <n v="0"/>
    <n v="0"/>
    <m/>
    <n v="11365.410958904109"/>
    <n v="23634.589041095889"/>
  </r>
  <r>
    <n v="77"/>
    <s v="محولات مكابس أرضية"/>
    <x v="0"/>
    <x v="2"/>
    <x v="2"/>
    <x v="2"/>
    <m/>
    <x v="0"/>
    <s v="أنقاض"/>
    <s v="التشغيل"/>
    <m/>
    <s v="مدارس الرواد"/>
    <d v="2016-12-07T00:00:00"/>
    <s v="مؤسسة الرمال "/>
    <s v="20-12-2016"/>
    <n v="1"/>
    <m/>
    <n v="971.25"/>
    <n v="971.25"/>
    <n v="207.02260273972601"/>
    <n v="764.22739726027396"/>
    <m/>
    <m/>
    <m/>
    <n v="0"/>
    <m/>
    <m/>
    <m/>
    <m/>
    <m/>
    <m/>
    <n v="0"/>
    <n v="0"/>
    <n v="1"/>
    <n v="971.25"/>
    <n v="0.15"/>
    <m/>
    <s v="في التشغيل"/>
    <n v="145.6875"/>
    <n v="0"/>
    <n v="0"/>
    <n v="0"/>
    <m/>
    <n v="352.71010273972604"/>
    <n v="618.53989726027396"/>
  </r>
  <r>
    <n v="78"/>
    <s v="محولات مكابس أرضية"/>
    <x v="0"/>
    <x v="2"/>
    <x v="2"/>
    <x v="2"/>
    <m/>
    <x v="0"/>
    <s v="أنقاض"/>
    <s v="التشغيل"/>
    <m/>
    <s v="مدارس الرواد"/>
    <d v="2016-12-07T00:00:00"/>
    <s v="مؤسسة الرمال "/>
    <s v="20-12-2016"/>
    <n v="1"/>
    <m/>
    <n v="971.25"/>
    <n v="971.25"/>
    <n v="207.02260273972601"/>
    <n v="764.22739726027396"/>
    <m/>
    <m/>
    <m/>
    <n v="0"/>
    <m/>
    <m/>
    <m/>
    <m/>
    <m/>
    <m/>
    <n v="0"/>
    <n v="0"/>
    <n v="1"/>
    <n v="971.25"/>
    <n v="0.15"/>
    <m/>
    <s v="في التشغيل"/>
    <n v="145.6875"/>
    <n v="0"/>
    <n v="0"/>
    <n v="0"/>
    <m/>
    <n v="352.71010273972604"/>
    <n v="618.53989726027396"/>
  </r>
  <r>
    <n v="79"/>
    <s v="محولات مكابس أرضية"/>
    <x v="0"/>
    <x v="2"/>
    <x v="2"/>
    <x v="2"/>
    <m/>
    <x v="0"/>
    <s v="أنقاض"/>
    <s v="التشغيل"/>
    <m/>
    <s v="مدارس الرواد"/>
    <d v="2016-12-07T00:00:00"/>
    <s v="مؤسسة الرمال "/>
    <s v="20-12-2016"/>
    <n v="1"/>
    <m/>
    <n v="971.25"/>
    <n v="971.25"/>
    <n v="207.02260273972601"/>
    <n v="764.22739726027396"/>
    <m/>
    <m/>
    <m/>
    <n v="0"/>
    <m/>
    <m/>
    <m/>
    <m/>
    <m/>
    <m/>
    <n v="0"/>
    <n v="0"/>
    <n v="1"/>
    <n v="971.25"/>
    <n v="0.15"/>
    <m/>
    <s v="في التشغيل"/>
    <n v="145.6875"/>
    <n v="0"/>
    <n v="0"/>
    <n v="0"/>
    <m/>
    <n v="352.71010273972604"/>
    <n v="618.53989726027396"/>
  </r>
  <r>
    <n v="80"/>
    <s v="محولات مكابس أرضية"/>
    <x v="0"/>
    <x v="2"/>
    <x v="2"/>
    <x v="2"/>
    <m/>
    <x v="0"/>
    <s v="أنقاض"/>
    <s v="التشغيل"/>
    <m/>
    <s v="مدارس بن خلدون"/>
    <d v="2016-11-02T00:00:00"/>
    <m/>
    <s v="15-11-2016"/>
    <n v="1"/>
    <m/>
    <n v="800"/>
    <n v="800"/>
    <n v="185.86301369863"/>
    <n v="614.13698630137003"/>
    <m/>
    <m/>
    <m/>
    <n v="0"/>
    <m/>
    <m/>
    <m/>
    <m/>
    <m/>
    <m/>
    <n v="0"/>
    <n v="0"/>
    <n v="1"/>
    <n v="800"/>
    <n v="0.15"/>
    <m/>
    <s v="في التشغيل"/>
    <n v="120"/>
    <n v="0"/>
    <n v="0"/>
    <n v="0"/>
    <m/>
    <n v="305.86301369862997"/>
    <n v="494.13698630137003"/>
  </r>
  <r>
    <n v="81"/>
    <s v="حاويات 02 ياردة"/>
    <x v="0"/>
    <x v="1"/>
    <x v="1"/>
    <x v="1"/>
    <m/>
    <x v="0"/>
    <s v="نفايات"/>
    <s v="التشغيل"/>
    <m/>
    <m/>
    <d v="2016-12-31T00:00:00"/>
    <s v="مصنع الفهاد"/>
    <m/>
    <n v="5"/>
    <n v="10297"/>
    <n v="700"/>
    <n v="3500"/>
    <n v="525"/>
    <n v="2975"/>
    <m/>
    <m/>
    <m/>
    <n v="0"/>
    <m/>
    <m/>
    <m/>
    <m/>
    <m/>
    <m/>
    <n v="0"/>
    <n v="0"/>
    <n v="5"/>
    <n v="3500"/>
    <n v="0.125"/>
    <m/>
    <s v="في التشغيل"/>
    <n v="437.5"/>
    <n v="0"/>
    <n v="0"/>
    <n v="0"/>
    <m/>
    <n v="962.5"/>
    <n v="2537.5"/>
  </r>
  <r>
    <n v="82"/>
    <s v="نيسان إكستيرا"/>
    <x v="1"/>
    <x v="4"/>
    <x v="21"/>
    <x v="56"/>
    <s v="NIAXT 001"/>
    <x v="0"/>
    <s v="أنقاض"/>
    <s v="التشغيل"/>
    <m/>
    <s v="ب.س.ه_x000a_6869"/>
    <m/>
    <m/>
    <m/>
    <n v="1"/>
    <m/>
    <n v="0"/>
    <n v="0"/>
    <m/>
    <s v=""/>
    <m/>
    <m/>
    <m/>
    <n v="0"/>
    <m/>
    <m/>
    <m/>
    <m/>
    <m/>
    <m/>
    <n v="0"/>
    <n v="0"/>
    <n v="1"/>
    <n v="0"/>
    <n v="0.2"/>
    <m/>
    <m/>
    <e v="#VALUE!"/>
    <n v="0"/>
    <n v="0"/>
    <n v="0"/>
    <m/>
    <s v=""/>
    <s v=""/>
  </r>
  <r>
    <n v="83"/>
    <s v="هيونداي أكسنت "/>
    <x v="1"/>
    <x v="4"/>
    <x v="4"/>
    <x v="57"/>
    <s v="HYACC 006"/>
    <x v="0"/>
    <s v="أنقاض"/>
    <s v="التشغيل"/>
    <s v="أحمد محروس"/>
    <s v="ح.ب.د_x000a_4859"/>
    <d v="2013-10-15T00:00:00"/>
    <s v="الوعلان"/>
    <m/>
    <n v="1"/>
    <m/>
    <n v="40500"/>
    <n v="40500"/>
    <n v="40500"/>
    <n v="0"/>
    <m/>
    <m/>
    <m/>
    <n v="0"/>
    <m/>
    <m/>
    <m/>
    <m/>
    <m/>
    <m/>
    <n v="0"/>
    <n v="0"/>
    <n v="1"/>
    <n v="40500"/>
    <n v="0.2"/>
    <m/>
    <s v="في التشغيل"/>
    <n v="0"/>
    <n v="0"/>
    <n v="0"/>
    <n v="0"/>
    <m/>
    <n v="40500"/>
    <n v="0"/>
  </r>
  <r>
    <n v="84"/>
    <s v="ضاغطة هينو"/>
    <x v="1"/>
    <x v="5"/>
    <x v="22"/>
    <x v="58"/>
    <m/>
    <x v="2"/>
    <m/>
    <s v="التشغيل"/>
    <m/>
    <s v="أ.ص.ح_x000a_1307"/>
    <d v="2009-07-01T00:00:00"/>
    <m/>
    <m/>
    <n v="1"/>
    <m/>
    <n v="307357"/>
    <n v="307357"/>
    <n v="307357"/>
    <n v="0"/>
    <m/>
    <m/>
    <m/>
    <n v="0"/>
    <m/>
    <m/>
    <m/>
    <m/>
    <m/>
    <m/>
    <n v="0"/>
    <n v="0"/>
    <n v="1"/>
    <n v="307357"/>
    <n v="0.2"/>
    <m/>
    <s v="في التشغيل"/>
    <n v="0"/>
    <n v="0"/>
    <n v="0"/>
    <n v="0"/>
    <m/>
    <n v="307357"/>
    <n v="0"/>
  </r>
  <r>
    <n v="85"/>
    <s v="شاحنة هينو"/>
    <x v="1"/>
    <x v="5"/>
    <x v="22"/>
    <x v="58"/>
    <m/>
    <x v="2"/>
    <m/>
    <s v="التشغيل"/>
    <m/>
    <s v="أ.ع.ص_x000a_4103"/>
    <d v="2010-04-01T00:00:00"/>
    <m/>
    <m/>
    <n v="1"/>
    <m/>
    <n v="212550"/>
    <n v="212550"/>
    <n v="212550"/>
    <n v="0"/>
    <m/>
    <m/>
    <m/>
    <n v="0"/>
    <m/>
    <m/>
    <m/>
    <m/>
    <m/>
    <m/>
    <n v="0"/>
    <n v="0"/>
    <n v="1"/>
    <n v="212550"/>
    <n v="0.2"/>
    <m/>
    <s v="في التشغيل"/>
    <n v="0"/>
    <n v="0"/>
    <n v="0"/>
    <n v="0"/>
    <m/>
    <n v="212550"/>
    <n v="0"/>
  </r>
  <r>
    <n v="86"/>
    <s v="ضاغطة هينو"/>
    <x v="1"/>
    <x v="5"/>
    <x v="22"/>
    <x v="58"/>
    <m/>
    <x v="2"/>
    <m/>
    <s v="التشغيل"/>
    <m/>
    <s v="أ.ع.ص_x000a_4103"/>
    <d v="2010-04-30T00:00:00"/>
    <m/>
    <m/>
    <n v="1"/>
    <m/>
    <n v="82000"/>
    <n v="82000"/>
    <n v="82000"/>
    <n v="0"/>
    <m/>
    <m/>
    <m/>
    <n v="0"/>
    <m/>
    <m/>
    <m/>
    <m/>
    <m/>
    <m/>
    <n v="0"/>
    <n v="0"/>
    <n v="1"/>
    <n v="82000"/>
    <n v="0.2"/>
    <m/>
    <s v="في التشغيل"/>
    <n v="0"/>
    <n v="0"/>
    <n v="0"/>
    <n v="0"/>
    <m/>
    <n v="82000"/>
    <n v="0"/>
  </r>
  <r>
    <n v="87"/>
    <s v="شاحنة هينو"/>
    <x v="1"/>
    <x v="5"/>
    <x v="22"/>
    <x v="58"/>
    <m/>
    <x v="2"/>
    <m/>
    <s v="التشغيل"/>
    <m/>
    <s v="أ.ع.ص_x000a_4106"/>
    <d v="2010-04-01T00:00:00"/>
    <m/>
    <m/>
    <n v="1"/>
    <m/>
    <n v="212550"/>
    <n v="212550"/>
    <n v="212550"/>
    <n v="0"/>
    <m/>
    <m/>
    <m/>
    <n v="0"/>
    <m/>
    <m/>
    <m/>
    <m/>
    <m/>
    <m/>
    <n v="0"/>
    <n v="0"/>
    <n v="1"/>
    <n v="212550"/>
    <n v="0.2"/>
    <m/>
    <s v="في التشغيل"/>
    <n v="0"/>
    <n v="0"/>
    <n v="0"/>
    <n v="0"/>
    <m/>
    <n v="212550"/>
    <n v="0"/>
  </r>
  <r>
    <n v="88"/>
    <s v="ضاغطة هينو"/>
    <x v="1"/>
    <x v="5"/>
    <x v="22"/>
    <x v="58"/>
    <m/>
    <x v="2"/>
    <m/>
    <s v="التشغيل"/>
    <m/>
    <s v="أ.ع.ص_x000a_4106"/>
    <d v="2010-04-30T00:00:00"/>
    <m/>
    <m/>
    <n v="1"/>
    <m/>
    <n v="82000"/>
    <n v="82000"/>
    <n v="82000"/>
    <n v="0"/>
    <m/>
    <m/>
    <m/>
    <n v="0"/>
    <m/>
    <m/>
    <m/>
    <m/>
    <m/>
    <m/>
    <n v="0"/>
    <n v="0"/>
    <n v="1"/>
    <n v="82000"/>
    <n v="0.2"/>
    <m/>
    <s v="في التشغيل"/>
    <n v="0"/>
    <n v="0"/>
    <n v="0"/>
    <n v="0"/>
    <m/>
    <n v="82000"/>
    <n v="0"/>
  </r>
  <r>
    <n v="89"/>
    <s v="شاحنة إيسوزو "/>
    <x v="1"/>
    <x v="5"/>
    <x v="22"/>
    <x v="58"/>
    <m/>
    <x v="2"/>
    <s v="نفايات_x000a_الشبك"/>
    <s v="التشغيل"/>
    <m/>
    <s v="أ.ل.ح_x000a_4502"/>
    <d v="2011-09-11T00:00:00"/>
    <m/>
    <m/>
    <n v="1"/>
    <m/>
    <n v="267763"/>
    <n v="267763"/>
    <n v="253311.13397260272"/>
    <n v="14451.866027397278"/>
    <m/>
    <m/>
    <m/>
    <n v="0"/>
    <m/>
    <m/>
    <m/>
    <m/>
    <m/>
    <m/>
    <n v="0"/>
    <n v="0"/>
    <n v="1"/>
    <n v="267763"/>
    <n v="0.15"/>
    <m/>
    <s v="في التشغيل"/>
    <n v="14451.866027397278"/>
    <n v="0"/>
    <n v="0"/>
    <n v="0"/>
    <m/>
    <n v="267763"/>
    <n v="0"/>
  </r>
  <r>
    <n v="90"/>
    <s v="ضاغط إيسوزو"/>
    <x v="1"/>
    <x v="5"/>
    <x v="22"/>
    <x v="58"/>
    <m/>
    <x v="2"/>
    <s v="نفايات_x000a_الشبك"/>
    <s v="التشغيل"/>
    <m/>
    <s v="أ.ل.ح_x000a_4502"/>
    <d v="2012-04-29T00:00:00"/>
    <m/>
    <m/>
    <n v="1"/>
    <m/>
    <n v="79269"/>
    <n v="79269"/>
    <n v="67465.520136986292"/>
    <n v="11803.479863013708"/>
    <m/>
    <m/>
    <m/>
    <n v="0"/>
    <m/>
    <m/>
    <m/>
    <m/>
    <m/>
    <m/>
    <n v="0"/>
    <n v="0"/>
    <n v="1"/>
    <n v="79269"/>
    <n v="0.15"/>
    <m/>
    <s v="في التشغيل"/>
    <n v="11803.479863013708"/>
    <n v="0"/>
    <n v="0"/>
    <n v="0"/>
    <m/>
    <n v="79269"/>
    <n v="0"/>
  </r>
  <r>
    <n v="91"/>
    <s v="تحسينات"/>
    <x v="1"/>
    <x v="5"/>
    <x v="22"/>
    <x v="58"/>
    <m/>
    <x v="2"/>
    <s v="نفايات_x000a_الشبك"/>
    <s v="التشغيل"/>
    <m/>
    <s v="أ.ل.ح_x000a_4502"/>
    <d v="2011-09-20T00:00:00"/>
    <m/>
    <m/>
    <n v="1"/>
    <m/>
    <n v="1500"/>
    <n v="1500"/>
    <n v="1413.4931506849314"/>
    <n v="86.506849315068621"/>
    <m/>
    <m/>
    <m/>
    <n v="0"/>
    <m/>
    <m/>
    <m/>
    <m/>
    <m/>
    <m/>
    <n v="0"/>
    <n v="0"/>
    <n v="1"/>
    <n v="1500"/>
    <n v="0.15"/>
    <m/>
    <s v="في التشغيل"/>
    <n v="86.506849315068621"/>
    <n v="0"/>
    <n v="0"/>
    <n v="0"/>
    <m/>
    <n v="1500"/>
    <n v="0"/>
  </r>
  <r>
    <n v="92"/>
    <s v="ضاغط إيسوزو"/>
    <x v="1"/>
    <x v="5"/>
    <x v="22"/>
    <x v="58"/>
    <m/>
    <x v="2"/>
    <m/>
    <s v="التشغيل"/>
    <m/>
    <s v="أ.ك.ل_x000a_2262"/>
    <d v="2011-08-01T00:00:00"/>
    <m/>
    <m/>
    <n v="1"/>
    <m/>
    <n v="305000"/>
    <n v="305000"/>
    <n v="293677.39726027392"/>
    <n v="11322.602739726077"/>
    <m/>
    <m/>
    <m/>
    <n v="0"/>
    <m/>
    <m/>
    <m/>
    <m/>
    <m/>
    <m/>
    <n v="0"/>
    <n v="0"/>
    <n v="1"/>
    <n v="305000"/>
    <n v="0.15"/>
    <m/>
    <s v="في التشغيل"/>
    <n v="11322.602739726077"/>
    <n v="0"/>
    <n v="0"/>
    <n v="0"/>
    <m/>
    <n v="305000"/>
    <n v="0"/>
  </r>
  <r>
    <n v="93"/>
    <s v="شاحنة هينو"/>
    <x v="1"/>
    <x v="5"/>
    <x v="22"/>
    <x v="58"/>
    <m/>
    <x v="2"/>
    <s v="نفايات"/>
    <s v="التشغيل"/>
    <m/>
    <s v="أ.ل.ب_x000a_9281"/>
    <d v="2011-12-27T00:00:00"/>
    <m/>
    <m/>
    <n v="1"/>
    <m/>
    <n v="243070"/>
    <n v="243070"/>
    <n v="219262.45890410958"/>
    <n v="23807.541095890425"/>
    <m/>
    <m/>
    <m/>
    <n v="0"/>
    <m/>
    <m/>
    <m/>
    <m/>
    <m/>
    <m/>
    <n v="0"/>
    <n v="0"/>
    <n v="1"/>
    <n v="243070"/>
    <n v="0.15"/>
    <m/>
    <s v="في التشغيل"/>
    <n v="23807.541095890425"/>
    <n v="0"/>
    <n v="0"/>
    <n v="0"/>
    <m/>
    <n v="243070"/>
    <n v="0"/>
  </r>
  <r>
    <n v="94"/>
    <s v="ضاغط هينو"/>
    <x v="1"/>
    <x v="5"/>
    <x v="22"/>
    <x v="58"/>
    <m/>
    <x v="2"/>
    <s v="نفايات"/>
    <s v="التشغيل"/>
    <m/>
    <s v="أ.ل.ب_x000a_9281"/>
    <d v="2011-12-27T00:00:00"/>
    <m/>
    <m/>
    <n v="1"/>
    <m/>
    <n v="93000"/>
    <n v="93000"/>
    <n v="83891.095890410958"/>
    <n v="9108.9041095890425"/>
    <m/>
    <m/>
    <m/>
    <n v="0"/>
    <m/>
    <m/>
    <m/>
    <m/>
    <m/>
    <m/>
    <n v="0"/>
    <n v="0"/>
    <n v="1"/>
    <n v="93000"/>
    <n v="0.15"/>
    <m/>
    <s v="في التشغيل"/>
    <n v="9108.9041095890425"/>
    <n v="0"/>
    <n v="0"/>
    <n v="0"/>
    <m/>
    <n v="93000"/>
    <n v="0"/>
  </r>
  <r>
    <n v="95"/>
    <s v="شاحنة هينو"/>
    <x v="1"/>
    <x v="5"/>
    <x v="22"/>
    <x v="58"/>
    <m/>
    <x v="2"/>
    <m/>
    <s v="التشغيل"/>
    <m/>
    <s v="أ.م.د_x000a_9305"/>
    <d v="2012-07-01T00:00:00"/>
    <m/>
    <m/>
    <n v="1"/>
    <m/>
    <n v="245826"/>
    <n v="245826"/>
    <n v="202856.96219178083"/>
    <n v="42969.037808219175"/>
    <m/>
    <m/>
    <m/>
    <n v="0"/>
    <m/>
    <m/>
    <m/>
    <m/>
    <m/>
    <m/>
    <n v="0"/>
    <n v="0"/>
    <n v="1"/>
    <n v="245826"/>
    <n v="0.15"/>
    <m/>
    <s v="في التشغيل"/>
    <n v="36873.9"/>
    <n v="0"/>
    <n v="0"/>
    <n v="0"/>
    <m/>
    <n v="239730.86219178082"/>
    <n v="6095.1378082191804"/>
  </r>
  <r>
    <n v="96"/>
    <s v="ضاغط هينو"/>
    <x v="1"/>
    <x v="5"/>
    <x v="22"/>
    <x v="58"/>
    <m/>
    <x v="2"/>
    <m/>
    <s v="التشغيل"/>
    <m/>
    <s v="أ.م.د_x000a_9305"/>
    <d v="2012-12-22T00:00:00"/>
    <m/>
    <m/>
    <n v="1"/>
    <m/>
    <n v="93000"/>
    <n v="93000"/>
    <n v="70093.972602739726"/>
    <n v="22906.027397260274"/>
    <m/>
    <m/>
    <m/>
    <n v="0"/>
    <m/>
    <m/>
    <m/>
    <m/>
    <m/>
    <m/>
    <n v="0"/>
    <n v="0"/>
    <n v="1"/>
    <n v="93000"/>
    <n v="0.15"/>
    <m/>
    <s v="في التشغيل"/>
    <n v="13950"/>
    <n v="0"/>
    <n v="0"/>
    <n v="0"/>
    <m/>
    <n v="84043.972602739726"/>
    <n v="8956.0273972602736"/>
  </r>
  <r>
    <n v="97"/>
    <s v="شاحنة هينو"/>
    <x v="1"/>
    <x v="5"/>
    <x v="10"/>
    <x v="59"/>
    <m/>
    <x v="2"/>
    <s v="نفايات"/>
    <s v="التشغيل"/>
    <m/>
    <s v="أ.م.د_x000a_9306"/>
    <d v="2012-07-01T00:00:00"/>
    <m/>
    <m/>
    <n v="1"/>
    <m/>
    <n v="245826"/>
    <n v="245826"/>
    <n v="202856.96219178083"/>
    <n v="42969.037808219175"/>
    <m/>
    <m/>
    <m/>
    <n v="0"/>
    <m/>
    <m/>
    <m/>
    <m/>
    <m/>
    <m/>
    <n v="0"/>
    <n v="0"/>
    <n v="1"/>
    <n v="245826"/>
    <n v="0.15"/>
    <m/>
    <s v="في التشغيل"/>
    <n v="36873.9"/>
    <n v="0"/>
    <n v="0"/>
    <n v="0"/>
    <m/>
    <n v="239730.86219178082"/>
    <n v="6095.1378082191804"/>
  </r>
  <r>
    <n v="98"/>
    <s v="ضاغط هينو"/>
    <x v="1"/>
    <x v="5"/>
    <x v="10"/>
    <x v="59"/>
    <m/>
    <x v="2"/>
    <s v="نفايات"/>
    <s v="التشغيل"/>
    <m/>
    <s v="أ.م.د_x000a_9306"/>
    <d v="2012-12-22T00:00:00"/>
    <m/>
    <m/>
    <n v="1"/>
    <m/>
    <n v="93000"/>
    <n v="93000"/>
    <n v="70093.972602739726"/>
    <n v="22906.027397260274"/>
    <m/>
    <m/>
    <m/>
    <n v="0"/>
    <m/>
    <m/>
    <m/>
    <m/>
    <m/>
    <m/>
    <n v="0"/>
    <n v="0"/>
    <n v="1"/>
    <n v="93000"/>
    <n v="0.15"/>
    <m/>
    <s v="في التشغيل"/>
    <n v="13950"/>
    <n v="0"/>
    <n v="0"/>
    <n v="0"/>
    <m/>
    <n v="84043.972602739726"/>
    <n v="8956.0273972602736"/>
  </r>
  <r>
    <n v="99"/>
    <s v="شاحنة هينو"/>
    <x v="1"/>
    <x v="5"/>
    <x v="22"/>
    <x v="58"/>
    <m/>
    <x v="2"/>
    <s v="نفايات"/>
    <s v="التشغيل"/>
    <m/>
    <s v="أ.م.د_x000a_9308"/>
    <d v="2012-07-01T00:00:00"/>
    <m/>
    <m/>
    <n v="1"/>
    <m/>
    <n v="245826"/>
    <n v="245826"/>
    <n v="202856.96219178083"/>
    <n v="42969.037808219175"/>
    <m/>
    <m/>
    <m/>
    <n v="0"/>
    <m/>
    <m/>
    <m/>
    <m/>
    <m/>
    <m/>
    <n v="0"/>
    <n v="0"/>
    <n v="1"/>
    <n v="245826"/>
    <n v="0.15"/>
    <m/>
    <s v="في التشغيل"/>
    <n v="36873.9"/>
    <n v="0"/>
    <n v="0"/>
    <n v="0"/>
    <m/>
    <n v="239730.86219178082"/>
    <n v="6095.1378082191804"/>
  </r>
  <r>
    <n v="100"/>
    <s v="ضاغط هينو"/>
    <x v="1"/>
    <x v="5"/>
    <x v="22"/>
    <x v="58"/>
    <m/>
    <x v="2"/>
    <s v="نفايات"/>
    <s v="التشغيل"/>
    <m/>
    <s v="أ.م.د_x000a_9308"/>
    <d v="2012-12-22T00:00:00"/>
    <m/>
    <m/>
    <n v="1"/>
    <m/>
    <n v="93000"/>
    <n v="93000"/>
    <n v="70093.972602739726"/>
    <n v="22906.027397260274"/>
    <m/>
    <m/>
    <m/>
    <n v="0"/>
    <m/>
    <m/>
    <m/>
    <m/>
    <m/>
    <m/>
    <n v="0"/>
    <n v="0"/>
    <n v="1"/>
    <n v="93000"/>
    <n v="0.15"/>
    <m/>
    <s v="في التشغيل"/>
    <n v="13950"/>
    <n v="0"/>
    <n v="0"/>
    <n v="0"/>
    <m/>
    <n v="84043.972602739726"/>
    <n v="8956.0273972602736"/>
  </r>
  <r>
    <n v="101"/>
    <s v="شاحنة هينو"/>
    <x v="1"/>
    <x v="5"/>
    <x v="22"/>
    <x v="58"/>
    <m/>
    <x v="2"/>
    <m/>
    <s v="التشغيل"/>
    <m/>
    <s v="أ.م.د_x000a_9213"/>
    <d v="2012-07-01T00:00:00"/>
    <m/>
    <m/>
    <n v="1"/>
    <m/>
    <n v="245825"/>
    <n v="245825"/>
    <n v="202856.13698630134"/>
    <n v="42968.863013698661"/>
    <m/>
    <m/>
    <m/>
    <n v="0"/>
    <m/>
    <m/>
    <m/>
    <m/>
    <m/>
    <m/>
    <n v="0"/>
    <n v="0"/>
    <n v="1"/>
    <n v="245825"/>
    <n v="0.15"/>
    <m/>
    <s v="في التشغيل"/>
    <n v="36873.75"/>
    <n v="0"/>
    <n v="0"/>
    <n v="0"/>
    <m/>
    <n v="239729.88698630134"/>
    <n v="6095.1130136986612"/>
  </r>
  <r>
    <n v="102"/>
    <s v="ضاغط هينو"/>
    <x v="1"/>
    <x v="5"/>
    <x v="22"/>
    <x v="58"/>
    <m/>
    <x v="2"/>
    <m/>
    <s v="التشغيل"/>
    <m/>
    <s v="أ.م.د_x000a_9213"/>
    <d v="2012-12-22T00:00:00"/>
    <m/>
    <m/>
    <n v="1"/>
    <m/>
    <n v="93000"/>
    <n v="93000"/>
    <n v="70093.972602739726"/>
    <n v="22906.027397260274"/>
    <m/>
    <m/>
    <m/>
    <n v="0"/>
    <m/>
    <m/>
    <m/>
    <m/>
    <m/>
    <m/>
    <n v="0"/>
    <n v="0"/>
    <n v="1"/>
    <n v="93000"/>
    <n v="0.15"/>
    <m/>
    <s v="في التشغيل"/>
    <n v="13950"/>
    <n v="0"/>
    <n v="0"/>
    <n v="0"/>
    <m/>
    <n v="84043.972602739726"/>
    <n v="8956.0273972602736"/>
  </r>
  <r>
    <n v="103"/>
    <s v="شاحنة هينو"/>
    <x v="1"/>
    <x v="5"/>
    <x v="22"/>
    <x v="58"/>
    <m/>
    <x v="2"/>
    <m/>
    <s v="التشغيل"/>
    <m/>
    <s v="أ.م.د_x000a_9216"/>
    <d v="2012-07-01T00:00:00"/>
    <m/>
    <m/>
    <n v="1"/>
    <m/>
    <n v="245825"/>
    <n v="245825"/>
    <n v="202856.13698630134"/>
    <n v="42968.863013698661"/>
    <m/>
    <m/>
    <m/>
    <n v="0"/>
    <m/>
    <m/>
    <m/>
    <m/>
    <m/>
    <m/>
    <n v="0"/>
    <n v="0"/>
    <n v="1"/>
    <n v="245825"/>
    <n v="0.15"/>
    <m/>
    <s v="في التشغيل"/>
    <n v="36873.75"/>
    <n v="0"/>
    <n v="0"/>
    <n v="0"/>
    <m/>
    <n v="239729.88698630134"/>
    <n v="6095.1130136986612"/>
  </r>
  <r>
    <n v="104"/>
    <s v="ضاغط هينو"/>
    <x v="1"/>
    <x v="5"/>
    <x v="22"/>
    <x v="58"/>
    <m/>
    <x v="2"/>
    <m/>
    <s v="التشغيل"/>
    <m/>
    <s v="أ.م.د_x000a_9216"/>
    <d v="2012-12-22T00:00:00"/>
    <m/>
    <m/>
    <n v="1"/>
    <m/>
    <n v="93000"/>
    <n v="93000"/>
    <n v="70093.972602739726"/>
    <n v="22906.027397260274"/>
    <m/>
    <m/>
    <m/>
    <n v="0"/>
    <m/>
    <m/>
    <m/>
    <m/>
    <m/>
    <m/>
    <n v="0"/>
    <n v="0"/>
    <n v="1"/>
    <n v="93000"/>
    <n v="0.15"/>
    <m/>
    <s v="في التشغيل"/>
    <n v="13950"/>
    <n v="0"/>
    <n v="0"/>
    <n v="0"/>
    <m/>
    <n v="84043.972602739726"/>
    <n v="8956.0273972602736"/>
  </r>
  <r>
    <n v="105"/>
    <s v="شاحنة هينو"/>
    <x v="1"/>
    <x v="5"/>
    <x v="22"/>
    <x v="58"/>
    <m/>
    <x v="2"/>
    <s v="نفايات_x000a_الشبك"/>
    <s v="التشغيل"/>
    <m/>
    <s v="أ.م.د_x000a_9223"/>
    <d v="2012-07-01T00:00:00"/>
    <m/>
    <m/>
    <n v="1"/>
    <m/>
    <n v="245825"/>
    <n v="245825"/>
    <n v="202856.13698630134"/>
    <n v="42968.863013698661"/>
    <m/>
    <m/>
    <m/>
    <n v="0"/>
    <m/>
    <m/>
    <m/>
    <m/>
    <m/>
    <m/>
    <n v="0"/>
    <n v="0"/>
    <n v="1"/>
    <n v="245825"/>
    <n v="0.15"/>
    <m/>
    <s v="في التشغيل"/>
    <n v="36873.75"/>
    <n v="0"/>
    <n v="0"/>
    <n v="0"/>
    <m/>
    <n v="239729.88698630134"/>
    <n v="6095.1130136986612"/>
  </r>
  <r>
    <n v="106"/>
    <s v="ضاغط هينو"/>
    <x v="1"/>
    <x v="5"/>
    <x v="22"/>
    <x v="58"/>
    <m/>
    <x v="2"/>
    <s v="نفايات_x000a_الشبك"/>
    <s v="التشغيل"/>
    <m/>
    <s v="أ.م.د_x000a_9223"/>
    <d v="2012-12-22T00:00:00"/>
    <m/>
    <m/>
    <n v="1"/>
    <m/>
    <n v="93000"/>
    <n v="93000"/>
    <n v="70093.972602739726"/>
    <n v="22906.027397260274"/>
    <m/>
    <m/>
    <m/>
    <n v="0"/>
    <m/>
    <m/>
    <m/>
    <m/>
    <m/>
    <m/>
    <n v="0"/>
    <n v="0"/>
    <n v="1"/>
    <n v="93000"/>
    <n v="0.15"/>
    <m/>
    <s v="في التشغيل"/>
    <n v="13950"/>
    <n v="0"/>
    <n v="0"/>
    <n v="0"/>
    <m/>
    <n v="84043.972602739726"/>
    <n v="8956.0273972602736"/>
  </r>
  <r>
    <n v="107"/>
    <s v="شاحنة هينو"/>
    <x v="1"/>
    <x v="5"/>
    <x v="22"/>
    <x v="58"/>
    <m/>
    <x v="2"/>
    <s v="نفايات"/>
    <s v="التشغيل"/>
    <m/>
    <s v="أ.م.د_x000a_9220"/>
    <d v="2012-07-01T00:00:00"/>
    <m/>
    <m/>
    <n v="1"/>
    <m/>
    <n v="245825"/>
    <n v="245825"/>
    <n v="202856.13698630134"/>
    <n v="42968.863013698661"/>
    <m/>
    <m/>
    <m/>
    <n v="0"/>
    <m/>
    <m/>
    <m/>
    <m/>
    <m/>
    <m/>
    <n v="0"/>
    <n v="0"/>
    <n v="1"/>
    <n v="245825"/>
    <n v="0.15"/>
    <m/>
    <s v="في التشغيل"/>
    <n v="36873.75"/>
    <n v="0"/>
    <n v="0"/>
    <n v="0"/>
    <m/>
    <n v="239729.88698630134"/>
    <n v="6095.1130136986612"/>
  </r>
  <r>
    <n v="108"/>
    <s v="ضاغط هينو"/>
    <x v="1"/>
    <x v="5"/>
    <x v="22"/>
    <x v="58"/>
    <m/>
    <x v="2"/>
    <s v="نفايات"/>
    <s v="التشغيل"/>
    <m/>
    <s v="أ.م.د_x000a_9220"/>
    <d v="2012-12-22T00:00:00"/>
    <m/>
    <m/>
    <n v="1"/>
    <m/>
    <n v="93000"/>
    <n v="93000"/>
    <n v="70093.972602739726"/>
    <n v="22906.027397260274"/>
    <m/>
    <m/>
    <m/>
    <n v="0"/>
    <m/>
    <m/>
    <m/>
    <m/>
    <m/>
    <m/>
    <n v="0"/>
    <n v="0"/>
    <n v="1"/>
    <n v="93000"/>
    <n v="0.15"/>
    <m/>
    <s v="في التشغيل"/>
    <n v="13950"/>
    <n v="0"/>
    <n v="0"/>
    <n v="0"/>
    <m/>
    <n v="84043.972602739726"/>
    <n v="8956.0273972602736"/>
  </r>
  <r>
    <n v="109"/>
    <s v="شاحنة هينو"/>
    <x v="1"/>
    <x v="5"/>
    <x v="22"/>
    <x v="58"/>
    <m/>
    <x v="2"/>
    <s v="نفايات_x000a_الشبك"/>
    <s v="التشغيل"/>
    <m/>
    <s v="أ.م.ح_x000a_9602"/>
    <d v="2012-12-17T00:00:00"/>
    <m/>
    <m/>
    <n v="1"/>
    <m/>
    <n v="319410"/>
    <n v="319410"/>
    <n v="241395.201369863"/>
    <n v="78014.798630136997"/>
    <m/>
    <m/>
    <m/>
    <n v="0"/>
    <m/>
    <m/>
    <m/>
    <m/>
    <m/>
    <m/>
    <n v="0"/>
    <n v="0"/>
    <n v="1"/>
    <n v="319410"/>
    <n v="0.15"/>
    <m/>
    <s v="في التشغيل"/>
    <n v="47911.5"/>
    <n v="0"/>
    <n v="0"/>
    <n v="0"/>
    <m/>
    <n v="289306.701369863"/>
    <n v="30103.298630136997"/>
  </r>
  <r>
    <n v="110"/>
    <s v="ضاغط هينو"/>
    <x v="1"/>
    <x v="5"/>
    <x v="22"/>
    <x v="58"/>
    <m/>
    <x v="2"/>
    <s v="نفايات_x000a_الشبك"/>
    <s v="التشغيل"/>
    <m/>
    <s v="أ.م.ح_x000a_9602"/>
    <d v="2012-12-22T00:00:00"/>
    <m/>
    <m/>
    <n v="1"/>
    <m/>
    <n v="93000"/>
    <n v="93000"/>
    <n v="70093.972602739726"/>
    <n v="22906.027397260274"/>
    <m/>
    <m/>
    <m/>
    <n v="0"/>
    <m/>
    <m/>
    <m/>
    <m/>
    <m/>
    <m/>
    <n v="0"/>
    <n v="0"/>
    <n v="1"/>
    <n v="93000"/>
    <n v="0.15"/>
    <m/>
    <s v="في التشغيل"/>
    <n v="13950"/>
    <n v="0"/>
    <n v="0"/>
    <n v="0"/>
    <m/>
    <n v="84043.972602739726"/>
    <n v="8956.0273972602736"/>
  </r>
  <r>
    <n v="111"/>
    <s v="شاحنة"/>
    <x v="1"/>
    <x v="5"/>
    <x v="5"/>
    <x v="60"/>
    <m/>
    <x v="0"/>
    <s v="النفايات"/>
    <s v="التشغيل"/>
    <m/>
    <s v="ب.أ.ص_x000a_3889"/>
    <d v="2016-01-01T00:00:00"/>
    <m/>
    <m/>
    <n v="1"/>
    <m/>
    <n v="189471"/>
    <n v="189471"/>
    <n v="56841.299999999996"/>
    <n v="132629.70000000001"/>
    <m/>
    <m/>
    <m/>
    <n v="0"/>
    <m/>
    <m/>
    <m/>
    <m/>
    <m/>
    <m/>
    <n v="0"/>
    <n v="0"/>
    <n v="1"/>
    <n v="189471"/>
    <n v="0.15"/>
    <m/>
    <s v="في التشغيل"/>
    <n v="28420.649999999998"/>
    <n v="0"/>
    <n v="0"/>
    <n v="0"/>
    <m/>
    <n v="85261.95"/>
    <n v="104209.05"/>
  </r>
  <r>
    <n v="112"/>
    <s v="شاحنة"/>
    <x v="1"/>
    <x v="5"/>
    <x v="5"/>
    <x v="61"/>
    <m/>
    <x v="0"/>
    <s v="النفايات"/>
    <s v="التشغيل"/>
    <m/>
    <s v="ب.أ.ص_x000a_5959"/>
    <d v="2016-01-01T00:00:00"/>
    <m/>
    <m/>
    <n v="1"/>
    <m/>
    <n v="189470"/>
    <n v="189470"/>
    <n v="56841"/>
    <n v="132629"/>
    <m/>
    <m/>
    <m/>
    <n v="0"/>
    <m/>
    <m/>
    <m/>
    <m/>
    <m/>
    <m/>
    <n v="0"/>
    <n v="0"/>
    <n v="1"/>
    <n v="189470"/>
    <n v="0.15"/>
    <m/>
    <s v="في التشغيل"/>
    <n v="28420.5"/>
    <n v="0"/>
    <n v="0"/>
    <n v="0"/>
    <m/>
    <n v="85261.5"/>
    <n v="104208.5"/>
  </r>
  <r>
    <n v="113"/>
    <s v="غمارتين"/>
    <x v="1"/>
    <x v="4"/>
    <x v="17"/>
    <x v="62"/>
    <s v="BICKUP 001"/>
    <x v="0"/>
    <s v="نفايات"/>
    <s v="التشغيل"/>
    <m/>
    <n v="6416"/>
    <d v="2019-01-01T00:00:00"/>
    <m/>
    <m/>
    <n v="1"/>
    <m/>
    <n v="0"/>
    <n v="0"/>
    <n v="0"/>
    <n v="0"/>
    <m/>
    <m/>
    <m/>
    <n v="0"/>
    <m/>
    <m/>
    <m/>
    <m/>
    <m/>
    <m/>
    <n v="0"/>
    <n v="0"/>
    <n v="1"/>
    <n v="0"/>
    <n v="0.15"/>
    <m/>
    <m/>
    <n v="0"/>
    <n v="0"/>
    <n v="0"/>
    <n v="0"/>
    <m/>
    <n v="0"/>
    <n v="0"/>
  </r>
  <r>
    <n v="114"/>
    <s v="إيسوزو غمارتين"/>
    <x v="1"/>
    <x v="5"/>
    <x v="17"/>
    <x v="58"/>
    <m/>
    <x v="2"/>
    <m/>
    <s v="التشغيل"/>
    <s v="متوقفة بالسكن"/>
    <s v="أ.أ.ح_x000a_7132"/>
    <d v="2012-12-30T00:00:00"/>
    <m/>
    <m/>
    <n v="1"/>
    <m/>
    <n v="50000"/>
    <n v="50000"/>
    <n v="50000"/>
    <n v="0"/>
    <m/>
    <m/>
    <m/>
    <n v="0"/>
    <m/>
    <m/>
    <m/>
    <m/>
    <m/>
    <m/>
    <n v="0"/>
    <n v="0"/>
    <n v="1"/>
    <n v="50000"/>
    <n v="0.15"/>
    <m/>
    <s v="في التشغيل"/>
    <n v="0"/>
    <n v="0"/>
    <n v="0"/>
    <n v="0"/>
    <m/>
    <n v="50000"/>
    <n v="0"/>
  </r>
  <r>
    <n v="115"/>
    <s v="شفورلية تاهو "/>
    <x v="0"/>
    <x v="4"/>
    <x v="23"/>
    <x v="63"/>
    <s v="CHTAH 001"/>
    <x v="5"/>
    <s v="إدارية"/>
    <s v="الإدارية"/>
    <s v="إبراهيم عبد الله الباحوث"/>
    <s v="ح.ل.أ_x000a_9685"/>
    <d v="2015-11-01T00:00:00"/>
    <m/>
    <m/>
    <n v="1"/>
    <m/>
    <n v="160000"/>
    <n v="160000"/>
    <n v="85260"/>
    <n v="74740"/>
    <m/>
    <m/>
    <m/>
    <n v="0"/>
    <m/>
    <m/>
    <m/>
    <m/>
    <m/>
    <m/>
    <n v="0"/>
    <n v="0"/>
    <n v="1"/>
    <n v="160000"/>
    <n v="0.15"/>
    <m/>
    <s v="في التشغيل"/>
    <n v="24000"/>
    <n v="0"/>
    <n v="0"/>
    <n v="0"/>
    <m/>
    <n v="109260"/>
    <n v="50740"/>
  </r>
  <r>
    <n v="116"/>
    <s v="شفورولية كابريس"/>
    <x v="1"/>
    <x v="4"/>
    <x v="24"/>
    <x v="64"/>
    <s v="CHCAP 002"/>
    <x v="0"/>
    <s v="إدارية"/>
    <s v="الحسابات "/>
    <m/>
    <s v="أ.ي.س_x000a_7915"/>
    <d v="2011-01-01T00:00:00"/>
    <m/>
    <m/>
    <n v="1"/>
    <m/>
    <n v="30500"/>
    <n v="30500"/>
    <n v="30500"/>
    <n v="0"/>
    <m/>
    <m/>
    <m/>
    <n v="0"/>
    <m/>
    <m/>
    <m/>
    <m/>
    <m/>
    <m/>
    <n v="0"/>
    <n v="0"/>
    <n v="1"/>
    <n v="30500"/>
    <n v="0.2"/>
    <m/>
    <s v="في التشغيل"/>
    <n v="0"/>
    <n v="0"/>
    <n v="0"/>
    <n v="0"/>
    <m/>
    <n v="30500"/>
    <n v="0"/>
  </r>
  <r>
    <n v="117"/>
    <s v="شاحنة روول أون روول أوف"/>
    <x v="0"/>
    <x v="5"/>
    <x v="15"/>
    <x v="65"/>
    <m/>
    <x v="0"/>
    <s v="أنقاض"/>
    <s v="التشغيل"/>
    <s v="ok"/>
    <s v="أ.ي.هـ_x000a_6239"/>
    <d v="2015-06-04T18:43:12"/>
    <m/>
    <m/>
    <n v="1"/>
    <m/>
    <n v="285000"/>
    <n v="285000"/>
    <n v="167004.53424657549"/>
    <n v="117995.46575342451"/>
    <m/>
    <m/>
    <m/>
    <n v="0"/>
    <m/>
    <m/>
    <m/>
    <m/>
    <m/>
    <m/>
    <n v="0"/>
    <n v="0"/>
    <n v="1"/>
    <n v="285000"/>
    <n v="0.15"/>
    <m/>
    <s v="في التشغيل"/>
    <n v="42750"/>
    <n v="0"/>
    <n v="0"/>
    <n v="0"/>
    <m/>
    <n v="209754.53424657549"/>
    <n v="75245.465753424505"/>
  </r>
  <r>
    <n v="118"/>
    <s v="شاحنة روول أون روول أوف"/>
    <x v="0"/>
    <x v="5"/>
    <x v="15"/>
    <x v="66"/>
    <m/>
    <x v="0"/>
    <s v="أنقاض"/>
    <s v="التشغيل"/>
    <s v="ok"/>
    <s v="أ.ي.هـ_x000a_6177"/>
    <d v="2015-06-04T00:00:00"/>
    <m/>
    <m/>
    <n v="1"/>
    <m/>
    <n v="285000"/>
    <n v="285000"/>
    <n v="167095.89041095891"/>
    <n v="117904.10958904109"/>
    <m/>
    <m/>
    <m/>
    <n v="0"/>
    <m/>
    <m/>
    <m/>
    <m/>
    <m/>
    <m/>
    <n v="0"/>
    <n v="0"/>
    <n v="1"/>
    <n v="285000"/>
    <n v="0.15"/>
    <m/>
    <s v="في التشغيل"/>
    <n v="42750"/>
    <n v="0"/>
    <n v="0"/>
    <n v="0"/>
    <m/>
    <n v="209845.89041095891"/>
    <n v="75154.109589041094"/>
  </r>
  <r>
    <n v="119"/>
    <s v="شاحنة روول أون روول أوف"/>
    <x v="0"/>
    <x v="5"/>
    <x v="15"/>
    <x v="67"/>
    <m/>
    <x v="0"/>
    <s v="أنقاض"/>
    <s v="التشغيل"/>
    <s v="ok"/>
    <s v="أ.ي.هـ_x000a_6180"/>
    <d v="2015-06-03T00:00:00"/>
    <m/>
    <m/>
    <n v="1"/>
    <m/>
    <n v="285000"/>
    <n v="285000"/>
    <n v="167213.01369863015"/>
    <n v="117786.98630136985"/>
    <m/>
    <m/>
    <m/>
    <n v="0"/>
    <m/>
    <m/>
    <m/>
    <m/>
    <m/>
    <m/>
    <n v="0"/>
    <n v="0"/>
    <n v="1"/>
    <n v="285000"/>
    <n v="0.15"/>
    <m/>
    <s v="في التشغيل"/>
    <n v="42750"/>
    <n v="0"/>
    <n v="0"/>
    <n v="0"/>
    <m/>
    <n v="209963.01369863015"/>
    <n v="75036.986301369849"/>
  </r>
  <r>
    <n v="120"/>
    <s v="شاحنة روول أون روول أوف"/>
    <x v="1"/>
    <x v="5"/>
    <x v="15"/>
    <x v="68"/>
    <m/>
    <x v="0"/>
    <s v="أنقاض"/>
    <s v="التشغيل"/>
    <m/>
    <s v="أ.م.م_x000a_5755"/>
    <d v="2019-01-01T00:00:00"/>
    <m/>
    <m/>
    <n v="1"/>
    <m/>
    <n v="0"/>
    <n v="0"/>
    <m/>
    <n v="0"/>
    <m/>
    <m/>
    <m/>
    <n v="0"/>
    <m/>
    <m/>
    <m/>
    <m/>
    <m/>
    <m/>
    <n v="0"/>
    <n v="0"/>
    <n v="1"/>
    <n v="0"/>
    <n v="0.15"/>
    <m/>
    <m/>
    <n v="0"/>
    <n v="0"/>
    <n v="0"/>
    <n v="0"/>
    <m/>
    <n v="0"/>
    <n v="0"/>
  </r>
  <r>
    <n v="121"/>
    <s v="شاحنة روول أون روول أوف"/>
    <x v="1"/>
    <x v="5"/>
    <x v="15"/>
    <x v="69"/>
    <m/>
    <x v="0"/>
    <s v="أنقاض"/>
    <s v="التشغيل"/>
    <m/>
    <s v="أ.م.م_x000a_5751"/>
    <d v="2019-01-01T00:00:00"/>
    <m/>
    <m/>
    <n v="1"/>
    <m/>
    <n v="0"/>
    <n v="0"/>
    <m/>
    <n v="0"/>
    <m/>
    <m/>
    <m/>
    <n v="0"/>
    <m/>
    <m/>
    <m/>
    <m/>
    <m/>
    <m/>
    <n v="0"/>
    <n v="0"/>
    <n v="1"/>
    <n v="0"/>
    <n v="0.15"/>
    <m/>
    <m/>
    <n v="0"/>
    <n v="0"/>
    <n v="0"/>
    <n v="0"/>
    <m/>
    <n v="0"/>
    <n v="0"/>
  </r>
  <r>
    <n v="122"/>
    <s v="شاحنة روول أون روول أوف"/>
    <x v="1"/>
    <x v="5"/>
    <x v="15"/>
    <x v="70"/>
    <m/>
    <x v="0"/>
    <s v="أنقاض"/>
    <s v="التشغيل"/>
    <m/>
    <s v="أ.م.م_x000a_5754"/>
    <d v="2019-01-01T00:00:00"/>
    <m/>
    <m/>
    <n v="1"/>
    <m/>
    <n v="0"/>
    <n v="0"/>
    <m/>
    <n v="0"/>
    <m/>
    <m/>
    <m/>
    <n v="0"/>
    <m/>
    <m/>
    <m/>
    <m/>
    <m/>
    <m/>
    <n v="0"/>
    <n v="0"/>
    <n v="1"/>
    <n v="0"/>
    <n v="0.15"/>
    <m/>
    <m/>
    <n v="0"/>
    <n v="0"/>
    <n v="0"/>
    <n v="0"/>
    <m/>
    <n v="0"/>
    <n v="0"/>
  </r>
  <r>
    <n v="123"/>
    <s v="شاحنة روول أون روول أوف"/>
    <x v="1"/>
    <x v="5"/>
    <x v="15"/>
    <x v="71"/>
    <m/>
    <x v="0"/>
    <s v="أنقاض"/>
    <s v="التشغيل"/>
    <m/>
    <s v="أ.ن.أ_x000a_7083"/>
    <d v="2019-01-01T00:00:00"/>
    <m/>
    <m/>
    <n v="1"/>
    <m/>
    <n v="0"/>
    <n v="0"/>
    <m/>
    <n v="0"/>
    <m/>
    <m/>
    <m/>
    <n v="0"/>
    <m/>
    <m/>
    <m/>
    <m/>
    <m/>
    <m/>
    <n v="0"/>
    <n v="0"/>
    <n v="1"/>
    <n v="0"/>
    <n v="0.15"/>
    <m/>
    <m/>
    <n v="0"/>
    <n v="0"/>
    <n v="0"/>
    <n v="0"/>
    <m/>
    <n v="0"/>
    <n v="0"/>
  </r>
  <r>
    <n v="124"/>
    <s v="شاحنة روول أون روول أوف"/>
    <x v="1"/>
    <x v="5"/>
    <x v="15"/>
    <x v="72"/>
    <m/>
    <x v="0"/>
    <s v="أنقاض"/>
    <s v="التشغيل"/>
    <m/>
    <n v="5773"/>
    <d v="2019-01-01T00:00:00"/>
    <m/>
    <m/>
    <n v="1"/>
    <m/>
    <n v="0"/>
    <n v="0"/>
    <m/>
    <n v="0"/>
    <m/>
    <m/>
    <m/>
    <n v="0"/>
    <m/>
    <m/>
    <m/>
    <m/>
    <m/>
    <m/>
    <n v="0"/>
    <n v="0"/>
    <n v="1"/>
    <n v="0"/>
    <n v="0.15"/>
    <m/>
    <m/>
    <n v="0"/>
    <n v="0"/>
    <n v="0"/>
    <n v="0"/>
    <m/>
    <n v="0"/>
    <n v="0"/>
  </r>
  <r>
    <n v="125"/>
    <s v="روول أون روول أوف"/>
    <x v="0"/>
    <x v="5"/>
    <x v="15"/>
    <x v="73"/>
    <m/>
    <x v="2"/>
    <m/>
    <s v="التشغيل"/>
    <s v="ok"/>
    <s v="أ.ي.هـ_x000a_6181"/>
    <d v="2015-06-02T00:00:00"/>
    <m/>
    <m/>
    <n v="1"/>
    <m/>
    <n v="285000"/>
    <n v="285000"/>
    <n v="167330.13698630137"/>
    <n v="117669.86301369863"/>
    <m/>
    <m/>
    <m/>
    <n v="0"/>
    <m/>
    <m/>
    <m/>
    <m/>
    <m/>
    <m/>
    <n v="0"/>
    <n v="0"/>
    <n v="1"/>
    <n v="285000"/>
    <n v="0.15"/>
    <m/>
    <s v="في التشغيل"/>
    <n v="42750"/>
    <n v="0"/>
    <n v="0"/>
    <n v="0"/>
    <m/>
    <n v="210080.13698630137"/>
    <n v="74919.863013698632"/>
  </r>
  <r>
    <n v="126"/>
    <s v="تويوتا فورتشنر "/>
    <x v="5"/>
    <x v="4"/>
    <x v="25"/>
    <x v="74"/>
    <s v="TYFORT 001"/>
    <x v="7"/>
    <s v="النفايات"/>
    <s v="التشغيل"/>
    <s v="حسني عثمان"/>
    <s v="ب.س.ن_x000a_4565"/>
    <d v="2011-01-01T00:00:00"/>
    <m/>
    <m/>
    <n v="1"/>
    <m/>
    <n v="60500"/>
    <n v="60500"/>
    <n v="60500"/>
    <n v="0"/>
    <m/>
    <m/>
    <m/>
    <n v="0"/>
    <m/>
    <m/>
    <m/>
    <m/>
    <m/>
    <m/>
    <n v="0"/>
    <n v="0"/>
    <n v="1"/>
    <n v="60500"/>
    <n v="0.15"/>
    <m/>
    <s v="في التشغيل"/>
    <n v="0"/>
    <n v="0"/>
    <n v="0"/>
    <n v="0"/>
    <m/>
    <n v="60500"/>
    <n v="0"/>
  </r>
  <r>
    <n v="127"/>
    <s v="تويوتا فورتشنر"/>
    <x v="1"/>
    <x v="4"/>
    <x v="25"/>
    <x v="75"/>
    <s v="TYFORT 002"/>
    <x v="0"/>
    <s v="أنقاض"/>
    <s v="التشغيل"/>
    <m/>
    <s v="ب.س.ن_x000a_4643"/>
    <d v="2015-06-01T00:00:00"/>
    <m/>
    <m/>
    <n v="1"/>
    <m/>
    <n v="50000"/>
    <n v="50000"/>
    <n v="19376.712328767124"/>
    <n v="30623.287671232876"/>
    <m/>
    <m/>
    <m/>
    <n v="0"/>
    <m/>
    <m/>
    <m/>
    <m/>
    <m/>
    <m/>
    <n v="0"/>
    <n v="0"/>
    <n v="1"/>
    <n v="50000"/>
    <n v="0.15"/>
    <m/>
    <s v="في التشغيل"/>
    <n v="7500"/>
    <n v="0"/>
    <n v="0"/>
    <n v="0"/>
    <m/>
    <n v="26876.712328767124"/>
    <n v="23123.287671232876"/>
  </r>
  <r>
    <n v="128"/>
    <s v="إضافات لوايت مياه"/>
    <x v="0"/>
    <x v="5"/>
    <x v="26"/>
    <x v="30"/>
    <m/>
    <x v="0"/>
    <s v="نفايات"/>
    <s v="التشغيل"/>
    <s v="ok"/>
    <s v="أ.د.ه_x000a_1215"/>
    <d v="2016-02-29T00:00:00"/>
    <m/>
    <m/>
    <n v="1"/>
    <m/>
    <n v="10350"/>
    <n v="10350"/>
    <n v="4756.7465753424658"/>
    <n v="5593.2534246575342"/>
    <m/>
    <m/>
    <m/>
    <n v="0"/>
    <m/>
    <m/>
    <m/>
    <m/>
    <m/>
    <m/>
    <n v="0"/>
    <n v="0"/>
    <n v="1"/>
    <n v="10350"/>
    <n v="0.15"/>
    <m/>
    <s v="في التشغيل"/>
    <n v="1552.5"/>
    <n v="0"/>
    <n v="0"/>
    <n v="0"/>
    <m/>
    <n v="6309.2465753424658"/>
    <n v="4040.7534246575342"/>
  </r>
  <r>
    <n v="129"/>
    <s v="إضافات لروول أون روول أوف"/>
    <x v="0"/>
    <x v="5"/>
    <x v="15"/>
    <x v="76"/>
    <m/>
    <x v="2"/>
    <s v="أنقاض"/>
    <s v="التشغيل"/>
    <s v="ok"/>
    <n v="3454"/>
    <d v="2016-12-01T00:00:00"/>
    <m/>
    <m/>
    <n v="1"/>
    <m/>
    <n v="6578"/>
    <n v="6578"/>
    <n v="1779.6643835616437"/>
    <n v="4798.3356164383567"/>
    <m/>
    <m/>
    <m/>
    <n v="0"/>
    <m/>
    <m/>
    <m/>
    <m/>
    <m/>
    <m/>
    <n v="0"/>
    <n v="0"/>
    <n v="1"/>
    <n v="6578"/>
    <n v="0.15"/>
    <m/>
    <s v="في التشغيل"/>
    <n v="986.69999999999993"/>
    <n v="0"/>
    <n v="0"/>
    <n v="0"/>
    <m/>
    <n v="2766.3643835616435"/>
    <n v="3811.6356164383565"/>
  </r>
  <r>
    <n v="130"/>
    <s v="إضافات لروول أون روول أوف"/>
    <x v="0"/>
    <x v="5"/>
    <x v="15"/>
    <x v="53"/>
    <m/>
    <x v="0"/>
    <s v="أنقاض"/>
    <s v="التشغيل"/>
    <s v="ok"/>
    <s v="ب.ب.ن_x000a_6797"/>
    <d v="2016-10-05T00:00:00"/>
    <s v="مصنع الفهاد"/>
    <m/>
    <n v="1"/>
    <n v="10286"/>
    <n v="7000"/>
    <n v="7000"/>
    <n v="2167.1232876712352"/>
    <n v="4832.8767123287653"/>
    <m/>
    <m/>
    <m/>
    <n v="0"/>
    <m/>
    <m/>
    <m/>
    <m/>
    <m/>
    <m/>
    <n v="0"/>
    <n v="0"/>
    <n v="1"/>
    <n v="7000"/>
    <n v="0.15"/>
    <m/>
    <s v="في التشغيل"/>
    <n v="1050"/>
    <n v="0"/>
    <n v="0"/>
    <n v="0"/>
    <m/>
    <n v="3217.1232876712352"/>
    <n v="3782.8767123287648"/>
  </r>
  <r>
    <n v="131"/>
    <s v="إضافات لروول أون روول أوف"/>
    <x v="0"/>
    <x v="5"/>
    <x v="15"/>
    <x v="54"/>
    <m/>
    <x v="0"/>
    <s v="أنقاض"/>
    <s v="التشغيل"/>
    <s v="ok"/>
    <s v="ب.ب.ن_x000a_6796"/>
    <d v="2016-10-05T00:00:00"/>
    <s v="مصنع الفهاد"/>
    <m/>
    <n v="1"/>
    <n v="10286"/>
    <n v="7000"/>
    <n v="7000"/>
    <n v="2167.1232876712352"/>
    <n v="4832.8767123287653"/>
    <m/>
    <m/>
    <m/>
    <n v="0"/>
    <m/>
    <m/>
    <m/>
    <m/>
    <m/>
    <m/>
    <n v="0"/>
    <n v="0"/>
    <n v="1"/>
    <n v="7000"/>
    <n v="0.15"/>
    <m/>
    <s v="في التشغيل"/>
    <n v="1050"/>
    <n v="0"/>
    <n v="0"/>
    <n v="0"/>
    <m/>
    <n v="3217.1232876712352"/>
    <n v="3782.8767123287648"/>
  </r>
  <r>
    <n v="132"/>
    <s v="بوم ترك"/>
    <x v="1"/>
    <x v="5"/>
    <x v="22"/>
    <x v="58"/>
    <m/>
    <x v="2"/>
    <s v="نفايات"/>
    <s v="التشغيل"/>
    <m/>
    <s v="أ.م.م_x000a_6277"/>
    <d v="2012-12-17T00:00:00"/>
    <m/>
    <m/>
    <n v="1"/>
    <m/>
    <n v="166400"/>
    <n v="166400"/>
    <n v="125757.36986301369"/>
    <n v="40642.630136986307"/>
    <m/>
    <m/>
    <m/>
    <n v="0"/>
    <m/>
    <m/>
    <m/>
    <m/>
    <m/>
    <m/>
    <n v="0"/>
    <n v="0"/>
    <n v="1"/>
    <n v="166400"/>
    <n v="0.15"/>
    <m/>
    <s v="في التشغيل"/>
    <n v="24960"/>
    <n v="0"/>
    <n v="0"/>
    <n v="0"/>
    <m/>
    <n v="150717.36986301368"/>
    <n v="15682.630136986321"/>
  </r>
  <r>
    <n v="133"/>
    <s v="بوم ترك"/>
    <x v="1"/>
    <x v="5"/>
    <x v="22"/>
    <x v="58"/>
    <m/>
    <x v="2"/>
    <s v="نفايات"/>
    <s v="التشغيل"/>
    <m/>
    <s v="أ.م.م_x000a_6277"/>
    <d v="2013-05-18T00:00:00"/>
    <m/>
    <m/>
    <n v="1"/>
    <m/>
    <n v="87000"/>
    <n v="87000"/>
    <n v="60316.027397260274"/>
    <n v="26683.972602739726"/>
    <m/>
    <m/>
    <m/>
    <n v="0"/>
    <m/>
    <m/>
    <m/>
    <m/>
    <m/>
    <m/>
    <n v="0"/>
    <n v="0"/>
    <n v="1"/>
    <n v="87000"/>
    <n v="0.15"/>
    <m/>
    <s v="في التشغيل"/>
    <n v="13050"/>
    <n v="0"/>
    <n v="0"/>
    <n v="0"/>
    <m/>
    <n v="73366.027397260274"/>
    <n v="13633.972602739726"/>
  </r>
  <r>
    <n v="134"/>
    <s v="ضاغط إيسوزو 07 ياردة "/>
    <x v="1"/>
    <x v="5"/>
    <x v="27"/>
    <x v="77"/>
    <m/>
    <x v="0"/>
    <s v="النفايات"/>
    <s v="التشغيل"/>
    <m/>
    <s v="أ.م.د_x000a_2439"/>
    <d v="2012-12-17T00:00:00"/>
    <m/>
    <m/>
    <n v="1"/>
    <m/>
    <n v="166400"/>
    <n v="166400"/>
    <n v="125757.36986301369"/>
    <n v="40642.630136986307"/>
    <m/>
    <m/>
    <m/>
    <n v="0"/>
    <m/>
    <m/>
    <m/>
    <m/>
    <m/>
    <m/>
    <n v="0"/>
    <n v="0"/>
    <n v="1"/>
    <n v="166400"/>
    <n v="0.15"/>
    <m/>
    <s v="في التشغيل"/>
    <n v="24960"/>
    <n v="0"/>
    <n v="0"/>
    <n v="0"/>
    <m/>
    <n v="150717.36986301368"/>
    <n v="15682.630136986321"/>
  </r>
  <r>
    <n v="135"/>
    <s v="ضاغط إيسوزو 22 ياردة"/>
    <x v="1"/>
    <x v="5"/>
    <x v="5"/>
    <x v="78"/>
    <m/>
    <x v="0"/>
    <s v="نفايات"/>
    <s v="التشغيل"/>
    <m/>
    <s v="ب.د.ط_x000a_7600"/>
    <d v="2019-01-01T00:00:00"/>
    <m/>
    <m/>
    <n v="1"/>
    <m/>
    <n v="0"/>
    <n v="0"/>
    <n v="0"/>
    <n v="0"/>
    <m/>
    <m/>
    <m/>
    <n v="0"/>
    <m/>
    <m/>
    <m/>
    <m/>
    <m/>
    <m/>
    <n v="0"/>
    <n v="0"/>
    <n v="1"/>
    <n v="0"/>
    <n v="0.15"/>
    <m/>
    <m/>
    <n v="0"/>
    <n v="0"/>
    <n v="0"/>
    <n v="0"/>
    <m/>
    <n v="0"/>
    <n v="0"/>
  </r>
  <r>
    <n v="136"/>
    <s v="ضاغط إيسوزو 07 ياردة "/>
    <x v="1"/>
    <x v="5"/>
    <x v="27"/>
    <x v="77"/>
    <m/>
    <x v="0"/>
    <s v="النفايات"/>
    <s v="التشغيل"/>
    <m/>
    <s v="أ.م.د_x000a_2439"/>
    <d v="2013-05-18T00:00:00"/>
    <m/>
    <m/>
    <n v="1"/>
    <m/>
    <n v="55000"/>
    <n v="55000"/>
    <n v="38130.821917808222"/>
    <n v="16869.178082191778"/>
    <m/>
    <m/>
    <m/>
    <n v="0"/>
    <m/>
    <m/>
    <m/>
    <m/>
    <m/>
    <m/>
    <n v="0"/>
    <n v="0"/>
    <n v="1"/>
    <n v="55000"/>
    <n v="0.15"/>
    <m/>
    <s v="في التشغيل"/>
    <n v="8250"/>
    <n v="0"/>
    <n v="0"/>
    <n v="0"/>
    <m/>
    <n v="46380.821917808222"/>
    <n v="8619.1780821917782"/>
  </r>
  <r>
    <n v="137"/>
    <s v="تجهيزات تانك مياه"/>
    <x v="0"/>
    <x v="5"/>
    <x v="6"/>
    <x v="12"/>
    <m/>
    <x v="2"/>
    <s v="نفايات"/>
    <s v="التشغيل"/>
    <s v="ok"/>
    <m/>
    <d v="2016-12-10T00:00:00"/>
    <m/>
    <m/>
    <n v="1"/>
    <n v="10269"/>
    <n v="9500"/>
    <n v="9500"/>
    <n v="2511.6438356164385"/>
    <n v="6988.3561643835619"/>
    <m/>
    <m/>
    <m/>
    <n v="0"/>
    <m/>
    <m/>
    <m/>
    <m/>
    <m/>
    <m/>
    <n v="0"/>
    <n v="0"/>
    <n v="1"/>
    <n v="9500"/>
    <n v="0.15"/>
    <m/>
    <s v="في التشغيل"/>
    <n v="1425"/>
    <n v="0"/>
    <n v="0"/>
    <n v="0"/>
    <m/>
    <n v="3936.6438356164385"/>
    <n v="5563.3561643835619"/>
  </r>
  <r>
    <n v="138"/>
    <s v="ضاغط 22 ياردة"/>
    <x v="0"/>
    <x v="5"/>
    <x v="6"/>
    <x v="12"/>
    <m/>
    <x v="2"/>
    <s v="نفايات"/>
    <s v="التشغيل"/>
    <s v="ok"/>
    <m/>
    <d v="2016-12-12T00:00:00"/>
    <s v="مصنع الفهاد"/>
    <m/>
    <n v="6"/>
    <n v="10249"/>
    <n v="90000"/>
    <n v="540000"/>
    <n v="142027.39726027398"/>
    <n v="397972.60273972602"/>
    <m/>
    <m/>
    <m/>
    <n v="0"/>
    <m/>
    <m/>
    <m/>
    <m/>
    <m/>
    <m/>
    <n v="0"/>
    <n v="0"/>
    <n v="6"/>
    <n v="540000"/>
    <n v="0.15"/>
    <m/>
    <s v="في التشغيل"/>
    <n v="81000"/>
    <n v="0"/>
    <n v="0"/>
    <n v="0"/>
    <m/>
    <n v="223027.39726027398"/>
    <n v="316972.60273972602"/>
  </r>
  <r>
    <n v="139"/>
    <s v="ضاغط 22 ياردة"/>
    <x v="0"/>
    <x v="5"/>
    <x v="6"/>
    <x v="12"/>
    <m/>
    <x v="2"/>
    <m/>
    <s v="التشغيل"/>
    <s v="ok"/>
    <s v="أ.ح.و_x000a_1957"/>
    <d v="2008-01-01T00:00:00"/>
    <s v="شركة الفهاد"/>
    <m/>
    <n v="1"/>
    <m/>
    <n v="285000"/>
    <n v="285000"/>
    <n v="285000"/>
    <n v="0"/>
    <m/>
    <m/>
    <m/>
    <n v="0"/>
    <m/>
    <m/>
    <m/>
    <m/>
    <m/>
    <m/>
    <n v="0"/>
    <n v="0"/>
    <n v="1"/>
    <n v="285000"/>
    <n v="0.15"/>
    <m/>
    <s v="في التشغيل"/>
    <n v="0"/>
    <n v="0"/>
    <n v="0"/>
    <n v="0"/>
    <m/>
    <n v="285000"/>
    <n v="0"/>
  </r>
  <r>
    <n v="140"/>
    <s v="ضاغط 22 ياردة"/>
    <x v="0"/>
    <x v="5"/>
    <x v="6"/>
    <x v="12"/>
    <m/>
    <x v="2"/>
    <m/>
    <s v="التشغيل"/>
    <s v="ok"/>
    <s v="أ.ح.و_x000a_1987"/>
    <d v="2009-01-01T00:00:00"/>
    <s v="شركة الفهاد"/>
    <m/>
    <n v="1"/>
    <m/>
    <n v="132494.99999899999"/>
    <n v="132494.99999899999"/>
    <n v="132494.99999899999"/>
    <n v="0"/>
    <m/>
    <m/>
    <m/>
    <n v="0"/>
    <m/>
    <m/>
    <m/>
    <m/>
    <m/>
    <m/>
    <n v="0"/>
    <n v="0"/>
    <n v="1"/>
    <n v="132494.99999899999"/>
    <n v="0.15"/>
    <m/>
    <s v="في التشغيل"/>
    <n v="0"/>
    <n v="0"/>
    <n v="0"/>
    <n v="0"/>
    <m/>
    <n v="132494.99999899999"/>
    <n v="0"/>
  </r>
  <r>
    <n v="141"/>
    <s v="لود لوجر"/>
    <x v="0"/>
    <x v="5"/>
    <x v="6"/>
    <x v="12"/>
    <m/>
    <x v="2"/>
    <m/>
    <s v="التشغيل"/>
    <s v="ok"/>
    <s v="أ.ح.و_x000a_1990"/>
    <d v="2008-09-01T00:00:00"/>
    <s v="شركة الفهاد"/>
    <m/>
    <n v="1"/>
    <m/>
    <n v="132493.99999899999"/>
    <n v="132493.99999899999"/>
    <n v="132493.99999899999"/>
    <n v="0"/>
    <m/>
    <m/>
    <m/>
    <n v="0"/>
    <m/>
    <m/>
    <m/>
    <m/>
    <m/>
    <m/>
    <n v="0"/>
    <n v="0"/>
    <n v="1"/>
    <n v="132493.99999899999"/>
    <n v="0.15"/>
    <m/>
    <s v="في التشغيل"/>
    <n v="0"/>
    <n v="0"/>
    <n v="0"/>
    <n v="0"/>
    <m/>
    <n v="132493.99999899999"/>
    <n v="0"/>
  </r>
  <r>
    <n v="142"/>
    <s v="روول أون روول أوف"/>
    <x v="0"/>
    <x v="5"/>
    <x v="6"/>
    <x v="12"/>
    <m/>
    <x v="2"/>
    <m/>
    <s v="التشغيل"/>
    <s v="ok"/>
    <s v="أ.ح.و_x000a_2641"/>
    <d v="2008-09-01T00:00:00"/>
    <s v="شركة الفهاد"/>
    <m/>
    <n v="1"/>
    <m/>
    <n v="132493.99999899999"/>
    <n v="132493.99999899999"/>
    <n v="132493.99999899999"/>
    <n v="0"/>
    <m/>
    <m/>
    <m/>
    <n v="0"/>
    <m/>
    <m/>
    <m/>
    <m/>
    <m/>
    <m/>
    <n v="0"/>
    <n v="0"/>
    <n v="1"/>
    <n v="132493.99999899999"/>
    <n v="0.15"/>
    <m/>
    <s v="في التشغيل"/>
    <n v="0"/>
    <n v="0"/>
    <n v="0"/>
    <n v="0"/>
    <m/>
    <n v="132493.99999899999"/>
    <n v="0"/>
  </r>
  <r>
    <n v="143"/>
    <s v="بكب وانيت"/>
    <x v="1"/>
    <x v="5"/>
    <x v="22"/>
    <x v="58"/>
    <m/>
    <x v="2"/>
    <m/>
    <s v="التشغيل"/>
    <m/>
    <s v="أ.ع.س_x000a_4696"/>
    <d v="2010-04-01T00:00:00"/>
    <m/>
    <m/>
    <n v="1"/>
    <m/>
    <n v="61225"/>
    <n v="61225"/>
    <n v="61225"/>
    <n v="0"/>
    <m/>
    <m/>
    <m/>
    <n v="0"/>
    <m/>
    <m/>
    <m/>
    <m/>
    <m/>
    <m/>
    <n v="0"/>
    <n v="0"/>
    <n v="1"/>
    <n v="61225"/>
    <n v="0.2"/>
    <m/>
    <s v="في التشغيل"/>
    <n v="0"/>
    <n v="0"/>
    <n v="0"/>
    <n v="0"/>
    <m/>
    <n v="61225"/>
    <n v="0"/>
  </r>
  <r>
    <n v="144"/>
    <s v="ضاغط 22 ياردة"/>
    <x v="0"/>
    <x v="5"/>
    <x v="6"/>
    <x v="12"/>
    <m/>
    <x v="2"/>
    <m/>
    <s v="التشغيل"/>
    <s v="ok"/>
    <s v="أ.ح.و_x000a_1960"/>
    <d v="2008-09-01T00:00:00"/>
    <m/>
    <m/>
    <n v="1"/>
    <m/>
    <n v="132493.99999899999"/>
    <n v="132493.99999899999"/>
    <n v="132493.99999899999"/>
    <n v="0"/>
    <m/>
    <m/>
    <m/>
    <n v="0"/>
    <m/>
    <m/>
    <m/>
    <m/>
    <m/>
    <m/>
    <n v="0"/>
    <n v="0"/>
    <n v="1"/>
    <n v="132493.99999899999"/>
    <n v="0.15"/>
    <m/>
    <s v="في التشغيل"/>
    <n v="0"/>
    <n v="0"/>
    <n v="0"/>
    <n v="0"/>
    <m/>
    <n v="132493.99999899999"/>
    <n v="0"/>
  </r>
  <r>
    <n v="145"/>
    <s v="ضاغط 22 ياردة"/>
    <x v="0"/>
    <x v="5"/>
    <x v="6"/>
    <x v="12"/>
    <m/>
    <x v="2"/>
    <m/>
    <s v="التشغيل"/>
    <s v="ok"/>
    <s v="أ.ح.و_x000a_7077"/>
    <d v="2008-09-01T00:00:00"/>
    <m/>
    <m/>
    <n v="1"/>
    <m/>
    <n v="132493.99999899999"/>
    <n v="132493.99999899999"/>
    <n v="132493.99999899999"/>
    <n v="0"/>
    <m/>
    <m/>
    <m/>
    <n v="0"/>
    <m/>
    <m/>
    <m/>
    <m/>
    <m/>
    <m/>
    <n v="0"/>
    <n v="0"/>
    <n v="1"/>
    <n v="132493.99999899999"/>
    <n v="0.15"/>
    <m/>
    <s v="في التشغيل"/>
    <n v="0"/>
    <n v="0"/>
    <n v="0"/>
    <n v="0"/>
    <m/>
    <n v="132493.99999899999"/>
    <n v="0"/>
  </r>
  <r>
    <n v="146"/>
    <s v="إيسوزو غمارتين"/>
    <x v="1"/>
    <x v="5"/>
    <x v="17"/>
    <x v="58"/>
    <m/>
    <x v="2"/>
    <m/>
    <s v="التشغيل"/>
    <m/>
    <s v="أ.م.ن_x000a_7091"/>
    <d v="2012-12-31T00:00:00"/>
    <m/>
    <m/>
    <n v="1"/>
    <m/>
    <n v="63600"/>
    <n v="63600"/>
    <n v="47700"/>
    <n v="15900"/>
    <m/>
    <m/>
    <m/>
    <n v="0"/>
    <m/>
    <m/>
    <m/>
    <m/>
    <m/>
    <m/>
    <n v="0"/>
    <n v="0"/>
    <n v="1"/>
    <n v="63600"/>
    <n v="0.15"/>
    <m/>
    <s v="في التشغيل"/>
    <n v="9540"/>
    <n v="0"/>
    <n v="0"/>
    <n v="0"/>
    <m/>
    <n v="57240"/>
    <n v="6360"/>
  </r>
  <r>
    <n v="147"/>
    <s v="ضاغط 22 ياردة"/>
    <x v="1"/>
    <x v="5"/>
    <x v="22"/>
    <x v="58"/>
    <m/>
    <x v="2"/>
    <m/>
    <s v="التشغيل"/>
    <m/>
    <s v="أ.م.د_x000a_9307"/>
    <d v="2012-07-01T00:00:00"/>
    <m/>
    <m/>
    <n v="1"/>
    <m/>
    <n v="245825"/>
    <n v="245825"/>
    <n v="202856.13698630134"/>
    <n v="42968.863013698661"/>
    <m/>
    <m/>
    <m/>
    <n v="0"/>
    <m/>
    <m/>
    <m/>
    <m/>
    <m/>
    <m/>
    <n v="0"/>
    <n v="0"/>
    <n v="1"/>
    <n v="245825"/>
    <n v="0.15"/>
    <m/>
    <s v="في التشغيل"/>
    <n v="36873.75"/>
    <n v="0"/>
    <n v="0"/>
    <n v="0"/>
    <m/>
    <n v="239729.88698630134"/>
    <n v="6095.1130136986612"/>
  </r>
  <r>
    <n v="148"/>
    <s v="ضاغط 22 ياردة"/>
    <x v="1"/>
    <x v="5"/>
    <x v="22"/>
    <x v="58"/>
    <m/>
    <x v="2"/>
    <m/>
    <s v="التشغيل"/>
    <m/>
    <s v="أ.م.د_x000a_9307"/>
    <d v="2012-07-01T00:00:00"/>
    <m/>
    <m/>
    <n v="1"/>
    <m/>
    <n v="93000"/>
    <n v="93000"/>
    <n v="76744.109589041094"/>
    <n v="16255.890410958906"/>
    <m/>
    <m/>
    <m/>
    <n v="0"/>
    <m/>
    <m/>
    <m/>
    <m/>
    <m/>
    <m/>
    <n v="0"/>
    <n v="0"/>
    <n v="1"/>
    <n v="93000"/>
    <n v="0.15"/>
    <m/>
    <s v="في التشغيل"/>
    <n v="13950"/>
    <n v="0"/>
    <n v="0"/>
    <n v="0"/>
    <m/>
    <n v="90694.109589041094"/>
    <n v="2305.8904109589057"/>
  </r>
  <r>
    <n v="149"/>
    <s v="لاب توب + طابعة"/>
    <x v="0"/>
    <x v="3"/>
    <x v="28"/>
    <x v="79"/>
    <m/>
    <x v="3"/>
    <m/>
    <s v="التشغيل"/>
    <s v="محمد جمعة"/>
    <m/>
    <d v="2016-04-27T00:00:00"/>
    <s v="كارفور"/>
    <m/>
    <n v="1"/>
    <n v="8296"/>
    <n v="2243"/>
    <n v="2243"/>
    <n v="565.05164383561646"/>
    <n v="1677.9483561643835"/>
    <m/>
    <m/>
    <m/>
    <n v="0"/>
    <m/>
    <m/>
    <m/>
    <m/>
    <m/>
    <m/>
    <n v="0"/>
    <n v="0"/>
    <n v="1"/>
    <n v="2243"/>
    <n v="0.125"/>
    <m/>
    <s v="في التشغيل"/>
    <n v="280.375"/>
    <n v="0"/>
    <n v="0"/>
    <n v="0"/>
    <m/>
    <n v="845.42664383561646"/>
    <n v="1397.5733561643835"/>
  </r>
  <r>
    <n v="150"/>
    <s v="طفاية حريق"/>
    <x v="0"/>
    <x v="0"/>
    <x v="7"/>
    <x v="14"/>
    <m/>
    <x v="1"/>
    <m/>
    <s v="التشغيل"/>
    <m/>
    <m/>
    <d v="2016-11-01T00:00:00"/>
    <m/>
    <m/>
    <n v="1"/>
    <m/>
    <n v="40"/>
    <n v="40"/>
    <n v="6.9863013698630141"/>
    <n v="33.013698630136986"/>
    <m/>
    <m/>
    <m/>
    <n v="0"/>
    <m/>
    <m/>
    <m/>
    <m/>
    <m/>
    <m/>
    <n v="0"/>
    <n v="0"/>
    <n v="1"/>
    <n v="40"/>
    <n v="0.125"/>
    <m/>
    <s v="في التشغيل"/>
    <n v="5"/>
    <n v="0"/>
    <n v="0"/>
    <n v="0"/>
    <m/>
    <n v="11.986301369863014"/>
    <n v="28.013698630136986"/>
  </r>
  <r>
    <n v="151"/>
    <s v="عدد 1 مكتب + 1 دولاب + 2 كرسي"/>
    <x v="0"/>
    <x v="0"/>
    <x v="0"/>
    <x v="0"/>
    <m/>
    <x v="1"/>
    <m/>
    <s v="التشغيل"/>
    <m/>
    <m/>
    <d v="2016-08-01T00:00:00"/>
    <m/>
    <m/>
    <n v="1"/>
    <m/>
    <n v="2950"/>
    <n v="2950"/>
    <n v="626.77397260273972"/>
    <n v="2323.2260273972602"/>
    <m/>
    <m/>
    <m/>
    <n v="0"/>
    <m/>
    <m/>
    <m/>
    <m/>
    <m/>
    <m/>
    <n v="0"/>
    <n v="0"/>
    <n v="1"/>
    <n v="2950"/>
    <n v="0.125"/>
    <m/>
    <s v="في التشغيل"/>
    <n v="368.75"/>
    <n v="0"/>
    <n v="0"/>
    <n v="0"/>
    <m/>
    <n v="995.52397260273972"/>
    <n v="1954.4760273972602"/>
  </r>
  <r>
    <n v="152"/>
    <s v="أبواب حديد"/>
    <x v="0"/>
    <x v="0"/>
    <x v="7"/>
    <x v="14"/>
    <m/>
    <x v="0"/>
    <s v="التشغيل"/>
    <s v="التشغيل"/>
    <m/>
    <m/>
    <d v="2016-12-20T00:00:00"/>
    <m/>
    <m/>
    <n v="2"/>
    <m/>
    <n v="1750"/>
    <n v="3500"/>
    <n v="540.82191780821915"/>
    <n v="2959.178082191781"/>
    <m/>
    <m/>
    <m/>
    <n v="0"/>
    <m/>
    <m/>
    <m/>
    <m/>
    <m/>
    <m/>
    <n v="0"/>
    <n v="0"/>
    <n v="2"/>
    <n v="3500"/>
    <n v="0.125"/>
    <m/>
    <s v="في التشغيل"/>
    <n v="437.5"/>
    <n v="0"/>
    <n v="0"/>
    <n v="0"/>
    <m/>
    <n v="978.32191780821915"/>
    <n v="2521.678082191781"/>
  </r>
  <r>
    <n v="153"/>
    <s v="خزان مياه 15000 لتر "/>
    <x v="0"/>
    <x v="0"/>
    <x v="7"/>
    <x v="14"/>
    <m/>
    <x v="0"/>
    <s v="التشغيل"/>
    <s v="التشغيل"/>
    <m/>
    <m/>
    <d v="2011-09-01T00:00:00"/>
    <m/>
    <m/>
    <n v="1"/>
    <m/>
    <n v="5820"/>
    <n v="5820"/>
    <n v="5529.7972602739728"/>
    <n v="290.20273972602718"/>
    <m/>
    <m/>
    <m/>
    <n v="0"/>
    <m/>
    <m/>
    <m/>
    <m/>
    <m/>
    <m/>
    <n v="0"/>
    <n v="0"/>
    <n v="1"/>
    <n v="5820"/>
    <n v="0.125"/>
    <m/>
    <s v="في التشغيل"/>
    <n v="290.20273972602718"/>
    <n v="0"/>
    <n v="0"/>
    <n v="0"/>
    <m/>
    <n v="5820"/>
    <n v="0"/>
  </r>
  <r>
    <n v="154"/>
    <s v="كونتر مستودع مقاس 20 قدم"/>
    <x v="0"/>
    <x v="0"/>
    <x v="7"/>
    <x v="14"/>
    <m/>
    <x v="0"/>
    <s v="التشغيل"/>
    <s v="التشغيل"/>
    <m/>
    <m/>
    <d v="2011-09-01T00:00:00"/>
    <m/>
    <m/>
    <n v="1"/>
    <m/>
    <n v="4000"/>
    <n v="4000"/>
    <n v="3800.5479452054792"/>
    <n v="199.45205479452079"/>
    <m/>
    <m/>
    <m/>
    <n v="0"/>
    <m/>
    <m/>
    <m/>
    <m/>
    <m/>
    <m/>
    <n v="0"/>
    <n v="0"/>
    <n v="1"/>
    <n v="4000"/>
    <n v="0.125"/>
    <m/>
    <s v="في التشغيل"/>
    <n v="199.45205479452079"/>
    <n v="0"/>
    <n v="0"/>
    <n v="0"/>
    <m/>
    <n v="4000"/>
    <n v="0"/>
  </r>
  <r>
    <n v="155"/>
    <s v="محولات مكابس أرضية"/>
    <x v="0"/>
    <x v="2"/>
    <x v="2"/>
    <x v="2"/>
    <m/>
    <x v="0"/>
    <s v="أنقاض"/>
    <s v="التشغيل"/>
    <m/>
    <s v="مدارس بن خلدون"/>
    <d v="2016-11-02T00:00:00"/>
    <m/>
    <s v="15-11-2016"/>
    <n v="1"/>
    <m/>
    <n v="800"/>
    <n v="800"/>
    <n v="185.86301369863"/>
    <n v="614.13698630137003"/>
    <m/>
    <m/>
    <m/>
    <n v="0"/>
    <m/>
    <m/>
    <m/>
    <m/>
    <m/>
    <m/>
    <n v="0"/>
    <n v="0"/>
    <n v="1"/>
    <n v="800"/>
    <n v="0.15"/>
    <m/>
    <s v="في التشغيل"/>
    <n v="120"/>
    <n v="0"/>
    <n v="0"/>
    <n v="0"/>
    <m/>
    <n v="305.86301369862997"/>
    <n v="494.13698630137003"/>
  </r>
  <r>
    <n v="156"/>
    <s v="محول كهربائي"/>
    <x v="0"/>
    <x v="2"/>
    <x v="2"/>
    <x v="2"/>
    <m/>
    <x v="0"/>
    <s v="أنقاض"/>
    <s v="التشغيل"/>
    <m/>
    <m/>
    <d v="2016-03-03T00:00:00"/>
    <m/>
    <m/>
    <n v="1"/>
    <m/>
    <n v="1287"/>
    <n v="1287"/>
    <n v="353.30794520547943"/>
    <n v="933.69205479452057"/>
    <m/>
    <m/>
    <m/>
    <n v="0"/>
    <m/>
    <m/>
    <m/>
    <m/>
    <m/>
    <m/>
    <n v="0"/>
    <n v="0"/>
    <n v="1"/>
    <n v="1287"/>
    <n v="0.125"/>
    <m/>
    <s v="في التشغيل"/>
    <n v="160.875"/>
    <n v="0"/>
    <n v="0"/>
    <n v="0"/>
    <m/>
    <n v="514.18294520547943"/>
    <n v="772.81705479452057"/>
  </r>
  <r>
    <n v="157"/>
    <s v="شرائح تتبع"/>
    <x v="0"/>
    <x v="5"/>
    <x v="29"/>
    <x v="80"/>
    <m/>
    <x v="2"/>
    <s v="نفايات"/>
    <m/>
    <m/>
    <m/>
    <d v="2016-11-02T00:00:00"/>
    <m/>
    <m/>
    <n v="3"/>
    <m/>
    <n v="300"/>
    <n v="900"/>
    <n v="156.82191780821918"/>
    <n v="743.17808219178085"/>
    <m/>
    <m/>
    <m/>
    <n v="0"/>
    <m/>
    <m/>
    <m/>
    <m/>
    <m/>
    <m/>
    <n v="0"/>
    <n v="0"/>
    <n v="3"/>
    <n v="900"/>
    <n v="0.125"/>
    <m/>
    <s v="في التشغيل"/>
    <n v="112.5"/>
    <n v="0"/>
    <n v="0"/>
    <n v="0"/>
    <m/>
    <n v="269.32191780821915"/>
    <n v="630.67808219178085"/>
  </r>
  <r>
    <n v="158"/>
    <s v="إضافات ميتسوبيشي روول أون و روول أوف"/>
    <x v="0"/>
    <x v="5"/>
    <x v="15"/>
    <x v="29"/>
    <m/>
    <x v="0"/>
    <s v="أنقاض"/>
    <s v="التشغيل"/>
    <s v="ok"/>
    <s v="ب.أ.ص_x000a_3453"/>
    <d v="2016-06-01T00:00:00"/>
    <m/>
    <m/>
    <n v="1"/>
    <m/>
    <n v="53430"/>
    <n v="53430"/>
    <n v="21152.424657534248"/>
    <n v="32277.575342465752"/>
    <m/>
    <m/>
    <m/>
    <n v="0"/>
    <m/>
    <m/>
    <m/>
    <m/>
    <m/>
    <m/>
    <n v="0"/>
    <n v="0"/>
    <n v="1"/>
    <n v="53430"/>
    <n v="0.15"/>
    <m/>
    <s v="في التشغيل"/>
    <n v="8014.5"/>
    <n v="0"/>
    <n v="0"/>
    <n v="0"/>
    <m/>
    <n v="29166.924657534248"/>
    <n v="24263.075342465752"/>
  </r>
  <r>
    <n v="159"/>
    <s v="مكبس نفايات أرضي"/>
    <x v="0"/>
    <x v="2"/>
    <x v="14"/>
    <x v="81"/>
    <s v="مك 018/034"/>
    <x v="0"/>
    <s v="أنقاض"/>
    <s v="التشغيل"/>
    <m/>
    <m/>
    <d v="2016-08-25T00:00:00"/>
    <s v="الساطعة الحديثة للمقاولات _x000a_شيك 1907 من الفهاد"/>
    <s v="07-06-2016"/>
    <n v="1"/>
    <m/>
    <n v="66000"/>
    <n v="66000"/>
    <n v="13371.7808219178"/>
    <n v="52628.219178082203"/>
    <m/>
    <m/>
    <m/>
    <n v="0"/>
    <m/>
    <m/>
    <m/>
    <m/>
    <m/>
    <m/>
    <n v="0"/>
    <n v="0"/>
    <n v="1"/>
    <n v="66000"/>
    <n v="0.15"/>
    <m/>
    <s v="في التشغيل"/>
    <n v="9900"/>
    <n v="0"/>
    <n v="0"/>
    <n v="0"/>
    <m/>
    <n v="23271.7808219178"/>
    <n v="42728.219178082203"/>
  </r>
  <r>
    <n v="160"/>
    <s v="مكبس نفايات أرضي"/>
    <x v="0"/>
    <x v="2"/>
    <x v="14"/>
    <x v="82"/>
    <s v="مك 019/034"/>
    <x v="0"/>
    <s v="أنقاض"/>
    <s v="التشغيل"/>
    <m/>
    <m/>
    <d v="2016-11-18T00:00:00"/>
    <s v="المزايا الخضراء _x000a_أعتماد 6001681"/>
    <s v="37-12-2016"/>
    <n v="1"/>
    <m/>
    <n v="66437"/>
    <n v="66437"/>
    <n v="11139.573698630165"/>
    <n v="55297.426301369836"/>
    <m/>
    <m/>
    <m/>
    <n v="0"/>
    <m/>
    <m/>
    <m/>
    <m/>
    <m/>
    <m/>
    <n v="0"/>
    <n v="0"/>
    <n v="1"/>
    <n v="66437"/>
    <n v="0.15"/>
    <m/>
    <s v="في التشغيل"/>
    <n v="9965.5499999999993"/>
    <n v="0"/>
    <n v="0"/>
    <n v="0"/>
    <m/>
    <n v="21105.123698630166"/>
    <n v="45331.876301369834"/>
  </r>
  <r>
    <n v="161"/>
    <s v="مكبس نفايات أرضي"/>
    <x v="0"/>
    <x v="2"/>
    <x v="14"/>
    <x v="83"/>
    <s v="مك 020/034"/>
    <x v="0"/>
    <s v="أنقاض"/>
    <s v="التشغيل"/>
    <m/>
    <m/>
    <d v="2016-11-18T00:00:00"/>
    <s v="المزايا الخضراء _x000a_أعتماد 6001681"/>
    <s v="37-12-2016"/>
    <n v="1"/>
    <m/>
    <n v="66437"/>
    <n v="66437"/>
    <n v="11139.573698630165"/>
    <n v="55297.426301369836"/>
    <m/>
    <m/>
    <m/>
    <n v="0"/>
    <m/>
    <m/>
    <m/>
    <m/>
    <m/>
    <m/>
    <n v="0"/>
    <n v="0"/>
    <n v="1"/>
    <n v="66437"/>
    <n v="0.15"/>
    <m/>
    <s v="في التشغيل"/>
    <n v="9965.5499999999993"/>
    <n v="0"/>
    <n v="0"/>
    <n v="0"/>
    <m/>
    <n v="21105.123698630166"/>
    <n v="45331.876301369834"/>
  </r>
  <r>
    <n v="162"/>
    <s v="مكبس نفايات أرضي"/>
    <x v="0"/>
    <x v="2"/>
    <x v="14"/>
    <x v="84"/>
    <s v="مك 021/034"/>
    <x v="0"/>
    <s v="أنقاض"/>
    <s v="التشغيل"/>
    <m/>
    <m/>
    <d v="2016-11-18T00:00:00"/>
    <s v="المزايا الخضراء _x000a_أعتماد 6001681"/>
    <s v="37-12-2016"/>
    <n v="1"/>
    <m/>
    <n v="66437"/>
    <n v="66437"/>
    <n v="11139.573698630165"/>
    <n v="55297.426301369836"/>
    <m/>
    <m/>
    <m/>
    <n v="0"/>
    <m/>
    <m/>
    <m/>
    <m/>
    <m/>
    <m/>
    <n v="0"/>
    <n v="0"/>
    <n v="1"/>
    <n v="66437"/>
    <n v="0.15"/>
    <m/>
    <s v="في التشغيل"/>
    <n v="9965.5499999999993"/>
    <n v="0"/>
    <n v="0"/>
    <n v="0"/>
    <m/>
    <n v="21105.123698630166"/>
    <n v="45331.876301369834"/>
  </r>
  <r>
    <n v="163"/>
    <s v="مكبس نفايات أرضي"/>
    <x v="0"/>
    <x v="2"/>
    <x v="14"/>
    <x v="85"/>
    <s v="مك 022/034"/>
    <x v="0"/>
    <s v="أنقاض"/>
    <s v="التشغيل"/>
    <m/>
    <m/>
    <d v="2016-11-18T00:00:00"/>
    <s v="المزايا الخضراء _x000a_أعتماد 6001681"/>
    <s v="37-12-2016"/>
    <n v="1"/>
    <m/>
    <n v="66437"/>
    <n v="66437"/>
    <n v="11139.573698630165"/>
    <n v="55297.426301369836"/>
    <m/>
    <m/>
    <m/>
    <n v="0"/>
    <m/>
    <m/>
    <m/>
    <m/>
    <m/>
    <m/>
    <n v="0"/>
    <n v="0"/>
    <n v="1"/>
    <n v="66437"/>
    <n v="0.15"/>
    <m/>
    <s v="في التشغيل"/>
    <n v="9965.5499999999993"/>
    <n v="0"/>
    <n v="0"/>
    <n v="0"/>
    <m/>
    <n v="21105.123698630166"/>
    <n v="45331.876301369834"/>
  </r>
  <r>
    <n v="164"/>
    <s v="مكبس نفايات أرضي"/>
    <x v="0"/>
    <x v="2"/>
    <x v="14"/>
    <x v="86"/>
    <s v="مك 023/034"/>
    <x v="0"/>
    <s v="أنقاض"/>
    <s v="التشغيل"/>
    <m/>
    <m/>
    <d v="2016-11-18T00:00:00"/>
    <s v="المزايا الخضراء _x000a_أعتماد 6001681"/>
    <s v="37-12-2016"/>
    <n v="1"/>
    <m/>
    <n v="66437"/>
    <n v="66437"/>
    <n v="11139.573698630165"/>
    <n v="55297.426301369836"/>
    <m/>
    <m/>
    <m/>
    <n v="0"/>
    <m/>
    <m/>
    <m/>
    <m/>
    <m/>
    <m/>
    <n v="0"/>
    <n v="0"/>
    <n v="1"/>
    <n v="66437"/>
    <n v="0.15"/>
    <m/>
    <s v="في التشغيل"/>
    <n v="9965.5499999999993"/>
    <n v="0"/>
    <n v="0"/>
    <n v="0"/>
    <m/>
    <n v="21105.123698630166"/>
    <n v="45331.876301369834"/>
  </r>
  <r>
    <n v="165"/>
    <s v="مكبس نفايات أرضي"/>
    <x v="0"/>
    <x v="2"/>
    <x v="14"/>
    <x v="87"/>
    <s v="مك 024/034"/>
    <x v="0"/>
    <s v="أنقاض"/>
    <s v="التشغيل"/>
    <m/>
    <m/>
    <d v="2016-11-18T00:00:00"/>
    <s v="المزايا الخضراء _x000a_أعتماد 6001681"/>
    <s v="37-12-2016"/>
    <n v="1"/>
    <m/>
    <n v="66437"/>
    <n v="66437"/>
    <n v="11139.573698630165"/>
    <n v="55297.426301369836"/>
    <m/>
    <m/>
    <m/>
    <n v="0"/>
    <m/>
    <m/>
    <m/>
    <m/>
    <m/>
    <m/>
    <n v="0"/>
    <n v="0"/>
    <n v="1"/>
    <n v="66437"/>
    <n v="0.15"/>
    <m/>
    <s v="في التشغيل"/>
    <n v="9965.5499999999993"/>
    <n v="0"/>
    <n v="0"/>
    <n v="0"/>
    <m/>
    <n v="21105.123698630166"/>
    <n v="45331.876301369834"/>
  </r>
  <r>
    <n v="166"/>
    <s v="مكبس نفايات أرضي"/>
    <x v="0"/>
    <x v="2"/>
    <x v="14"/>
    <x v="88"/>
    <s v="مك 025/034"/>
    <x v="0"/>
    <s v="أنقاض"/>
    <s v="التشغيل"/>
    <m/>
    <m/>
    <d v="2016-11-18T00:00:00"/>
    <s v="المزايا الخضراء _x000a_أعتماد 6001681"/>
    <s v="37-12-2016"/>
    <n v="1"/>
    <m/>
    <n v="66437"/>
    <n v="66437"/>
    <n v="11139.573698630165"/>
    <n v="55297.426301369836"/>
    <m/>
    <m/>
    <m/>
    <n v="0"/>
    <m/>
    <m/>
    <m/>
    <m/>
    <m/>
    <m/>
    <n v="0"/>
    <n v="0"/>
    <n v="1"/>
    <n v="66437"/>
    <n v="0.15"/>
    <m/>
    <s v="في التشغيل"/>
    <n v="9965.5499999999993"/>
    <n v="0"/>
    <n v="0"/>
    <n v="0"/>
    <m/>
    <n v="21105.123698630166"/>
    <n v="45331.876301369834"/>
  </r>
  <r>
    <n v="167"/>
    <s v="مكبس نفايات أرضي"/>
    <x v="0"/>
    <x v="2"/>
    <x v="14"/>
    <x v="89"/>
    <s v="مك 026/034"/>
    <x v="0"/>
    <s v="أنقاض"/>
    <s v="التشغيل"/>
    <m/>
    <m/>
    <d v="2016-11-18T00:00:00"/>
    <s v="المزايا الخضراء _x000a_أعتماد 6001681"/>
    <s v="37-12-2016"/>
    <n v="1"/>
    <m/>
    <n v="66437"/>
    <n v="66437"/>
    <n v="11139.573698630165"/>
    <n v="55297.426301369836"/>
    <m/>
    <m/>
    <m/>
    <n v="0"/>
    <m/>
    <m/>
    <m/>
    <m/>
    <m/>
    <m/>
    <n v="0"/>
    <n v="0"/>
    <n v="1"/>
    <n v="66437"/>
    <n v="0.15"/>
    <m/>
    <s v="في التشغيل"/>
    <n v="9965.5499999999993"/>
    <n v="0"/>
    <n v="0"/>
    <n v="0"/>
    <m/>
    <n v="21105.123698630166"/>
    <n v="45331.876301369834"/>
  </r>
  <r>
    <n v="168"/>
    <s v="مكبس نفايات أرضي"/>
    <x v="0"/>
    <x v="2"/>
    <x v="14"/>
    <x v="90"/>
    <s v="مك 027/034"/>
    <x v="0"/>
    <s v="أنقاض"/>
    <s v="التشغيل"/>
    <m/>
    <m/>
    <d v="2016-11-18T00:00:00"/>
    <s v="المزايا الخضراء _x000a_أعتماد 6001681"/>
    <s v="37-12-2016"/>
    <n v="1"/>
    <m/>
    <n v="66437"/>
    <n v="66437"/>
    <n v="11139.573698630165"/>
    <n v="55297.426301369836"/>
    <m/>
    <m/>
    <m/>
    <n v="0"/>
    <m/>
    <m/>
    <m/>
    <m/>
    <m/>
    <m/>
    <n v="0"/>
    <n v="0"/>
    <n v="1"/>
    <n v="66437"/>
    <n v="0.15"/>
    <m/>
    <s v="في التشغيل"/>
    <n v="9965.5499999999993"/>
    <n v="0"/>
    <n v="0"/>
    <n v="0"/>
    <m/>
    <n v="21105.123698630166"/>
    <n v="45331.876301369834"/>
  </r>
  <r>
    <n v="169"/>
    <s v="مكبس نفايات أرضي"/>
    <x v="0"/>
    <x v="2"/>
    <x v="14"/>
    <x v="91"/>
    <s v="مك 028/034"/>
    <x v="0"/>
    <s v="أنقاض"/>
    <s v="التشغيل"/>
    <m/>
    <m/>
    <d v="2016-11-18T00:00:00"/>
    <s v="المزايا الخضراء _x000a_أعتماد 6001681"/>
    <s v="37-12-2016"/>
    <n v="1"/>
    <m/>
    <n v="66437"/>
    <n v="66437"/>
    <n v="11139.573698630165"/>
    <n v="55297.426301369836"/>
    <m/>
    <m/>
    <m/>
    <n v="0"/>
    <m/>
    <m/>
    <m/>
    <m/>
    <m/>
    <m/>
    <n v="0"/>
    <n v="0"/>
    <n v="1"/>
    <n v="66437"/>
    <n v="0.15"/>
    <m/>
    <s v="في التشغيل"/>
    <n v="9965.5499999999993"/>
    <n v="0"/>
    <n v="0"/>
    <n v="0"/>
    <m/>
    <n v="21105.123698630166"/>
    <n v="45331.876301369834"/>
  </r>
  <r>
    <n v="170"/>
    <s v="مكبس نفايات أرضي"/>
    <x v="0"/>
    <x v="2"/>
    <x v="14"/>
    <x v="92"/>
    <s v="مك 029/034"/>
    <x v="0"/>
    <s v="أنقاض"/>
    <s v="التشغيل"/>
    <m/>
    <m/>
    <d v="2016-11-18T00:00:00"/>
    <s v="المزايا الخضراء _x000a_أعتماد 6001681"/>
    <s v="37-12-2016"/>
    <n v="1"/>
    <m/>
    <n v="66437"/>
    <n v="66437"/>
    <n v="11139.573698630165"/>
    <n v="55297.426301369836"/>
    <m/>
    <m/>
    <m/>
    <n v="0"/>
    <m/>
    <m/>
    <m/>
    <m/>
    <m/>
    <m/>
    <n v="0"/>
    <n v="0"/>
    <n v="1"/>
    <n v="66437"/>
    <n v="0.15"/>
    <m/>
    <s v="في التشغيل"/>
    <n v="9965.5499999999993"/>
    <n v="0"/>
    <n v="0"/>
    <n v="0"/>
    <m/>
    <n v="21105.123698630166"/>
    <n v="45331.876301369834"/>
  </r>
  <r>
    <n v="171"/>
    <s v="لود لوجر"/>
    <x v="1"/>
    <x v="5"/>
    <x v="30"/>
    <x v="93"/>
    <m/>
    <x v="0"/>
    <s v="أنقاض"/>
    <s v="التشغيل"/>
    <s v="ok"/>
    <s v="أ.م.أ_x000a_1930"/>
    <d v="2019-01-01T00:00:00"/>
    <m/>
    <m/>
    <m/>
    <m/>
    <m/>
    <n v="0"/>
    <m/>
    <n v="0"/>
    <m/>
    <m/>
    <m/>
    <n v="0"/>
    <m/>
    <m/>
    <m/>
    <m/>
    <m/>
    <m/>
    <n v="0"/>
    <n v="0"/>
    <n v="0"/>
    <n v="0"/>
    <n v="0.15"/>
    <m/>
    <m/>
    <n v="0"/>
    <n v="0"/>
    <n v="0"/>
    <n v="0"/>
    <m/>
    <n v="0"/>
    <n v="0"/>
  </r>
  <r>
    <n v="172"/>
    <s v="لود لوجر"/>
    <x v="1"/>
    <x v="5"/>
    <x v="30"/>
    <x v="94"/>
    <m/>
    <x v="0"/>
    <s v="أنقاض"/>
    <s v="التشغيل"/>
    <s v="ok"/>
    <n v="4454"/>
    <d v="2019-01-01T00:00:00"/>
    <m/>
    <m/>
    <m/>
    <m/>
    <m/>
    <n v="0"/>
    <m/>
    <n v="0"/>
    <m/>
    <m/>
    <m/>
    <n v="0"/>
    <m/>
    <m/>
    <m/>
    <m/>
    <m/>
    <m/>
    <n v="0"/>
    <n v="0"/>
    <n v="0"/>
    <n v="0"/>
    <n v="0.15"/>
    <m/>
    <m/>
    <n v="0"/>
    <n v="0"/>
    <n v="0"/>
    <n v="0"/>
    <m/>
    <n v="0"/>
    <n v="0"/>
  </r>
  <r>
    <n v="173"/>
    <s v="لود لوجر"/>
    <x v="0"/>
    <x v="5"/>
    <x v="30"/>
    <x v="95"/>
    <m/>
    <x v="0"/>
    <s v="أنقاض"/>
    <s v="التشغيل"/>
    <s v="ok"/>
    <s v="أ.ح.و_x000a_1992"/>
    <d v="2008-12-31T00:00:00"/>
    <s v="شركة الفهاد"/>
    <m/>
    <n v="1"/>
    <m/>
    <n v="222529"/>
    <n v="222529"/>
    <n v="222529"/>
    <n v="0"/>
    <m/>
    <m/>
    <m/>
    <n v="0"/>
    <m/>
    <m/>
    <m/>
    <m/>
    <m/>
    <m/>
    <n v="0"/>
    <n v="0"/>
    <n v="1"/>
    <n v="222529"/>
    <n v="0.15"/>
    <m/>
    <s v="في التشغيل"/>
    <n v="0"/>
    <n v="0"/>
    <n v="0"/>
    <n v="0"/>
    <m/>
    <n v="222529"/>
    <n v="0"/>
  </r>
  <r>
    <n v="174"/>
    <s v="حاويات 04 ياردة"/>
    <x v="0"/>
    <x v="1"/>
    <x v="12"/>
    <x v="26"/>
    <m/>
    <x v="0"/>
    <s v="نفايات"/>
    <s v="التشغيل"/>
    <m/>
    <m/>
    <d v="2016-01-01T00:00:00"/>
    <s v="ربوع كلادة للتشغيل"/>
    <m/>
    <n v="68"/>
    <m/>
    <n v="1199.26"/>
    <n v="81549.679999999993"/>
    <n v="24464.903999999999"/>
    <n v="57084.775999999998"/>
    <m/>
    <m/>
    <m/>
    <n v="0"/>
    <m/>
    <m/>
    <m/>
    <m/>
    <m/>
    <m/>
    <n v="0"/>
    <n v="0"/>
    <n v="68"/>
    <n v="81549.679999999993"/>
    <n v="0.125"/>
    <m/>
    <s v="في التشغيل"/>
    <n v="10193.709999999999"/>
    <n v="0"/>
    <n v="0"/>
    <n v="0"/>
    <m/>
    <n v="34658.614000000001"/>
    <n v="46891.065999999992"/>
  </r>
  <r>
    <n v="175"/>
    <s v="حاويات 06 ياردة"/>
    <x v="0"/>
    <x v="1"/>
    <x v="13"/>
    <x v="27"/>
    <m/>
    <x v="0"/>
    <s v="نفايات"/>
    <s v="التشغيل"/>
    <m/>
    <m/>
    <d v="2016-09-27T14:24:00"/>
    <s v="ربوع كلادة للتشغيل"/>
    <m/>
    <n v="96"/>
    <m/>
    <n v="1239.58"/>
    <n v="118999.67999999999"/>
    <n v="22466.48753095897"/>
    <n v="96533.192469041023"/>
    <m/>
    <m/>
    <m/>
    <n v="0"/>
    <m/>
    <m/>
    <m/>
    <m/>
    <m/>
    <m/>
    <n v="0"/>
    <n v="0"/>
    <n v="96"/>
    <n v="118999.67999999999"/>
    <n v="0.125"/>
    <m/>
    <s v="في التشغيل"/>
    <n v="14874.96"/>
    <n v="0"/>
    <n v="0"/>
    <n v="0"/>
    <m/>
    <n v="37341.447530958969"/>
    <n v="81658.232469041017"/>
  </r>
  <r>
    <n v="176"/>
    <s v="حاوية 20 ياردة"/>
    <x v="0"/>
    <x v="1"/>
    <x v="31"/>
    <x v="96"/>
    <m/>
    <x v="0"/>
    <s v="أنقاض"/>
    <s v="التشغيل"/>
    <m/>
    <m/>
    <d v="2006-01-01T00:00:00"/>
    <m/>
    <m/>
    <n v="113"/>
    <m/>
    <n v="9000"/>
    <n v="1017000"/>
    <n v="1017000"/>
    <n v="0"/>
    <m/>
    <m/>
    <m/>
    <n v="0"/>
    <m/>
    <m/>
    <m/>
    <m/>
    <m/>
    <m/>
    <n v="0"/>
    <n v="0"/>
    <n v="113"/>
    <n v="1017000"/>
    <n v="0.125"/>
    <m/>
    <s v="في التشغيل"/>
    <n v="0"/>
    <n v="0"/>
    <n v="0"/>
    <n v="0"/>
    <m/>
    <n v="1017000"/>
    <n v="0"/>
  </r>
  <r>
    <n v="177"/>
    <s v="حاوية 10 ياردة"/>
    <x v="0"/>
    <x v="1"/>
    <x v="32"/>
    <x v="97"/>
    <m/>
    <x v="0"/>
    <s v="أنقاض"/>
    <s v="التشغيل"/>
    <m/>
    <m/>
    <d v="2012-07-19T12:28:48"/>
    <m/>
    <m/>
    <n v="47"/>
    <m/>
    <n v="5767.02"/>
    <n v="271049.94"/>
    <n v="174844.29115923314"/>
    <n v="96205.648840766866"/>
    <m/>
    <m/>
    <m/>
    <n v="0"/>
    <m/>
    <m/>
    <m/>
    <m/>
    <m/>
    <m/>
    <n v="0"/>
    <n v="0"/>
    <n v="47"/>
    <n v="271049.94"/>
    <n v="0.125"/>
    <m/>
    <s v="في التشغيل"/>
    <n v="33881.2425"/>
    <n v="0"/>
    <n v="0"/>
    <n v="0"/>
    <m/>
    <n v="208725.53365923313"/>
    <n v="62324.406340766873"/>
  </r>
  <r>
    <n v="178"/>
    <s v="سيارة كابريس - أ د و 9277 "/>
    <x v="0"/>
    <x v="4"/>
    <x v="33"/>
    <x v="74"/>
    <s v="CHCAP 001"/>
    <x v="5"/>
    <s v="التشغيل"/>
    <m/>
    <m/>
    <s v="أ.د.و_x000a_9277"/>
    <d v="2011-01-01T00:00:00"/>
    <m/>
    <m/>
    <n v="1"/>
    <m/>
    <n v="37000"/>
    <n v="37000"/>
    <n v="37000"/>
    <n v="0"/>
    <m/>
    <m/>
    <m/>
    <n v="0"/>
    <m/>
    <m/>
    <m/>
    <m/>
    <m/>
    <m/>
    <n v="0"/>
    <n v="0"/>
    <n v="1"/>
    <n v="37000"/>
    <n v="0.15"/>
    <m/>
    <s v="في التشغيل"/>
    <n v="0"/>
    <n v="0"/>
    <n v="0"/>
    <n v="0"/>
    <m/>
    <n v="37000"/>
    <n v="0"/>
  </r>
  <r>
    <n v="179"/>
    <s v="حاويات 04 ياردة"/>
    <x v="0"/>
    <x v="1"/>
    <x v="12"/>
    <x v="26"/>
    <m/>
    <x v="7"/>
    <m/>
    <s v="التشغيل"/>
    <m/>
    <m/>
    <d v="2013-08-05T23:58:34"/>
    <m/>
    <m/>
    <n v="48"/>
    <m/>
    <n v="1100"/>
    <n v="52800"/>
    <n v="28526.480219178033"/>
    <n v="24273.519780821967"/>
    <m/>
    <m/>
    <m/>
    <n v="0"/>
    <m/>
    <m/>
    <m/>
    <m/>
    <m/>
    <m/>
    <n v="0"/>
    <n v="0"/>
    <n v="48"/>
    <n v="52800"/>
    <n v="0.125"/>
    <m/>
    <s v="في التشغيل"/>
    <n v="6600"/>
    <n v="0"/>
    <n v="0"/>
    <n v="0"/>
    <m/>
    <n v="35126.480219178033"/>
    <n v="17673.519780821967"/>
  </r>
  <r>
    <n v="180"/>
    <s v="حاويات 06 ياردة"/>
    <x v="0"/>
    <x v="1"/>
    <x v="13"/>
    <x v="27"/>
    <m/>
    <x v="7"/>
    <m/>
    <s v="التشغيل"/>
    <m/>
    <m/>
    <d v="2013-08-05T23:58:34"/>
    <m/>
    <m/>
    <n v="24"/>
    <m/>
    <n v="1300"/>
    <n v="31200"/>
    <n v="16856.556493150656"/>
    <n v="14343.443506849344"/>
    <m/>
    <m/>
    <m/>
    <n v="0"/>
    <m/>
    <m/>
    <m/>
    <m/>
    <m/>
    <m/>
    <n v="0"/>
    <n v="0"/>
    <n v="24"/>
    <n v="31200"/>
    <n v="0.125"/>
    <m/>
    <s v="في التشغيل"/>
    <n v="3900"/>
    <n v="0"/>
    <n v="0"/>
    <n v="0"/>
    <m/>
    <n v="20756.556493150656"/>
    <n v="10443.443506849344"/>
  </r>
  <r>
    <n v="181"/>
    <s v="حاويات 20 ياردة"/>
    <x v="0"/>
    <x v="1"/>
    <x v="31"/>
    <x v="96"/>
    <m/>
    <x v="7"/>
    <m/>
    <s v="التشغيل"/>
    <m/>
    <m/>
    <d v="2013-08-05T23:58:34"/>
    <m/>
    <m/>
    <n v="21"/>
    <m/>
    <n v="7000"/>
    <n v="147000"/>
    <n v="79420.314246575203"/>
    <n v="67579.685753424797"/>
    <m/>
    <m/>
    <m/>
    <n v="0"/>
    <m/>
    <m/>
    <m/>
    <m/>
    <m/>
    <m/>
    <n v="0"/>
    <n v="0"/>
    <n v="21"/>
    <n v="147000"/>
    <n v="0.125"/>
    <m/>
    <s v="في التشغيل"/>
    <n v="18375"/>
    <n v="0"/>
    <n v="0"/>
    <n v="0"/>
    <m/>
    <n v="97795.314246575203"/>
    <n v="49204.685753424797"/>
  </r>
  <r>
    <n v="182"/>
    <s v="حاويات 02 ياردة"/>
    <x v="0"/>
    <x v="1"/>
    <x v="1"/>
    <x v="1"/>
    <m/>
    <x v="7"/>
    <m/>
    <s v="التشغيل"/>
    <m/>
    <m/>
    <d v="2016-06-01T00:00:00"/>
    <s v="مصنع الفهاد"/>
    <m/>
    <n v="30"/>
    <m/>
    <n v="700"/>
    <n v="21000"/>
    <n v="4988.2191780821922"/>
    <n v="16011.780821917808"/>
    <m/>
    <m/>
    <m/>
    <n v="0"/>
    <m/>
    <m/>
    <m/>
    <m/>
    <m/>
    <m/>
    <n v="0"/>
    <n v="0"/>
    <n v="30"/>
    <n v="21000"/>
    <n v="0.125"/>
    <m/>
    <s v="في التشغيل"/>
    <n v="2625"/>
    <n v="0"/>
    <n v="0"/>
    <n v="0"/>
    <m/>
    <n v="7613.2191780821922"/>
    <n v="13386.780821917808"/>
  </r>
  <r>
    <n v="183"/>
    <s v="حاويات 02 ياردة"/>
    <x v="0"/>
    <x v="1"/>
    <x v="1"/>
    <x v="1"/>
    <m/>
    <x v="9"/>
    <m/>
    <s v="التشغيل"/>
    <m/>
    <m/>
    <d v="2013-07-20T00:00:00"/>
    <m/>
    <m/>
    <n v="260"/>
    <m/>
    <n v="650"/>
    <n v="169000"/>
    <n v="92093.424657534255"/>
    <n v="76906.575342465745"/>
    <m/>
    <m/>
    <m/>
    <n v="0"/>
    <m/>
    <m/>
    <m/>
    <m/>
    <m/>
    <m/>
    <n v="0"/>
    <n v="0"/>
    <n v="260"/>
    <n v="169000"/>
    <n v="0.125"/>
    <m/>
    <s v="في التشغيل"/>
    <n v="21125"/>
    <n v="0"/>
    <n v="0"/>
    <n v="0"/>
    <m/>
    <n v="113218.42465753425"/>
    <n v="55781.575342465745"/>
  </r>
  <r>
    <n v="184"/>
    <s v="حاويات 16 ياردة"/>
    <x v="0"/>
    <x v="1"/>
    <x v="13"/>
    <x v="27"/>
    <m/>
    <x v="9"/>
    <m/>
    <s v="التشغيل"/>
    <m/>
    <m/>
    <d v="2013-07-20T00:00:00"/>
    <m/>
    <m/>
    <n v="5"/>
    <m/>
    <n v="7000"/>
    <n v="35000"/>
    <n v="19072.602739726026"/>
    <n v="15927.397260273974"/>
    <m/>
    <m/>
    <m/>
    <n v="0"/>
    <m/>
    <m/>
    <m/>
    <m/>
    <m/>
    <m/>
    <n v="0"/>
    <n v="0"/>
    <n v="5"/>
    <n v="35000"/>
    <n v="0.125"/>
    <m/>
    <s v="في التشغيل"/>
    <n v="4375"/>
    <n v="0"/>
    <n v="0"/>
    <n v="0"/>
    <m/>
    <n v="23447.602739726026"/>
    <n v="11552.397260273974"/>
  </r>
  <r>
    <n v="185"/>
    <s v="حاويات 10 ياردة"/>
    <x v="0"/>
    <x v="1"/>
    <x v="32"/>
    <x v="97"/>
    <m/>
    <x v="9"/>
    <m/>
    <s v="التشغيل"/>
    <m/>
    <m/>
    <d v="2013-07-20T00:00:00"/>
    <m/>
    <m/>
    <n v="31"/>
    <m/>
    <n v="4500"/>
    <n v="139500"/>
    <n v="76017.945205479453"/>
    <n v="63482.054794520547"/>
    <m/>
    <m/>
    <m/>
    <n v="0"/>
    <m/>
    <m/>
    <m/>
    <m/>
    <m/>
    <m/>
    <n v="0"/>
    <n v="0"/>
    <n v="31"/>
    <n v="139500"/>
    <n v="0.125"/>
    <m/>
    <s v="في التشغيل"/>
    <n v="17437.5"/>
    <n v="0"/>
    <n v="0"/>
    <n v="0"/>
    <m/>
    <n v="93455.445205479453"/>
    <n v="46044.554794520547"/>
  </r>
  <r>
    <n v="186"/>
    <s v="حاويات 06 ياردة"/>
    <x v="0"/>
    <x v="1"/>
    <x v="13"/>
    <x v="27"/>
    <m/>
    <x v="9"/>
    <m/>
    <s v="التشغيل"/>
    <m/>
    <m/>
    <d v="2013-07-20T00:00:00"/>
    <m/>
    <m/>
    <n v="60"/>
    <m/>
    <n v="1100"/>
    <n v="66000"/>
    <n v="35965.479452054795"/>
    <n v="30034.520547945205"/>
    <m/>
    <m/>
    <m/>
    <n v="0"/>
    <m/>
    <m/>
    <m/>
    <m/>
    <m/>
    <m/>
    <n v="0"/>
    <n v="0"/>
    <n v="60"/>
    <n v="66000"/>
    <n v="0.125"/>
    <m/>
    <s v="في التشغيل"/>
    <n v="8250"/>
    <n v="0"/>
    <n v="0"/>
    <n v="0"/>
    <m/>
    <n v="44215.479452054795"/>
    <n v="21784.520547945205"/>
  </r>
  <r>
    <n v="187"/>
    <s v="مكبس نفايات أرضي"/>
    <x v="0"/>
    <x v="2"/>
    <x v="14"/>
    <x v="98"/>
    <s v="مك 030/034"/>
    <x v="0"/>
    <s v="أنقاض"/>
    <s v="التشغيل"/>
    <m/>
    <m/>
    <d v="2016-11-18T00:00:00"/>
    <s v="المزايا الخضراء _x000a_أعتماد 6001681"/>
    <s v="37-12-2016"/>
    <n v="1"/>
    <m/>
    <n v="66437"/>
    <n v="66437"/>
    <n v="11139.573698630165"/>
    <n v="55297.426301369836"/>
    <m/>
    <m/>
    <m/>
    <n v="0"/>
    <m/>
    <m/>
    <m/>
    <m/>
    <m/>
    <m/>
    <n v="0"/>
    <n v="0"/>
    <n v="1"/>
    <n v="66437"/>
    <n v="0.15"/>
    <m/>
    <s v="في التشغيل"/>
    <n v="9965.5499999999993"/>
    <n v="0"/>
    <n v="0"/>
    <n v="0"/>
    <m/>
    <n v="21105.123698630166"/>
    <n v="45331.876301369834"/>
  </r>
  <r>
    <n v="188"/>
    <s v="مكبس نفايات أرضي"/>
    <x v="3"/>
    <x v="2"/>
    <x v="18"/>
    <x v="99"/>
    <s v="SA003"/>
    <x v="0"/>
    <s v="أنقاض"/>
    <s v="التشغيل"/>
    <m/>
    <m/>
    <d v="2018-12-31T00:00:00"/>
    <s v="اعتماد مستندي 6201664 - مكابس ارضية عدد 15 مكبس من سابتك"/>
    <s v="JV-00492"/>
    <m/>
    <m/>
    <m/>
    <n v="0"/>
    <m/>
    <n v="0"/>
    <n v="1"/>
    <n v="6201664"/>
    <n v="70494"/>
    <n v="70494"/>
    <m/>
    <m/>
    <m/>
    <m/>
    <m/>
    <m/>
    <n v="0"/>
    <n v="0"/>
    <n v="1"/>
    <n v="70494"/>
    <n v="0.15"/>
    <m/>
    <m/>
    <n v="0"/>
    <n v="0"/>
    <n v="0"/>
    <n v="0"/>
    <m/>
    <n v="0"/>
    <n v="70494"/>
  </r>
  <r>
    <n v="189"/>
    <s v="محول كهربائي"/>
    <x v="0"/>
    <x v="2"/>
    <x v="2"/>
    <x v="2"/>
    <m/>
    <x v="0"/>
    <s v="أنقاض"/>
    <s v="التشغيل"/>
    <m/>
    <m/>
    <d v="2017-03-15T00:00:00"/>
    <m/>
    <s v="13-03-2017"/>
    <n v="1"/>
    <m/>
    <n v="1250"/>
    <n v="1250"/>
    <n v="149.48630136986304"/>
    <n v="1100.513698630137"/>
    <m/>
    <m/>
    <m/>
    <n v="0"/>
    <m/>
    <m/>
    <m/>
    <m/>
    <m/>
    <m/>
    <n v="0"/>
    <n v="0"/>
    <n v="1"/>
    <n v="1250"/>
    <n v="0.15"/>
    <m/>
    <s v="في التشغيل"/>
    <n v="187.5"/>
    <n v="0"/>
    <n v="0"/>
    <n v="0"/>
    <m/>
    <n v="336.98630136986304"/>
    <n v="913.01369863013701"/>
  </r>
  <r>
    <n v="190"/>
    <s v="أرض الرسين"/>
    <x v="0"/>
    <x v="6"/>
    <x v="34"/>
    <x v="100"/>
    <m/>
    <x v="0"/>
    <s v="إدارية"/>
    <s v="التشغيل"/>
    <m/>
    <m/>
    <d v="2017-12-01T00:00:00"/>
    <s v="زيد العبودي"/>
    <s v="56-12-2017"/>
    <n v="1"/>
    <m/>
    <n v="11460000"/>
    <n v="11460000"/>
    <n v="0"/>
    <n v="11460000"/>
    <m/>
    <m/>
    <m/>
    <n v="0"/>
    <m/>
    <m/>
    <m/>
    <m/>
    <m/>
    <m/>
    <n v="0"/>
    <n v="0"/>
    <n v="1"/>
    <n v="11460000"/>
    <n v="0"/>
    <m/>
    <s v="في التشغيل"/>
    <n v="0"/>
    <n v="0"/>
    <n v="0"/>
    <n v="0"/>
    <m/>
    <n v="0"/>
    <n v="11460000"/>
  </r>
  <r>
    <n v="191"/>
    <s v="كرين بلوكرين"/>
    <x v="0"/>
    <x v="7"/>
    <x v="6"/>
    <x v="12"/>
    <m/>
    <x v="0"/>
    <s v="نفايات"/>
    <s v="التشغيل"/>
    <s v="ok"/>
    <n v="1764"/>
    <d v="2017-12-01T00:00:00"/>
    <s v="معرض السنيدي "/>
    <s v="08-12-2017_x000a_13-12-2017"/>
    <n v="1"/>
    <m/>
    <n v="108700"/>
    <n v="108700"/>
    <n v="2233.5616438356165"/>
    <n v="106466.43835616438"/>
    <m/>
    <m/>
    <m/>
    <n v="0"/>
    <m/>
    <m/>
    <m/>
    <m/>
    <m/>
    <m/>
    <n v="0"/>
    <n v="0"/>
    <n v="1"/>
    <n v="108700"/>
    <n v="0.15"/>
    <m/>
    <s v="في التشغيل"/>
    <n v="16305"/>
    <n v="0"/>
    <n v="0"/>
    <n v="0"/>
    <m/>
    <n v="18538.561643835616"/>
    <n v="90161.438356164377"/>
  </r>
  <r>
    <n v="192"/>
    <s v="جهاز روول أون روول أوف"/>
    <x v="0"/>
    <x v="5"/>
    <x v="15"/>
    <x v="54"/>
    <m/>
    <x v="0"/>
    <s v="أنقاض"/>
    <s v="التشغيل"/>
    <s v="ok"/>
    <s v="6796_x000a_6795"/>
    <d v="2017-01-25T00:00:00"/>
    <m/>
    <s v="25-01-2017"/>
    <n v="1"/>
    <m/>
    <n v="36300"/>
    <n v="36300"/>
    <n v="8453.4246575342459"/>
    <n v="27846.575342465752"/>
    <m/>
    <m/>
    <m/>
    <n v="0"/>
    <m/>
    <m/>
    <m/>
    <m/>
    <m/>
    <m/>
    <n v="0"/>
    <n v="0"/>
    <n v="1"/>
    <n v="36300"/>
    <n v="0.15"/>
    <m/>
    <s v="في التشغيل"/>
    <n v="5445"/>
    <n v="0"/>
    <n v="0"/>
    <n v="0"/>
    <m/>
    <n v="13898.424657534246"/>
    <n v="22401.575342465752"/>
  </r>
  <r>
    <n v="193"/>
    <s v="جهاز روول أون روول أوف"/>
    <x v="0"/>
    <x v="5"/>
    <x v="15"/>
    <x v="54"/>
    <m/>
    <x v="0"/>
    <s v="أنقاض"/>
    <s v="التشغيل"/>
    <s v="ok"/>
    <s v="3495_x000a_6796"/>
    <d v="2017-01-05T00:00:00"/>
    <m/>
    <s v="05-01-2017"/>
    <n v="1"/>
    <m/>
    <n v="13836"/>
    <n v="13836"/>
    <n v="3411.6164383561641"/>
    <n v="10424.383561643835"/>
    <m/>
    <m/>
    <m/>
    <n v="0"/>
    <m/>
    <m/>
    <m/>
    <m/>
    <m/>
    <m/>
    <n v="0"/>
    <n v="0"/>
    <n v="1"/>
    <n v="13836"/>
    <n v="0.15"/>
    <m/>
    <s v="في التشغيل"/>
    <n v="2075.4"/>
    <n v="0"/>
    <n v="0"/>
    <n v="0"/>
    <m/>
    <n v="5487.0164383561641"/>
    <n v="8348.9835616438359"/>
  </r>
  <r>
    <n v="194"/>
    <s v="ضواغط 32 ياردة على سيارات"/>
    <x v="0"/>
    <x v="5"/>
    <x v="35"/>
    <x v="101"/>
    <m/>
    <x v="0"/>
    <s v="النفايات"/>
    <s v="التشغيل"/>
    <s v="ok"/>
    <s v="ب.ح.ر 8872"/>
    <d v="2017-06-01T00:00:00"/>
    <s v="شركة تصنيع المعادن"/>
    <s v="14-06-2017"/>
    <n v="1"/>
    <m/>
    <n v="90000"/>
    <n v="90000"/>
    <n v="13130.13698630137"/>
    <n v="76869.863013698632"/>
    <m/>
    <m/>
    <m/>
    <n v="0"/>
    <m/>
    <m/>
    <m/>
    <m/>
    <m/>
    <m/>
    <n v="0"/>
    <n v="0"/>
    <n v="1"/>
    <n v="90000"/>
    <n v="0.15"/>
    <m/>
    <s v="في التشغيل"/>
    <n v="13500"/>
    <n v="0"/>
    <n v="0"/>
    <n v="0"/>
    <m/>
    <n v="26630.136986301368"/>
    <n v="63369.863013698632"/>
  </r>
  <r>
    <n v="195"/>
    <s v="ضواغط 32 ياردة على سيارات"/>
    <x v="0"/>
    <x v="5"/>
    <x v="6"/>
    <x v="12"/>
    <m/>
    <x v="2"/>
    <s v="نفايات"/>
    <s v="التشغيل"/>
    <s v="ok"/>
    <n v="8873"/>
    <d v="2017-06-01T00:00:00"/>
    <s v="شركة تصنيع المعادن"/>
    <s v="14-06-2017"/>
    <n v="1"/>
    <m/>
    <n v="90000"/>
    <n v="90000"/>
    <n v="13130.13698630137"/>
    <n v="76869.863013698632"/>
    <m/>
    <m/>
    <m/>
    <n v="0"/>
    <m/>
    <m/>
    <m/>
    <m/>
    <m/>
    <m/>
    <n v="0"/>
    <n v="0"/>
    <n v="1"/>
    <n v="90000"/>
    <n v="0.15"/>
    <m/>
    <s v="في التشغيل"/>
    <n v="13500"/>
    <n v="0"/>
    <n v="0"/>
    <n v="0"/>
    <m/>
    <n v="26630.136986301368"/>
    <n v="63369.863013698632"/>
  </r>
  <r>
    <n v="196"/>
    <s v="ضواغط 32 ياردة على سيارات"/>
    <x v="0"/>
    <x v="5"/>
    <x v="35"/>
    <x v="102"/>
    <m/>
    <x v="0"/>
    <s v="النفايات"/>
    <s v="التشغيل"/>
    <s v="ok"/>
    <s v="ب.ح.ر  8874 "/>
    <d v="2017-06-01T00:00:00"/>
    <s v="شركة تصنيع المعادن"/>
    <s v="10-10-2017"/>
    <n v="1"/>
    <m/>
    <n v="90000"/>
    <n v="90000"/>
    <n v="13130.13698630137"/>
    <n v="76869.863013698632"/>
    <m/>
    <m/>
    <m/>
    <n v="0"/>
    <m/>
    <m/>
    <m/>
    <m/>
    <m/>
    <m/>
    <n v="0"/>
    <n v="0"/>
    <n v="1"/>
    <n v="90000"/>
    <n v="0.15"/>
    <m/>
    <s v="في التشغيل"/>
    <n v="13500"/>
    <n v="0"/>
    <n v="0"/>
    <n v="0"/>
    <m/>
    <n v="26630.136986301368"/>
    <n v="63369.863013698632"/>
  </r>
  <r>
    <n v="197"/>
    <s v="ضواغط 32 ياردة على سيارات"/>
    <x v="0"/>
    <x v="5"/>
    <x v="6"/>
    <x v="12"/>
    <m/>
    <x v="2"/>
    <m/>
    <s v="التشغيل"/>
    <s v="ok"/>
    <n v="8876"/>
    <d v="2017-06-01T00:00:00"/>
    <s v="شركة تصنيع المعادن"/>
    <s v="10-10-2017"/>
    <n v="1"/>
    <m/>
    <n v="90000"/>
    <n v="90000"/>
    <n v="13130.13698630137"/>
    <n v="76869.863013698632"/>
    <m/>
    <m/>
    <m/>
    <n v="0"/>
    <m/>
    <m/>
    <m/>
    <m/>
    <m/>
    <m/>
    <n v="0"/>
    <n v="0"/>
    <n v="1"/>
    <n v="90000"/>
    <n v="0.15"/>
    <m/>
    <s v="في التشغيل"/>
    <n v="13500"/>
    <n v="0"/>
    <n v="0"/>
    <n v="0"/>
    <m/>
    <n v="26630.136986301368"/>
    <n v="63369.863013698632"/>
  </r>
  <r>
    <n v="198"/>
    <s v="شاحنة سكس كبيرة"/>
    <x v="0"/>
    <x v="5"/>
    <x v="35"/>
    <x v="101"/>
    <m/>
    <x v="0"/>
    <s v="النفايات"/>
    <s v="التشغيل"/>
    <s v="ok"/>
    <s v="ب.ح.ر 8872"/>
    <d v="2017-05-30T00:00:00"/>
    <s v="الحبتور للسيارات"/>
    <s v="14-06-2017"/>
    <n v="1"/>
    <m/>
    <n v="245525"/>
    <n v="245525"/>
    <n v="36156.07876712329"/>
    <n v="209368.92123287672"/>
    <m/>
    <m/>
    <m/>
    <n v="0"/>
    <m/>
    <m/>
    <m/>
    <m/>
    <m/>
    <m/>
    <n v="0"/>
    <n v="0"/>
    <n v="1"/>
    <n v="245525"/>
    <n v="0.15"/>
    <m/>
    <s v="في التشغيل"/>
    <n v="36828.75"/>
    <n v="0"/>
    <n v="0"/>
    <n v="0"/>
    <m/>
    <n v="72984.828767123283"/>
    <n v="172540.17123287672"/>
  </r>
  <r>
    <n v="199"/>
    <s v="شاحنة سكس كبيرة"/>
    <x v="0"/>
    <x v="5"/>
    <x v="6"/>
    <x v="12"/>
    <m/>
    <x v="2"/>
    <s v="نفايات"/>
    <s v="التشغيل"/>
    <s v="ok"/>
    <n v="8873"/>
    <d v="2017-05-30T00:00:00"/>
    <s v="الحبتور للسيارات"/>
    <s v="14-06-2017"/>
    <n v="1"/>
    <m/>
    <n v="245525"/>
    <n v="245525"/>
    <n v="36156.07876712329"/>
    <n v="209368.92123287672"/>
    <m/>
    <m/>
    <m/>
    <n v="0"/>
    <m/>
    <m/>
    <m/>
    <m/>
    <m/>
    <m/>
    <n v="0"/>
    <n v="0"/>
    <n v="1"/>
    <n v="245525"/>
    <n v="0.15"/>
    <m/>
    <s v="في التشغيل"/>
    <n v="36828.75"/>
    <n v="0"/>
    <n v="0"/>
    <n v="0"/>
    <m/>
    <n v="72984.828767123283"/>
    <n v="172540.17123287672"/>
  </r>
  <r>
    <n v="200"/>
    <s v="شاحنة سكس كبيرة"/>
    <x v="0"/>
    <x v="5"/>
    <x v="35"/>
    <x v="102"/>
    <m/>
    <x v="0"/>
    <s v="النفايات"/>
    <s v="التشغيل"/>
    <s v="ok"/>
    <s v="ب.ح.ر  8874 "/>
    <d v="2017-05-30T00:00:00"/>
    <s v="الحبتور للسيارات"/>
    <s v="14-06-2017"/>
    <n v="1"/>
    <m/>
    <n v="245525"/>
    <n v="245525"/>
    <n v="36156.07876712329"/>
    <n v="209368.92123287672"/>
    <m/>
    <m/>
    <m/>
    <n v="0"/>
    <m/>
    <m/>
    <m/>
    <m/>
    <m/>
    <m/>
    <n v="0"/>
    <n v="0"/>
    <n v="1"/>
    <n v="245525"/>
    <n v="0.15"/>
    <m/>
    <s v="في التشغيل"/>
    <n v="36828.75"/>
    <n v="0"/>
    <n v="0"/>
    <n v="0"/>
    <m/>
    <n v="72984.828767123283"/>
    <n v="172540.17123287672"/>
  </r>
  <r>
    <n v="201"/>
    <s v="شاحنة سكس كبيرة"/>
    <x v="0"/>
    <x v="5"/>
    <x v="6"/>
    <x v="12"/>
    <m/>
    <x v="2"/>
    <m/>
    <s v="التشغيل"/>
    <s v="ok"/>
    <n v="8876"/>
    <d v="2017-05-30T00:00:00"/>
    <s v="الحبتور للسيارات"/>
    <s v="14-06-2017"/>
    <n v="1"/>
    <m/>
    <n v="245525"/>
    <n v="245525"/>
    <n v="36156.07876712329"/>
    <n v="209368.92123287672"/>
    <m/>
    <m/>
    <m/>
    <n v="0"/>
    <m/>
    <m/>
    <m/>
    <m/>
    <m/>
    <m/>
    <n v="0"/>
    <n v="0"/>
    <n v="1"/>
    <n v="245525"/>
    <n v="0.15"/>
    <m/>
    <s v="في التشغيل"/>
    <n v="36828.75"/>
    <n v="0"/>
    <n v="0"/>
    <n v="0"/>
    <m/>
    <n v="72984.828767123283"/>
    <n v="172540.17123287672"/>
  </r>
  <r>
    <n v="202"/>
    <s v="جهاز روول أون روول أوف"/>
    <x v="0"/>
    <x v="5"/>
    <x v="6"/>
    <x v="12"/>
    <m/>
    <x v="2"/>
    <m/>
    <s v="التشغيل"/>
    <s v="ok"/>
    <n v="3495"/>
    <d v="2017-06-30T00:00:00"/>
    <s v="مصنع الفهاد"/>
    <s v="17-06-2017"/>
    <n v="2"/>
    <n v="10313"/>
    <n v="4000"/>
    <n v="8000"/>
    <n v="1008.2191780821918"/>
    <n v="6991.7808219178078"/>
    <m/>
    <m/>
    <m/>
    <n v="0"/>
    <m/>
    <m/>
    <m/>
    <m/>
    <m/>
    <m/>
    <n v="0"/>
    <n v="0"/>
    <n v="2"/>
    <n v="8000"/>
    <n v="0.15"/>
    <m/>
    <s v="في التشغيل"/>
    <n v="1200"/>
    <n v="0"/>
    <n v="0"/>
    <n v="0"/>
    <m/>
    <n v="2208.2191780821918"/>
    <n v="5791.7808219178078"/>
  </r>
  <r>
    <n v="203"/>
    <s v="ضاغط 22 ياردة"/>
    <x v="0"/>
    <x v="5"/>
    <x v="6"/>
    <x v="12"/>
    <m/>
    <x v="2"/>
    <m/>
    <s v="التشغيل"/>
    <s v="ok"/>
    <s v="ب.ح.ك_x000a_6841"/>
    <d v="2017-07-30T00:00:00"/>
    <s v="مصنع الفهاد"/>
    <s v="17-06-2017"/>
    <n v="1"/>
    <n v="10317"/>
    <n v="87000"/>
    <n v="87000"/>
    <n v="9176.712328767122"/>
    <n v="77823.287671232873"/>
    <m/>
    <m/>
    <m/>
    <n v="0"/>
    <m/>
    <m/>
    <m/>
    <m/>
    <m/>
    <m/>
    <n v="0"/>
    <n v="0"/>
    <n v="1"/>
    <n v="87000"/>
    <n v="0.15"/>
    <m/>
    <s v="في التشغيل"/>
    <n v="13050"/>
    <n v="0"/>
    <n v="0"/>
    <n v="0"/>
    <m/>
    <n v="22226.71232876712"/>
    <n v="64773.28767123288"/>
  </r>
  <r>
    <n v="204"/>
    <s v="صندوق ضاغط 22 ياردة "/>
    <x v="0"/>
    <x v="5"/>
    <x v="5"/>
    <x v="6"/>
    <m/>
    <x v="0"/>
    <s v="النفايات"/>
    <s v="التشغيل"/>
    <s v="ok"/>
    <s v="ب.ح.ك_x000a_6836"/>
    <d v="2017-06-30T00:00:00"/>
    <s v="مصنع الفهاد"/>
    <s v="17-06-2017"/>
    <n v="1"/>
    <n v="10317"/>
    <n v="87000"/>
    <n v="87000"/>
    <n v="10964.384"/>
    <n v="76035.615999999995"/>
    <m/>
    <m/>
    <m/>
    <n v="0"/>
    <m/>
    <m/>
    <m/>
    <m/>
    <m/>
    <m/>
    <n v="0"/>
    <n v="0"/>
    <n v="1"/>
    <n v="87000"/>
    <n v="0.15"/>
    <m/>
    <s v="في التشغيل"/>
    <n v="13050"/>
    <n v="0"/>
    <n v="0"/>
    <n v="0"/>
    <m/>
    <n v="24014.383999999998"/>
    <n v="62985.616000000002"/>
  </r>
  <r>
    <n v="205"/>
    <s v="ضاغط 22 ياردة"/>
    <x v="0"/>
    <x v="5"/>
    <x v="5"/>
    <x v="13"/>
    <m/>
    <x v="0"/>
    <s v="النفايات"/>
    <s v="التشغيل"/>
    <s v="ok"/>
    <s v="ب.ح.ك_x000a_6843"/>
    <d v="2017-06-30T00:00:00"/>
    <s v="مصنع الفهاد"/>
    <s v="17-06-2017"/>
    <n v="1"/>
    <n v="10342"/>
    <n v="85000"/>
    <n v="85000"/>
    <n v="10712.328767123288"/>
    <n v="74287.671232876717"/>
    <m/>
    <m/>
    <m/>
    <n v="0"/>
    <m/>
    <m/>
    <m/>
    <m/>
    <m/>
    <m/>
    <n v="0"/>
    <n v="0"/>
    <n v="1"/>
    <n v="85000"/>
    <n v="0.15"/>
    <m/>
    <s v="في التشغيل"/>
    <n v="12750"/>
    <n v="0"/>
    <n v="0"/>
    <n v="0"/>
    <m/>
    <n v="23462.32876712329"/>
    <n v="61537.67123287671"/>
  </r>
  <r>
    <n v="206"/>
    <s v="ضاغط 22 ياردة"/>
    <x v="0"/>
    <x v="5"/>
    <x v="6"/>
    <x v="12"/>
    <m/>
    <x v="2"/>
    <s v="نفايات"/>
    <s v="التشغيل"/>
    <s v="ok"/>
    <s v="7592_x000a_7967_x000a_7598_x000a_2348_x000a_7599_x000a_7597_x000a_7595_x000a_7590_x000a_2350_x000a_7596_x000a_7589_x000a_7594_x000a_7591_x000a_7593_x000a_"/>
    <d v="2017-12-31T00:00:00"/>
    <s v="مصنع الفهاد"/>
    <s v="31-12-2017"/>
    <n v="15"/>
    <m/>
    <n v="92000"/>
    <n v="1380000"/>
    <n v="0"/>
    <n v="1380000"/>
    <m/>
    <m/>
    <m/>
    <n v="0"/>
    <m/>
    <m/>
    <m/>
    <m/>
    <m/>
    <m/>
    <n v="0"/>
    <n v="0"/>
    <n v="15"/>
    <n v="1380000"/>
    <n v="0.15"/>
    <m/>
    <s v="في التشغيل"/>
    <n v="207000"/>
    <n v="0"/>
    <n v="0"/>
    <n v="0"/>
    <m/>
    <n v="207000"/>
    <n v="1173000"/>
  </r>
  <r>
    <n v="207"/>
    <s v="سيارة أكسنت "/>
    <x v="0"/>
    <x v="4"/>
    <x v="4"/>
    <x v="103"/>
    <s v="HYACC 007"/>
    <x v="3"/>
    <s v="النفايات"/>
    <s v="التشغيل"/>
    <s v="محمد جمعة"/>
    <s v="د.ب.ن_x000a_8432"/>
    <d v="2017-02-01T00:00:00"/>
    <s v="شركة الفلاح"/>
    <s v="05-02-2017"/>
    <n v="1"/>
    <m/>
    <n v="35500"/>
    <n v="35500"/>
    <n v="8096.9178082191784"/>
    <n v="27403.082191780821"/>
    <m/>
    <m/>
    <m/>
    <n v="0"/>
    <m/>
    <m/>
    <m/>
    <m/>
    <m/>
    <m/>
    <n v="0"/>
    <n v="0"/>
    <n v="1"/>
    <n v="35500"/>
    <n v="0.15"/>
    <m/>
    <s v="في التشغيل"/>
    <n v="5325"/>
    <n v="0"/>
    <n v="0"/>
    <n v="0"/>
    <m/>
    <n v="13421.917808219179"/>
    <n v="22078.082191780821"/>
  </r>
  <r>
    <n v="208"/>
    <s v="سيارة أكسنت "/>
    <x v="0"/>
    <x v="4"/>
    <x v="4"/>
    <x v="104"/>
    <s v="HYACC 008"/>
    <x v="0"/>
    <s v="النفايات"/>
    <s v="التسويق"/>
    <s v="عماد حمزة"/>
    <s v="د.ب.ن_x000a_8433"/>
    <d v="2017-02-01T00:00:00"/>
    <s v="شركة الفلاح"/>
    <s v="05-02-2017"/>
    <n v="1"/>
    <m/>
    <n v="35500"/>
    <n v="35500"/>
    <n v="8096.9178082191675"/>
    <n v="27403.082191780832"/>
    <m/>
    <m/>
    <m/>
    <n v="0"/>
    <m/>
    <m/>
    <m/>
    <m/>
    <m/>
    <m/>
    <n v="0"/>
    <n v="0"/>
    <n v="1"/>
    <n v="35500"/>
    <n v="0.15"/>
    <m/>
    <s v="في التشغيل"/>
    <n v="5325"/>
    <n v="0"/>
    <n v="0"/>
    <n v="0"/>
    <m/>
    <n v="13421.917808219168"/>
    <n v="22078.082191780832"/>
  </r>
  <r>
    <n v="209"/>
    <s v="سيارة أكسنت "/>
    <x v="0"/>
    <x v="4"/>
    <x v="4"/>
    <x v="105"/>
    <s v="HYACC 009"/>
    <x v="0"/>
    <s v="النفايات"/>
    <s v="التسويق"/>
    <s v="طارق علي"/>
    <s v="د.ب.ن_x000a_8434"/>
    <d v="2017-02-01T00:00:00"/>
    <s v="شركة الفلاح"/>
    <s v="05-02-2017"/>
    <n v="1"/>
    <m/>
    <n v="35500"/>
    <n v="35500"/>
    <n v="8096.9178082191675"/>
    <n v="27403.082191780832"/>
    <m/>
    <m/>
    <m/>
    <n v="0"/>
    <m/>
    <m/>
    <m/>
    <m/>
    <m/>
    <m/>
    <n v="0"/>
    <n v="0"/>
    <n v="1"/>
    <n v="35500"/>
    <n v="0.15"/>
    <m/>
    <s v="في التشغيل"/>
    <n v="5325"/>
    <n v="0"/>
    <n v="0"/>
    <n v="0"/>
    <m/>
    <n v="13421.917808219168"/>
    <n v="22078.082191780832"/>
  </r>
  <r>
    <n v="210"/>
    <s v="سيارة أكسنت "/>
    <x v="0"/>
    <x v="4"/>
    <x v="4"/>
    <x v="106"/>
    <s v="HYACC 010"/>
    <x v="0"/>
    <s v="النفايات"/>
    <s v="التسويق"/>
    <s v="أيمن الكمار"/>
    <s v="د.ب.ن_x000a_8436"/>
    <d v="2017-02-01T00:00:00"/>
    <s v="شركة الفلاح"/>
    <s v="05-02-2017"/>
    <n v="1"/>
    <m/>
    <n v="35500"/>
    <n v="35500"/>
    <n v="8096.9178082191675"/>
    <n v="27403.082191780832"/>
    <m/>
    <m/>
    <m/>
    <n v="0"/>
    <m/>
    <m/>
    <m/>
    <m/>
    <m/>
    <m/>
    <n v="0"/>
    <n v="0"/>
    <n v="1"/>
    <n v="35500"/>
    <n v="0.15"/>
    <m/>
    <s v="في التشغيل"/>
    <n v="5325"/>
    <n v="0"/>
    <n v="0"/>
    <n v="0"/>
    <m/>
    <n v="13421.917808219168"/>
    <n v="22078.082191780832"/>
  </r>
  <r>
    <n v="211"/>
    <s v="سيارة توسان"/>
    <x v="0"/>
    <x v="4"/>
    <x v="36"/>
    <x v="107"/>
    <s v="HYTUCC 001"/>
    <x v="0"/>
    <s v="التسويق"/>
    <s v="التسويق"/>
    <s v="أشرف حسين حسين"/>
    <s v="د.ب.ن_x000a_8437"/>
    <d v="2017-03-01T00:00:00"/>
    <s v="شركة الفلاح"/>
    <s v="19-03-2017"/>
    <n v="1"/>
    <m/>
    <n v="61000"/>
    <n v="61000"/>
    <n v="12743.150684931499"/>
    <n v="48256.849315068503"/>
    <m/>
    <m/>
    <m/>
    <n v="0"/>
    <m/>
    <m/>
    <m/>
    <m/>
    <m/>
    <m/>
    <n v="0"/>
    <n v="0"/>
    <n v="1"/>
    <n v="61000"/>
    <n v="0.15"/>
    <m/>
    <s v="في التشغيل"/>
    <n v="9150"/>
    <n v="0"/>
    <n v="0"/>
    <n v="0"/>
    <m/>
    <n v="21893.150684931497"/>
    <n v="39106.849315068503"/>
  </r>
  <r>
    <n v="212"/>
    <s v="حاوية 06 ياردة بغطاء"/>
    <x v="0"/>
    <x v="1"/>
    <x v="13"/>
    <x v="27"/>
    <m/>
    <x v="0"/>
    <s v="نفايات"/>
    <s v="التشغيل"/>
    <m/>
    <m/>
    <d v="2017-01-02T00:00:00"/>
    <s v="مصنع وسائط النقل"/>
    <s v="70-12-2017"/>
    <n v="1"/>
    <m/>
    <n v="2300"/>
    <n v="2300"/>
    <n v="343.10958904109589"/>
    <n v="1956.8904109589041"/>
    <m/>
    <m/>
    <m/>
    <n v="0"/>
    <m/>
    <m/>
    <m/>
    <m/>
    <m/>
    <m/>
    <n v="0"/>
    <n v="0"/>
    <n v="1"/>
    <n v="2300"/>
    <n v="0.125"/>
    <m/>
    <s v="في التشغيل"/>
    <n v="287.5"/>
    <n v="0"/>
    <n v="0"/>
    <n v="0"/>
    <m/>
    <n v="630.60958904109589"/>
    <n v="1669.3904109589041"/>
  </r>
  <r>
    <n v="213"/>
    <s v="براميل سعة 240 لتر"/>
    <x v="0"/>
    <x v="1"/>
    <x v="37"/>
    <x v="108"/>
    <m/>
    <x v="0"/>
    <s v="نفايات"/>
    <s v="التشغيل"/>
    <m/>
    <m/>
    <d v="2017-01-12T00:00:00"/>
    <m/>
    <s v="17-01-2017"/>
    <n v="10"/>
    <n v="9574"/>
    <n v="200"/>
    <n v="2000"/>
    <n v="290.13698630136986"/>
    <n v="1709.8630136986301"/>
    <m/>
    <m/>
    <m/>
    <n v="0"/>
    <m/>
    <m/>
    <m/>
    <m/>
    <m/>
    <m/>
    <n v="0"/>
    <n v="0"/>
    <n v="10"/>
    <n v="2000"/>
    <n v="0.125"/>
    <m/>
    <s v="في التشغيل"/>
    <n v="250"/>
    <n v="0"/>
    <n v="0"/>
    <n v="0"/>
    <m/>
    <n v="540.13698630136992"/>
    <n v="1459.8630136986301"/>
  </r>
  <r>
    <n v="214"/>
    <s v="حاوية سعة 06 ياردة"/>
    <x v="0"/>
    <x v="1"/>
    <x v="13"/>
    <x v="27"/>
    <m/>
    <x v="0"/>
    <s v="نفايات"/>
    <s v="التشغيل"/>
    <m/>
    <m/>
    <d v="2017-01-04T00:00:00"/>
    <s v="مصنع مقاييس الدقة"/>
    <s v="17-01-2017"/>
    <n v="1"/>
    <s v="1001/2017"/>
    <n v="2200"/>
    <n v="2200"/>
    <n v="326.38356164383561"/>
    <n v="1873.6164383561645"/>
    <m/>
    <m/>
    <m/>
    <n v="0"/>
    <m/>
    <m/>
    <m/>
    <m/>
    <m/>
    <m/>
    <n v="0"/>
    <n v="0"/>
    <n v="1"/>
    <n v="2200"/>
    <n v="0.125"/>
    <m/>
    <s v="في التشغيل"/>
    <n v="275"/>
    <n v="0"/>
    <n v="0"/>
    <n v="0"/>
    <m/>
    <n v="601.38356164383561"/>
    <n v="1598.6164383561645"/>
  </r>
  <r>
    <n v="215"/>
    <s v="حاوية 06 ياردة بغطاء"/>
    <x v="0"/>
    <x v="1"/>
    <x v="13"/>
    <x v="27"/>
    <m/>
    <x v="0"/>
    <s v="نفايات"/>
    <s v="التشغيل"/>
    <m/>
    <m/>
    <d v="2017-01-31T00:00:00"/>
    <s v="ربوع كلاده"/>
    <s v="31-01-2017"/>
    <n v="42"/>
    <m/>
    <n v="1900"/>
    <n v="79800"/>
    <n v="10953.369863013699"/>
    <n v="68846.630136986307"/>
    <m/>
    <m/>
    <m/>
    <n v="0"/>
    <m/>
    <m/>
    <m/>
    <m/>
    <m/>
    <m/>
    <n v="0"/>
    <n v="0"/>
    <n v="42"/>
    <n v="79800"/>
    <n v="0.125"/>
    <m/>
    <s v="في التشغيل"/>
    <n v="9975"/>
    <n v="0"/>
    <n v="0"/>
    <n v="0"/>
    <m/>
    <n v="20928.369863013701"/>
    <n v="58871.630136986299"/>
  </r>
  <r>
    <n v="216"/>
    <s v="حاوية 06 ياردة بدون غطاء"/>
    <x v="0"/>
    <x v="1"/>
    <x v="13"/>
    <x v="27"/>
    <m/>
    <x v="0"/>
    <s v="نفايات"/>
    <s v="التشغيل"/>
    <m/>
    <m/>
    <d v="2017-01-31T00:00:00"/>
    <s v="ربوع كلاده"/>
    <s v="31-01-2017"/>
    <n v="50"/>
    <m/>
    <n v="1300"/>
    <n v="65000"/>
    <n v="8921.9178082191793"/>
    <n v="56078.082191780821"/>
    <m/>
    <m/>
    <m/>
    <n v="0"/>
    <m/>
    <m/>
    <m/>
    <m/>
    <m/>
    <m/>
    <n v="0"/>
    <n v="0"/>
    <n v="50"/>
    <n v="65000"/>
    <n v="0.125"/>
    <m/>
    <s v="في التشغيل"/>
    <n v="8125"/>
    <n v="0"/>
    <n v="0"/>
    <n v="0"/>
    <m/>
    <n v="17046.917808219179"/>
    <n v="47953.082191780821"/>
  </r>
  <r>
    <n v="217"/>
    <s v="حاويات سعة 02 ياردة"/>
    <x v="0"/>
    <x v="1"/>
    <x v="1"/>
    <x v="1"/>
    <m/>
    <x v="1"/>
    <m/>
    <s v="التشغيل"/>
    <m/>
    <m/>
    <d v="2017-02-22T00:00:00"/>
    <s v="ربوع كلاده"/>
    <s v="31-02-2017"/>
    <n v="50"/>
    <m/>
    <n v="580"/>
    <n v="29000"/>
    <n v="3718.3561643835619"/>
    <n v="25281.643835616436"/>
    <m/>
    <m/>
    <m/>
    <n v="0"/>
    <m/>
    <m/>
    <m/>
    <m/>
    <m/>
    <m/>
    <n v="0"/>
    <n v="0"/>
    <n v="50"/>
    <n v="29000"/>
    <n v="0.125"/>
    <m/>
    <s v="في التشغيل"/>
    <n v="3625"/>
    <n v="0"/>
    <n v="0"/>
    <n v="0"/>
    <m/>
    <n v="7343.3561643835619"/>
    <n v="21656.643835616436"/>
  </r>
  <r>
    <n v="218"/>
    <s v="شحن حاويات"/>
    <x v="0"/>
    <x v="1"/>
    <x v="1"/>
    <x v="1"/>
    <m/>
    <x v="1"/>
    <m/>
    <s v="التشغيل"/>
    <m/>
    <m/>
    <d v="2017-02-22T00:00:00"/>
    <s v="ربوع كلاده"/>
    <s v="31-02-2017"/>
    <n v="50"/>
    <m/>
    <n v="73"/>
    <n v="3650"/>
    <n v="468"/>
    <n v="3182"/>
    <m/>
    <m/>
    <m/>
    <n v="0"/>
    <m/>
    <m/>
    <m/>
    <m/>
    <m/>
    <m/>
    <n v="0"/>
    <n v="0"/>
    <n v="50"/>
    <n v="3650"/>
    <n v="0.125"/>
    <m/>
    <s v="في التشغيل"/>
    <n v="456.25"/>
    <n v="0"/>
    <n v="0"/>
    <n v="0"/>
    <m/>
    <n v="924.25"/>
    <n v="2725.75"/>
  </r>
  <r>
    <n v="219"/>
    <s v="حاويات سعة 02 ياردة بدون غطاء"/>
    <x v="0"/>
    <x v="1"/>
    <x v="1"/>
    <x v="1"/>
    <m/>
    <x v="4"/>
    <m/>
    <s v="التشغيل"/>
    <m/>
    <m/>
    <d v="2017-02-22T00:00:00"/>
    <s v="ربوع كلاده"/>
    <s v="31-02-2017"/>
    <n v="30"/>
    <m/>
    <n v="580"/>
    <n v="17400"/>
    <n v="2231.0136986301372"/>
    <n v="15168.986301369863"/>
    <m/>
    <m/>
    <m/>
    <n v="0"/>
    <m/>
    <m/>
    <m/>
    <m/>
    <m/>
    <m/>
    <n v="0"/>
    <n v="0"/>
    <n v="30"/>
    <n v="17400"/>
    <n v="0.125"/>
    <m/>
    <s v="في التشغيل"/>
    <n v="2175"/>
    <n v="0"/>
    <n v="0"/>
    <n v="0"/>
    <m/>
    <n v="4406.0136986301368"/>
    <n v="12993.986301369863"/>
  </r>
  <r>
    <n v="220"/>
    <s v="شحن حاويات"/>
    <x v="0"/>
    <x v="1"/>
    <x v="1"/>
    <x v="1"/>
    <m/>
    <x v="4"/>
    <m/>
    <s v="التشغيل"/>
    <m/>
    <m/>
    <d v="2017-02-22T00:00:00"/>
    <s v="ربوع كلاده"/>
    <s v="31-02-2017"/>
    <n v="1"/>
    <m/>
    <n v="800"/>
    <n v="800"/>
    <n v="102.57534246575342"/>
    <n v="697.42465753424653"/>
    <m/>
    <m/>
    <m/>
    <n v="0"/>
    <m/>
    <m/>
    <m/>
    <m/>
    <m/>
    <m/>
    <n v="0"/>
    <n v="0"/>
    <n v="1"/>
    <n v="800"/>
    <n v="0.125"/>
    <m/>
    <s v="في التشغيل"/>
    <n v="100"/>
    <n v="0"/>
    <n v="0"/>
    <n v="0"/>
    <m/>
    <n v="202.57534246575341"/>
    <n v="597.42465753424653"/>
  </r>
  <r>
    <n v="221"/>
    <s v="حاويات سعة 04 ياردة بدون غطاء"/>
    <x v="0"/>
    <x v="1"/>
    <x v="12"/>
    <x v="26"/>
    <m/>
    <x v="4"/>
    <m/>
    <s v="التشغيل"/>
    <m/>
    <m/>
    <d v="2017-02-26T00:00:00"/>
    <s v="ربوع كلاده"/>
    <s v="31-02-2017"/>
    <n v="50"/>
    <m/>
    <n v="1000"/>
    <n v="50000"/>
    <n v="6328.767123287671"/>
    <n v="43671.232876712325"/>
    <m/>
    <m/>
    <m/>
    <n v="0"/>
    <m/>
    <m/>
    <m/>
    <m/>
    <m/>
    <m/>
    <n v="0"/>
    <n v="0"/>
    <n v="50"/>
    <n v="50000"/>
    <n v="0.125"/>
    <m/>
    <s v="في التشغيل"/>
    <n v="6250"/>
    <n v="0"/>
    <n v="0"/>
    <n v="0"/>
    <m/>
    <n v="12578.767123287671"/>
    <n v="37421.232876712325"/>
  </r>
  <r>
    <n v="222"/>
    <s v="حاويات سعة 04 ياردة بدون غطاء"/>
    <x v="0"/>
    <x v="1"/>
    <x v="12"/>
    <x v="26"/>
    <m/>
    <x v="1"/>
    <m/>
    <s v="التشغيل"/>
    <m/>
    <m/>
    <d v="2017-02-22T00:00:00"/>
    <s v="ربوع كلاده"/>
    <s v="31-02-2017"/>
    <n v="10"/>
    <m/>
    <n v="1000"/>
    <n v="10000"/>
    <n v="1282.191780821918"/>
    <n v="8717.8082191780813"/>
    <m/>
    <m/>
    <m/>
    <n v="0"/>
    <m/>
    <m/>
    <m/>
    <m/>
    <m/>
    <m/>
    <n v="0"/>
    <n v="0"/>
    <n v="10"/>
    <n v="10000"/>
    <n v="0.125"/>
    <m/>
    <s v="في التشغيل"/>
    <n v="1250"/>
    <n v="0"/>
    <n v="0"/>
    <n v="0"/>
    <m/>
    <n v="2532.1917808219177"/>
    <n v="7467.8082191780823"/>
  </r>
  <r>
    <n v="223"/>
    <s v="حاوية 06 ياردة بغطاء"/>
    <x v="0"/>
    <x v="1"/>
    <x v="13"/>
    <x v="27"/>
    <m/>
    <x v="0"/>
    <s v="نفايات"/>
    <s v="التشغيل"/>
    <m/>
    <m/>
    <d v="2017-02-05T00:00:00"/>
    <s v="ربوع كلاده"/>
    <s v="31-02-2017"/>
    <n v="8"/>
    <m/>
    <n v="1900"/>
    <n v="15200"/>
    <n v="2055.1232876712329"/>
    <n v="13144.876712328767"/>
    <m/>
    <m/>
    <m/>
    <n v="0"/>
    <m/>
    <m/>
    <m/>
    <m/>
    <m/>
    <m/>
    <n v="0"/>
    <n v="0"/>
    <n v="8"/>
    <n v="15200"/>
    <n v="0.125"/>
    <m/>
    <s v="في التشغيل"/>
    <n v="1900"/>
    <n v="0"/>
    <n v="0"/>
    <n v="0"/>
    <m/>
    <n v="3955.1232876712329"/>
    <n v="11244.876712328767"/>
  </r>
  <r>
    <n v="224"/>
    <s v="حاويات 02  ياردة"/>
    <x v="1"/>
    <x v="1"/>
    <x v="1"/>
    <x v="1"/>
    <m/>
    <x v="1"/>
    <m/>
    <s v="التشغيل"/>
    <m/>
    <m/>
    <d v="2017-02-02T00:00:00"/>
    <m/>
    <m/>
    <n v="2"/>
    <m/>
    <n v="1200"/>
    <n v="2400"/>
    <n v="327.45205479452051"/>
    <n v="2072.5479452054797"/>
    <m/>
    <m/>
    <m/>
    <n v="0"/>
    <m/>
    <m/>
    <m/>
    <m/>
    <m/>
    <m/>
    <n v="0"/>
    <n v="0"/>
    <n v="2"/>
    <n v="2400"/>
    <n v="0.15"/>
    <m/>
    <s v="في التشغيل"/>
    <n v="360"/>
    <n v="0"/>
    <n v="0"/>
    <n v="0"/>
    <m/>
    <n v="687.45205479452056"/>
    <n v="1712.5479452054794"/>
  </r>
  <r>
    <n v="225"/>
    <s v="حاويات سعة 06 ياردة بدون غطاء"/>
    <x v="0"/>
    <x v="1"/>
    <x v="13"/>
    <x v="27"/>
    <m/>
    <x v="1"/>
    <m/>
    <s v="التشغيل"/>
    <m/>
    <m/>
    <d v="2017-02-02T00:00:00"/>
    <s v="ربوع كلاده"/>
    <s v="31-02-2017"/>
    <n v="10"/>
    <m/>
    <n v="1200"/>
    <n v="12000"/>
    <n v="1637.2602739726028"/>
    <n v="10362.739726027397"/>
    <m/>
    <m/>
    <m/>
    <n v="0"/>
    <m/>
    <m/>
    <m/>
    <m/>
    <m/>
    <m/>
    <n v="0"/>
    <n v="0"/>
    <n v="10"/>
    <n v="12000"/>
    <n v="0.125"/>
    <m/>
    <s v="في التشغيل"/>
    <n v="1500"/>
    <n v="0"/>
    <n v="0"/>
    <n v="0"/>
    <m/>
    <n v="3137.2602739726026"/>
    <n v="8862.7397260273974"/>
  </r>
  <r>
    <n v="226"/>
    <s v="أغطية حاويات 06 ياردة"/>
    <x v="0"/>
    <x v="1"/>
    <x v="13"/>
    <x v="27"/>
    <m/>
    <x v="0"/>
    <s v="نفايات"/>
    <s v="التشغيل"/>
    <m/>
    <m/>
    <d v="2017-02-22T00:00:00"/>
    <s v="ربوع كلاده"/>
    <s v="31-02-2017"/>
    <n v="2"/>
    <m/>
    <n v="400"/>
    <n v="800"/>
    <n v="102.57534246575342"/>
    <n v="697.42465753424653"/>
    <m/>
    <m/>
    <m/>
    <n v="0"/>
    <m/>
    <m/>
    <m/>
    <m/>
    <m/>
    <m/>
    <n v="0"/>
    <n v="0"/>
    <n v="2"/>
    <n v="800"/>
    <n v="0.125"/>
    <m/>
    <s v="في التشغيل"/>
    <n v="100"/>
    <n v="0"/>
    <n v="0"/>
    <n v="0"/>
    <m/>
    <n v="202.57534246575341"/>
    <n v="597.42465753424653"/>
  </r>
  <r>
    <n v="227"/>
    <s v="حاويات سعة 06 ياردة بدون غطاء"/>
    <x v="0"/>
    <x v="1"/>
    <x v="13"/>
    <x v="27"/>
    <m/>
    <x v="0"/>
    <s v="نفايات"/>
    <s v="التشغيل"/>
    <m/>
    <m/>
    <d v="2017-02-26T00:00:00"/>
    <s v="ربوع كلاده"/>
    <s v="31-02-2017"/>
    <n v="50"/>
    <m/>
    <n v="1150"/>
    <n v="57500"/>
    <n v="7278.0821917808216"/>
    <n v="50221.917808219179"/>
    <m/>
    <m/>
    <m/>
    <n v="0"/>
    <m/>
    <m/>
    <m/>
    <m/>
    <m/>
    <m/>
    <n v="0"/>
    <n v="0"/>
    <n v="50"/>
    <n v="57500"/>
    <n v="0.125"/>
    <m/>
    <s v="في التشغيل"/>
    <n v="7187.5"/>
    <n v="0"/>
    <n v="0"/>
    <n v="0"/>
    <m/>
    <n v="14465.582191780821"/>
    <n v="43034.417808219179"/>
  </r>
  <r>
    <n v="228"/>
    <s v="أغطية حاويات 06 ياردة"/>
    <x v="0"/>
    <x v="1"/>
    <x v="13"/>
    <x v="27"/>
    <m/>
    <x v="0"/>
    <s v="نفايات"/>
    <s v="التشغيل"/>
    <m/>
    <m/>
    <d v="2017-03-08T00:00:00"/>
    <s v="ربوع كلاده"/>
    <s v="31-04-2017"/>
    <n v="2"/>
    <m/>
    <n v="400"/>
    <n v="800"/>
    <n v="97.972602739726028"/>
    <n v="702.02739726027403"/>
    <m/>
    <m/>
    <m/>
    <n v="0"/>
    <m/>
    <m/>
    <m/>
    <m/>
    <m/>
    <m/>
    <n v="0"/>
    <n v="0"/>
    <n v="2"/>
    <n v="800"/>
    <n v="0.125"/>
    <m/>
    <s v="في التشغيل"/>
    <n v="100"/>
    <n v="0"/>
    <n v="0"/>
    <n v="0"/>
    <m/>
    <n v="197.97260273972603"/>
    <n v="602.02739726027403"/>
  </r>
  <r>
    <n v="229"/>
    <s v="حاويات سعة 06 ياردة بدون غطاء"/>
    <x v="0"/>
    <x v="1"/>
    <x v="13"/>
    <x v="27"/>
    <m/>
    <x v="0"/>
    <s v="نفايات"/>
    <s v="التشغيل"/>
    <m/>
    <m/>
    <d v="2017-04-06T00:00:00"/>
    <s v="ربوع كلاده"/>
    <s v="31-04-2017"/>
    <n v="31"/>
    <m/>
    <n v="1150"/>
    <n v="35650"/>
    <n v="3941.0342465753424"/>
    <n v="31708.965753424658"/>
    <m/>
    <m/>
    <m/>
    <n v="0"/>
    <m/>
    <m/>
    <m/>
    <m/>
    <m/>
    <m/>
    <n v="0"/>
    <n v="0"/>
    <n v="31"/>
    <n v="35650"/>
    <n v="0.125"/>
    <m/>
    <s v="في التشغيل"/>
    <n v="4456.25"/>
    <n v="0"/>
    <n v="0"/>
    <n v="0"/>
    <m/>
    <n v="8397.284246575342"/>
    <n v="27252.715753424658"/>
  </r>
  <r>
    <n v="230"/>
    <s v="حاوية 06 ياردة بغطاء"/>
    <x v="0"/>
    <x v="1"/>
    <x v="13"/>
    <x v="27"/>
    <m/>
    <x v="0"/>
    <s v="نفايات"/>
    <s v="التشغيل"/>
    <m/>
    <m/>
    <d v="2017-04-18T00:00:00"/>
    <s v="ورشة عبد الخالق الزهراني"/>
    <s v="18-04-2017_x000a_21-05-2017"/>
    <n v="15"/>
    <m/>
    <n v="1350"/>
    <n v="20250"/>
    <n v="2138.7328767123286"/>
    <n v="18111.267123287671"/>
    <m/>
    <m/>
    <m/>
    <n v="0"/>
    <m/>
    <m/>
    <m/>
    <m/>
    <m/>
    <m/>
    <n v="0"/>
    <n v="0"/>
    <n v="15"/>
    <n v="20250"/>
    <n v="0.125"/>
    <m/>
    <s v="في التشغيل"/>
    <n v="2531.25"/>
    <n v="0"/>
    <n v="0"/>
    <n v="0"/>
    <m/>
    <n v="4669.982876712329"/>
    <n v="15580.017123287671"/>
  </r>
  <r>
    <n v="231"/>
    <s v="حاوية 02 ياردة"/>
    <x v="6"/>
    <x v="1"/>
    <x v="1"/>
    <x v="1"/>
    <m/>
    <x v="3"/>
    <m/>
    <s v="التشغيل"/>
    <m/>
    <m/>
    <d v="2012-02-12T00:00:00"/>
    <m/>
    <m/>
    <n v="95"/>
    <m/>
    <n v="650"/>
    <n v="61750"/>
    <n v="61750"/>
    <n v="0"/>
    <m/>
    <m/>
    <m/>
    <n v="0"/>
    <m/>
    <m/>
    <m/>
    <m/>
    <m/>
    <m/>
    <n v="0"/>
    <n v="0"/>
    <n v="95"/>
    <n v="61750"/>
    <n v="0.15"/>
    <m/>
    <s v="في التشغيل"/>
    <n v="0"/>
    <n v="0"/>
    <n v="0"/>
    <n v="0"/>
    <m/>
    <n v="61750"/>
    <n v="0"/>
  </r>
  <r>
    <n v="232"/>
    <s v="حاوية 06 ياردة"/>
    <x v="6"/>
    <x v="1"/>
    <x v="13"/>
    <x v="27"/>
    <m/>
    <x v="3"/>
    <m/>
    <s v="التشغيل"/>
    <m/>
    <m/>
    <d v="2012-02-12T00:00:00"/>
    <m/>
    <m/>
    <n v="73"/>
    <m/>
    <n v="1200"/>
    <n v="87600"/>
    <n v="87600"/>
    <n v="0"/>
    <m/>
    <m/>
    <m/>
    <n v="0"/>
    <m/>
    <m/>
    <m/>
    <m/>
    <m/>
    <m/>
    <n v="0"/>
    <n v="0"/>
    <n v="73"/>
    <n v="87600"/>
    <n v="0.15"/>
    <m/>
    <s v="في التشغيل"/>
    <n v="0"/>
    <n v="0"/>
    <n v="0"/>
    <n v="0"/>
    <m/>
    <n v="87600"/>
    <n v="0"/>
  </r>
  <r>
    <n v="233"/>
    <s v="حاويات سعة 20 ياردة انقاض"/>
    <x v="6"/>
    <x v="1"/>
    <x v="31"/>
    <x v="96"/>
    <m/>
    <x v="3"/>
    <m/>
    <s v="التشغيل"/>
    <m/>
    <m/>
    <d v="2012-02-12T00:00:00"/>
    <m/>
    <m/>
    <n v="4"/>
    <m/>
    <n v="7500"/>
    <n v="30000"/>
    <n v="30000"/>
    <n v="0"/>
    <m/>
    <m/>
    <m/>
    <n v="0"/>
    <m/>
    <m/>
    <m/>
    <m/>
    <m/>
    <m/>
    <n v="0"/>
    <n v="0"/>
    <n v="4"/>
    <n v="30000"/>
    <n v="0.15"/>
    <m/>
    <s v="في التشغيل"/>
    <n v="0"/>
    <n v="0"/>
    <n v="0"/>
    <n v="0"/>
    <m/>
    <n v="30000"/>
    <n v="0"/>
  </r>
  <r>
    <n v="234"/>
    <s v="حاويات سعة 20 ياردة انقاض"/>
    <x v="0"/>
    <x v="1"/>
    <x v="31"/>
    <x v="96"/>
    <m/>
    <x v="3"/>
    <m/>
    <s v="التشغيل"/>
    <m/>
    <m/>
    <d v="2017-04-11T00:00:00"/>
    <s v="ربوع كلاده"/>
    <s v="31-04-2017"/>
    <n v="6"/>
    <m/>
    <n v="7500"/>
    <n v="45000"/>
    <n v="4882.1917808219177"/>
    <n v="40117.808219178085"/>
    <m/>
    <m/>
    <m/>
    <n v="0"/>
    <m/>
    <m/>
    <m/>
    <m/>
    <m/>
    <m/>
    <n v="0"/>
    <n v="0"/>
    <n v="6"/>
    <n v="45000"/>
    <n v="0.125"/>
    <m/>
    <s v="في التشغيل"/>
    <n v="5625"/>
    <n v="0"/>
    <n v="0"/>
    <n v="0"/>
    <m/>
    <n v="10507.191780821919"/>
    <n v="34492.808219178085"/>
  </r>
  <r>
    <n v="235"/>
    <s v="صاج حاويات 20 ياردة"/>
    <x v="0"/>
    <x v="1"/>
    <x v="31"/>
    <x v="96"/>
    <m/>
    <x v="0"/>
    <s v="أنقاض"/>
    <s v="التشغيل"/>
    <m/>
    <m/>
    <d v="2017-03-08T00:00:00"/>
    <s v="ربوع كلاده"/>
    <s v="31-04-2017"/>
    <n v="28"/>
    <m/>
    <n v="100"/>
    <n v="2800"/>
    <n v="342.90410958904107"/>
    <n v="2457.0958904109589"/>
    <m/>
    <m/>
    <m/>
    <n v="0"/>
    <m/>
    <m/>
    <m/>
    <m/>
    <m/>
    <m/>
    <n v="0"/>
    <n v="0"/>
    <n v="28"/>
    <n v="2800"/>
    <n v="0.125"/>
    <m/>
    <s v="في التشغيل"/>
    <n v="350"/>
    <n v="0"/>
    <n v="0"/>
    <n v="0"/>
    <m/>
    <n v="692.90410958904113"/>
    <n v="2107.0958904109589"/>
  </r>
  <r>
    <n v="236"/>
    <s v="حاويات سعة 06 ياردة بدون غطاء"/>
    <x v="0"/>
    <x v="1"/>
    <x v="13"/>
    <x v="27"/>
    <m/>
    <x v="0"/>
    <s v="نفايات"/>
    <s v="التشغيل"/>
    <m/>
    <m/>
    <d v="2017-04-23T00:00:00"/>
    <s v="ربوع كلاده"/>
    <s v="31-04-2017"/>
    <n v="14"/>
    <m/>
    <n v="1200"/>
    <n v="16800"/>
    <n v="1739.8356164383563"/>
    <n v="15060.164383561643"/>
    <m/>
    <m/>
    <m/>
    <n v="0"/>
    <m/>
    <m/>
    <m/>
    <m/>
    <m/>
    <m/>
    <n v="0"/>
    <n v="0"/>
    <n v="14"/>
    <n v="16800"/>
    <n v="0.125"/>
    <m/>
    <s v="في التشغيل"/>
    <n v="2100"/>
    <n v="0"/>
    <n v="0"/>
    <n v="0"/>
    <m/>
    <n v="3839.8356164383563"/>
    <n v="12960.164383561643"/>
  </r>
  <r>
    <n v="237"/>
    <s v="حاوية سعة 06 ياردة"/>
    <x v="0"/>
    <x v="1"/>
    <x v="13"/>
    <x v="27"/>
    <m/>
    <x v="0"/>
    <s v="نفايات"/>
    <s v="التشغيل"/>
    <m/>
    <m/>
    <d v="2017-05-11T00:00:00"/>
    <s v="ربوع كلاده"/>
    <s v="35-05-2017"/>
    <n v="16"/>
    <m/>
    <n v="1150"/>
    <n v="18400"/>
    <n v="1769.4246575342465"/>
    <n v="16630.575342465752"/>
    <m/>
    <m/>
    <m/>
    <n v="0"/>
    <m/>
    <m/>
    <m/>
    <m/>
    <m/>
    <m/>
    <n v="0"/>
    <n v="0"/>
    <n v="16"/>
    <n v="18400"/>
    <n v="0.125"/>
    <m/>
    <s v="في التشغيل"/>
    <n v="2300"/>
    <n v="0"/>
    <n v="0"/>
    <n v="0"/>
    <m/>
    <n v="4069.4246575342468"/>
    <n v="14330.575342465752"/>
  </r>
  <r>
    <n v="238"/>
    <s v="حاويات سعة 20 ياردة انقاض"/>
    <x v="0"/>
    <x v="1"/>
    <x v="31"/>
    <x v="96"/>
    <m/>
    <x v="0"/>
    <s v="أنقاض"/>
    <s v="التشغيل"/>
    <m/>
    <m/>
    <d v="2017-06-14T00:00:00"/>
    <s v="مؤسسة سعيد الغامدي"/>
    <s v="14-06-2017"/>
    <n v="8"/>
    <m/>
    <n v="4500"/>
    <n v="36000"/>
    <n v="2958.9041095890411"/>
    <n v="33041.095890410958"/>
    <m/>
    <m/>
    <m/>
    <n v="0"/>
    <m/>
    <m/>
    <m/>
    <m/>
    <m/>
    <m/>
    <n v="0"/>
    <n v="0"/>
    <n v="8"/>
    <n v="36000"/>
    <n v="0.125"/>
    <m/>
    <s v="في التشغيل"/>
    <n v="4500"/>
    <n v="0"/>
    <n v="0"/>
    <n v="0"/>
    <m/>
    <n v="7458.9041095890407"/>
    <n v="28541.095890410958"/>
  </r>
  <r>
    <n v="239"/>
    <s v="حاوية سعة 06 ياردة"/>
    <x v="0"/>
    <x v="1"/>
    <x v="13"/>
    <x v="27"/>
    <m/>
    <x v="0"/>
    <s v="نفايات"/>
    <s v="التشغيل"/>
    <m/>
    <m/>
    <d v="2017-05-31T00:00:00"/>
    <s v="ربوع كلاده"/>
    <s v="35-05-2017"/>
    <n v="37"/>
    <m/>
    <n v="1200"/>
    <n v="44400"/>
    <n v="3904.7671232876714"/>
    <n v="40495.232876712325"/>
    <m/>
    <m/>
    <m/>
    <n v="0"/>
    <m/>
    <m/>
    <m/>
    <m/>
    <m/>
    <m/>
    <n v="0"/>
    <n v="0"/>
    <n v="37"/>
    <n v="44400"/>
    <n v="0.125"/>
    <m/>
    <s v="في التشغيل"/>
    <n v="5550"/>
    <n v="0"/>
    <n v="0"/>
    <n v="0"/>
    <m/>
    <n v="9454.767123287671"/>
    <n v="34945.232876712325"/>
  </r>
  <r>
    <n v="240"/>
    <s v="حاوية سعة 02 ياردة"/>
    <x v="0"/>
    <x v="1"/>
    <x v="1"/>
    <x v="1"/>
    <m/>
    <x v="6"/>
    <m/>
    <s v="التشغيل"/>
    <m/>
    <m/>
    <d v="2017-06-17T00:00:00"/>
    <s v="مصنع الفهاد"/>
    <s v="17-06-2017"/>
    <n v="100"/>
    <n v="10337"/>
    <n v="650"/>
    <n v="65000"/>
    <n v="5262.3287671232874"/>
    <n v="59737.67123287671"/>
    <m/>
    <m/>
    <m/>
    <n v="0"/>
    <m/>
    <m/>
    <m/>
    <m/>
    <m/>
    <m/>
    <n v="0"/>
    <n v="0"/>
    <n v="100"/>
    <n v="65000"/>
    <n v="0.125"/>
    <m/>
    <s v="في التشغيل"/>
    <n v="8125"/>
    <n v="0"/>
    <n v="0"/>
    <n v="0"/>
    <m/>
    <n v="13387.328767123287"/>
    <n v="51612.671232876717"/>
  </r>
  <r>
    <n v="241"/>
    <s v="حاويات سعة 20 ياردة انقاض"/>
    <x v="0"/>
    <x v="1"/>
    <x v="31"/>
    <x v="96"/>
    <m/>
    <x v="0"/>
    <s v="أنقاض"/>
    <s v="التشغيل"/>
    <m/>
    <m/>
    <d v="2017-10-16T00:00:00"/>
    <s v="ربوع كلاده"/>
    <s v="28-10-2017"/>
    <n v="4"/>
    <n v="1942"/>
    <n v="7500"/>
    <n v="30000"/>
    <n v="936.98630136986299"/>
    <n v="29063.013698630137"/>
    <m/>
    <m/>
    <m/>
    <n v="0"/>
    <m/>
    <m/>
    <m/>
    <m/>
    <m/>
    <m/>
    <n v="0"/>
    <n v="0"/>
    <n v="4"/>
    <n v="30000"/>
    <n v="0.125"/>
    <m/>
    <s v="في التشغيل"/>
    <n v="3750"/>
    <n v="0"/>
    <n v="0"/>
    <n v="0"/>
    <m/>
    <n v="4686.9863013698632"/>
    <n v="25313.013698630137"/>
  </r>
  <r>
    <n v="242"/>
    <s v="حاويات 02 ياردة"/>
    <x v="0"/>
    <x v="1"/>
    <x v="1"/>
    <x v="1"/>
    <m/>
    <x v="0"/>
    <s v="نفايات"/>
    <s v="التشغيل"/>
    <m/>
    <m/>
    <d v="2017-06-30T00:00:00"/>
    <m/>
    <s v="29-07-2017"/>
    <n v="12"/>
    <m/>
    <n v="350"/>
    <n v="4200"/>
    <n v="317.58904109589042"/>
    <n v="3882.4109589041095"/>
    <m/>
    <m/>
    <m/>
    <n v="0"/>
    <m/>
    <m/>
    <m/>
    <m/>
    <m/>
    <m/>
    <n v="0"/>
    <n v="0"/>
    <n v="12"/>
    <n v="4200"/>
    <n v="0.125"/>
    <m/>
    <s v="في التشغيل"/>
    <n v="525"/>
    <n v="0"/>
    <n v="0"/>
    <n v="0"/>
    <m/>
    <n v="842.58904109589048"/>
    <n v="3357.4109589041095"/>
  </r>
  <r>
    <n v="243"/>
    <s v="حاوية سعة 06 ياردة"/>
    <x v="0"/>
    <x v="1"/>
    <x v="13"/>
    <x v="27"/>
    <m/>
    <x v="0"/>
    <s v="نفايات"/>
    <s v="التشغيل"/>
    <m/>
    <m/>
    <d v="2017-06-17T00:00:00"/>
    <s v="مصنع الفهاد"/>
    <s v="17-06-2017"/>
    <n v="81"/>
    <m/>
    <n v="1200"/>
    <n v="97200"/>
    <n v="7869.2054794520554"/>
    <n v="89330.794520547948"/>
    <m/>
    <m/>
    <m/>
    <n v="0"/>
    <m/>
    <m/>
    <m/>
    <m/>
    <m/>
    <m/>
    <n v="0"/>
    <n v="0"/>
    <n v="81"/>
    <n v="97200"/>
    <n v="0.125"/>
    <m/>
    <s v="في التشغيل"/>
    <n v="12150"/>
    <n v="0"/>
    <n v="0"/>
    <n v="0"/>
    <m/>
    <n v="20019.205479452055"/>
    <n v="77180.794520547948"/>
  </r>
  <r>
    <n v="244"/>
    <s v="حاويات 02 ياردة"/>
    <x v="0"/>
    <x v="1"/>
    <x v="1"/>
    <x v="1"/>
    <m/>
    <x v="0"/>
    <s v="نفايات"/>
    <s v="التشغيل"/>
    <m/>
    <m/>
    <d v="2017-10-22T00:00:00"/>
    <s v="شركة بيت التطور"/>
    <s v="45-11-2017"/>
    <n v="40"/>
    <n v="27363"/>
    <n v="750"/>
    <n v="30000"/>
    <n v="863.0136986301369"/>
    <n v="29136.986301369863"/>
    <m/>
    <m/>
    <m/>
    <n v="0"/>
    <m/>
    <m/>
    <m/>
    <m/>
    <m/>
    <m/>
    <n v="0"/>
    <n v="0"/>
    <n v="40"/>
    <n v="30000"/>
    <n v="0.125"/>
    <m/>
    <s v="في التشغيل"/>
    <n v="3750"/>
    <n v="0"/>
    <n v="0"/>
    <n v="0"/>
    <m/>
    <n v="4613.0136986301368"/>
    <n v="25386.986301369863"/>
  </r>
  <r>
    <n v="245"/>
    <s v="حاوية سعة 06 ياردة"/>
    <x v="0"/>
    <x v="1"/>
    <x v="13"/>
    <x v="27"/>
    <m/>
    <x v="0"/>
    <s v="نفايات"/>
    <s v="التشغيل"/>
    <m/>
    <m/>
    <d v="2017-06-30T00:00:00"/>
    <s v="مصنع وسائط النقل"/>
    <s v="70-12-2017"/>
    <n v="150"/>
    <m/>
    <n v="1200"/>
    <n v="180000"/>
    <n v="13610.95890410959"/>
    <n v="166389.0410958904"/>
    <m/>
    <m/>
    <m/>
    <n v="0"/>
    <m/>
    <m/>
    <m/>
    <m/>
    <m/>
    <m/>
    <n v="0"/>
    <n v="0"/>
    <n v="150"/>
    <n v="180000"/>
    <n v="0.125"/>
    <m/>
    <s v="في التشغيل"/>
    <n v="22500"/>
    <n v="0"/>
    <n v="0"/>
    <n v="0"/>
    <m/>
    <n v="36110.95890410959"/>
    <n v="143889.0410958904"/>
  </r>
  <r>
    <n v="246"/>
    <s v="حاويات 02 ياردة"/>
    <x v="0"/>
    <x v="1"/>
    <x v="1"/>
    <x v="1"/>
    <m/>
    <x v="0"/>
    <s v="نفايات"/>
    <s v="التشغيل"/>
    <m/>
    <m/>
    <d v="2017-11-01T00:00:00"/>
    <s v="شركة بيت التطور"/>
    <s v="45-11-2017"/>
    <n v="20"/>
    <n v="27184"/>
    <n v="750"/>
    <n v="15000"/>
    <n v="369.86301369863014"/>
    <n v="14630.13698630137"/>
    <m/>
    <m/>
    <m/>
    <n v="0"/>
    <m/>
    <m/>
    <m/>
    <m/>
    <m/>
    <m/>
    <n v="0"/>
    <n v="0"/>
    <n v="20"/>
    <n v="15000"/>
    <n v="0.125"/>
    <m/>
    <s v="في التشغيل"/>
    <n v="1875"/>
    <n v="0"/>
    <n v="0"/>
    <n v="0"/>
    <m/>
    <n v="2244.8630136986303"/>
    <n v="12755.13698630137"/>
  </r>
  <r>
    <n v="247"/>
    <s v="حاوية سعة 06 ياردة"/>
    <x v="0"/>
    <x v="1"/>
    <x v="13"/>
    <x v="27"/>
    <m/>
    <x v="0"/>
    <s v="نفايات"/>
    <s v="التشغيل"/>
    <m/>
    <m/>
    <d v="2017-08-13T00:00:00"/>
    <s v="مصنع وسائط النقل"/>
    <s v="70-12-2017"/>
    <n v="50"/>
    <m/>
    <n v="1200"/>
    <n v="60000"/>
    <n v="3452.0547945205476"/>
    <n v="56547.945205479453"/>
    <m/>
    <m/>
    <m/>
    <n v="0"/>
    <m/>
    <m/>
    <m/>
    <m/>
    <m/>
    <m/>
    <n v="0"/>
    <n v="0"/>
    <n v="50"/>
    <n v="60000"/>
    <n v="0.125"/>
    <m/>
    <s v="في التشغيل"/>
    <n v="7500"/>
    <n v="0"/>
    <n v="0"/>
    <n v="0"/>
    <m/>
    <n v="10952.054794520547"/>
    <n v="49047.945205479453"/>
  </r>
  <r>
    <n v="248"/>
    <s v="حاوية سعة 06 ياردة"/>
    <x v="0"/>
    <x v="1"/>
    <x v="13"/>
    <x v="27"/>
    <m/>
    <x v="0"/>
    <s v="نفايات"/>
    <s v="التشغيل"/>
    <m/>
    <m/>
    <d v="2017-10-22T00:00:00"/>
    <s v="شركة بيت التطور"/>
    <s v="45-11-2017"/>
    <n v="40"/>
    <m/>
    <n v="1400"/>
    <n v="56000"/>
    <n v="1610.958904109589"/>
    <n v="54389.04109589041"/>
    <m/>
    <m/>
    <m/>
    <n v="0"/>
    <m/>
    <m/>
    <m/>
    <m/>
    <m/>
    <m/>
    <n v="0"/>
    <n v="0"/>
    <n v="40"/>
    <n v="56000"/>
    <n v="0.125"/>
    <m/>
    <s v="في التشغيل"/>
    <n v="7000"/>
    <n v="0"/>
    <n v="0"/>
    <n v="0"/>
    <m/>
    <n v="8610.9589041095896"/>
    <n v="47389.04109589041"/>
  </r>
  <r>
    <n v="249"/>
    <s v="حاوية سعة 06 ياردة"/>
    <x v="0"/>
    <x v="1"/>
    <x v="13"/>
    <x v="27"/>
    <m/>
    <x v="0"/>
    <s v="نفايات"/>
    <s v="التشغيل"/>
    <m/>
    <m/>
    <d v="2017-11-01T00:00:00"/>
    <s v="شركة بيت التطور"/>
    <s v="45-11-2017"/>
    <n v="20"/>
    <n v="27184"/>
    <n v="1400"/>
    <n v="28000"/>
    <n v="690.41095890410952"/>
    <n v="27309.589041095889"/>
    <m/>
    <m/>
    <m/>
    <n v="0"/>
    <m/>
    <m/>
    <m/>
    <m/>
    <m/>
    <m/>
    <n v="0"/>
    <n v="0"/>
    <n v="20"/>
    <n v="28000"/>
    <n v="0.125"/>
    <m/>
    <s v="في التشغيل"/>
    <n v="3500"/>
    <n v="0"/>
    <n v="0"/>
    <n v="0"/>
    <m/>
    <n v="4190.4109589041091"/>
    <n v="23809.589041095889"/>
  </r>
  <r>
    <n v="250"/>
    <s v="حاوية سعة 06 ياردة"/>
    <x v="0"/>
    <x v="1"/>
    <x v="13"/>
    <x v="27"/>
    <m/>
    <x v="0"/>
    <s v="نفايات"/>
    <s v="التشغيل"/>
    <m/>
    <m/>
    <d v="2017-11-01T00:00:00"/>
    <s v="شركة بيت التطور"/>
    <s v="45-11-2017"/>
    <n v="20"/>
    <n v="27155"/>
    <n v="1400"/>
    <n v="28000"/>
    <n v="690.41095890410952"/>
    <n v="27309.589041095889"/>
    <m/>
    <m/>
    <m/>
    <n v="0"/>
    <m/>
    <m/>
    <m/>
    <m/>
    <m/>
    <m/>
    <n v="0"/>
    <n v="0"/>
    <n v="20"/>
    <n v="28000"/>
    <n v="0.125"/>
    <m/>
    <s v="في التشغيل"/>
    <n v="3500"/>
    <n v="0"/>
    <n v="0"/>
    <n v="0"/>
    <m/>
    <n v="4190.4109589041091"/>
    <n v="23809.589041095889"/>
  </r>
  <r>
    <n v="251"/>
    <s v="حاويات 02 ياردة"/>
    <x v="0"/>
    <x v="1"/>
    <x v="1"/>
    <x v="1"/>
    <m/>
    <x v="0"/>
    <s v="نفايات"/>
    <s v="التشغيل"/>
    <m/>
    <m/>
    <d v="2017-11-01T00:00:00"/>
    <s v="شركة بيت التطور"/>
    <s v="45-11-2017"/>
    <n v="20"/>
    <n v="27155"/>
    <n v="750"/>
    <n v="15000"/>
    <n v="369.86301369863014"/>
    <n v="14630.13698630137"/>
    <m/>
    <m/>
    <m/>
    <n v="0"/>
    <m/>
    <m/>
    <m/>
    <m/>
    <m/>
    <m/>
    <n v="0"/>
    <n v="0"/>
    <n v="20"/>
    <n v="15000"/>
    <n v="0.125"/>
    <m/>
    <s v="في التشغيل"/>
    <n v="1875"/>
    <n v="0"/>
    <n v="0"/>
    <n v="0"/>
    <m/>
    <n v="2244.8630136986303"/>
    <n v="12755.13698630137"/>
  </r>
  <r>
    <n v="252"/>
    <s v="حاوية سعة 02 ياردة"/>
    <x v="0"/>
    <x v="1"/>
    <x v="1"/>
    <x v="1"/>
    <m/>
    <x v="4"/>
    <m/>
    <s v="التشغيل"/>
    <m/>
    <m/>
    <d v="2017-11-03T00:00:00"/>
    <s v="مصنع وسائط النقل"/>
    <s v="70-12-2017"/>
    <n v="30"/>
    <m/>
    <n v="750"/>
    <n v="22500"/>
    <n v="536.30136986301375"/>
    <n v="21963.698630136987"/>
    <m/>
    <m/>
    <m/>
    <n v="0"/>
    <m/>
    <m/>
    <m/>
    <m/>
    <m/>
    <m/>
    <n v="0"/>
    <n v="0"/>
    <n v="30"/>
    <n v="22500"/>
    <n v="0.125"/>
    <m/>
    <s v="في التشغيل"/>
    <n v="2812.5"/>
    <n v="0"/>
    <n v="0"/>
    <n v="0"/>
    <m/>
    <n v="3348.8013698630139"/>
    <n v="19151.198630136987"/>
  </r>
  <r>
    <n v="253"/>
    <s v="حاوية سعة 04 ياردة"/>
    <x v="0"/>
    <x v="1"/>
    <x v="12"/>
    <x v="26"/>
    <m/>
    <x v="4"/>
    <m/>
    <s v="التشغيل"/>
    <m/>
    <m/>
    <d v="2017-11-03T00:00:00"/>
    <s v="مصنع وسائط النقل"/>
    <s v="70-12-2017"/>
    <n v="70"/>
    <m/>
    <n v="1000"/>
    <n v="70000"/>
    <n v="1668.4931506849314"/>
    <n v="68331.506849315076"/>
    <m/>
    <m/>
    <m/>
    <n v="0"/>
    <m/>
    <m/>
    <m/>
    <m/>
    <m/>
    <m/>
    <n v="0"/>
    <n v="0"/>
    <n v="70"/>
    <n v="70000"/>
    <n v="0.125"/>
    <m/>
    <s v="في التشغيل"/>
    <n v="8750"/>
    <n v="0"/>
    <n v="0"/>
    <n v="0"/>
    <m/>
    <n v="10418.493150684932"/>
    <n v="59581.506849315068"/>
  </r>
  <r>
    <n v="254"/>
    <s v="حاوية سعة 06 ياردة"/>
    <x v="0"/>
    <x v="1"/>
    <x v="13"/>
    <x v="27"/>
    <m/>
    <x v="4"/>
    <m/>
    <s v="التشغيل"/>
    <m/>
    <m/>
    <d v="2017-11-03T00:00:00"/>
    <s v="مصنع وسائط النقل"/>
    <s v="70-12-2017"/>
    <n v="10"/>
    <m/>
    <n v="1250"/>
    <n v="12500"/>
    <n v="297.94520547945206"/>
    <n v="12202.054794520547"/>
    <m/>
    <m/>
    <m/>
    <n v="0"/>
    <m/>
    <m/>
    <m/>
    <m/>
    <m/>
    <m/>
    <n v="0"/>
    <n v="0"/>
    <n v="10"/>
    <n v="12500"/>
    <n v="0.125"/>
    <m/>
    <s v="في التشغيل"/>
    <n v="1562.5"/>
    <n v="0"/>
    <n v="0"/>
    <n v="0"/>
    <m/>
    <n v="1860.4452054794519"/>
    <n v="10639.554794520547"/>
  </r>
  <r>
    <n v="255"/>
    <s v="حاويات 02 ياردة"/>
    <x v="0"/>
    <x v="1"/>
    <x v="1"/>
    <x v="1"/>
    <m/>
    <x v="7"/>
    <m/>
    <s v="التشغيل"/>
    <m/>
    <m/>
    <d v="2017-05-03T00:00:00"/>
    <s v="مصنع وسائط النقل"/>
    <s v="70-12-2017"/>
    <n v="20"/>
    <m/>
    <n v="580"/>
    <n v="11600"/>
    <n v="1153.6438356164385"/>
    <n v="10446.356164383562"/>
    <m/>
    <m/>
    <m/>
    <n v="0"/>
    <m/>
    <m/>
    <m/>
    <m/>
    <m/>
    <m/>
    <n v="0"/>
    <n v="0"/>
    <n v="20"/>
    <n v="11600"/>
    <n v="0.125"/>
    <m/>
    <s v="في التشغيل"/>
    <n v="1450"/>
    <n v="0"/>
    <n v="0"/>
    <n v="0"/>
    <m/>
    <n v="2603.6438356164385"/>
    <n v="8996.3561643835619"/>
  </r>
  <r>
    <n v="256"/>
    <s v="حاويات 04 ياردة"/>
    <x v="0"/>
    <x v="1"/>
    <x v="12"/>
    <x v="26"/>
    <m/>
    <x v="7"/>
    <m/>
    <s v="التشغيل"/>
    <m/>
    <m/>
    <d v="2017-05-03T00:00:00"/>
    <s v="مصنع وسائط النقل"/>
    <s v="70-12-2017"/>
    <n v="20"/>
    <m/>
    <n v="1000"/>
    <n v="20000"/>
    <n v="1989.0410958904113"/>
    <n v="18010.95890410959"/>
    <m/>
    <m/>
    <m/>
    <n v="0"/>
    <m/>
    <m/>
    <m/>
    <m/>
    <m/>
    <m/>
    <n v="0"/>
    <n v="0"/>
    <n v="20"/>
    <n v="20000"/>
    <n v="0.125"/>
    <m/>
    <s v="في التشغيل"/>
    <n v="2500"/>
    <n v="0"/>
    <n v="0"/>
    <n v="0"/>
    <m/>
    <n v="4489.0410958904113"/>
    <n v="15510.95890410959"/>
  </r>
  <r>
    <n v="257"/>
    <s v="حاويات 06 ياردة"/>
    <x v="0"/>
    <x v="1"/>
    <x v="13"/>
    <x v="27"/>
    <m/>
    <x v="7"/>
    <m/>
    <s v="التشغيل"/>
    <m/>
    <m/>
    <d v="2017-05-03T00:00:00"/>
    <s v="مصنع وسائط النقل"/>
    <s v="70-12-2017"/>
    <n v="15"/>
    <m/>
    <n v="1200"/>
    <n v="18000"/>
    <n v="1790.1369863013699"/>
    <n v="16209.86301369863"/>
    <m/>
    <m/>
    <m/>
    <n v="0"/>
    <m/>
    <m/>
    <m/>
    <m/>
    <m/>
    <m/>
    <n v="0"/>
    <n v="0"/>
    <n v="15"/>
    <n v="18000"/>
    <n v="0.125"/>
    <m/>
    <s v="في التشغيل"/>
    <n v="2250"/>
    <n v="0"/>
    <n v="0"/>
    <n v="0"/>
    <m/>
    <n v="4040.1369863013697"/>
    <n v="13959.86301369863"/>
  </r>
  <r>
    <n v="258"/>
    <s v="حاوية سعة 06 ياردة  بغطاء"/>
    <x v="0"/>
    <x v="1"/>
    <x v="13"/>
    <x v="27"/>
    <m/>
    <x v="7"/>
    <m/>
    <s v="التشغيل"/>
    <m/>
    <m/>
    <d v="2017-05-03T00:00:00"/>
    <s v="مصنع وسائط النقل"/>
    <s v="70-12-2017"/>
    <n v="2"/>
    <m/>
    <n v="2200"/>
    <n v="4400"/>
    <n v="437.58904109589037"/>
    <n v="3962.4109589041095"/>
    <m/>
    <m/>
    <m/>
    <n v="0"/>
    <m/>
    <m/>
    <m/>
    <m/>
    <m/>
    <m/>
    <n v="0"/>
    <n v="0"/>
    <n v="2"/>
    <n v="4400"/>
    <n v="0.125"/>
    <m/>
    <s v="في التشغيل"/>
    <n v="550"/>
    <n v="0"/>
    <n v="0"/>
    <n v="0"/>
    <m/>
    <n v="987.58904109589037"/>
    <n v="3412.4109589041095"/>
  </r>
  <r>
    <n v="259"/>
    <s v="ماكينة تشحيم + 2مسدس دهان"/>
    <x v="0"/>
    <x v="8"/>
    <x v="38"/>
    <x v="109"/>
    <m/>
    <x v="0"/>
    <s v="نفايات"/>
    <s v="التشغيل"/>
    <m/>
    <m/>
    <d v="2017-03-13T00:00:00"/>
    <m/>
    <s v="13-03-2017"/>
    <n v="1"/>
    <m/>
    <n v="1190"/>
    <n v="1190"/>
    <n v="143.28904109589041"/>
    <n v="1046.7109589041097"/>
    <m/>
    <m/>
    <m/>
    <n v="0"/>
    <m/>
    <m/>
    <m/>
    <m/>
    <m/>
    <m/>
    <n v="0"/>
    <n v="0"/>
    <n v="1"/>
    <n v="1190"/>
    <n v="0.125"/>
    <m/>
    <s v="في التشغيل"/>
    <n v="148.75"/>
    <n v="0"/>
    <n v="0"/>
    <n v="0"/>
    <m/>
    <n v="292.03904109589041"/>
    <n v="897.96095890410959"/>
  </r>
  <r>
    <n v="260"/>
    <s v="كمبروسور هواء 500 لتر 7.5 حصان"/>
    <x v="0"/>
    <x v="8"/>
    <x v="38"/>
    <x v="109"/>
    <m/>
    <x v="0"/>
    <s v="نفايات"/>
    <s v="التشغيل"/>
    <m/>
    <m/>
    <d v="2017-03-27T00:00:00"/>
    <s v="الشرق الأوسط الحديث"/>
    <s v="27-03-2017"/>
    <n v="1"/>
    <m/>
    <n v="4700"/>
    <n v="4700"/>
    <n v="538.89041095890411"/>
    <n v="4161.1095890410961"/>
    <m/>
    <m/>
    <m/>
    <n v="0"/>
    <m/>
    <m/>
    <m/>
    <m/>
    <m/>
    <m/>
    <n v="0"/>
    <n v="0"/>
    <n v="1"/>
    <n v="4700"/>
    <n v="0.125"/>
    <m/>
    <s v="في التشغيل"/>
    <n v="587.5"/>
    <n v="0"/>
    <n v="0"/>
    <n v="0"/>
    <m/>
    <n v="1126.3904109589041"/>
    <n v="3573.6095890410961"/>
  </r>
  <r>
    <n v="261"/>
    <s v="كمبروسور هواء 300 لتر بنزينتصريف 500 لتر"/>
    <x v="0"/>
    <x v="8"/>
    <x v="38"/>
    <x v="109"/>
    <m/>
    <x v="0"/>
    <s v="نفايات"/>
    <s v="التشغيل"/>
    <m/>
    <m/>
    <d v="2017-03-27T00:00:00"/>
    <m/>
    <s v="27-03-2017"/>
    <n v="1"/>
    <m/>
    <n v="6580"/>
    <n v="6580"/>
    <n v="754.44657534246574"/>
    <n v="5825.5534246575344"/>
    <m/>
    <m/>
    <m/>
    <n v="0"/>
    <m/>
    <m/>
    <m/>
    <m/>
    <m/>
    <m/>
    <n v="0"/>
    <n v="0"/>
    <n v="1"/>
    <n v="6580"/>
    <n v="0.125"/>
    <m/>
    <s v="في التشغيل"/>
    <n v="822.5"/>
    <n v="0"/>
    <n v="0"/>
    <n v="0"/>
    <m/>
    <n v="1576.9465753424656"/>
    <n v="5003.0534246575344"/>
  </r>
  <r>
    <n v="262"/>
    <s v="مظلة حديد للورشة"/>
    <x v="0"/>
    <x v="8"/>
    <x v="38"/>
    <x v="109"/>
    <m/>
    <x v="0"/>
    <s v="نفايات"/>
    <s v="التشغيل"/>
    <m/>
    <m/>
    <d v="2017-05-03T00:00:00"/>
    <m/>
    <s v="03-05-2017"/>
    <n v="1"/>
    <m/>
    <n v="3070"/>
    <n v="3070"/>
    <n v="305.31780821917806"/>
    <n v="2764.682191780822"/>
    <m/>
    <m/>
    <m/>
    <n v="0"/>
    <m/>
    <m/>
    <m/>
    <m/>
    <m/>
    <m/>
    <n v="0"/>
    <n v="0"/>
    <n v="1"/>
    <n v="3070"/>
    <n v="0.125"/>
    <m/>
    <s v="في التشغيل"/>
    <n v="383.75"/>
    <n v="0"/>
    <n v="0"/>
    <n v="0"/>
    <m/>
    <n v="689.067808219178"/>
    <n v="2380.932191780822"/>
  </r>
  <r>
    <n v="263"/>
    <s v="حاويات 02 ياردة"/>
    <x v="0"/>
    <x v="1"/>
    <x v="1"/>
    <x v="1"/>
    <m/>
    <x v="0"/>
    <s v="نفايات"/>
    <s v="التشغيل"/>
    <m/>
    <m/>
    <d v="2017-12-16T00:00:00"/>
    <s v="مصنع وسائط النقل"/>
    <s v="70-12-2017"/>
    <n v="47"/>
    <m/>
    <n v="750"/>
    <n v="35250"/>
    <n v="217.29452054794521"/>
    <n v="35032.705479452052"/>
    <m/>
    <m/>
    <m/>
    <n v="0"/>
    <m/>
    <m/>
    <m/>
    <m/>
    <m/>
    <m/>
    <n v="0"/>
    <n v="0"/>
    <n v="47"/>
    <n v="35250"/>
    <n v="0.125"/>
    <m/>
    <s v="في التشغيل"/>
    <n v="4406.25"/>
    <n v="0"/>
    <n v="0"/>
    <n v="0"/>
    <m/>
    <n v="4623.5445205479455"/>
    <n v="30626.455479452055"/>
  </r>
  <r>
    <n v="264"/>
    <s v="مكتب زجاج مع ملحق وطاولة شاي"/>
    <x v="0"/>
    <x v="0"/>
    <x v="0"/>
    <x v="0"/>
    <m/>
    <x v="5"/>
    <s v="إدارية"/>
    <s v="الإدارية"/>
    <m/>
    <m/>
    <d v="2017-01-22T00:00:00"/>
    <m/>
    <s v="18-01-2017"/>
    <n v="5"/>
    <m/>
    <n v="1250"/>
    <n v="6250"/>
    <n v="880.99315068493149"/>
    <n v="5369.0068493150684"/>
    <m/>
    <m/>
    <m/>
    <n v="0"/>
    <m/>
    <m/>
    <m/>
    <m/>
    <m/>
    <m/>
    <n v="0"/>
    <n v="0"/>
    <n v="5"/>
    <n v="6250"/>
    <n v="0.125"/>
    <m/>
    <s v="في التشغيل"/>
    <n v="781.25"/>
    <n v="0"/>
    <n v="0"/>
    <n v="0"/>
    <m/>
    <n v="1662.2431506849316"/>
    <n v="4587.7568493150684"/>
  </r>
  <r>
    <n v="265"/>
    <s v="كرسي شبك ظهر عالي متحرك"/>
    <x v="0"/>
    <x v="0"/>
    <x v="0"/>
    <x v="0"/>
    <m/>
    <x v="5"/>
    <s v="إدارية"/>
    <s v="الإدارية"/>
    <m/>
    <m/>
    <d v="2017-01-22T00:00:00"/>
    <m/>
    <s v="18-01-2017"/>
    <n v="5"/>
    <m/>
    <n v="550"/>
    <n v="2750"/>
    <n v="387.63698630136992"/>
    <n v="2362.3630136986303"/>
    <m/>
    <m/>
    <m/>
    <n v="0"/>
    <m/>
    <m/>
    <m/>
    <m/>
    <m/>
    <m/>
    <n v="0"/>
    <n v="0"/>
    <n v="5"/>
    <n v="2750"/>
    <n v="0.125"/>
    <m/>
    <s v="في التشغيل"/>
    <n v="343.75"/>
    <n v="0"/>
    <n v="0"/>
    <n v="0"/>
    <m/>
    <n v="731.38698630136992"/>
    <n v="2018.6130136986301"/>
  </r>
  <r>
    <n v="266"/>
    <s v="كرسي شبك أنتظار ثابت"/>
    <x v="0"/>
    <x v="0"/>
    <x v="0"/>
    <x v="0"/>
    <m/>
    <x v="5"/>
    <s v="إدارية"/>
    <s v="الإدارية"/>
    <m/>
    <m/>
    <d v="2017-01-22T00:00:00"/>
    <m/>
    <s v="18-01-2017"/>
    <n v="5"/>
    <m/>
    <n v="450"/>
    <n v="2250"/>
    <n v="317.15753424657538"/>
    <n v="1932.8424657534247"/>
    <m/>
    <m/>
    <m/>
    <n v="0"/>
    <m/>
    <m/>
    <m/>
    <m/>
    <m/>
    <m/>
    <n v="0"/>
    <n v="0"/>
    <n v="5"/>
    <n v="2250"/>
    <n v="0.125"/>
    <m/>
    <s v="في التشغيل"/>
    <n v="281.25"/>
    <n v="0"/>
    <n v="0"/>
    <n v="0"/>
    <m/>
    <n v="598.40753424657532"/>
    <n v="1651.5924657534247"/>
  </r>
  <r>
    <n v="267"/>
    <s v="دولاب خشب زجاج 2 دلفة "/>
    <x v="0"/>
    <x v="0"/>
    <x v="0"/>
    <x v="0"/>
    <m/>
    <x v="5"/>
    <s v="إدارية"/>
    <s v="الإدارية"/>
    <m/>
    <m/>
    <d v="2017-01-22T00:00:00"/>
    <m/>
    <s v="18-01-2017"/>
    <n v="2"/>
    <m/>
    <n v="600"/>
    <n v="1200"/>
    <n v="169.15068493150685"/>
    <n v="1030.8493150684931"/>
    <m/>
    <m/>
    <m/>
    <n v="0"/>
    <m/>
    <m/>
    <m/>
    <m/>
    <m/>
    <m/>
    <n v="0"/>
    <n v="0"/>
    <n v="2"/>
    <n v="1200"/>
    <n v="0.125"/>
    <m/>
    <s v="في التشغيل"/>
    <n v="150"/>
    <n v="0"/>
    <n v="0"/>
    <n v="0"/>
    <m/>
    <n v="319.15068493150682"/>
    <n v="880.84931506849318"/>
  </r>
  <r>
    <n v="268"/>
    <s v="كاميرا خارجية 4 ميجا"/>
    <x v="0"/>
    <x v="3"/>
    <x v="8"/>
    <x v="15"/>
    <m/>
    <x v="5"/>
    <s v="إدارية"/>
    <s v="الإدارية"/>
    <m/>
    <m/>
    <d v="2017-10-09T00:00:00"/>
    <m/>
    <s v="06-10-2017_x000a_05-10-2017"/>
    <n v="6"/>
    <m/>
    <n v="1300"/>
    <n v="7800"/>
    <n v="266.05479452054794"/>
    <n v="7533.9452054794519"/>
    <m/>
    <m/>
    <m/>
    <n v="0"/>
    <m/>
    <m/>
    <m/>
    <m/>
    <m/>
    <m/>
    <n v="0"/>
    <n v="0"/>
    <n v="6"/>
    <n v="7800"/>
    <n v="0.125"/>
    <m/>
    <s v="في التشغيل"/>
    <n v="975"/>
    <n v="0"/>
    <n v="0"/>
    <n v="0"/>
    <m/>
    <n v="1241.0547945205481"/>
    <n v="6558.9452054794519"/>
  </r>
  <r>
    <n v="269"/>
    <s v="كاميرا داخلية 4 ميجا"/>
    <x v="0"/>
    <x v="3"/>
    <x v="8"/>
    <x v="15"/>
    <m/>
    <x v="5"/>
    <s v="إدارية"/>
    <s v="الإدارية"/>
    <m/>
    <m/>
    <d v="2017-10-09T00:00:00"/>
    <m/>
    <s v="06-10-2017_x000a_05-10-2017"/>
    <n v="4"/>
    <m/>
    <n v="1300"/>
    <n v="5200"/>
    <n v="177.36986301369865"/>
    <n v="5022.6301369863013"/>
    <m/>
    <m/>
    <m/>
    <n v="0"/>
    <m/>
    <m/>
    <m/>
    <m/>
    <m/>
    <m/>
    <n v="0"/>
    <n v="0"/>
    <n v="4"/>
    <n v="5200"/>
    <n v="0.125"/>
    <m/>
    <s v="في التشغيل"/>
    <n v="650"/>
    <n v="0"/>
    <n v="0"/>
    <n v="0"/>
    <m/>
    <n v="827.3698630136987"/>
    <n v="4372.6301369863013"/>
  </r>
  <r>
    <n v="270"/>
    <s v="طقم مكتب 240 كارمين الباحوث"/>
    <x v="0"/>
    <x v="0"/>
    <x v="0"/>
    <x v="0"/>
    <m/>
    <x v="5"/>
    <s v="إدارية"/>
    <s v="الإدارية"/>
    <m/>
    <m/>
    <d v="2017-10-08T00:00:00"/>
    <m/>
    <s v="04-10-2017"/>
    <n v="1"/>
    <m/>
    <n v="3500"/>
    <n v="3500"/>
    <n v="120.82191780821918"/>
    <n v="3379.178082191781"/>
    <m/>
    <m/>
    <m/>
    <n v="0"/>
    <m/>
    <m/>
    <m/>
    <m/>
    <m/>
    <m/>
    <n v="0"/>
    <n v="0"/>
    <n v="1"/>
    <n v="3500"/>
    <n v="0.125"/>
    <m/>
    <s v="في التشغيل"/>
    <n v="437.5"/>
    <n v="0"/>
    <n v="0"/>
    <n v="0"/>
    <m/>
    <n v="558.32191780821915"/>
    <n v="2941.678082191781"/>
  </r>
  <r>
    <n v="271"/>
    <s v="كرسي دوار طويل شبك الباحوث"/>
    <x v="0"/>
    <x v="0"/>
    <x v="0"/>
    <x v="0"/>
    <m/>
    <x v="5"/>
    <s v="إدارية"/>
    <s v="الإدارية"/>
    <m/>
    <m/>
    <d v="2017-10-08T00:00:00"/>
    <m/>
    <s v="04-10-2017"/>
    <n v="1"/>
    <m/>
    <n v="650"/>
    <n v="650"/>
    <n v="22.438356164383563"/>
    <n v="627.56164383561645"/>
    <m/>
    <m/>
    <m/>
    <n v="0"/>
    <m/>
    <m/>
    <m/>
    <m/>
    <m/>
    <m/>
    <n v="0"/>
    <n v="0"/>
    <n v="1"/>
    <n v="650"/>
    <n v="0.125"/>
    <m/>
    <s v="في التشغيل"/>
    <n v="81.25"/>
    <n v="0"/>
    <n v="0"/>
    <n v="0"/>
    <m/>
    <n v="103.68835616438356"/>
    <n v="546.31164383561645"/>
  </r>
  <r>
    <n v="272"/>
    <s v="كرسي ثابت شبك الباحوث"/>
    <x v="0"/>
    <x v="0"/>
    <x v="0"/>
    <x v="0"/>
    <m/>
    <x v="5"/>
    <s v="إدارية"/>
    <s v="الإدارية"/>
    <m/>
    <m/>
    <d v="2017-10-08T00:00:00"/>
    <m/>
    <s v="04-10-2017"/>
    <n v="2"/>
    <m/>
    <n v="450"/>
    <n v="900"/>
    <n v="31.06849315068493"/>
    <n v="868.93150684931504"/>
    <m/>
    <m/>
    <m/>
    <n v="0"/>
    <m/>
    <m/>
    <m/>
    <m/>
    <m/>
    <m/>
    <n v="0"/>
    <n v="0"/>
    <n v="2"/>
    <n v="900"/>
    <n v="0.125"/>
    <m/>
    <s v="في التشغيل"/>
    <n v="112.5"/>
    <n v="0"/>
    <n v="0"/>
    <n v="0"/>
    <m/>
    <n v="143.56849315068493"/>
    <n v="756.43150684931504"/>
  </r>
  <r>
    <n v="273"/>
    <s v="بارتيشن ثنائي تي 3"/>
    <x v="0"/>
    <x v="0"/>
    <x v="0"/>
    <x v="0"/>
    <m/>
    <x v="5"/>
    <s v="إدارية"/>
    <s v="الإدارية"/>
    <m/>
    <m/>
    <d v="2017-10-08T00:00:00"/>
    <m/>
    <s v="04-10-2017"/>
    <n v="2"/>
    <m/>
    <n v="2375"/>
    <n v="4750"/>
    <n v="163.97260273972603"/>
    <n v="4586.0273972602736"/>
    <m/>
    <m/>
    <m/>
    <n v="0"/>
    <m/>
    <m/>
    <m/>
    <m/>
    <m/>
    <m/>
    <n v="0"/>
    <n v="0"/>
    <n v="2"/>
    <n v="4750"/>
    <n v="0.125"/>
    <m/>
    <s v="في التشغيل"/>
    <n v="593.75"/>
    <n v="0"/>
    <n v="0"/>
    <n v="0"/>
    <m/>
    <n v="757.72260273972597"/>
    <n v="3992.277397260274"/>
  </r>
  <r>
    <n v="274"/>
    <s v="كرسي دوار قصير شبك"/>
    <x v="0"/>
    <x v="0"/>
    <x v="0"/>
    <x v="0"/>
    <m/>
    <x v="5"/>
    <s v="إدارية"/>
    <s v="الإدارية"/>
    <m/>
    <m/>
    <d v="2017-10-08T00:00:00"/>
    <m/>
    <s v="04-10-2017"/>
    <n v="4"/>
    <m/>
    <n v="550"/>
    <n v="2200"/>
    <n v="75.945205479452056"/>
    <n v="2124.0547945205481"/>
    <m/>
    <m/>
    <m/>
    <n v="0"/>
    <m/>
    <m/>
    <m/>
    <m/>
    <m/>
    <m/>
    <n v="0"/>
    <n v="0"/>
    <n v="4"/>
    <n v="2200"/>
    <n v="0.125"/>
    <m/>
    <s v="في التشغيل"/>
    <n v="275"/>
    <n v="0"/>
    <n v="0"/>
    <n v="0"/>
    <m/>
    <n v="350.94520547945206"/>
    <n v="1849.0547945205481"/>
  </r>
  <r>
    <n v="275"/>
    <s v="خزن ملفات مستعملة للإدارية"/>
    <x v="0"/>
    <x v="0"/>
    <x v="0"/>
    <x v="0"/>
    <m/>
    <x v="5"/>
    <s v="إدارية"/>
    <s v="الإدارية"/>
    <m/>
    <m/>
    <d v="2017-11-05T00:00:00"/>
    <m/>
    <s v="05-11-2017"/>
    <n v="1"/>
    <m/>
    <n v="1000"/>
    <n v="1000"/>
    <n v="23.013698630136986"/>
    <n v="976.98630136986299"/>
    <m/>
    <m/>
    <m/>
    <n v="0"/>
    <m/>
    <m/>
    <m/>
    <m/>
    <m/>
    <m/>
    <n v="0"/>
    <n v="0"/>
    <n v="1"/>
    <n v="1000"/>
    <n v="0.125"/>
    <m/>
    <s v="في التشغيل"/>
    <n v="125"/>
    <n v="0"/>
    <n v="0"/>
    <n v="0"/>
    <m/>
    <n v="148.01369863013699"/>
    <n v="851.98630136986299"/>
  </r>
  <r>
    <n v="276"/>
    <s v="خزن ملفات مستعملة للإدارية"/>
    <x v="0"/>
    <x v="0"/>
    <x v="0"/>
    <x v="0"/>
    <m/>
    <x v="5"/>
    <s v="إدارية"/>
    <s v="الإدارية"/>
    <m/>
    <m/>
    <d v="2017-11-05T00:00:00"/>
    <m/>
    <s v="23-11-2017"/>
    <n v="1"/>
    <m/>
    <n v="1400"/>
    <n v="1400"/>
    <n v="32.219178082191782"/>
    <n v="1367.7808219178082"/>
    <m/>
    <m/>
    <m/>
    <n v="0"/>
    <m/>
    <m/>
    <m/>
    <m/>
    <m/>
    <m/>
    <n v="0"/>
    <n v="0"/>
    <n v="1"/>
    <n v="1400"/>
    <n v="0.125"/>
    <m/>
    <s v="في التشغيل"/>
    <n v="175"/>
    <n v="0"/>
    <n v="0"/>
    <n v="0"/>
    <m/>
    <n v="207.21917808219177"/>
    <n v="1192.7808219178082"/>
  </r>
  <r>
    <n v="277"/>
    <s v="دولاب 2 دلفة مكتب الزرير"/>
    <x v="0"/>
    <x v="0"/>
    <x v="0"/>
    <x v="0"/>
    <m/>
    <x v="5"/>
    <s v="إدارية"/>
    <s v="الإدارية"/>
    <m/>
    <m/>
    <d v="2017-11-19T00:00:00"/>
    <m/>
    <s v="38-12-2017"/>
    <n v="1"/>
    <m/>
    <n v="550"/>
    <n v="550"/>
    <n v="9.493150684931507"/>
    <n v="540.50684931506851"/>
    <m/>
    <m/>
    <m/>
    <n v="0"/>
    <m/>
    <m/>
    <m/>
    <m/>
    <m/>
    <m/>
    <n v="0"/>
    <n v="0"/>
    <n v="1"/>
    <n v="550"/>
    <n v="0.125"/>
    <m/>
    <s v="في التشغيل"/>
    <n v="68.75"/>
    <n v="0"/>
    <n v="0"/>
    <n v="0"/>
    <m/>
    <n v="78.243150684931507"/>
    <n v="471.75684931506851"/>
  </r>
  <r>
    <n v="278"/>
    <s v="كرسي مكتبي الزرير"/>
    <x v="0"/>
    <x v="0"/>
    <x v="0"/>
    <x v="0"/>
    <m/>
    <x v="5"/>
    <s v="إدارية"/>
    <s v="الإدارية"/>
    <m/>
    <m/>
    <d v="2017-11-19T00:00:00"/>
    <m/>
    <s v="38-12-2017"/>
    <n v="1"/>
    <m/>
    <n v="280"/>
    <n v="280"/>
    <n v="4.8328767123287673"/>
    <n v="275.16712328767125"/>
    <m/>
    <m/>
    <m/>
    <n v="0"/>
    <m/>
    <m/>
    <m/>
    <m/>
    <m/>
    <m/>
    <n v="0"/>
    <n v="0"/>
    <n v="1"/>
    <n v="280"/>
    <n v="0.125"/>
    <m/>
    <s v="في التشغيل"/>
    <n v="35"/>
    <n v="0"/>
    <n v="0"/>
    <n v="0"/>
    <m/>
    <n v="39.832876712328769"/>
    <n v="240.16712328767125"/>
  </r>
  <r>
    <n v="279"/>
    <s v="فلتر مياه للشرب بالإدارة العامة"/>
    <x v="0"/>
    <x v="0"/>
    <x v="0"/>
    <x v="0"/>
    <m/>
    <x v="5"/>
    <s v="إدارية"/>
    <s v="الإدارية"/>
    <m/>
    <m/>
    <d v="2017-11-19T00:00:00"/>
    <m/>
    <s v="38-12-2017"/>
    <n v="1"/>
    <m/>
    <n v="1430"/>
    <n v="1430"/>
    <n v="24.682191780821917"/>
    <n v="1405.317808219178"/>
    <m/>
    <m/>
    <m/>
    <n v="0"/>
    <m/>
    <m/>
    <m/>
    <m/>
    <m/>
    <m/>
    <n v="0"/>
    <n v="0"/>
    <n v="1"/>
    <n v="1430"/>
    <n v="0.125"/>
    <m/>
    <s v="في التشغيل"/>
    <n v="178.75"/>
    <n v="0"/>
    <n v="0"/>
    <n v="0"/>
    <m/>
    <n v="203.43219178082191"/>
    <n v="1226.567808219178"/>
  </r>
  <r>
    <n v="280"/>
    <s v="دولاب 3 دلف"/>
    <x v="0"/>
    <x v="0"/>
    <x v="0"/>
    <x v="0"/>
    <m/>
    <x v="5"/>
    <s v="إدارية"/>
    <s v="الإدارية"/>
    <m/>
    <m/>
    <d v="2017-04-04T00:00:00"/>
    <m/>
    <s v="80-12-2017"/>
    <n v="1"/>
    <m/>
    <n v="600"/>
    <n v="600"/>
    <n v="66.821917808219169"/>
    <n v="533.17808219178085"/>
    <m/>
    <m/>
    <m/>
    <n v="0"/>
    <m/>
    <m/>
    <m/>
    <m/>
    <m/>
    <m/>
    <n v="0"/>
    <n v="0"/>
    <n v="1"/>
    <n v="600"/>
    <n v="0.125"/>
    <m/>
    <s v="في التشغيل"/>
    <n v="75"/>
    <n v="0"/>
    <n v="0"/>
    <n v="0"/>
    <m/>
    <n v="141.82191780821915"/>
    <n v="458.17808219178085"/>
  </r>
  <r>
    <n v="281"/>
    <s v="الة طباعة كبيرة"/>
    <x v="0"/>
    <x v="3"/>
    <x v="3"/>
    <x v="3"/>
    <m/>
    <x v="5"/>
    <s v="إدارية"/>
    <s v="الإدارية"/>
    <m/>
    <m/>
    <d v="2017-11-08T00:00:00"/>
    <m/>
    <s v="08-11-2017_x000a_10-12-2017"/>
    <n v="1"/>
    <m/>
    <n v="3800"/>
    <n v="3800"/>
    <n v="82.767123287671239"/>
    <n v="3717.2328767123286"/>
    <m/>
    <m/>
    <m/>
    <n v="0"/>
    <m/>
    <m/>
    <m/>
    <m/>
    <m/>
    <m/>
    <n v="0"/>
    <n v="0"/>
    <n v="1"/>
    <n v="3800"/>
    <n v="0.125"/>
    <m/>
    <s v="في التشغيل"/>
    <n v="475"/>
    <n v="0"/>
    <n v="0"/>
    <n v="0"/>
    <m/>
    <n v="557.76712328767121"/>
    <n v="3242.232876712329"/>
  </r>
  <r>
    <n v="282"/>
    <s v="خزينة مكتب الباحوث"/>
    <x v="0"/>
    <x v="0"/>
    <x v="0"/>
    <x v="0"/>
    <m/>
    <x v="5"/>
    <s v="إدارية"/>
    <s v="الإدارية"/>
    <m/>
    <m/>
    <d v="2017-12-01T00:00:00"/>
    <m/>
    <s v="07-12-2017"/>
    <n v="1"/>
    <m/>
    <n v="900"/>
    <n v="900"/>
    <n v="11.095890410958903"/>
    <n v="888.90410958904113"/>
    <m/>
    <m/>
    <m/>
    <n v="0"/>
    <m/>
    <m/>
    <m/>
    <m/>
    <m/>
    <m/>
    <n v="0"/>
    <n v="0"/>
    <n v="1"/>
    <n v="900"/>
    <n v="0.125"/>
    <m/>
    <s v="في التشغيل"/>
    <n v="112.5"/>
    <n v="0"/>
    <n v="0"/>
    <n v="0"/>
    <m/>
    <n v="123.5958904109589"/>
    <n v="776.40410958904113"/>
  </r>
  <r>
    <n v="283"/>
    <s v="ماكينة البار كوود"/>
    <x v="0"/>
    <x v="3"/>
    <x v="8"/>
    <x v="15"/>
    <m/>
    <x v="5"/>
    <s v="إدارية"/>
    <s v="الإدارية"/>
    <m/>
    <m/>
    <d v="2017-12-01T00:00:00"/>
    <m/>
    <s v="38-12-2017"/>
    <n v="1"/>
    <m/>
    <n v="480"/>
    <n v="480"/>
    <n v="5.9178082191780819"/>
    <n v="474.08219178082192"/>
    <m/>
    <m/>
    <m/>
    <n v="0"/>
    <m/>
    <m/>
    <m/>
    <m/>
    <m/>
    <m/>
    <n v="0"/>
    <n v="0"/>
    <n v="1"/>
    <n v="480"/>
    <n v="0.125"/>
    <m/>
    <s v="في التشغيل"/>
    <n v="60"/>
    <n v="0"/>
    <n v="0"/>
    <n v="0"/>
    <m/>
    <n v="65.917808219178085"/>
    <n v="414.08219178082192"/>
  </r>
  <r>
    <n v="284"/>
    <s v="بيت جاهز عدد 4 غرف"/>
    <x v="0"/>
    <x v="0"/>
    <x v="39"/>
    <x v="110"/>
    <m/>
    <x v="5"/>
    <s v="إدارية"/>
    <s v="الإدارية"/>
    <m/>
    <m/>
    <d v="2017-02-25T00:00:00"/>
    <m/>
    <s v="07-02-2017"/>
    <n v="1"/>
    <m/>
    <n v="11000"/>
    <n v="11000"/>
    <n v="1396.8493150684933"/>
    <n v="9603.1506849315065"/>
    <m/>
    <m/>
    <m/>
    <n v="0"/>
    <m/>
    <m/>
    <m/>
    <m/>
    <m/>
    <m/>
    <n v="0"/>
    <n v="0"/>
    <n v="1"/>
    <n v="11000"/>
    <n v="0.125"/>
    <m/>
    <s v="في التشغيل"/>
    <n v="1375"/>
    <n v="0"/>
    <n v="0"/>
    <n v="0"/>
    <m/>
    <n v="2771.8493150684935"/>
    <n v="8228.1506849315065"/>
  </r>
  <r>
    <n v="285"/>
    <s v="غسالة هام حوضين"/>
    <x v="0"/>
    <x v="0"/>
    <x v="7"/>
    <x v="14"/>
    <m/>
    <x v="5"/>
    <s v="التشغيل"/>
    <s v="التشغيل"/>
    <m/>
    <m/>
    <d v="2017-02-25T00:00:00"/>
    <m/>
    <s v="07-02-2017"/>
    <n v="1"/>
    <m/>
    <n v="449"/>
    <n v="449"/>
    <n v="57.016849315068491"/>
    <n v="391.9831506849315"/>
    <m/>
    <m/>
    <m/>
    <n v="0"/>
    <m/>
    <m/>
    <m/>
    <m/>
    <m/>
    <m/>
    <n v="0"/>
    <n v="0"/>
    <n v="1"/>
    <n v="449"/>
    <n v="0.125"/>
    <m/>
    <s v="في التشغيل"/>
    <n v="56.125"/>
    <n v="0"/>
    <n v="0"/>
    <n v="0"/>
    <m/>
    <n v="113.1418493150685"/>
    <n v="335.8581506849315"/>
  </r>
  <r>
    <n v="286"/>
    <s v="ثلاجة هام"/>
    <x v="0"/>
    <x v="0"/>
    <x v="7"/>
    <x v="14"/>
    <m/>
    <x v="5"/>
    <s v="التشغيل"/>
    <s v="التشغيل"/>
    <m/>
    <m/>
    <d v="2017-02-25T00:00:00"/>
    <m/>
    <s v="07-02-2017"/>
    <n v="1"/>
    <m/>
    <n v="649"/>
    <n v="649"/>
    <n v="82.41410958904109"/>
    <n v="566.58589041095888"/>
    <m/>
    <m/>
    <m/>
    <n v="0"/>
    <m/>
    <m/>
    <m/>
    <m/>
    <m/>
    <m/>
    <n v="0"/>
    <n v="0"/>
    <n v="1"/>
    <n v="649"/>
    <n v="0.125"/>
    <m/>
    <s v="في التشغيل"/>
    <n v="81.125"/>
    <n v="0"/>
    <n v="0"/>
    <n v="0"/>
    <m/>
    <n v="163.53910958904109"/>
    <n v="485.46089041095888"/>
  </r>
  <r>
    <n v="287"/>
    <s v="مكيف مستعمل"/>
    <x v="0"/>
    <x v="0"/>
    <x v="7"/>
    <x v="14"/>
    <m/>
    <x v="0"/>
    <s v="التشغيل"/>
    <s v="التشغيل"/>
    <m/>
    <m/>
    <d v="2017-03-13T00:00:00"/>
    <m/>
    <s v="13-03-2017"/>
    <n v="5"/>
    <m/>
    <n v="440"/>
    <n v="2200"/>
    <n v="264.90410958904107"/>
    <n v="1935.0958904109589"/>
    <m/>
    <m/>
    <m/>
    <n v="0"/>
    <m/>
    <m/>
    <m/>
    <m/>
    <m/>
    <m/>
    <n v="0"/>
    <n v="0"/>
    <n v="5"/>
    <n v="2200"/>
    <n v="0.125"/>
    <m/>
    <s v="في التشغيل"/>
    <n v="275"/>
    <n v="0"/>
    <n v="0"/>
    <n v="0"/>
    <m/>
    <n v="539.90410958904113"/>
    <n v="1660.0958904109589"/>
  </r>
  <r>
    <n v="288"/>
    <s v="غسالةسامسونج 5 كيلو "/>
    <x v="0"/>
    <x v="0"/>
    <x v="7"/>
    <x v="14"/>
    <m/>
    <x v="3"/>
    <m/>
    <s v="التشغيل"/>
    <m/>
    <m/>
    <d v="2017-03-15T00:00:00"/>
    <m/>
    <s v="15-03-2017"/>
    <n v="1"/>
    <m/>
    <n v="1050"/>
    <n v="1050"/>
    <n v="125.56849315068493"/>
    <n v="924.43150684931504"/>
    <m/>
    <m/>
    <m/>
    <n v="0"/>
    <m/>
    <m/>
    <m/>
    <m/>
    <m/>
    <m/>
    <n v="0"/>
    <n v="0"/>
    <n v="1"/>
    <n v="1050"/>
    <n v="0.125"/>
    <m/>
    <s v="في التشغيل"/>
    <n v="131.25"/>
    <n v="0"/>
    <n v="0"/>
    <n v="0"/>
    <m/>
    <n v="256.81849315068496"/>
    <n v="793.18150684931504"/>
  </r>
  <r>
    <n v="289"/>
    <s v="فرن كهربئي"/>
    <x v="0"/>
    <x v="0"/>
    <x v="7"/>
    <x v="14"/>
    <m/>
    <x v="3"/>
    <m/>
    <s v="التشغيل"/>
    <m/>
    <m/>
    <d v="2017-03-15T00:00:00"/>
    <m/>
    <s v="15-03-2017"/>
    <n v="1"/>
    <m/>
    <n v="500"/>
    <n v="500"/>
    <n v="59.794520547945204"/>
    <n v="440.20547945205482"/>
    <m/>
    <m/>
    <m/>
    <n v="0"/>
    <m/>
    <m/>
    <m/>
    <m/>
    <m/>
    <m/>
    <n v="0"/>
    <n v="0"/>
    <n v="1"/>
    <n v="500"/>
    <n v="0.125"/>
    <m/>
    <s v="في التشغيل"/>
    <n v="62.5"/>
    <n v="0"/>
    <n v="0"/>
    <n v="0"/>
    <m/>
    <n v="122.29452054794521"/>
    <n v="377.70547945205476"/>
  </r>
  <r>
    <n v="290"/>
    <s v="ثلاجة يوجن "/>
    <x v="0"/>
    <x v="0"/>
    <x v="7"/>
    <x v="14"/>
    <m/>
    <x v="3"/>
    <m/>
    <s v="التشغيل"/>
    <m/>
    <m/>
    <d v="2017-03-15T00:00:00"/>
    <m/>
    <s v="15-03-2017"/>
    <n v="1"/>
    <m/>
    <n v="1350"/>
    <n v="1350"/>
    <n v="161.44520547945206"/>
    <n v="1188.5547945205481"/>
    <m/>
    <m/>
    <m/>
    <n v="0"/>
    <m/>
    <m/>
    <m/>
    <m/>
    <m/>
    <m/>
    <n v="0"/>
    <n v="0"/>
    <n v="1"/>
    <n v="1350"/>
    <n v="0.125"/>
    <m/>
    <s v="في التشغيل"/>
    <n v="168.75"/>
    <n v="0"/>
    <n v="0"/>
    <n v="0"/>
    <m/>
    <n v="330.19520547945206"/>
    <n v="1019.8047945205479"/>
  </r>
  <r>
    <n v="291"/>
    <s v="خزان مياه 1250 جالون"/>
    <x v="0"/>
    <x v="0"/>
    <x v="7"/>
    <x v="14"/>
    <m/>
    <x v="4"/>
    <m/>
    <s v="التشغيل"/>
    <m/>
    <m/>
    <d v="2017-04-13T00:00:00"/>
    <m/>
    <s v="13-04-2017"/>
    <n v="1"/>
    <m/>
    <n v="2200"/>
    <n v="2200"/>
    <n v="236.8767123287671"/>
    <n v="1963.1232876712329"/>
    <m/>
    <m/>
    <m/>
    <n v="0"/>
    <m/>
    <m/>
    <m/>
    <m/>
    <m/>
    <m/>
    <n v="0"/>
    <n v="0"/>
    <n v="1"/>
    <n v="2200"/>
    <n v="0.125"/>
    <m/>
    <s v="في التشغيل"/>
    <n v="275"/>
    <n v="0"/>
    <n v="0"/>
    <n v="0"/>
    <m/>
    <n v="511.8767123287671"/>
    <n v="1688.1232876712329"/>
  </r>
  <r>
    <n v="292"/>
    <s v="مكيف جديد سبيلت"/>
    <x v="0"/>
    <x v="0"/>
    <x v="7"/>
    <x v="14"/>
    <m/>
    <x v="0"/>
    <s v="التشغيل"/>
    <s v="التشغيل"/>
    <m/>
    <m/>
    <d v="2017-05-15T00:00:00"/>
    <m/>
    <s v="03-05-2017"/>
    <n v="5"/>
    <m/>
    <n v="1260"/>
    <n v="6300"/>
    <n v="595.47945205479459"/>
    <n v="5704.5205479452052"/>
    <m/>
    <m/>
    <m/>
    <n v="0"/>
    <m/>
    <m/>
    <m/>
    <m/>
    <m/>
    <m/>
    <n v="0"/>
    <n v="0"/>
    <n v="5"/>
    <n v="6300"/>
    <n v="0.125"/>
    <m/>
    <s v="في التشغيل"/>
    <n v="787.5"/>
    <n v="0"/>
    <n v="0"/>
    <n v="0"/>
    <m/>
    <n v="1382.9794520547946"/>
    <n v="4917.0205479452052"/>
  </r>
  <r>
    <n v="293"/>
    <s v="ثلاجة"/>
    <x v="0"/>
    <x v="0"/>
    <x v="7"/>
    <x v="14"/>
    <m/>
    <x v="5"/>
    <s v="التشغيل"/>
    <s v="التشغيل"/>
    <m/>
    <m/>
    <d v="2017-05-15T00:00:00"/>
    <m/>
    <s v="03-05-2017"/>
    <n v="2"/>
    <m/>
    <n v="900"/>
    <n v="1800"/>
    <n v="170.13698630136986"/>
    <n v="1629.8630136986301"/>
    <m/>
    <m/>
    <m/>
    <n v="0"/>
    <m/>
    <m/>
    <m/>
    <m/>
    <m/>
    <m/>
    <n v="0"/>
    <n v="0"/>
    <n v="2"/>
    <n v="1800"/>
    <n v="0.125"/>
    <m/>
    <s v="في التشغيل"/>
    <n v="225"/>
    <n v="0"/>
    <n v="0"/>
    <n v="0"/>
    <m/>
    <n v="395.13698630136986"/>
    <n v="1404.8630136986301"/>
  </r>
  <r>
    <n v="294"/>
    <s v="مكيف  مستعمل"/>
    <x v="0"/>
    <x v="0"/>
    <x v="7"/>
    <x v="14"/>
    <m/>
    <x v="5"/>
    <s v="التشغيل"/>
    <s v="التشغيل"/>
    <m/>
    <m/>
    <d v="2017-05-15T00:00:00"/>
    <m/>
    <s v="03-05-2017"/>
    <n v="4"/>
    <m/>
    <n v="412.5"/>
    <n v="1650"/>
    <n v="155.95890410958904"/>
    <n v="1494.041095890411"/>
    <m/>
    <m/>
    <m/>
    <n v="0"/>
    <m/>
    <m/>
    <m/>
    <m/>
    <m/>
    <m/>
    <n v="0"/>
    <n v="0"/>
    <n v="4"/>
    <n v="1650"/>
    <n v="0.125"/>
    <m/>
    <s v="في التشغيل"/>
    <n v="206.25"/>
    <n v="0"/>
    <n v="0"/>
    <n v="0"/>
    <m/>
    <n v="362.20890410958907"/>
    <n v="1287.7910958904108"/>
  </r>
  <r>
    <n v="295"/>
    <s v="تانكر مستعمل"/>
    <x v="0"/>
    <x v="0"/>
    <x v="7"/>
    <x v="14"/>
    <m/>
    <x v="4"/>
    <m/>
    <s v="التشغيل"/>
    <m/>
    <m/>
    <d v="2017-10-13T00:00:00"/>
    <m/>
    <s v="13-10-2017"/>
    <n v="1"/>
    <m/>
    <n v="2500"/>
    <n v="2500"/>
    <n v="81.164383561643845"/>
    <n v="2418.8356164383563"/>
    <m/>
    <m/>
    <m/>
    <n v="0"/>
    <m/>
    <m/>
    <m/>
    <m/>
    <m/>
    <m/>
    <n v="0"/>
    <n v="0"/>
    <n v="1"/>
    <n v="2500"/>
    <n v="0.125"/>
    <m/>
    <s v="في التشغيل"/>
    <n v="312.5"/>
    <n v="0"/>
    <n v="0"/>
    <n v="0"/>
    <m/>
    <n v="393.66438356164383"/>
    <n v="2106.3356164383563"/>
  </r>
  <r>
    <n v="296"/>
    <s v="كارت شاشة لجهاز الباحوث"/>
    <x v="0"/>
    <x v="3"/>
    <x v="40"/>
    <x v="111"/>
    <m/>
    <x v="5"/>
    <s v="إدارية"/>
    <s v="الإدارية"/>
    <m/>
    <m/>
    <d v="2017-12-01T00:00:00"/>
    <m/>
    <s v="77-12-2017"/>
    <n v="1"/>
    <m/>
    <n v="300"/>
    <n v="300"/>
    <n v="3.6986301369863011"/>
    <n v="296.30136986301369"/>
    <m/>
    <m/>
    <m/>
    <n v="0"/>
    <m/>
    <m/>
    <m/>
    <m/>
    <m/>
    <m/>
    <n v="0"/>
    <n v="0"/>
    <n v="1"/>
    <n v="300"/>
    <n v="0.125"/>
    <m/>
    <s v="في التشغيل"/>
    <n v="37.5"/>
    <n v="0"/>
    <n v="0"/>
    <n v="0"/>
    <m/>
    <n v="41.198630136986303"/>
    <n v="258.80136986301369"/>
  </r>
  <r>
    <n v="297"/>
    <s v="شاشة جهاز كمبيوتر ديل "/>
    <x v="0"/>
    <x v="3"/>
    <x v="40"/>
    <x v="111"/>
    <m/>
    <x v="5"/>
    <s v="إدارية"/>
    <s v="الإدارية"/>
    <m/>
    <m/>
    <d v="2017-01-17T00:00:00"/>
    <m/>
    <s v="17-01-2017"/>
    <n v="1"/>
    <m/>
    <n v="650"/>
    <n v="650"/>
    <n v="92.958904109589042"/>
    <n v="557.04109589041093"/>
    <m/>
    <m/>
    <m/>
    <n v="0"/>
    <m/>
    <m/>
    <m/>
    <m/>
    <m/>
    <m/>
    <n v="0"/>
    <n v="0"/>
    <n v="1"/>
    <n v="650"/>
    <n v="0.125"/>
    <m/>
    <s v="في التشغيل"/>
    <n v="81.25"/>
    <n v="0"/>
    <n v="0"/>
    <n v="0"/>
    <m/>
    <n v="174.20890410958904"/>
    <n v="475.79109589041093"/>
  </r>
  <r>
    <n v="298"/>
    <s v="جهاز جوال جلاكسي جراند"/>
    <x v="0"/>
    <x v="3"/>
    <x v="41"/>
    <x v="112"/>
    <m/>
    <x v="5"/>
    <s v="إدارية"/>
    <s v="الإدارية"/>
    <m/>
    <m/>
    <d v="2017-01-17T00:00:00"/>
    <m/>
    <s v="17-01-2017"/>
    <n v="10"/>
    <m/>
    <n v="399"/>
    <n v="3990"/>
    <n v="570.62465753424658"/>
    <n v="3419.3753424657534"/>
    <m/>
    <m/>
    <m/>
    <n v="0"/>
    <m/>
    <m/>
    <m/>
    <m/>
    <m/>
    <m/>
    <n v="0"/>
    <n v="0"/>
    <n v="10"/>
    <n v="3990"/>
    <n v="0.125"/>
    <m/>
    <s v="في التشغيل"/>
    <n v="498.75"/>
    <n v="0"/>
    <n v="0"/>
    <n v="0"/>
    <m/>
    <n v="1069.3746575342466"/>
    <n v="2920.6253424657534"/>
  </r>
  <r>
    <n v="299"/>
    <s v="جهاز لاب توب "/>
    <x v="0"/>
    <x v="3"/>
    <x v="28"/>
    <x v="79"/>
    <m/>
    <x v="5"/>
    <s v="إدارية"/>
    <s v="الإدارية"/>
    <m/>
    <m/>
    <d v="2017-05-03T00:00:00"/>
    <m/>
    <s v="03-05-2017"/>
    <n v="4"/>
    <m/>
    <n v="1414"/>
    <n v="5656"/>
    <n v="562.50082191780825"/>
    <n v="5093.499178082192"/>
    <m/>
    <m/>
    <m/>
    <n v="0"/>
    <m/>
    <m/>
    <m/>
    <m/>
    <m/>
    <m/>
    <n v="0"/>
    <n v="0"/>
    <n v="4"/>
    <n v="5656"/>
    <n v="0.125"/>
    <m/>
    <s v="في التشغيل"/>
    <n v="707"/>
    <n v="0"/>
    <n v="0"/>
    <n v="0"/>
    <m/>
    <n v="1269.5008219178083"/>
    <n v="4386.499178082192"/>
  </r>
  <r>
    <n v="300"/>
    <s v="جهاز جوال جلاكسي جراند"/>
    <x v="0"/>
    <x v="3"/>
    <x v="41"/>
    <x v="112"/>
    <m/>
    <x v="5"/>
    <s v="إدارية"/>
    <s v="الإدارية"/>
    <m/>
    <m/>
    <d v="2017-05-03T00:00:00"/>
    <m/>
    <s v="22-05-2017"/>
    <n v="5"/>
    <m/>
    <n v="399"/>
    <n v="1995"/>
    <n v="198.40684931506848"/>
    <n v="1796.5931506849315"/>
    <m/>
    <m/>
    <m/>
    <n v="0"/>
    <m/>
    <m/>
    <m/>
    <m/>
    <m/>
    <m/>
    <n v="0"/>
    <n v="0"/>
    <n v="5"/>
    <n v="1995"/>
    <n v="0.125"/>
    <m/>
    <s v="في التشغيل"/>
    <n v="249.375"/>
    <n v="0"/>
    <n v="0"/>
    <n v="0"/>
    <m/>
    <n v="447.78184931506848"/>
    <n v="1547.2181506849315"/>
  </r>
  <r>
    <n v="301"/>
    <s v="جهاز لاب توب للإدارة المالية"/>
    <x v="0"/>
    <x v="3"/>
    <x v="28"/>
    <x v="79"/>
    <m/>
    <x v="5"/>
    <s v="إدارية"/>
    <s v="الإدارية"/>
    <m/>
    <m/>
    <d v="2017-11-02T00:00:00"/>
    <m/>
    <s v="38-11-2017"/>
    <n v="1"/>
    <m/>
    <n v="2349"/>
    <n v="2349"/>
    <n v="56.955205479452047"/>
    <n v="2292.0447945205478"/>
    <m/>
    <m/>
    <m/>
    <n v="0"/>
    <m/>
    <m/>
    <m/>
    <m/>
    <m/>
    <m/>
    <n v="0"/>
    <n v="0"/>
    <n v="1"/>
    <n v="2349"/>
    <n v="0.125"/>
    <m/>
    <s v="في التشغيل"/>
    <n v="293.625"/>
    <n v="0"/>
    <n v="0"/>
    <n v="0"/>
    <m/>
    <n v="350.58020547945205"/>
    <n v="1998.4197945205478"/>
  </r>
  <r>
    <n v="302"/>
    <s v="جهاز لاب توب للإدارية"/>
    <x v="0"/>
    <x v="3"/>
    <x v="28"/>
    <x v="79"/>
    <m/>
    <x v="5"/>
    <s v="إدارية"/>
    <s v="الإدارية"/>
    <m/>
    <m/>
    <d v="2017-11-02T00:00:00"/>
    <m/>
    <s v="47-11-2017"/>
    <n v="1"/>
    <m/>
    <n v="1980"/>
    <n v="1980"/>
    <n v="48.008219178082193"/>
    <n v="1931.9917808219177"/>
    <m/>
    <m/>
    <m/>
    <n v="0"/>
    <m/>
    <m/>
    <m/>
    <m/>
    <m/>
    <m/>
    <n v="0"/>
    <n v="0"/>
    <n v="1"/>
    <n v="1980"/>
    <n v="0.125"/>
    <m/>
    <s v="في التشغيل"/>
    <n v="247.5"/>
    <n v="0"/>
    <n v="0"/>
    <n v="0"/>
    <m/>
    <n v="295.50821917808219"/>
    <n v="1684.4917808219179"/>
  </r>
  <r>
    <n v="303"/>
    <s v="جوال"/>
    <x v="0"/>
    <x v="3"/>
    <x v="41"/>
    <x v="112"/>
    <m/>
    <x v="5"/>
    <s v="إدارية"/>
    <s v="التشغيل"/>
    <m/>
    <m/>
    <d v="2017-12-12T00:00:00"/>
    <m/>
    <s v="13-12-2017"/>
    <n v="1"/>
    <m/>
    <n v="400"/>
    <n v="400"/>
    <n v="3.1232876712328768"/>
    <n v="396.8767123287671"/>
    <m/>
    <m/>
    <m/>
    <n v="0"/>
    <m/>
    <m/>
    <m/>
    <m/>
    <m/>
    <m/>
    <n v="0"/>
    <n v="0"/>
    <n v="1"/>
    <n v="400"/>
    <n v="0.125"/>
    <m/>
    <s v="في التشغيل"/>
    <n v="50"/>
    <n v="0"/>
    <n v="0"/>
    <n v="0"/>
    <m/>
    <n v="53.123287671232873"/>
    <n v="346.8767123287671"/>
  </r>
  <r>
    <n v="304"/>
    <s v="جهاز كمبيوتر مكتبي أي 7 + شاشة بينك "/>
    <x v="0"/>
    <x v="3"/>
    <x v="40"/>
    <x v="111"/>
    <m/>
    <x v="5"/>
    <s v="إدارية"/>
    <s v="علي الزرير"/>
    <m/>
    <m/>
    <d v="2017-12-12T00:00:00"/>
    <m/>
    <s v="38-12-2017"/>
    <n v="1"/>
    <m/>
    <n v="3030"/>
    <n v="3030"/>
    <n v="23.658904109589042"/>
    <n v="3006.341095890411"/>
    <m/>
    <m/>
    <m/>
    <n v="0"/>
    <m/>
    <m/>
    <m/>
    <m/>
    <m/>
    <m/>
    <n v="0"/>
    <n v="0"/>
    <n v="1"/>
    <n v="3030"/>
    <n v="0.125"/>
    <m/>
    <s v="في التشغيل"/>
    <n v="378.75"/>
    <n v="0"/>
    <n v="0"/>
    <n v="0"/>
    <m/>
    <n v="402.40890410958906"/>
    <n v="2627.591095890411"/>
  </r>
  <r>
    <n v="305"/>
    <s v="طابعة ليزر 277 "/>
    <x v="0"/>
    <x v="3"/>
    <x v="3"/>
    <x v="3"/>
    <m/>
    <x v="5"/>
    <s v="إدارية"/>
    <s v="الإدارية"/>
    <m/>
    <m/>
    <d v="2017-12-12T00:00:00"/>
    <m/>
    <s v="38-12-2017"/>
    <n v="1"/>
    <m/>
    <n v="1200"/>
    <n v="1200"/>
    <n v="9.3698630136986303"/>
    <n v="1190.6301369863013"/>
    <m/>
    <m/>
    <m/>
    <n v="0"/>
    <m/>
    <m/>
    <m/>
    <m/>
    <m/>
    <m/>
    <n v="0"/>
    <n v="0"/>
    <n v="1"/>
    <n v="1200"/>
    <n v="0.125"/>
    <m/>
    <s v="في التشغيل"/>
    <n v="150"/>
    <n v="0"/>
    <n v="0"/>
    <n v="0"/>
    <m/>
    <n v="159.36986301369862"/>
    <n v="1040.6301369863013"/>
  </r>
  <r>
    <n v="306"/>
    <s v="ضاغط 22 ياردة ميتسوبيشي"/>
    <x v="1"/>
    <x v="5"/>
    <x v="9"/>
    <x v="20"/>
    <m/>
    <x v="2"/>
    <m/>
    <s v="التشغيل"/>
    <m/>
    <s v="7665_x000a_ أ.ن.أ"/>
    <d v="2012-12-29T00:00:00"/>
    <m/>
    <m/>
    <n v="1"/>
    <m/>
    <n v="289000"/>
    <n v="289000"/>
    <n v="72250"/>
    <n v="216750"/>
    <m/>
    <m/>
    <m/>
    <n v="0"/>
    <m/>
    <m/>
    <m/>
    <m/>
    <m/>
    <m/>
    <n v="0"/>
    <n v="0"/>
    <n v="1"/>
    <n v="289000"/>
    <n v="0.2"/>
    <m/>
    <s v="في التشغيل"/>
    <n v="57800"/>
    <n v="0"/>
    <n v="0"/>
    <n v="0"/>
    <m/>
    <n v="130050"/>
    <n v="158950"/>
  </r>
  <r>
    <n v="307"/>
    <s v="ضاغط 22 ياردة ميتسوبيشي"/>
    <x v="1"/>
    <x v="5"/>
    <x v="9"/>
    <x v="20"/>
    <m/>
    <x v="2"/>
    <m/>
    <s v="التشغيل"/>
    <m/>
    <s v="أ.ح.و_x000a_7201"/>
    <d v="2008-12-01T00:00:00"/>
    <m/>
    <m/>
    <n v="1"/>
    <m/>
    <n v="250000"/>
    <n v="250000"/>
    <n v="250000"/>
    <n v="0"/>
    <m/>
    <m/>
    <m/>
    <n v="0"/>
    <m/>
    <m/>
    <m/>
    <m/>
    <m/>
    <m/>
    <n v="0"/>
    <n v="0"/>
    <n v="1"/>
    <n v="250000"/>
    <n v="0.2"/>
    <m/>
    <m/>
    <n v="0"/>
    <n v="0"/>
    <n v="0"/>
    <n v="0"/>
    <m/>
    <n v="250000"/>
    <n v="0"/>
  </r>
  <r>
    <n v="308"/>
    <s v="بيكب اب غمارتين"/>
    <x v="1"/>
    <x v="5"/>
    <x v="17"/>
    <x v="58"/>
    <m/>
    <x v="2"/>
    <m/>
    <s v="التشغيل"/>
    <m/>
    <s v="أ.ه.أ_x000a_6110"/>
    <d v="2013-12-30T00:00:00"/>
    <m/>
    <m/>
    <n v="1"/>
    <m/>
    <n v="50000"/>
    <n v="50000"/>
    <n v="37540.32"/>
    <n v="12459.68"/>
    <m/>
    <m/>
    <m/>
    <n v="0"/>
    <m/>
    <m/>
    <m/>
    <m/>
    <m/>
    <m/>
    <n v="0"/>
    <n v="0"/>
    <n v="1"/>
    <n v="50000"/>
    <n v="0.15"/>
    <m/>
    <m/>
    <n v="7500"/>
    <n v="0"/>
    <n v="0"/>
    <n v="0"/>
    <m/>
    <n v="45040.32"/>
    <n v="4959.68"/>
  </r>
  <r>
    <n v="309"/>
    <s v="ضاغط 22 ياردة ميتسوبيشي"/>
    <x v="1"/>
    <x v="5"/>
    <x v="9"/>
    <x v="20"/>
    <m/>
    <x v="2"/>
    <m/>
    <s v="التشغيل"/>
    <m/>
    <s v="أ.ح.و_x000a_7211"/>
    <d v="2008-12-01T00:00:00"/>
    <m/>
    <m/>
    <n v="1"/>
    <m/>
    <n v="250000"/>
    <n v="250000"/>
    <n v="250000"/>
    <n v="0"/>
    <m/>
    <m/>
    <m/>
    <n v="0"/>
    <m/>
    <m/>
    <m/>
    <m/>
    <m/>
    <m/>
    <n v="0"/>
    <n v="0"/>
    <n v="1"/>
    <n v="250000"/>
    <n v="0.2"/>
    <m/>
    <m/>
    <n v="0"/>
    <n v="0"/>
    <n v="0"/>
    <n v="0"/>
    <m/>
    <n v="250000"/>
    <n v="0"/>
  </r>
  <r>
    <n v="310"/>
    <s v="روول أون روول أوف"/>
    <x v="1"/>
    <x v="5"/>
    <x v="22"/>
    <x v="58"/>
    <m/>
    <x v="2"/>
    <m/>
    <s v="التشغيل"/>
    <m/>
    <s v="أ.ح.و_x000a_2644"/>
    <d v="2008-12-01T00:00:00"/>
    <m/>
    <m/>
    <n v="1"/>
    <m/>
    <n v="250000"/>
    <n v="250000"/>
    <n v="250000"/>
    <n v="0"/>
    <m/>
    <m/>
    <m/>
    <n v="0"/>
    <m/>
    <m/>
    <m/>
    <m/>
    <m/>
    <m/>
    <n v="0"/>
    <n v="0"/>
    <n v="1"/>
    <n v="250000"/>
    <n v="0.2"/>
    <m/>
    <m/>
    <n v="0"/>
    <n v="0"/>
    <n v="0"/>
    <n v="0"/>
    <m/>
    <n v="250000"/>
    <n v="0"/>
  </r>
  <r>
    <n v="311"/>
    <s v="جهاز حاسب محمول "/>
    <x v="3"/>
    <x v="3"/>
    <x v="28"/>
    <x v="79"/>
    <m/>
    <x v="1"/>
    <m/>
    <s v="التشغيل"/>
    <m/>
    <m/>
    <d v="2018-03-01T00:00:00"/>
    <s v="مؤسسة وميض شمس الكمبيوتر"/>
    <s v="63"/>
    <m/>
    <m/>
    <m/>
    <n v="0"/>
    <n v="0"/>
    <n v="0"/>
    <n v="1"/>
    <n v="754"/>
    <n v="2428.5700000000002"/>
    <n v="2428.5700000000002"/>
    <m/>
    <m/>
    <n v="0"/>
    <m/>
    <m/>
    <m/>
    <n v="0"/>
    <n v="0"/>
    <n v="1"/>
    <n v="2428.5700000000002"/>
    <n v="0.125"/>
    <m/>
    <m/>
    <n v="253.66912671232879"/>
    <n v="0"/>
    <n v="0"/>
    <n v="0"/>
    <m/>
    <n v="253.66912671232879"/>
    <n v="2174.9008732876714"/>
  </r>
  <r>
    <n v="312"/>
    <s v="جهاز حاسب محمول "/>
    <x v="3"/>
    <x v="3"/>
    <x v="28"/>
    <x v="79"/>
    <m/>
    <x v="6"/>
    <m/>
    <s v="التشغيل"/>
    <m/>
    <m/>
    <d v="2018-03-20T00:00:00"/>
    <s v="نبيل حيدر الحرتاني بيوتك"/>
    <s v="65"/>
    <m/>
    <m/>
    <m/>
    <n v="0"/>
    <m/>
    <n v="0"/>
    <n v="5"/>
    <n v="3561"/>
    <n v="1915"/>
    <n v="9575"/>
    <m/>
    <m/>
    <m/>
    <m/>
    <m/>
    <m/>
    <n v="0"/>
    <n v="0"/>
    <n v="5"/>
    <n v="9575"/>
    <n v="0.125"/>
    <m/>
    <m/>
    <n v="937.82534246575347"/>
    <n v="0"/>
    <n v="0"/>
    <n v="0"/>
    <m/>
    <n v="937.82534246575347"/>
    <n v="8637.1746575342459"/>
  </r>
  <r>
    <n v="313"/>
    <s v="جهاز حسي ألي مكتب"/>
    <x v="3"/>
    <x v="3"/>
    <x v="40"/>
    <x v="111"/>
    <m/>
    <x v="6"/>
    <m/>
    <s v="التشغيل"/>
    <m/>
    <m/>
    <d v="2018-03-20T00:00:00"/>
    <s v="نبيل حيدر الحرتاني بيوتك"/>
    <s v="65"/>
    <m/>
    <m/>
    <m/>
    <n v="0"/>
    <m/>
    <n v="0"/>
    <n v="1"/>
    <n v="3561"/>
    <n v="1958.34"/>
    <n v="1958.34"/>
    <m/>
    <m/>
    <m/>
    <m/>
    <m/>
    <m/>
    <n v="0"/>
    <n v="0"/>
    <n v="1"/>
    <n v="1958.34"/>
    <n v="0.125"/>
    <m/>
    <m/>
    <n v="191.81001369863014"/>
    <n v="0"/>
    <n v="0"/>
    <n v="0"/>
    <m/>
    <n v="191.81001369863014"/>
    <n v="1766.5299863013697"/>
  </r>
  <r>
    <n v="314"/>
    <s v="دولاب مكتبي - أصول - رسين"/>
    <x v="3"/>
    <x v="0"/>
    <x v="0"/>
    <x v="0"/>
    <m/>
    <x v="6"/>
    <m/>
    <m/>
    <m/>
    <m/>
    <d v="2018-04-15T00:00:00"/>
    <s v="وادي ابيان للتجارة"/>
    <s v="67"/>
    <m/>
    <m/>
    <m/>
    <n v="0"/>
    <m/>
    <n v="0"/>
    <n v="1"/>
    <n v="622"/>
    <n v="900"/>
    <n v="900"/>
    <m/>
    <m/>
    <m/>
    <m/>
    <m/>
    <m/>
    <n v="0"/>
    <n v="0"/>
    <n v="1"/>
    <n v="900"/>
    <n v="0.125"/>
    <m/>
    <m/>
    <n v="80.136986301369859"/>
    <n v="0"/>
    <n v="0"/>
    <n v="0"/>
    <m/>
    <n v="80.136986301369859"/>
    <n v="819.86301369863008"/>
  </r>
  <r>
    <n v="315"/>
    <s v="طابعات - أصول ثابتة - رسين"/>
    <x v="3"/>
    <x v="3"/>
    <x v="3"/>
    <x v="3"/>
    <m/>
    <x v="6"/>
    <m/>
    <m/>
    <m/>
    <m/>
    <d v="2018-04-16T00:00:00"/>
    <s v="سند العروبة للتجارة"/>
    <s v="67"/>
    <m/>
    <m/>
    <m/>
    <n v="0"/>
    <m/>
    <n v="0"/>
    <n v="1"/>
    <n v="3481"/>
    <n v="206.7"/>
    <n v="206.7"/>
    <m/>
    <m/>
    <m/>
    <m/>
    <m/>
    <m/>
    <n v="0"/>
    <n v="0"/>
    <n v="1"/>
    <n v="206.7"/>
    <n v="0.125"/>
    <m/>
    <m/>
    <n v="18.33400684931507"/>
    <n v="0"/>
    <n v="0"/>
    <n v="0"/>
    <m/>
    <n v="18.33400684931507"/>
    <n v="188.36599315068491"/>
  </r>
  <r>
    <n v="316"/>
    <s v="طاولة إجتماع مكتبية - أصول - رسين"/>
    <x v="3"/>
    <x v="0"/>
    <x v="0"/>
    <x v="0"/>
    <m/>
    <x v="6"/>
    <m/>
    <m/>
    <m/>
    <m/>
    <d v="2018-04-15T00:00:00"/>
    <s v="وادي ابيان للتجارة"/>
    <s v="67"/>
    <m/>
    <m/>
    <m/>
    <n v="0"/>
    <m/>
    <n v="0"/>
    <n v="1"/>
    <n v="622"/>
    <n v="1000"/>
    <n v="1000"/>
    <m/>
    <m/>
    <m/>
    <m/>
    <m/>
    <m/>
    <n v="0"/>
    <n v="0"/>
    <n v="1"/>
    <n v="1000"/>
    <n v="0.125"/>
    <m/>
    <m/>
    <n v="89.041095890410958"/>
    <n v="0"/>
    <n v="0"/>
    <n v="0"/>
    <m/>
    <n v="89.041095890410958"/>
    <n v="910.95890410958907"/>
  </r>
  <r>
    <n v="317"/>
    <s v="كرسي مكتبي - أصول - رسين"/>
    <x v="3"/>
    <x v="0"/>
    <x v="0"/>
    <x v="0"/>
    <m/>
    <x v="6"/>
    <m/>
    <m/>
    <m/>
    <m/>
    <d v="2018-04-15T00:00:00"/>
    <s v="وادي ابيان للتجارة"/>
    <s v="67"/>
    <m/>
    <m/>
    <m/>
    <n v="0"/>
    <m/>
    <n v="0"/>
    <n v="10"/>
    <n v="622"/>
    <n v="396"/>
    <n v="3960"/>
    <m/>
    <m/>
    <m/>
    <m/>
    <m/>
    <m/>
    <n v="0"/>
    <n v="0"/>
    <n v="10"/>
    <n v="3960"/>
    <n v="0.125"/>
    <m/>
    <m/>
    <n v="352.60273972602744"/>
    <n v="0"/>
    <n v="0"/>
    <n v="0"/>
    <m/>
    <n v="352.60273972602744"/>
    <n v="3607.3972602739727"/>
  </r>
  <r>
    <n v="318"/>
    <s v="أجهزة حاسب محمولة"/>
    <x v="3"/>
    <x v="3"/>
    <x v="28"/>
    <x v="79"/>
    <m/>
    <x v="6"/>
    <m/>
    <m/>
    <m/>
    <m/>
    <d v="2018-04-08T00:00:00"/>
    <s v="مكتبة جرير"/>
    <s v="JV-00072"/>
    <m/>
    <m/>
    <m/>
    <n v="0"/>
    <m/>
    <n v="0"/>
    <n v="1"/>
    <n v="7100"/>
    <n v="3930.43"/>
    <n v="3930.43"/>
    <m/>
    <m/>
    <m/>
    <m/>
    <m/>
    <m/>
    <n v="0"/>
    <n v="0"/>
    <n v="1"/>
    <n v="3930.43"/>
    <n v="0.125"/>
    <m/>
    <m/>
    <n v="359.39205821917807"/>
    <n v="0"/>
    <n v="0"/>
    <n v="0"/>
    <m/>
    <n v="359.39205821917807"/>
    <n v="3571.0379417808217"/>
  </r>
  <r>
    <n v="319"/>
    <s v="خزانات مياه أصول ثابته - رسين"/>
    <x v="3"/>
    <x v="0"/>
    <x v="0"/>
    <x v="0"/>
    <m/>
    <x v="6"/>
    <m/>
    <m/>
    <m/>
    <m/>
    <d v="2018-11-06T00:00:00"/>
    <s v="مؤسسة أهداف جده"/>
    <s v="JV-00089"/>
    <m/>
    <m/>
    <m/>
    <n v="0"/>
    <m/>
    <n v="0"/>
    <n v="1"/>
    <n v="1293"/>
    <n v="3500"/>
    <n v="3500"/>
    <m/>
    <m/>
    <m/>
    <m/>
    <m/>
    <m/>
    <n v="0"/>
    <n v="0"/>
    <n v="1"/>
    <n v="3500"/>
    <n v="0.125"/>
    <m/>
    <m/>
    <n v="65.924657534246563"/>
    <n v="0"/>
    <n v="0"/>
    <n v="0"/>
    <m/>
    <n v="65.924657534246563"/>
    <n v="3434.0753424657532"/>
  </r>
  <r>
    <n v="320"/>
    <s v="عدادات كهرباء أصول ثابتة - رسين"/>
    <x v="3"/>
    <x v="0"/>
    <x v="0"/>
    <x v="0"/>
    <m/>
    <x v="6"/>
    <m/>
    <m/>
    <m/>
    <m/>
    <d v="2018-11-06T00:00:00"/>
    <s v="مؤسسة أهداف جده"/>
    <s v="JV-00089"/>
    <m/>
    <m/>
    <m/>
    <n v="0"/>
    <m/>
    <n v="0"/>
    <n v="1"/>
    <n v="1293"/>
    <n v="6500"/>
    <n v="6500"/>
    <m/>
    <m/>
    <m/>
    <m/>
    <m/>
    <m/>
    <n v="0"/>
    <n v="0"/>
    <n v="1"/>
    <n v="6500"/>
    <n v="0.125"/>
    <m/>
    <m/>
    <n v="122.43150684931506"/>
    <n v="0"/>
    <n v="0"/>
    <n v="0"/>
    <m/>
    <n v="122.43150684931506"/>
    <n v="6377.5684931506848"/>
  </r>
  <r>
    <n v="321"/>
    <s v="مكيفات أصول ثابتة - رسين"/>
    <x v="3"/>
    <x v="0"/>
    <x v="0"/>
    <x v="0"/>
    <m/>
    <x v="6"/>
    <m/>
    <m/>
    <m/>
    <m/>
    <d v="2018-11-06T00:00:00"/>
    <s v="مؤسسة أهداف جده"/>
    <s v="JV-00089"/>
    <m/>
    <m/>
    <m/>
    <n v="0"/>
    <m/>
    <n v="0"/>
    <n v="1"/>
    <n v="1293"/>
    <n v="1200"/>
    <n v="1200"/>
    <m/>
    <m/>
    <m/>
    <m/>
    <m/>
    <m/>
    <n v="0"/>
    <n v="0"/>
    <n v="1"/>
    <n v="1200"/>
    <n v="0.125"/>
    <m/>
    <m/>
    <n v="22.602739726027394"/>
    <n v="0"/>
    <n v="0"/>
    <n v="0"/>
    <m/>
    <n v="22.602739726027394"/>
    <n v="1177.3972602739725"/>
  </r>
  <r>
    <n v="322"/>
    <s v="حاوية مقاس 06 ياردة بغطاء "/>
    <x v="3"/>
    <x v="1"/>
    <x v="13"/>
    <x v="27"/>
    <m/>
    <x v="0"/>
    <m/>
    <m/>
    <m/>
    <m/>
    <d v="2018-03-06T00:00:00"/>
    <s v="شركة مصنع وسائط النقل للمنتجات المعدنية "/>
    <s v="JV-00091"/>
    <m/>
    <m/>
    <m/>
    <n v="0"/>
    <m/>
    <n v="0"/>
    <n v="2"/>
    <n v="793"/>
    <n v="2150"/>
    <n v="4300"/>
    <m/>
    <m/>
    <m/>
    <m/>
    <m/>
    <m/>
    <n v="0"/>
    <n v="0"/>
    <n v="2"/>
    <n v="4300"/>
    <n v="0.125"/>
    <m/>
    <m/>
    <n v="441.78082191780817"/>
    <n v="0"/>
    <n v="0"/>
    <n v="0"/>
    <m/>
    <n v="441.78082191780817"/>
    <n v="3858.2191780821918"/>
  </r>
  <r>
    <n v="323"/>
    <s v="حاوية مقاس 06 ياردة بغطاء "/>
    <x v="3"/>
    <x v="1"/>
    <x v="13"/>
    <x v="27"/>
    <m/>
    <x v="0"/>
    <m/>
    <m/>
    <m/>
    <m/>
    <d v="2018-03-31T00:00:00"/>
    <s v="شركة مصنع وسائط النقل للمنتجات المعدنية "/>
    <s v="JV-00093"/>
    <m/>
    <m/>
    <m/>
    <n v="0"/>
    <m/>
    <n v="0"/>
    <n v="3"/>
    <n v="815"/>
    <n v="2150"/>
    <n v="6450"/>
    <m/>
    <m/>
    <m/>
    <m/>
    <m/>
    <m/>
    <n v="0"/>
    <n v="0"/>
    <n v="3"/>
    <n v="6450"/>
    <n v="0.125"/>
    <m/>
    <m/>
    <n v="607.44863013698625"/>
    <n v="0"/>
    <n v="0"/>
    <n v="0"/>
    <m/>
    <n v="607.44863013698625"/>
    <n v="5842.5513698630139"/>
  </r>
  <r>
    <n v="324"/>
    <s v="حاوية مقاس 06 ياردة"/>
    <x v="3"/>
    <x v="1"/>
    <x v="13"/>
    <x v="27"/>
    <m/>
    <x v="0"/>
    <m/>
    <m/>
    <m/>
    <m/>
    <d v="2018-03-31T00:00:00"/>
    <s v="شركة مصنع وسائط النقل للمنتجات المعدنية "/>
    <s v="JV-00093"/>
    <m/>
    <m/>
    <m/>
    <n v="0"/>
    <m/>
    <n v="0"/>
    <n v="4"/>
    <n v="816"/>
    <n v="2150"/>
    <n v="8600"/>
    <m/>
    <m/>
    <m/>
    <m/>
    <m/>
    <m/>
    <n v="0"/>
    <n v="0"/>
    <n v="4"/>
    <n v="8600"/>
    <n v="0.125"/>
    <m/>
    <m/>
    <n v="809.93150684931504"/>
    <n v="0"/>
    <n v="0"/>
    <n v="0"/>
    <m/>
    <n v="809.93150684931504"/>
    <n v="7790.0684931506848"/>
  </r>
  <r>
    <n v="325"/>
    <s v="حاوية مقاس 06 ياردة"/>
    <x v="3"/>
    <x v="1"/>
    <x v="13"/>
    <x v="27"/>
    <m/>
    <x v="0"/>
    <m/>
    <m/>
    <m/>
    <m/>
    <d v="2018-01-21T00:00:00"/>
    <s v="بيت التطور"/>
    <s v="JV-00094"/>
    <m/>
    <m/>
    <m/>
    <n v="0"/>
    <m/>
    <n v="0"/>
    <n v="5"/>
    <n v="135"/>
    <n v="1770"/>
    <n v="8850"/>
    <m/>
    <m/>
    <m/>
    <m/>
    <m/>
    <m/>
    <n v="0"/>
    <n v="0"/>
    <n v="5"/>
    <n v="8850"/>
    <n v="0.125"/>
    <m/>
    <m/>
    <n v="1042.6027397260275"/>
    <n v="0"/>
    <n v="0"/>
    <n v="0"/>
    <m/>
    <n v="1042.6027397260275"/>
    <n v="7807.3972602739723"/>
  </r>
  <r>
    <n v="326"/>
    <s v="كرين بلوكرين"/>
    <x v="3"/>
    <x v="5"/>
    <x v="6"/>
    <x v="12"/>
    <m/>
    <x v="2"/>
    <m/>
    <m/>
    <m/>
    <m/>
    <d v="2018-02-25T00:00:00"/>
    <s v="معرض السنيدي "/>
    <s v="JV-00095"/>
    <m/>
    <m/>
    <m/>
    <n v="0"/>
    <m/>
    <n v="0"/>
    <n v="1"/>
    <m/>
    <n v="108000"/>
    <n v="108000"/>
    <m/>
    <m/>
    <m/>
    <m/>
    <m/>
    <m/>
    <n v="0"/>
    <n v="0"/>
    <n v="1"/>
    <n v="108000"/>
    <n v="0.15"/>
    <m/>
    <m/>
    <n v="13714.520547945207"/>
    <n v="0"/>
    <n v="0"/>
    <n v="0"/>
    <m/>
    <n v="13714.520547945207"/>
    <n v="94285.479452054788"/>
  </r>
  <r>
    <n v="327"/>
    <s v="حاوية مقاس 06 ياردة"/>
    <x v="3"/>
    <x v="1"/>
    <x v="13"/>
    <x v="27"/>
    <m/>
    <x v="0"/>
    <m/>
    <m/>
    <m/>
    <m/>
    <d v="2018-04-03T00:00:00"/>
    <s v="شركة مصنع وسائط النقل للمنتجات المعدنية "/>
    <s v="JV-00098"/>
    <m/>
    <m/>
    <m/>
    <n v="0"/>
    <m/>
    <n v="0"/>
    <n v="4"/>
    <n v="819"/>
    <n v="2150"/>
    <n v="8600"/>
    <m/>
    <m/>
    <m/>
    <m/>
    <m/>
    <m/>
    <n v="0"/>
    <n v="0"/>
    <n v="4"/>
    <n v="8600"/>
    <n v="0.125"/>
    <m/>
    <m/>
    <n v="801.09589041095887"/>
    <n v="0"/>
    <n v="0"/>
    <n v="0"/>
    <m/>
    <n v="801.09589041095887"/>
    <n v="7798.9041095890407"/>
  </r>
  <r>
    <n v="328"/>
    <s v="حاوية مقاس 06 ياردة"/>
    <x v="3"/>
    <x v="1"/>
    <x v="13"/>
    <x v="27"/>
    <m/>
    <x v="0"/>
    <m/>
    <m/>
    <m/>
    <m/>
    <d v="2018-04-03T00:00:00"/>
    <s v="شركة مصنع وسائط النقل للمنتجات المعدنية "/>
    <s v="JV-00098"/>
    <m/>
    <m/>
    <m/>
    <n v="0"/>
    <m/>
    <n v="0"/>
    <n v="7"/>
    <n v="820"/>
    <n v="1400"/>
    <n v="9800"/>
    <m/>
    <m/>
    <m/>
    <m/>
    <m/>
    <m/>
    <n v="0"/>
    <n v="0"/>
    <n v="7"/>
    <n v="9800"/>
    <n v="0.125"/>
    <m/>
    <m/>
    <n v="912.8767123287671"/>
    <n v="0"/>
    <n v="0"/>
    <n v="0"/>
    <m/>
    <n v="912.8767123287671"/>
    <n v="8887.1232876712329"/>
  </r>
  <r>
    <n v="329"/>
    <s v="حاوية مقاس 06 ياردة"/>
    <x v="3"/>
    <x v="1"/>
    <x v="13"/>
    <x v="27"/>
    <m/>
    <x v="0"/>
    <m/>
    <m/>
    <m/>
    <m/>
    <d v="2018-04-03T00:00:00"/>
    <s v="شركة مصنع وسائط النقل للمنتجات المعدنية "/>
    <s v="JV-00098"/>
    <m/>
    <m/>
    <m/>
    <n v="0"/>
    <m/>
    <n v="0"/>
    <n v="20"/>
    <n v="822"/>
    <n v="1400"/>
    <n v="28000"/>
    <m/>
    <m/>
    <m/>
    <m/>
    <m/>
    <m/>
    <n v="0"/>
    <n v="0"/>
    <n v="20"/>
    <n v="28000"/>
    <n v="0.125"/>
    <m/>
    <m/>
    <n v="2608.2191780821918"/>
    <n v="0"/>
    <n v="0"/>
    <n v="0"/>
    <m/>
    <n v="2608.2191780821918"/>
    <n v="25391.780821917808"/>
  </r>
  <r>
    <n v="330"/>
    <s v="حاوية مقاس 06 ياردة"/>
    <x v="3"/>
    <x v="1"/>
    <x v="13"/>
    <x v="27"/>
    <m/>
    <x v="0"/>
    <m/>
    <m/>
    <m/>
    <m/>
    <d v="2018-04-15T00:00:00"/>
    <s v="شركة مصنع وسائط النقل للمنتجات المعدنية "/>
    <s v="JV-00098"/>
    <m/>
    <m/>
    <m/>
    <n v="0"/>
    <m/>
    <n v="0"/>
    <n v="20"/>
    <n v="829"/>
    <n v="1400"/>
    <n v="28000"/>
    <m/>
    <m/>
    <m/>
    <m/>
    <m/>
    <m/>
    <n v="0"/>
    <n v="0"/>
    <n v="20"/>
    <n v="28000"/>
    <n v="0.125"/>
    <m/>
    <m/>
    <n v="2493.1506849315065"/>
    <n v="0"/>
    <n v="0"/>
    <n v="0"/>
    <m/>
    <n v="2493.1506849315065"/>
    <n v="25506.849315068495"/>
  </r>
  <r>
    <n v="331"/>
    <s v="حاوية مقاس 12 ياردة"/>
    <x v="3"/>
    <x v="1"/>
    <x v="42"/>
    <x v="113"/>
    <m/>
    <x v="0"/>
    <m/>
    <m/>
    <m/>
    <m/>
    <d v="2018-12-31T00:00:00"/>
    <s v="مؤسسة كلد الدولية للمقاولات "/>
    <s v="JV-00425"/>
    <m/>
    <m/>
    <m/>
    <n v="0"/>
    <m/>
    <n v="0"/>
    <n v="1"/>
    <n v="146"/>
    <n v="3700"/>
    <n v="3700"/>
    <m/>
    <m/>
    <m/>
    <m/>
    <m/>
    <m/>
    <n v="0"/>
    <n v="0"/>
    <n v="1"/>
    <n v="3700"/>
    <n v="0.125"/>
    <m/>
    <m/>
    <n v="0"/>
    <n v="0"/>
    <n v="0"/>
    <n v="0"/>
    <m/>
    <n v="0"/>
    <n v="3700"/>
  </r>
  <r>
    <n v="332"/>
    <s v="حاوية مقاس 12 ياردة"/>
    <x v="3"/>
    <x v="1"/>
    <x v="42"/>
    <x v="113"/>
    <m/>
    <x v="0"/>
    <m/>
    <m/>
    <m/>
    <m/>
    <d v="2018-12-31T00:00:00"/>
    <s v="شركة ريادة الأعمال للتجارة"/>
    <s v="JV-00274"/>
    <m/>
    <m/>
    <m/>
    <n v="0"/>
    <m/>
    <n v="0"/>
    <n v="2"/>
    <m/>
    <n v="4095"/>
    <n v="8190"/>
    <m/>
    <m/>
    <m/>
    <m/>
    <m/>
    <m/>
    <n v="0"/>
    <n v="0"/>
    <n v="2"/>
    <n v="8190"/>
    <n v="0.125"/>
    <m/>
    <m/>
    <n v="0"/>
    <n v="0"/>
    <n v="0"/>
    <n v="0"/>
    <m/>
    <n v="0"/>
    <n v="8190"/>
  </r>
  <r>
    <n v="333"/>
    <s v="حاوية مقاس 12 ياردة"/>
    <x v="3"/>
    <x v="1"/>
    <x v="42"/>
    <x v="113"/>
    <m/>
    <x v="0"/>
    <m/>
    <m/>
    <m/>
    <m/>
    <d v="2018-12-31T00:00:00"/>
    <s v="مؤسسة كلد الدولية للمقاولات "/>
    <s v="JV-00285"/>
    <m/>
    <m/>
    <m/>
    <n v="0"/>
    <m/>
    <n v="0"/>
    <n v="38"/>
    <n v="188"/>
    <n v="1428.57"/>
    <n v="54285.659999999996"/>
    <m/>
    <m/>
    <m/>
    <m/>
    <m/>
    <m/>
    <n v="0"/>
    <n v="0"/>
    <n v="38"/>
    <n v="54285.659999999996"/>
    <n v="0.125"/>
    <m/>
    <m/>
    <n v="0"/>
    <n v="0"/>
    <n v="0"/>
    <n v="0"/>
    <m/>
    <n v="0"/>
    <n v="54285.659999999996"/>
  </r>
  <r>
    <n v="334"/>
    <s v="حاوية مقاس 20 ياردة"/>
    <x v="3"/>
    <x v="1"/>
    <x v="31"/>
    <x v="96"/>
    <m/>
    <x v="0"/>
    <m/>
    <m/>
    <m/>
    <m/>
    <d v="2018-12-31T00:00:00"/>
    <s v="مؤسسة كلد الدولية للمقاولات "/>
    <s v="JV-00426"/>
    <m/>
    <m/>
    <m/>
    <n v="0"/>
    <m/>
    <n v="0"/>
    <n v="1"/>
    <n v="201"/>
    <n v="7619.05"/>
    <n v="7619.05"/>
    <m/>
    <m/>
    <m/>
    <m/>
    <m/>
    <m/>
    <n v="0"/>
    <n v="0"/>
    <n v="1"/>
    <n v="7619.05"/>
    <n v="0.125"/>
    <m/>
    <m/>
    <n v="0"/>
    <n v="0"/>
    <n v="0"/>
    <n v="0"/>
    <m/>
    <n v="0"/>
    <n v="7619.05"/>
  </r>
  <r>
    <n v="335"/>
    <s v="حاوية مقاس 20 ياردة"/>
    <x v="3"/>
    <x v="1"/>
    <x v="31"/>
    <x v="96"/>
    <m/>
    <x v="0"/>
    <m/>
    <m/>
    <m/>
    <m/>
    <d v="2018-12-31T00:00:00"/>
    <s v="مؤسسة كلد الدولية للمقاولات "/>
    <s v="JV-00439"/>
    <m/>
    <m/>
    <m/>
    <n v="0"/>
    <m/>
    <n v="0"/>
    <n v="1"/>
    <n v="273"/>
    <n v="8095.24"/>
    <n v="8095.24"/>
    <m/>
    <m/>
    <m/>
    <m/>
    <m/>
    <m/>
    <n v="0"/>
    <n v="0"/>
    <n v="1"/>
    <n v="8095.24"/>
    <n v="0.125"/>
    <m/>
    <m/>
    <n v="0"/>
    <n v="0"/>
    <n v="0"/>
    <n v="0"/>
    <m/>
    <n v="0"/>
    <n v="8095.24"/>
  </r>
  <r>
    <n v="336"/>
    <s v="حاوية مقاس 30 ياردة"/>
    <x v="3"/>
    <x v="1"/>
    <x v="20"/>
    <x v="55"/>
    <m/>
    <x v="0"/>
    <m/>
    <m/>
    <m/>
    <m/>
    <d v="2018-12-31T00:00:00"/>
    <s v="مؤسسة كلد الدولية للمقاولات "/>
    <s v="JV-00426"/>
    <m/>
    <m/>
    <m/>
    <n v="0"/>
    <m/>
    <n v="0"/>
    <n v="3"/>
    <s v="220-232-241"/>
    <n v="20000"/>
    <n v="60000"/>
    <s v="519"/>
    <d v="2018-12-31T00:00:00"/>
    <n v="3"/>
    <s v="البيع"/>
    <n v="19047.616000000002"/>
    <n v="20000"/>
    <n v="60000"/>
    <n v="0"/>
    <n v="0"/>
    <n v="0"/>
    <n v="0.125"/>
    <m/>
    <m/>
    <n v="0"/>
    <n v="0"/>
    <n v="0"/>
    <n v="-2857.1519999999946"/>
    <m/>
    <n v="0"/>
    <n v="0"/>
  </r>
  <r>
    <n v="337"/>
    <s v="حاوية مقاس 06 ياردة"/>
    <x v="3"/>
    <x v="1"/>
    <x v="13"/>
    <x v="27"/>
    <m/>
    <x v="0"/>
    <m/>
    <m/>
    <m/>
    <m/>
    <d v="2018-04-25T00:00:00"/>
    <s v="شركة مصنع وسائط النقل للمنتجات المعدنية "/>
    <s v="JV-00098"/>
    <m/>
    <m/>
    <m/>
    <n v="0"/>
    <m/>
    <n v="0"/>
    <n v="15"/>
    <n v="836"/>
    <n v="1400"/>
    <n v="21000"/>
    <m/>
    <m/>
    <m/>
    <m/>
    <m/>
    <m/>
    <n v="0"/>
    <n v="0"/>
    <n v="15"/>
    <n v="21000"/>
    <n v="0.125"/>
    <m/>
    <m/>
    <n v="1797.9452054794519"/>
    <n v="0"/>
    <n v="0"/>
    <n v="0"/>
    <m/>
    <n v="1797.9452054794519"/>
    <n v="19202.054794520547"/>
  </r>
  <r>
    <n v="338"/>
    <s v="حاوية مقاس 06 ياردة"/>
    <x v="3"/>
    <x v="1"/>
    <x v="13"/>
    <x v="27"/>
    <m/>
    <x v="0"/>
    <m/>
    <m/>
    <m/>
    <m/>
    <d v="2018-04-29T00:00:00"/>
    <s v="شركة مصنع وسائط النقل للمنتجات المعدنية "/>
    <s v="JV-00098"/>
    <m/>
    <m/>
    <m/>
    <n v="0"/>
    <m/>
    <n v="0"/>
    <n v="3"/>
    <n v="839"/>
    <n v="2150"/>
    <n v="6450"/>
    <m/>
    <m/>
    <m/>
    <m/>
    <m/>
    <m/>
    <n v="0"/>
    <n v="0"/>
    <n v="3"/>
    <n v="6450"/>
    <n v="0.125"/>
    <m/>
    <m/>
    <n v="543.39041095890411"/>
    <n v="0"/>
    <n v="0"/>
    <n v="0"/>
    <m/>
    <n v="543.39041095890411"/>
    <n v="5906.6095890410961"/>
  </r>
  <r>
    <n v="339"/>
    <s v="حاوية مقاس 06 ياردة"/>
    <x v="3"/>
    <x v="1"/>
    <x v="13"/>
    <x v="27"/>
    <m/>
    <x v="0"/>
    <m/>
    <m/>
    <m/>
    <m/>
    <d v="2018-04-30T00:00:00"/>
    <s v="شركة مصنع وسائط النقل للمنتجات المعدنية "/>
    <s v="JV-00098"/>
    <m/>
    <m/>
    <m/>
    <n v="0"/>
    <m/>
    <n v="0"/>
    <n v="19"/>
    <n v="840"/>
    <n v="1400"/>
    <n v="26600"/>
    <m/>
    <m/>
    <m/>
    <m/>
    <m/>
    <m/>
    <n v="0"/>
    <n v="0"/>
    <n v="19"/>
    <n v="26600"/>
    <n v="0.125"/>
    <m/>
    <m/>
    <n v="2231.8493150684931"/>
    <n v="0"/>
    <n v="0"/>
    <n v="0"/>
    <m/>
    <n v="2231.8493150684931"/>
    <n v="24368.150684931508"/>
  </r>
  <r>
    <n v="340"/>
    <s v="حاوية مقاس 06 ياردة"/>
    <x v="3"/>
    <x v="1"/>
    <x v="13"/>
    <x v="27"/>
    <m/>
    <x v="0"/>
    <m/>
    <m/>
    <m/>
    <m/>
    <d v="2018-05-05T00:00:00"/>
    <s v="شركة مصنع وسائط النقل للمنتجات المعدنية "/>
    <s v="JV-00106"/>
    <m/>
    <m/>
    <m/>
    <n v="0"/>
    <m/>
    <n v="0"/>
    <n v="3"/>
    <n v="842"/>
    <n v="2150"/>
    <n v="6450"/>
    <m/>
    <m/>
    <m/>
    <m/>
    <m/>
    <m/>
    <n v="0"/>
    <n v="0"/>
    <n v="3"/>
    <n v="6450"/>
    <n v="0.125"/>
    <m/>
    <m/>
    <n v="530.1369863013698"/>
    <n v="0"/>
    <n v="0"/>
    <n v="0"/>
    <m/>
    <n v="530.1369863013698"/>
    <n v="5919.8630136986303"/>
  </r>
  <r>
    <n v="341"/>
    <s v="حاوية مقاس 06 ياردة"/>
    <x v="3"/>
    <x v="1"/>
    <x v="13"/>
    <x v="27"/>
    <m/>
    <x v="0"/>
    <m/>
    <m/>
    <m/>
    <m/>
    <d v="2018-05-06T00:00:00"/>
    <s v="شركة مصنع وسائط النقل للمنتجات المعدنية "/>
    <s v="JV-00106"/>
    <m/>
    <m/>
    <m/>
    <n v="0"/>
    <m/>
    <n v="0"/>
    <n v="3"/>
    <n v="843"/>
    <n v="2150"/>
    <n v="6450"/>
    <m/>
    <m/>
    <m/>
    <m/>
    <m/>
    <m/>
    <n v="0"/>
    <n v="0"/>
    <n v="3"/>
    <n v="6450"/>
    <n v="0.125"/>
    <m/>
    <m/>
    <n v="527.92808219178073"/>
    <n v="0"/>
    <n v="0"/>
    <n v="0"/>
    <m/>
    <n v="527.92808219178073"/>
    <n v="5922.071917808219"/>
  </r>
  <r>
    <n v="342"/>
    <s v="حاوية مقاس04  ياردة"/>
    <x v="3"/>
    <x v="1"/>
    <x v="12"/>
    <x v="26"/>
    <m/>
    <x v="0"/>
    <m/>
    <m/>
    <m/>
    <m/>
    <d v="2018-05-16T00:00:00"/>
    <s v="شركة مصنع وسائط النقل للمنتجات المعدنية "/>
    <s v="JV-00106"/>
    <m/>
    <m/>
    <m/>
    <n v="0"/>
    <m/>
    <n v="0"/>
    <n v="50"/>
    <n v="854"/>
    <n v="1100"/>
    <n v="55000"/>
    <m/>
    <m/>
    <m/>
    <m/>
    <m/>
    <m/>
    <n v="0"/>
    <n v="0"/>
    <n v="50"/>
    <n v="55000"/>
    <n v="0.125"/>
    <m/>
    <m/>
    <n v="4313.3561643835619"/>
    <n v="0"/>
    <n v="0"/>
    <n v="0"/>
    <m/>
    <n v="4313.3561643835619"/>
    <n v="50686.643835616436"/>
  </r>
  <r>
    <n v="343"/>
    <s v="حاوية مقاس 06 ياردة"/>
    <x v="3"/>
    <x v="1"/>
    <x v="13"/>
    <x v="27"/>
    <m/>
    <x v="0"/>
    <m/>
    <m/>
    <m/>
    <m/>
    <d v="2018-05-26T00:00:00"/>
    <s v="شركة مصنع وسائط النقل للمنتجات المعدنية "/>
    <s v="JV-00106"/>
    <m/>
    <m/>
    <m/>
    <n v="0"/>
    <m/>
    <n v="0"/>
    <n v="4"/>
    <n v="859"/>
    <n v="1400"/>
    <n v="5600"/>
    <m/>
    <m/>
    <m/>
    <m/>
    <m/>
    <m/>
    <n v="0"/>
    <n v="0"/>
    <n v="4"/>
    <n v="5600"/>
    <n v="0.125"/>
    <m/>
    <m/>
    <n v="420"/>
    <n v="0"/>
    <n v="0"/>
    <n v="0"/>
    <m/>
    <n v="420"/>
    <n v="5180"/>
  </r>
  <r>
    <n v="344"/>
    <s v="حاوية مقاس 06 ياردة"/>
    <x v="3"/>
    <x v="1"/>
    <x v="13"/>
    <x v="27"/>
    <m/>
    <x v="0"/>
    <m/>
    <m/>
    <m/>
    <m/>
    <d v="2018-05-29T00:00:00"/>
    <s v="شركة مصنع وسائط النقل للمنتجات المعدنية "/>
    <s v="JV-00107"/>
    <m/>
    <m/>
    <m/>
    <n v="0"/>
    <m/>
    <n v="0"/>
    <n v="3"/>
    <n v="865"/>
    <n v="2150"/>
    <n v="6450"/>
    <m/>
    <m/>
    <m/>
    <m/>
    <m/>
    <m/>
    <n v="0"/>
    <n v="0"/>
    <n v="3"/>
    <n v="6450"/>
    <n v="0.125"/>
    <m/>
    <m/>
    <n v="477.12328767123284"/>
    <n v="0"/>
    <n v="0"/>
    <n v="0"/>
    <m/>
    <n v="477.12328767123284"/>
    <n v="5972.8767123287671"/>
  </r>
  <r>
    <n v="345"/>
    <s v="حاوية مقاس 06 ياردة"/>
    <x v="3"/>
    <x v="1"/>
    <x v="13"/>
    <x v="27"/>
    <m/>
    <x v="0"/>
    <m/>
    <m/>
    <m/>
    <m/>
    <d v="2018-05-29T00:00:00"/>
    <s v="شركة مصنع وسائط النقل للمنتجات المعدنية "/>
    <s v="JV-00107"/>
    <m/>
    <m/>
    <m/>
    <n v="0"/>
    <m/>
    <n v="0"/>
    <n v="3"/>
    <n v="866"/>
    <n v="2150"/>
    <n v="6450"/>
    <m/>
    <m/>
    <m/>
    <m/>
    <m/>
    <m/>
    <n v="0"/>
    <n v="0"/>
    <n v="3"/>
    <n v="6450"/>
    <n v="0.125"/>
    <m/>
    <m/>
    <n v="477.12328767123284"/>
    <n v="0"/>
    <n v="0"/>
    <n v="0"/>
    <m/>
    <n v="477.12328767123284"/>
    <n v="5972.8767123287671"/>
  </r>
  <r>
    <n v="346"/>
    <s v="حاوية مقاس 06 ياردة"/>
    <x v="3"/>
    <x v="1"/>
    <x v="13"/>
    <x v="27"/>
    <m/>
    <x v="0"/>
    <m/>
    <m/>
    <m/>
    <m/>
    <d v="2018-05-30T00:00:00"/>
    <s v="شركة مصنع وسائط النقل للمنتجات المعدنية "/>
    <s v="JV-00107"/>
    <m/>
    <m/>
    <m/>
    <n v="0"/>
    <m/>
    <n v="0"/>
    <n v="11"/>
    <n v="866"/>
    <n v="1400"/>
    <n v="15400"/>
    <m/>
    <m/>
    <m/>
    <m/>
    <m/>
    <m/>
    <n v="0"/>
    <n v="0"/>
    <n v="11"/>
    <n v="15400"/>
    <n v="0.125"/>
    <m/>
    <m/>
    <n v="1133.9041095890411"/>
    <n v="0"/>
    <n v="0"/>
    <n v="0"/>
    <m/>
    <n v="1133.9041095890411"/>
    <n v="14266.095890410959"/>
  </r>
  <r>
    <n v="347"/>
    <s v="حاوية مقاس 02 ياردة"/>
    <x v="3"/>
    <x v="1"/>
    <x v="1"/>
    <x v="1"/>
    <m/>
    <x v="0"/>
    <m/>
    <m/>
    <m/>
    <m/>
    <d v="2018-05-06T00:00:00"/>
    <s v="مؤسسة ربوع كلادة للأشغال الحديدية "/>
    <s v="JV-00108"/>
    <m/>
    <m/>
    <m/>
    <n v="0"/>
    <m/>
    <n v="0"/>
    <n v="100"/>
    <n v="120"/>
    <n v="700"/>
    <n v="70000"/>
    <m/>
    <m/>
    <m/>
    <m/>
    <m/>
    <m/>
    <n v="0"/>
    <n v="0"/>
    <n v="100"/>
    <n v="70000"/>
    <n v="0.125"/>
    <m/>
    <m/>
    <n v="5729.4520547945203"/>
    <n v="0"/>
    <n v="0"/>
    <n v="0"/>
    <m/>
    <n v="5729.4520547945203"/>
    <n v="64270.547945205479"/>
  </r>
  <r>
    <n v="348"/>
    <s v="فرامات ورق "/>
    <x v="3"/>
    <x v="0"/>
    <x v="0"/>
    <x v="0"/>
    <m/>
    <x v="0"/>
    <m/>
    <m/>
    <m/>
    <m/>
    <d v="2018-05-17T00:00:00"/>
    <s v="أبو معطي للمكتبات"/>
    <s v="JV-00111"/>
    <m/>
    <m/>
    <m/>
    <n v="0"/>
    <m/>
    <n v="0"/>
    <n v="1"/>
    <n v="11033"/>
    <n v="340"/>
    <n v="340"/>
    <m/>
    <m/>
    <m/>
    <m/>
    <m/>
    <m/>
    <n v="0"/>
    <n v="0"/>
    <n v="1"/>
    <n v="340"/>
    <n v="0.125"/>
    <m/>
    <m/>
    <n v="26.547945205479451"/>
    <n v="0"/>
    <n v="0"/>
    <n v="0"/>
    <m/>
    <n v="26.547945205479451"/>
    <n v="313.45205479452056"/>
  </r>
  <r>
    <n v="349"/>
    <s v="حاوية مقاس 06 ياردة بغطاء "/>
    <x v="3"/>
    <x v="1"/>
    <x v="13"/>
    <x v="27"/>
    <m/>
    <x v="0"/>
    <m/>
    <m/>
    <m/>
    <m/>
    <d v="2018-02-06T00:00:00"/>
    <s v="شركة مصنع وسائط النقل للمنتجات المعدنية "/>
    <s v="JV-00117"/>
    <m/>
    <m/>
    <m/>
    <n v="0"/>
    <m/>
    <n v="0"/>
    <n v="5"/>
    <n v="781"/>
    <n v="2150"/>
    <n v="10750"/>
    <m/>
    <m/>
    <m/>
    <m/>
    <m/>
    <m/>
    <n v="0"/>
    <n v="0"/>
    <n v="5"/>
    <n v="10750"/>
    <n v="0.125"/>
    <m/>
    <m/>
    <n v="1207.5342465753424"/>
    <n v="0"/>
    <n v="0"/>
    <n v="0"/>
    <m/>
    <n v="1207.5342465753424"/>
    <n v="9542.465753424658"/>
  </r>
  <r>
    <n v="350"/>
    <s v="حاوية مقاس 06 ياردة بغطاء "/>
    <x v="3"/>
    <x v="1"/>
    <x v="13"/>
    <x v="27"/>
    <m/>
    <x v="0"/>
    <m/>
    <m/>
    <m/>
    <m/>
    <d v="2018-02-07T00:00:00"/>
    <s v="شركة مصنع وسائط النقل للمنتجات المعدنية "/>
    <s v="JV-00117"/>
    <m/>
    <m/>
    <m/>
    <n v="0"/>
    <m/>
    <n v="0"/>
    <n v="50"/>
    <n v="783"/>
    <n v="1400"/>
    <n v="70000"/>
    <m/>
    <m/>
    <m/>
    <m/>
    <m/>
    <m/>
    <n v="0"/>
    <n v="0"/>
    <n v="50"/>
    <n v="70000"/>
    <n v="0.125"/>
    <m/>
    <m/>
    <n v="7839.0410958904113"/>
    <n v="0"/>
    <n v="0"/>
    <n v="0"/>
    <m/>
    <n v="7839.0410958904113"/>
    <n v="62160.95890410959"/>
  </r>
  <r>
    <n v="351"/>
    <s v="درامات بلاستيك سعة 240 لتر "/>
    <x v="3"/>
    <x v="1"/>
    <x v="37"/>
    <x v="108"/>
    <m/>
    <x v="0"/>
    <m/>
    <m/>
    <m/>
    <m/>
    <d v="2018-05-08T00:00:00"/>
    <s v="شركة الشرق للصناعات البلاستيكية المحدودة "/>
    <s v="JV-00122"/>
    <m/>
    <m/>
    <m/>
    <n v="0"/>
    <m/>
    <n v="0"/>
    <n v="50"/>
    <n v="4006246"/>
    <n v="126"/>
    <n v="6300"/>
    <m/>
    <m/>
    <m/>
    <m/>
    <m/>
    <m/>
    <n v="0"/>
    <n v="0"/>
    <n v="50"/>
    <n v="6300"/>
    <n v="0.125"/>
    <m/>
    <m/>
    <n v="511.33561643835617"/>
    <n v="0"/>
    <n v="0"/>
    <n v="0"/>
    <m/>
    <n v="511.33561643835617"/>
    <n v="5788.6643835616442"/>
  </r>
  <r>
    <n v="352"/>
    <s v="درامات بلاستيك سعة 240 لتر "/>
    <x v="3"/>
    <x v="1"/>
    <x v="37"/>
    <x v="108"/>
    <m/>
    <x v="0"/>
    <m/>
    <m/>
    <m/>
    <m/>
    <d v="2018-11-08T00:00:00"/>
    <s v="شركة الشرق للصناعات البلاستيكية المحدودة "/>
    <s v="JV-00276"/>
    <m/>
    <m/>
    <m/>
    <n v="0"/>
    <m/>
    <n v="0"/>
    <n v="50"/>
    <n v="4006246"/>
    <n v="126"/>
    <n v="6300"/>
    <m/>
    <m/>
    <m/>
    <m/>
    <m/>
    <m/>
    <n v="0"/>
    <n v="0"/>
    <n v="50"/>
    <n v="6300"/>
    <n v="0.125"/>
    <m/>
    <m/>
    <n v="114.34931506849315"/>
    <n v="0"/>
    <n v="0"/>
    <n v="0"/>
    <m/>
    <n v="114.34931506849315"/>
    <n v="6185.6506849315065"/>
  </r>
  <r>
    <n v="353"/>
    <s v="مكيف شباك هيتاشي "/>
    <x v="3"/>
    <x v="0"/>
    <x v="7"/>
    <x v="14"/>
    <m/>
    <x v="0"/>
    <m/>
    <m/>
    <s v="محمد مهدي - كامب الفهاد "/>
    <m/>
    <d v="2018-05-07T00:00:00"/>
    <s v="إكسترا"/>
    <s v="JV-00122"/>
    <m/>
    <m/>
    <m/>
    <n v="0"/>
    <m/>
    <n v="0"/>
    <n v="1"/>
    <n v="276717"/>
    <n v="1070"/>
    <n v="1070"/>
    <m/>
    <m/>
    <m/>
    <m/>
    <m/>
    <m/>
    <n v="0"/>
    <n v="0"/>
    <n v="1"/>
    <n v="1070"/>
    <n v="0.125"/>
    <m/>
    <m/>
    <n v="87.212328767123296"/>
    <n v="0"/>
    <n v="0"/>
    <n v="0"/>
    <m/>
    <n v="87.212328767123296"/>
    <n v="982.78767123287673"/>
  </r>
  <r>
    <n v="354"/>
    <s v="جهاز روول أون روول أوف"/>
    <x v="3"/>
    <x v="5"/>
    <x v="15"/>
    <x v="114"/>
    <m/>
    <x v="0"/>
    <s v="أنقاض"/>
    <m/>
    <m/>
    <n v="7109"/>
    <d v="2018-03-05T00:00:00"/>
    <s v="ورشة محمد عبد الله السويد "/>
    <s v="JV-00123_x000a_JV-00128"/>
    <m/>
    <m/>
    <m/>
    <n v="0"/>
    <m/>
    <n v="0"/>
    <n v="1"/>
    <s v="2169 قبض"/>
    <n v="13300"/>
    <n v="13300"/>
    <m/>
    <m/>
    <m/>
    <m/>
    <m/>
    <m/>
    <n v="0"/>
    <n v="0"/>
    <n v="1"/>
    <n v="13300"/>
    <n v="0.15"/>
    <m/>
    <m/>
    <n v="1645.1917808219177"/>
    <n v="0"/>
    <n v="0"/>
    <n v="0"/>
    <m/>
    <n v="1645.1917808219177"/>
    <n v="11654.808219178081"/>
  </r>
  <r>
    <n v="355"/>
    <s v="درامات بلاستيك سعة 240 لتر "/>
    <x v="3"/>
    <x v="1"/>
    <x v="37"/>
    <x v="108"/>
    <m/>
    <x v="0"/>
    <m/>
    <m/>
    <m/>
    <m/>
    <d v="2018-12-11T00:00:00"/>
    <s v="شركة الشرق للصناعات البلاستيكية المحدودة "/>
    <s v="JV-00127"/>
    <m/>
    <m/>
    <m/>
    <n v="0"/>
    <m/>
    <n v="0"/>
    <n v="100"/>
    <n v="4009726"/>
    <n v="131.25"/>
    <n v="13125"/>
    <m/>
    <m/>
    <m/>
    <m/>
    <m/>
    <m/>
    <n v="0"/>
    <n v="0"/>
    <n v="100"/>
    <n v="13125"/>
    <n v="0.125"/>
    <m/>
    <m/>
    <n v="89.897260273972606"/>
    <n v="0"/>
    <n v="0"/>
    <n v="0"/>
    <m/>
    <n v="89.897260273972606"/>
    <n v="13035.102739726028"/>
  </r>
  <r>
    <n v="356"/>
    <s v="طابعه"/>
    <x v="3"/>
    <x v="3"/>
    <x v="3"/>
    <x v="3"/>
    <m/>
    <x v="0"/>
    <m/>
    <m/>
    <m/>
    <m/>
    <d v="2018-04-03T00:00:00"/>
    <s v="شعاع النجمتين التجارية"/>
    <s v="JV-00134-2"/>
    <m/>
    <m/>
    <m/>
    <n v="0"/>
    <m/>
    <n v="0"/>
    <n v="1"/>
    <n v="60801"/>
    <n v="742.87"/>
    <n v="742.87"/>
    <m/>
    <m/>
    <m/>
    <m/>
    <m/>
    <m/>
    <n v="0"/>
    <n v="0"/>
    <n v="1"/>
    <n v="742.87"/>
    <n v="0.125"/>
    <m/>
    <m/>
    <n v="69.1988493150685"/>
    <n v="0"/>
    <n v="0"/>
    <n v="0"/>
    <m/>
    <n v="69.1988493150685"/>
    <n v="673.67115068493149"/>
  </r>
  <r>
    <n v="357"/>
    <s v="حاويات مقاس 06 ياردة "/>
    <x v="3"/>
    <x v="1"/>
    <x v="13"/>
    <x v="27"/>
    <m/>
    <x v="0"/>
    <m/>
    <m/>
    <m/>
    <m/>
    <d v="2018-07-29T00:00:00"/>
    <s v="شركة مصنع وسائط النقل للمنتجات المعدنية "/>
    <s v="JV-00137"/>
    <m/>
    <m/>
    <m/>
    <n v="0"/>
    <m/>
    <n v="0"/>
    <n v="4"/>
    <n v="17"/>
    <n v="1400"/>
    <n v="5600"/>
    <m/>
    <m/>
    <m/>
    <m/>
    <m/>
    <m/>
    <n v="0"/>
    <n v="0"/>
    <n v="4"/>
    <n v="5600"/>
    <n v="0.125"/>
    <m/>
    <m/>
    <n v="297.2602739726027"/>
    <n v="0"/>
    <n v="0"/>
    <n v="0"/>
    <m/>
    <n v="297.2602739726027"/>
    <n v="5302.7397260273974"/>
  </r>
  <r>
    <n v="358"/>
    <s v="حاويات مقاس 06 ياردة بغطاء"/>
    <x v="3"/>
    <x v="1"/>
    <x v="13"/>
    <x v="27"/>
    <m/>
    <x v="0"/>
    <m/>
    <m/>
    <m/>
    <m/>
    <d v="2018-07-29T00:00:00"/>
    <s v="شركة مصنع وسائط النقل للمنتجات المعدنية "/>
    <s v="JV-00137"/>
    <m/>
    <m/>
    <m/>
    <n v="0"/>
    <m/>
    <n v="0"/>
    <n v="3"/>
    <n v="17"/>
    <n v="2150"/>
    <n v="6450"/>
    <m/>
    <m/>
    <m/>
    <m/>
    <m/>
    <m/>
    <n v="0"/>
    <n v="0"/>
    <n v="3"/>
    <n v="6450"/>
    <n v="0.125"/>
    <m/>
    <m/>
    <n v="342.38013698630135"/>
    <n v="0"/>
    <n v="0"/>
    <n v="0"/>
    <m/>
    <n v="342.38013698630135"/>
    <n v="6107.6198630136987"/>
  </r>
  <r>
    <n v="359"/>
    <s v="حاويات مقاس 06 ياردة بغطاء"/>
    <x v="3"/>
    <x v="1"/>
    <x v="13"/>
    <x v="27"/>
    <m/>
    <x v="0"/>
    <m/>
    <m/>
    <m/>
    <m/>
    <d v="2018-07-31T00:00:00"/>
    <s v="شركة مصنع وسائط النقل للمنتجات المعدنية "/>
    <s v="JV-00137"/>
    <m/>
    <m/>
    <m/>
    <n v="0"/>
    <m/>
    <n v="0"/>
    <n v="3"/>
    <n v="25"/>
    <n v="2150"/>
    <n v="6450"/>
    <m/>
    <m/>
    <m/>
    <m/>
    <m/>
    <m/>
    <n v="0"/>
    <n v="0"/>
    <n v="3"/>
    <n v="6450"/>
    <n v="0.125"/>
    <m/>
    <m/>
    <n v="337.96232876712327"/>
    <n v="0"/>
    <n v="0"/>
    <n v="0"/>
    <m/>
    <n v="337.96232876712327"/>
    <n v="6112.0376712328771"/>
  </r>
  <r>
    <n v="360"/>
    <s v="حاويات مقاس 06 ياردة بغطاء"/>
    <x v="3"/>
    <x v="1"/>
    <x v="13"/>
    <x v="27"/>
    <m/>
    <x v="0"/>
    <m/>
    <m/>
    <m/>
    <m/>
    <d v="2018-07-31T00:00:00"/>
    <s v="شركة مصنع وسائط النقل للمنتجات المعدنية "/>
    <s v="JV-00137"/>
    <m/>
    <m/>
    <m/>
    <n v="0"/>
    <m/>
    <n v="0"/>
    <n v="3"/>
    <n v="25"/>
    <n v="2150"/>
    <n v="6450"/>
    <m/>
    <m/>
    <m/>
    <m/>
    <m/>
    <m/>
    <n v="0"/>
    <n v="0"/>
    <n v="3"/>
    <n v="6450"/>
    <n v="0.125"/>
    <m/>
    <m/>
    <n v="337.96232876712327"/>
    <n v="0"/>
    <n v="0"/>
    <n v="0"/>
    <m/>
    <n v="337.96232876712327"/>
    <n v="6112.0376712328771"/>
  </r>
  <r>
    <n v="361"/>
    <s v="حاويات مقاس 06 ياردة بغطاء"/>
    <x v="3"/>
    <x v="1"/>
    <x v="13"/>
    <x v="27"/>
    <m/>
    <x v="0"/>
    <m/>
    <m/>
    <m/>
    <m/>
    <d v="2018-08-30T00:00:00"/>
    <s v="شركة مصنع وسائط النقل للمنتجات المعدنية "/>
    <s v="JV-00138"/>
    <m/>
    <m/>
    <m/>
    <n v="0"/>
    <m/>
    <n v="0"/>
    <n v="5"/>
    <n v="44"/>
    <n v="1375"/>
    <n v="6875"/>
    <m/>
    <m/>
    <m/>
    <m/>
    <m/>
    <m/>
    <n v="0"/>
    <n v="0"/>
    <n v="5"/>
    <n v="6875"/>
    <n v="0.125"/>
    <m/>
    <m/>
    <n v="289.59760273972603"/>
    <n v="0"/>
    <n v="0"/>
    <n v="0"/>
    <m/>
    <n v="289.59760273972603"/>
    <n v="6585.4023972602736"/>
  </r>
  <r>
    <n v="362"/>
    <s v="حاويات  مقاس 02 ياردة "/>
    <x v="3"/>
    <x v="1"/>
    <x v="1"/>
    <x v="1"/>
    <m/>
    <x v="0"/>
    <m/>
    <m/>
    <m/>
    <m/>
    <d v="2018-08-05T00:00:00"/>
    <s v="شركة مصنع وسائط النقل للمنتجات المعدنية "/>
    <s v="JV-00139"/>
    <m/>
    <m/>
    <m/>
    <n v="0"/>
    <m/>
    <n v="0"/>
    <n v="35"/>
    <n v="26"/>
    <n v="675"/>
    <n v="23625"/>
    <m/>
    <m/>
    <m/>
    <m/>
    <m/>
    <m/>
    <n v="0"/>
    <n v="0"/>
    <n v="35"/>
    <n v="23625"/>
    <n v="0.125"/>
    <m/>
    <m/>
    <n v="1197.4315068493149"/>
    <n v="0"/>
    <n v="0"/>
    <n v="0"/>
    <m/>
    <n v="1197.4315068493149"/>
    <n v="22427.568493150684"/>
  </r>
  <r>
    <n v="363"/>
    <s v="حاويات مقاس 04 ياردة "/>
    <x v="3"/>
    <x v="1"/>
    <x v="12"/>
    <x v="26"/>
    <m/>
    <x v="0"/>
    <m/>
    <m/>
    <m/>
    <m/>
    <d v="2018-08-05T00:00:00"/>
    <s v="شركة مصنع وسائط النقل للمنتجات المعدنية "/>
    <s v="JV-00139"/>
    <m/>
    <m/>
    <m/>
    <n v="0"/>
    <m/>
    <n v="0"/>
    <n v="28"/>
    <n v="26"/>
    <n v="1100"/>
    <n v="30800"/>
    <m/>
    <m/>
    <m/>
    <m/>
    <m/>
    <m/>
    <n v="0"/>
    <n v="0"/>
    <n v="28"/>
    <n v="30800"/>
    <n v="0.125"/>
    <m/>
    <m/>
    <n v="1561.0958904109589"/>
    <n v="0"/>
    <n v="0"/>
    <n v="0"/>
    <m/>
    <n v="1561.0958904109589"/>
    <n v="29238.904109589042"/>
  </r>
  <r>
    <n v="364"/>
    <s v="حاويات مقاس 02 ياردة "/>
    <x v="3"/>
    <x v="1"/>
    <x v="1"/>
    <x v="1"/>
    <m/>
    <x v="0"/>
    <m/>
    <m/>
    <m/>
    <m/>
    <d v="2018-08-05T00:00:00"/>
    <s v="شركة مصنع وسائط النقل للمنتجات المعدنية "/>
    <s v="JV-00139"/>
    <m/>
    <m/>
    <m/>
    <n v="0"/>
    <m/>
    <n v="0"/>
    <n v="65"/>
    <n v="27"/>
    <n v="675"/>
    <n v="43875"/>
    <m/>
    <m/>
    <m/>
    <m/>
    <m/>
    <m/>
    <n v="0"/>
    <n v="0"/>
    <n v="65"/>
    <n v="43875"/>
    <n v="0.125"/>
    <m/>
    <m/>
    <n v="2223.8013698630134"/>
    <n v="0"/>
    <n v="0"/>
    <n v="0"/>
    <m/>
    <n v="2223.8013698630134"/>
    <n v="41651.198630136983"/>
  </r>
  <r>
    <n v="365"/>
    <s v="حاويات مقاس 04 ياردة "/>
    <x v="3"/>
    <x v="1"/>
    <x v="12"/>
    <x v="26"/>
    <m/>
    <x v="0"/>
    <m/>
    <m/>
    <m/>
    <m/>
    <d v="2018-08-05T00:00:00"/>
    <s v="شركة مصنع وسائط النقل للمنتجات المعدنية "/>
    <s v="JV-00139"/>
    <m/>
    <m/>
    <m/>
    <n v="0"/>
    <m/>
    <n v="0"/>
    <n v="12"/>
    <n v="27"/>
    <n v="1100"/>
    <n v="13200"/>
    <m/>
    <m/>
    <m/>
    <m/>
    <m/>
    <m/>
    <n v="0"/>
    <n v="0"/>
    <n v="12"/>
    <n v="13200"/>
    <n v="0.125"/>
    <m/>
    <m/>
    <n v="669.04109589041104"/>
    <n v="0"/>
    <n v="0"/>
    <n v="0"/>
    <m/>
    <n v="669.04109589041104"/>
    <n v="12530.95890410959"/>
  </r>
  <r>
    <n v="366"/>
    <s v="حاويات مقاس 06 ياردة"/>
    <x v="3"/>
    <x v="1"/>
    <x v="13"/>
    <x v="27"/>
    <m/>
    <x v="0"/>
    <m/>
    <m/>
    <m/>
    <m/>
    <d v="2018-08-05T00:00:00"/>
    <s v="شركة مصنع وسائط النقل للمنتجات المعدنية "/>
    <s v="JV-00139"/>
    <m/>
    <m/>
    <m/>
    <n v="0"/>
    <m/>
    <n v="0"/>
    <n v="20"/>
    <n v="27"/>
    <n v="1400"/>
    <n v="28000"/>
    <m/>
    <m/>
    <m/>
    <m/>
    <m/>
    <m/>
    <n v="0"/>
    <n v="0"/>
    <n v="20"/>
    <n v="28000"/>
    <n v="0.125"/>
    <m/>
    <m/>
    <n v="1419.1780821917807"/>
    <n v="0"/>
    <n v="0"/>
    <n v="0"/>
    <m/>
    <n v="1419.1780821917807"/>
    <n v="26580.821917808218"/>
  </r>
  <r>
    <n v="367"/>
    <s v="حاويات مقاس 06 ياردة - نصف مصنعه"/>
    <x v="3"/>
    <x v="1"/>
    <x v="13"/>
    <x v="27"/>
    <m/>
    <x v="0"/>
    <m/>
    <m/>
    <m/>
    <m/>
    <d v="2018-08-26T00:00:00"/>
    <s v="شركة مصنع وسائط النقل للمنتجات المعدنية "/>
    <s v="JV-00139"/>
    <m/>
    <m/>
    <m/>
    <n v="0"/>
    <m/>
    <n v="0"/>
    <n v="10"/>
    <n v="38"/>
    <n v="1325"/>
    <n v="13250"/>
    <m/>
    <m/>
    <m/>
    <m/>
    <m/>
    <m/>
    <n v="0"/>
    <n v="0"/>
    <n v="10"/>
    <n v="13250"/>
    <n v="0.125"/>
    <m/>
    <m/>
    <n v="576.28424657534242"/>
    <n v="0"/>
    <n v="0"/>
    <n v="0"/>
    <m/>
    <n v="576.28424657534242"/>
    <n v="12673.715753424658"/>
  </r>
  <r>
    <n v="368"/>
    <s v="حاويات مقاس 06 ياردة بغطاء"/>
    <x v="3"/>
    <x v="1"/>
    <x v="13"/>
    <x v="27"/>
    <m/>
    <x v="0"/>
    <m/>
    <m/>
    <m/>
    <m/>
    <d v="2018-08-16T00:00:00"/>
    <s v="شركة مصنع وسائط النقل للمنتجات المعدنية "/>
    <s v="JV-00139"/>
    <m/>
    <m/>
    <m/>
    <n v="0"/>
    <m/>
    <n v="0"/>
    <n v="1"/>
    <n v="39"/>
    <n v="2150"/>
    <n v="2150"/>
    <m/>
    <m/>
    <m/>
    <m/>
    <m/>
    <m/>
    <n v="0"/>
    <n v="0"/>
    <n v="1"/>
    <n v="2150"/>
    <n v="0.125"/>
    <m/>
    <m/>
    <n v="100.87328767123287"/>
    <n v="0"/>
    <n v="0"/>
    <n v="0"/>
    <m/>
    <n v="100.87328767123287"/>
    <n v="2049.1267123287671"/>
  </r>
  <r>
    <n v="369"/>
    <s v="حاويات مقاس 06 ياردة "/>
    <x v="3"/>
    <x v="1"/>
    <x v="13"/>
    <x v="27"/>
    <m/>
    <x v="0"/>
    <m/>
    <m/>
    <m/>
    <m/>
    <d v="2018-09-03T00:00:00"/>
    <s v="شركة مصنع وسائط النقل للمنتجات المعدنية "/>
    <s v="JV-00141"/>
    <m/>
    <m/>
    <m/>
    <n v="0"/>
    <m/>
    <n v="0"/>
    <n v="5"/>
    <n v="51"/>
    <n v="1375"/>
    <n v="6875"/>
    <m/>
    <m/>
    <m/>
    <m/>
    <m/>
    <m/>
    <n v="0"/>
    <n v="0"/>
    <n v="5"/>
    <n v="6875"/>
    <n v="0.125"/>
    <m/>
    <m/>
    <n v="280.17979452054794"/>
    <n v="0"/>
    <n v="0"/>
    <n v="0"/>
    <m/>
    <n v="280.17979452054794"/>
    <n v="6594.8202054794519"/>
  </r>
  <r>
    <n v="370"/>
    <s v="حاويات مقاس 06 ياردة "/>
    <x v="3"/>
    <x v="1"/>
    <x v="13"/>
    <x v="27"/>
    <m/>
    <x v="0"/>
    <m/>
    <m/>
    <m/>
    <m/>
    <d v="2018-09-24T00:00:00"/>
    <s v="شركة مصنع وسائط النقل للمنتجات المعدنية "/>
    <s v="JV-00142"/>
    <m/>
    <m/>
    <m/>
    <n v="0"/>
    <m/>
    <n v="0"/>
    <n v="5"/>
    <n v="62"/>
    <n v="1375"/>
    <n v="6875"/>
    <m/>
    <m/>
    <m/>
    <m/>
    <m/>
    <m/>
    <n v="0"/>
    <n v="0"/>
    <n v="5"/>
    <n v="6875"/>
    <n v="0.125"/>
    <m/>
    <m/>
    <n v="230.73630136986301"/>
    <n v="0"/>
    <n v="0"/>
    <n v="0"/>
    <m/>
    <n v="230.73630136986301"/>
    <n v="6644.2636986301368"/>
  </r>
  <r>
    <n v="371"/>
    <s v="حاويات مقاس 06 ياردة "/>
    <x v="3"/>
    <x v="1"/>
    <x v="13"/>
    <x v="27"/>
    <m/>
    <x v="0"/>
    <m/>
    <m/>
    <m/>
    <m/>
    <d v="2018-09-25T00:00:00"/>
    <s v="شركة مصنع وسائط النقل للمنتجات المعدنية "/>
    <s v="JV-00142"/>
    <m/>
    <m/>
    <m/>
    <n v="0"/>
    <m/>
    <n v="0"/>
    <n v="5"/>
    <n v="64"/>
    <n v="1375"/>
    <n v="6875"/>
    <m/>
    <m/>
    <m/>
    <m/>
    <m/>
    <m/>
    <n v="0"/>
    <n v="0"/>
    <n v="5"/>
    <n v="6875"/>
    <n v="0.125"/>
    <m/>
    <m/>
    <n v="228.38184931506851"/>
    <n v="0"/>
    <n v="0"/>
    <n v="0"/>
    <m/>
    <n v="228.38184931506851"/>
    <n v="6646.6181506849316"/>
  </r>
  <r>
    <n v="372"/>
    <s v="حاويات مقاس 06 ياردة "/>
    <x v="3"/>
    <x v="1"/>
    <x v="13"/>
    <x v="27"/>
    <m/>
    <x v="0"/>
    <m/>
    <m/>
    <m/>
    <m/>
    <d v="2018-09-18T00:00:00"/>
    <s v="شركة مصنع وسائط النقل للمنتجات المعدنية "/>
    <s v="JV-00143"/>
    <m/>
    <m/>
    <m/>
    <n v="0"/>
    <m/>
    <n v="0"/>
    <n v="10"/>
    <n v="58"/>
    <n v="1375"/>
    <n v="13750"/>
    <m/>
    <m/>
    <m/>
    <m/>
    <m/>
    <m/>
    <n v="0"/>
    <n v="0"/>
    <n v="10"/>
    <n v="13750"/>
    <n v="0.125"/>
    <m/>
    <m/>
    <n v="489.72602739726028"/>
    <n v="0"/>
    <n v="0"/>
    <n v="0"/>
    <m/>
    <n v="489.72602739726028"/>
    <n v="13260.273972602739"/>
  </r>
  <r>
    <n v="373"/>
    <s v="حاويات مقاس 06 ياردة - نصف مصنعه"/>
    <x v="3"/>
    <x v="1"/>
    <x v="13"/>
    <x v="27"/>
    <m/>
    <x v="0"/>
    <m/>
    <m/>
    <m/>
    <m/>
    <d v="2018-11-12T00:00:00"/>
    <s v="شركة مصنع وسائط النقل للمنتجات المعدنية "/>
    <s v="JV-00145"/>
    <m/>
    <m/>
    <m/>
    <n v="0"/>
    <m/>
    <n v="0"/>
    <n v="50"/>
    <n v="116"/>
    <n v="1400"/>
    <n v="70000"/>
    <m/>
    <m/>
    <m/>
    <m/>
    <m/>
    <m/>
    <n v="0"/>
    <n v="0"/>
    <n v="50"/>
    <n v="70000"/>
    <n v="0.125"/>
    <m/>
    <m/>
    <n v="1174.6575342465753"/>
    <n v="0"/>
    <n v="0"/>
    <n v="0"/>
    <m/>
    <n v="1174.6575342465753"/>
    <n v="68825.34246575342"/>
  </r>
  <r>
    <n v="374"/>
    <s v="حاويات مقاس 06 ياردة "/>
    <x v="3"/>
    <x v="1"/>
    <x v="13"/>
    <x v="27"/>
    <m/>
    <x v="0"/>
    <m/>
    <m/>
    <m/>
    <m/>
    <d v="2018-10-01T00:00:00"/>
    <s v="شركة مصنع وسائط النقل للمنتجات المعدنية "/>
    <s v="JV-00146"/>
    <m/>
    <m/>
    <m/>
    <n v="0"/>
    <m/>
    <n v="0"/>
    <n v="5"/>
    <n v="71"/>
    <n v="1375"/>
    <n v="6875"/>
    <m/>
    <m/>
    <m/>
    <m/>
    <m/>
    <m/>
    <n v="0"/>
    <n v="0"/>
    <n v="5"/>
    <n v="6875"/>
    <n v="0.125"/>
    <m/>
    <m/>
    <n v="214.25513698630138"/>
    <n v="0"/>
    <n v="0"/>
    <n v="0"/>
    <m/>
    <n v="214.25513698630138"/>
    <n v="6660.7448630136987"/>
  </r>
  <r>
    <n v="375"/>
    <s v="حاويات مقاس 06 ياردة "/>
    <x v="3"/>
    <x v="1"/>
    <x v="13"/>
    <x v="27"/>
    <m/>
    <x v="0"/>
    <m/>
    <m/>
    <m/>
    <m/>
    <d v="2018-10-09T00:00:00"/>
    <s v="شركة مصنع وسائط النقل للمنتجات المعدنية "/>
    <s v="JV-00146"/>
    <m/>
    <m/>
    <m/>
    <n v="0"/>
    <m/>
    <n v="0"/>
    <n v="10"/>
    <n v="82"/>
    <n v="1375"/>
    <n v="13750"/>
    <m/>
    <m/>
    <m/>
    <m/>
    <m/>
    <m/>
    <n v="0"/>
    <n v="0"/>
    <n v="10"/>
    <n v="13750"/>
    <n v="0.125"/>
    <m/>
    <m/>
    <n v="390.83904109589042"/>
    <n v="0"/>
    <n v="0"/>
    <n v="0"/>
    <m/>
    <n v="390.83904109589042"/>
    <n v="13359.160958904109"/>
  </r>
  <r>
    <n v="376"/>
    <s v="حاويات مقاس 06 ياردة بغطاء"/>
    <x v="3"/>
    <x v="1"/>
    <x v="13"/>
    <x v="27"/>
    <m/>
    <x v="0"/>
    <m/>
    <m/>
    <m/>
    <m/>
    <d v="2018-10-06T00:00:00"/>
    <s v="شركة مصنع وسائط النقل للمنتجات المعدنية "/>
    <s v="JV-00146"/>
    <m/>
    <m/>
    <m/>
    <n v="0"/>
    <m/>
    <n v="0"/>
    <n v="1"/>
    <n v="80"/>
    <n v="2150"/>
    <n v="2150"/>
    <m/>
    <m/>
    <m/>
    <m/>
    <m/>
    <m/>
    <n v="0"/>
    <n v="0"/>
    <n v="1"/>
    <n v="2150"/>
    <n v="0.125"/>
    <m/>
    <m/>
    <n v="63.321917808219176"/>
    <n v="0"/>
    <n v="0"/>
    <n v="0"/>
    <m/>
    <n v="63.321917808219176"/>
    <n v="2086.678082191781"/>
  </r>
  <r>
    <n v="377"/>
    <s v="حاويات مقاس 06 ياردة "/>
    <x v="3"/>
    <x v="1"/>
    <x v="13"/>
    <x v="27"/>
    <m/>
    <x v="0"/>
    <m/>
    <m/>
    <m/>
    <m/>
    <d v="2018-10-06T00:00:00"/>
    <s v="شركة مصنع وسائط النقل للمنتجات المعدنية "/>
    <s v="JV-00146"/>
    <m/>
    <m/>
    <m/>
    <n v="0"/>
    <m/>
    <n v="0"/>
    <n v="10"/>
    <n v="81"/>
    <n v="1375"/>
    <n v="13750"/>
    <m/>
    <m/>
    <m/>
    <m/>
    <m/>
    <m/>
    <n v="0"/>
    <n v="0"/>
    <n v="10"/>
    <n v="13750"/>
    <n v="0.125"/>
    <m/>
    <m/>
    <n v="404.96575342465758"/>
    <n v="0"/>
    <n v="0"/>
    <n v="0"/>
    <m/>
    <n v="404.96575342465758"/>
    <n v="13345.034246575342"/>
  </r>
  <r>
    <n v="378"/>
    <s v="أجهزة التتبع و جي بي أس G.P.S "/>
    <x v="3"/>
    <x v="5"/>
    <x v="43"/>
    <x v="115"/>
    <m/>
    <x v="2"/>
    <m/>
    <m/>
    <m/>
    <m/>
    <d v="2018-10-06T00:00:00"/>
    <s v="شركة القمة لتقنية المعلومات"/>
    <s v="JV-00160"/>
    <m/>
    <m/>
    <m/>
    <n v="0"/>
    <m/>
    <n v="0"/>
    <n v="4"/>
    <m/>
    <n v="560"/>
    <n v="2240"/>
    <m/>
    <m/>
    <m/>
    <m/>
    <m/>
    <m/>
    <n v="0"/>
    <n v="0"/>
    <n v="4"/>
    <n v="2240"/>
    <n v="0.15"/>
    <m/>
    <m/>
    <n v="79.167123287671231"/>
    <n v="0"/>
    <n v="0"/>
    <n v="0"/>
    <m/>
    <n v="79.167123287671231"/>
    <n v="2160.8328767123289"/>
  </r>
  <r>
    <n v="379"/>
    <s v="صندوق ضاغط 32 ياردة "/>
    <x v="3"/>
    <x v="5"/>
    <x v="6"/>
    <x v="12"/>
    <m/>
    <x v="2"/>
    <m/>
    <m/>
    <m/>
    <m/>
    <d v="2018-09-10T00:00:00"/>
    <s v="عبد الله فالح السبيعي "/>
    <s v="JV-00231"/>
    <m/>
    <m/>
    <m/>
    <n v="0"/>
    <m/>
    <n v="0"/>
    <n v="2"/>
    <n v="338"/>
    <n v="20000"/>
    <n v="40000"/>
    <m/>
    <m/>
    <m/>
    <m/>
    <m/>
    <m/>
    <n v="0"/>
    <n v="0"/>
    <n v="2"/>
    <n v="40000"/>
    <n v="0.15"/>
    <m/>
    <m/>
    <n v="1841.0958904109591"/>
    <n v="0"/>
    <n v="0"/>
    <n v="0"/>
    <m/>
    <n v="1841.0958904109591"/>
    <n v="38158.904109589042"/>
  </r>
  <r>
    <n v="380"/>
    <s v="حاويات مقاس 06 ياردة "/>
    <x v="3"/>
    <x v="1"/>
    <x v="13"/>
    <x v="27"/>
    <m/>
    <x v="0"/>
    <m/>
    <m/>
    <m/>
    <m/>
    <d v="2018-10-25T00:00:00"/>
    <s v="شركة مصنع وسائط النقل للمنتجات المعدنية "/>
    <s v="JV-00232"/>
    <m/>
    <m/>
    <m/>
    <n v="0"/>
    <m/>
    <n v="0"/>
    <n v="35"/>
    <n v="96"/>
    <n v="1375"/>
    <n v="48125"/>
    <m/>
    <d v="2018-12-31T00:00:00"/>
    <n v="12"/>
    <m/>
    <n v="1575"/>
    <n v="1375"/>
    <n v="16500"/>
    <n v="378.59589041095893"/>
    <n v="23"/>
    <n v="31625"/>
    <n v="0.125"/>
    <m/>
    <m/>
    <n v="1104.2380136986301"/>
    <n v="0"/>
    <n v="378.59589041095893"/>
    <n v="2021.4041095890411"/>
    <m/>
    <n v="725.64212328767121"/>
    <n v="30899.357876712329"/>
  </r>
  <r>
    <n v="381"/>
    <s v="حاويات مقاس 06 ياردة "/>
    <x v="3"/>
    <x v="1"/>
    <x v="13"/>
    <x v="27"/>
    <m/>
    <x v="0"/>
    <m/>
    <m/>
    <m/>
    <m/>
    <d v="2018-10-25T00:00:00"/>
    <s v="شركة مصنع وسائط النقل للمنتجات المعدنية "/>
    <s v="JV-00232"/>
    <m/>
    <m/>
    <m/>
    <n v="0"/>
    <m/>
    <n v="0"/>
    <n v="7"/>
    <n v="96"/>
    <n v="2150"/>
    <n v="15050"/>
    <m/>
    <m/>
    <m/>
    <m/>
    <m/>
    <m/>
    <n v="0"/>
    <n v="0"/>
    <n v="7"/>
    <n v="15050"/>
    <n v="0.125"/>
    <m/>
    <m/>
    <n v="345.32534246575341"/>
    <n v="0"/>
    <n v="0"/>
    <n v="0"/>
    <m/>
    <n v="345.32534246575341"/>
    <n v="14704.674657534246"/>
  </r>
  <r>
    <n v="382"/>
    <s v="حاويات مقاس 06 ياردة - نصف مصنعه"/>
    <x v="3"/>
    <x v="1"/>
    <x v="13"/>
    <x v="27"/>
    <m/>
    <x v="0"/>
    <m/>
    <m/>
    <m/>
    <m/>
    <d v="2018-11-01T00:00:00"/>
    <s v="شركة مصنع وسائط النقل للمنتجات المعدنية "/>
    <s v="JV-00232"/>
    <m/>
    <m/>
    <m/>
    <n v="0"/>
    <m/>
    <n v="0"/>
    <n v="50"/>
    <n v="103"/>
    <n v="1400"/>
    <n v="70000"/>
    <m/>
    <m/>
    <m/>
    <m/>
    <m/>
    <m/>
    <n v="0"/>
    <n v="0"/>
    <n v="50"/>
    <n v="70000"/>
    <n v="0.125"/>
    <m/>
    <m/>
    <n v="1438.3561643835617"/>
    <n v="0"/>
    <n v="0"/>
    <n v="0"/>
    <m/>
    <n v="1438.3561643835617"/>
    <n v="68561.643835616444"/>
  </r>
  <r>
    <n v="383"/>
    <s v="خزان مياه "/>
    <x v="3"/>
    <x v="0"/>
    <x v="7"/>
    <x v="14"/>
    <m/>
    <x v="10"/>
    <m/>
    <m/>
    <m/>
    <m/>
    <d v="2018-07-01T00:00:00"/>
    <m/>
    <s v="JV-00252"/>
    <m/>
    <m/>
    <m/>
    <n v="0"/>
    <m/>
    <n v="0"/>
    <n v="1"/>
    <m/>
    <n v="5000"/>
    <n v="5000"/>
    <m/>
    <m/>
    <m/>
    <m/>
    <m/>
    <m/>
    <n v="0"/>
    <n v="0"/>
    <n v="1"/>
    <n v="5000"/>
    <n v="0.125"/>
    <m/>
    <m/>
    <n v="313.35616438356163"/>
    <n v="0"/>
    <n v="0"/>
    <n v="0"/>
    <m/>
    <n v="313.35616438356163"/>
    <n v="4686.6438356164381"/>
  </r>
  <r>
    <n v="384"/>
    <s v="روول أون روول أوف"/>
    <x v="3"/>
    <x v="5"/>
    <x v="15"/>
    <x v="114"/>
    <m/>
    <x v="0"/>
    <s v="أنقاض"/>
    <m/>
    <m/>
    <n v="7109"/>
    <d v="2018-03-31T00:00:00"/>
    <m/>
    <s v="JV-00269"/>
    <m/>
    <m/>
    <m/>
    <n v="0"/>
    <m/>
    <n v="0"/>
    <n v="1"/>
    <m/>
    <n v="13950"/>
    <n v="13950"/>
    <m/>
    <m/>
    <m/>
    <m/>
    <m/>
    <m/>
    <n v="0"/>
    <n v="0"/>
    <n v="1"/>
    <n v="13950"/>
    <n v="0.15"/>
    <m/>
    <m/>
    <n v="1576.5410958904108"/>
    <n v="0"/>
    <n v="0"/>
    <n v="0"/>
    <m/>
    <n v="1576.5410958904108"/>
    <n v="12373.45890410959"/>
  </r>
  <r>
    <n v="385"/>
    <s v="أغطية حاويات مقاس 06 ياردة "/>
    <x v="3"/>
    <x v="1"/>
    <x v="13"/>
    <x v="27"/>
    <m/>
    <x v="0"/>
    <m/>
    <m/>
    <m/>
    <m/>
    <d v="2018-12-31T00:00:00"/>
    <s v="مؤسسة كلد الدولية للمقاولات "/>
    <s v="JV-00425"/>
    <m/>
    <m/>
    <m/>
    <n v="0"/>
    <m/>
    <n v="0"/>
    <n v="2"/>
    <n v="151"/>
    <n v="600"/>
    <n v="1200"/>
    <m/>
    <m/>
    <m/>
    <m/>
    <m/>
    <m/>
    <n v="0"/>
    <n v="0"/>
    <n v="2"/>
    <n v="1200"/>
    <n v="0.125"/>
    <m/>
    <m/>
    <n v="0"/>
    <n v="0"/>
    <n v="0"/>
    <n v="0"/>
    <m/>
    <n v="0"/>
    <n v="1200"/>
  </r>
  <r>
    <n v="386"/>
    <s v="أغطية حاويات مقاس 06 ياردة "/>
    <x v="3"/>
    <x v="1"/>
    <x v="13"/>
    <x v="27"/>
    <m/>
    <x v="0"/>
    <m/>
    <m/>
    <m/>
    <m/>
    <d v="2018-12-31T00:00:00"/>
    <s v="مؤسسة كلد الدولية للمقاولات "/>
    <s v="JV-00425"/>
    <m/>
    <m/>
    <m/>
    <n v="0"/>
    <m/>
    <n v="0"/>
    <n v="20"/>
    <n v="176"/>
    <n v="600"/>
    <n v="12000"/>
    <m/>
    <m/>
    <m/>
    <m/>
    <m/>
    <m/>
    <n v="0"/>
    <n v="0"/>
    <n v="20"/>
    <n v="12000"/>
    <n v="0.125"/>
    <m/>
    <m/>
    <n v="0"/>
    <n v="0"/>
    <n v="0"/>
    <n v="0"/>
    <m/>
    <n v="0"/>
    <n v="12000"/>
  </r>
  <r>
    <n v="387"/>
    <s v="حاويات مقاس 06 ياردة"/>
    <x v="3"/>
    <x v="1"/>
    <x v="13"/>
    <x v="27"/>
    <m/>
    <x v="0"/>
    <m/>
    <m/>
    <m/>
    <m/>
    <d v="2018-12-31T00:00:00"/>
    <s v="مؤسسة كلد الدولية للمقاولات "/>
    <s v="JV-00425"/>
    <m/>
    <m/>
    <m/>
    <n v="0"/>
    <m/>
    <n v="0"/>
    <n v="16"/>
    <n v="177"/>
    <n v="1400"/>
    <n v="22400"/>
    <m/>
    <m/>
    <m/>
    <m/>
    <m/>
    <m/>
    <n v="0"/>
    <n v="0"/>
    <n v="16"/>
    <n v="22400"/>
    <n v="0.125"/>
    <m/>
    <m/>
    <n v="0"/>
    <n v="0"/>
    <n v="0"/>
    <n v="0"/>
    <m/>
    <n v="0"/>
    <n v="22400"/>
  </r>
  <r>
    <n v="388"/>
    <s v="حاويات مقاس 06 ياردة بغطاء"/>
    <x v="3"/>
    <x v="1"/>
    <x v="13"/>
    <x v="27"/>
    <m/>
    <x v="0"/>
    <m/>
    <m/>
    <m/>
    <m/>
    <d v="2018-12-31T00:00:00"/>
    <s v="مؤسسة كلد الدولية للمقاولات "/>
    <s v="JV-00285"/>
    <m/>
    <m/>
    <m/>
    <n v="0"/>
    <m/>
    <n v="0"/>
    <n v="1"/>
    <n v="187"/>
    <n v="2000"/>
    <n v="2000"/>
    <m/>
    <m/>
    <m/>
    <m/>
    <m/>
    <m/>
    <n v="0"/>
    <n v="0"/>
    <n v="1"/>
    <n v="2000"/>
    <n v="0.125"/>
    <m/>
    <m/>
    <n v="0"/>
    <n v="0"/>
    <n v="0"/>
    <n v="0"/>
    <m/>
    <n v="0"/>
    <n v="2000"/>
  </r>
  <r>
    <n v="389"/>
    <s v="حاويات مقاس 06 ياردة"/>
    <x v="3"/>
    <x v="1"/>
    <x v="13"/>
    <x v="27"/>
    <m/>
    <x v="0"/>
    <m/>
    <m/>
    <m/>
    <m/>
    <d v="2018-12-31T00:00:00"/>
    <s v="مؤسسة كلد الدولية للمقاولات "/>
    <s v="JV-00426"/>
    <m/>
    <m/>
    <m/>
    <n v="0"/>
    <m/>
    <n v="0"/>
    <n v="30"/>
    <n v="221"/>
    <n v="1400"/>
    <n v="42000"/>
    <m/>
    <m/>
    <m/>
    <m/>
    <m/>
    <m/>
    <n v="0"/>
    <n v="0"/>
    <n v="30"/>
    <n v="42000"/>
    <n v="0.125"/>
    <m/>
    <m/>
    <n v="0"/>
    <n v="0"/>
    <n v="0"/>
    <n v="0"/>
    <m/>
    <n v="0"/>
    <n v="42000"/>
  </r>
  <r>
    <n v="390"/>
    <s v="حاويات مقاس 06 ياردة"/>
    <x v="3"/>
    <x v="1"/>
    <x v="13"/>
    <x v="27"/>
    <m/>
    <x v="0"/>
    <m/>
    <m/>
    <m/>
    <m/>
    <d v="2018-12-31T00:00:00"/>
    <s v="مؤسسة كلد الدولية للمقاولات "/>
    <s v="JV-00426"/>
    <m/>
    <m/>
    <m/>
    <n v="0"/>
    <m/>
    <n v="0"/>
    <n v="4"/>
    <n v="216"/>
    <n v="1400"/>
    <n v="5600"/>
    <m/>
    <m/>
    <m/>
    <m/>
    <m/>
    <m/>
    <n v="0"/>
    <n v="0"/>
    <n v="4"/>
    <n v="5600"/>
    <n v="0.125"/>
    <m/>
    <m/>
    <n v="0"/>
    <n v="0"/>
    <n v="0"/>
    <n v="0"/>
    <m/>
    <n v="0"/>
    <n v="5600"/>
  </r>
  <r>
    <n v="391"/>
    <s v="أغطية حاويات مقاس 06 ياردة "/>
    <x v="3"/>
    <x v="1"/>
    <x v="13"/>
    <x v="27"/>
    <m/>
    <x v="0"/>
    <m/>
    <m/>
    <m/>
    <m/>
    <d v="2018-12-31T00:00:00"/>
    <s v="مؤسسة كلد الدولية للمقاولات "/>
    <s v="JV-00426"/>
    <m/>
    <m/>
    <m/>
    <n v="0"/>
    <m/>
    <n v="0"/>
    <n v="10"/>
    <n v="253"/>
    <n v="600"/>
    <n v="6000"/>
    <m/>
    <m/>
    <m/>
    <m/>
    <m/>
    <m/>
    <n v="0"/>
    <n v="0"/>
    <n v="10"/>
    <n v="6000"/>
    <n v="0.125"/>
    <m/>
    <m/>
    <n v="0"/>
    <n v="0"/>
    <n v="0"/>
    <n v="0"/>
    <m/>
    <n v="0"/>
    <n v="6000"/>
  </r>
  <r>
    <n v="392"/>
    <s v="أغطية حاويات مقاس 06 ياردة "/>
    <x v="3"/>
    <x v="1"/>
    <x v="13"/>
    <x v="27"/>
    <m/>
    <x v="0"/>
    <m/>
    <m/>
    <m/>
    <m/>
    <d v="2018-12-31T00:00:00"/>
    <s v="مؤسسة كلد الدولية للمقاولات "/>
    <s v="JV-00426"/>
    <m/>
    <m/>
    <m/>
    <n v="0"/>
    <m/>
    <n v="0"/>
    <n v="10"/>
    <n v="268"/>
    <n v="600"/>
    <n v="6000"/>
    <m/>
    <m/>
    <m/>
    <m/>
    <m/>
    <m/>
    <n v="0"/>
    <n v="0"/>
    <n v="10"/>
    <n v="6000"/>
    <n v="0.125"/>
    <m/>
    <m/>
    <n v="0"/>
    <n v="0"/>
    <n v="0"/>
    <n v="0"/>
    <m/>
    <n v="0"/>
    <n v="6000"/>
  </r>
  <r>
    <n v="393"/>
    <s v="حاويات مقاس 06 ياردة"/>
    <x v="3"/>
    <x v="1"/>
    <x v="13"/>
    <x v="27"/>
    <m/>
    <x v="0"/>
    <m/>
    <m/>
    <m/>
    <m/>
    <d v="2018-12-31T00:00:00"/>
    <s v="مؤسسة كلد الدولية للمقاولات "/>
    <s v="JV-00439"/>
    <m/>
    <m/>
    <m/>
    <n v="0"/>
    <m/>
    <n v="0"/>
    <n v="10"/>
    <n v="303"/>
    <n v="1400"/>
    <n v="14000"/>
    <m/>
    <m/>
    <m/>
    <m/>
    <m/>
    <m/>
    <n v="0"/>
    <n v="0"/>
    <n v="10"/>
    <n v="14000"/>
    <n v="0.125"/>
    <m/>
    <m/>
    <n v="0"/>
    <n v="0"/>
    <n v="0"/>
    <n v="0"/>
    <m/>
    <n v="0"/>
    <n v="14000"/>
  </r>
  <r>
    <n v="394"/>
    <s v="حاويات مقاس 06 ياردة"/>
    <x v="3"/>
    <x v="1"/>
    <x v="13"/>
    <x v="27"/>
    <m/>
    <x v="0"/>
    <m/>
    <m/>
    <m/>
    <m/>
    <d v="2018-12-31T00:00:00"/>
    <s v="مؤسسة كلد الدولية للمقاولات "/>
    <s v="JV-00439"/>
    <m/>
    <m/>
    <m/>
    <n v="0"/>
    <m/>
    <n v="0"/>
    <n v="10"/>
    <n v="297"/>
    <n v="1400"/>
    <n v="14000"/>
    <m/>
    <m/>
    <m/>
    <m/>
    <m/>
    <m/>
    <n v="0"/>
    <n v="0"/>
    <n v="10"/>
    <n v="14000"/>
    <n v="0.125"/>
    <m/>
    <m/>
    <n v="0"/>
    <n v="0"/>
    <n v="0"/>
    <n v="0"/>
    <m/>
    <n v="0"/>
    <n v="14000"/>
  </r>
  <r>
    <n v="395"/>
    <s v="حاويات مقاس 04 ياردة "/>
    <x v="3"/>
    <x v="1"/>
    <x v="12"/>
    <x v="26"/>
    <m/>
    <x v="0"/>
    <m/>
    <m/>
    <m/>
    <m/>
    <d v="2018-12-31T00:00:00"/>
    <s v="مؤسسة كلد الدولية للمقاولات "/>
    <s v="JV-00426"/>
    <m/>
    <m/>
    <m/>
    <n v="0"/>
    <m/>
    <n v="0"/>
    <n v="30"/>
    <n v="216"/>
    <n v="1300"/>
    <n v="39000"/>
    <m/>
    <m/>
    <m/>
    <m/>
    <m/>
    <m/>
    <n v="0"/>
    <n v="0"/>
    <n v="30"/>
    <n v="39000"/>
    <n v="0.125"/>
    <m/>
    <m/>
    <n v="0"/>
    <n v="0"/>
    <n v="0"/>
    <n v="0"/>
    <m/>
    <n v="0"/>
    <n v="39000"/>
  </r>
  <r>
    <n v="396"/>
    <s v="حاويات مقاس 04 ياردة  بدون دهان"/>
    <x v="3"/>
    <x v="1"/>
    <x v="12"/>
    <x v="26"/>
    <m/>
    <x v="0"/>
    <m/>
    <m/>
    <m/>
    <m/>
    <d v="2018-12-31T00:00:00"/>
    <s v="مؤسسة كلد الدولية للمقاولات "/>
    <s v="JV-00457"/>
    <m/>
    <m/>
    <m/>
    <n v="0"/>
    <m/>
    <n v="0"/>
    <n v="50"/>
    <n v="180395"/>
    <n v="1050"/>
    <n v="52500"/>
    <m/>
    <m/>
    <m/>
    <m/>
    <m/>
    <m/>
    <n v="0"/>
    <n v="0"/>
    <n v="50"/>
    <n v="52500"/>
    <n v="0.125"/>
    <m/>
    <m/>
    <n v="0"/>
    <n v="0"/>
    <n v="0"/>
    <n v="0"/>
    <m/>
    <n v="0"/>
    <n v="52500"/>
  </r>
  <r>
    <n v="397"/>
    <s v="حاويات مقاس 04 ياردة "/>
    <x v="3"/>
    <x v="1"/>
    <x v="12"/>
    <x v="26"/>
    <m/>
    <x v="0"/>
    <m/>
    <m/>
    <m/>
    <m/>
    <d v="2018-12-31T00:00:00"/>
    <s v="مؤسسة كلد الدولية للمقاولات "/>
    <s v="JV-00439"/>
    <m/>
    <m/>
    <m/>
    <n v="0"/>
    <m/>
    <n v="0"/>
    <n v="15"/>
    <n v="282"/>
    <n v="1300"/>
    <n v="19500"/>
    <m/>
    <m/>
    <m/>
    <m/>
    <m/>
    <m/>
    <n v="0"/>
    <n v="0"/>
    <n v="15"/>
    <n v="19500"/>
    <n v="0.125"/>
    <m/>
    <m/>
    <n v="0"/>
    <n v="0"/>
    <n v="0"/>
    <n v="0"/>
    <m/>
    <n v="0"/>
    <n v="19500"/>
  </r>
  <r>
    <n v="398"/>
    <s v="شاحنة إيسوزو "/>
    <x v="3"/>
    <x v="5"/>
    <x v="6"/>
    <x v="12"/>
    <m/>
    <x v="2"/>
    <m/>
    <m/>
    <m/>
    <m/>
    <d v="2018-12-31T00:00:00"/>
    <m/>
    <s v="JV-00481"/>
    <m/>
    <m/>
    <m/>
    <n v="0"/>
    <m/>
    <n v="0"/>
    <n v="4"/>
    <m/>
    <n v="322000"/>
    <n v="1288000"/>
    <m/>
    <m/>
    <m/>
    <m/>
    <m/>
    <m/>
    <n v="0"/>
    <n v="0"/>
    <n v="4"/>
    <n v="1288000"/>
    <n v="0.15"/>
    <m/>
    <m/>
    <n v="0"/>
    <n v="0"/>
    <n v="0"/>
    <n v="0"/>
    <m/>
    <n v="0"/>
    <n v="1288000"/>
  </r>
  <r>
    <n v="399"/>
    <s v="سيارة توسان"/>
    <x v="0"/>
    <x v="4"/>
    <x v="36"/>
    <x v="107"/>
    <s v="HYTUCC 002"/>
    <x v="0"/>
    <s v="التسويق"/>
    <s v="التسويق"/>
    <s v="أحمد أبو جميل"/>
    <s v="د.ب.ن_x000a_8435"/>
    <d v="2017-03-01T00:00:00"/>
    <s v="شركة الفلاح"/>
    <s v="19-03-2017"/>
    <n v="1"/>
    <m/>
    <n v="61000"/>
    <n v="61000"/>
    <n v="12743.150684931499"/>
    <n v="48256.849315068503"/>
    <m/>
    <m/>
    <m/>
    <n v="0"/>
    <s v="461"/>
    <d v="2018-01-01T00:00:00"/>
    <n v="1"/>
    <s v="البيع"/>
    <n v="50000"/>
    <n v="61000"/>
    <n v="61000"/>
    <n v="0"/>
    <n v="0"/>
    <n v="0"/>
    <n v="0.15"/>
    <m/>
    <s v="في التشغيل"/>
    <n v="0"/>
    <n v="12743.150684931499"/>
    <n v="12743.150684931499"/>
    <n v="-23743.150684931497"/>
    <m/>
    <n v="0"/>
    <n v="0"/>
  </r>
  <r>
    <n v="400"/>
    <s v="سيارة أكسنت "/>
    <x v="3"/>
    <x v="4"/>
    <x v="4"/>
    <x v="116"/>
    <s v="HYACC 011"/>
    <x v="6"/>
    <s v="النفايات"/>
    <s v="التشغيل"/>
    <s v="أحمد المصري"/>
    <s v="د.ص.ق 4369"/>
    <d v="2018-12-31T00:00:00"/>
    <s v="شركة عبد اللطيف جميل للتمويل"/>
    <s v="JV-00323"/>
    <m/>
    <m/>
    <m/>
    <n v="0"/>
    <m/>
    <n v="0"/>
    <n v="1"/>
    <m/>
    <n v="45948.1"/>
    <n v="45948.1"/>
    <m/>
    <m/>
    <m/>
    <m/>
    <m/>
    <m/>
    <n v="0"/>
    <n v="0"/>
    <n v="1"/>
    <n v="45948.1"/>
    <n v="0.15"/>
    <m/>
    <m/>
    <n v="0"/>
    <n v="0"/>
    <n v="0"/>
    <n v="0"/>
    <m/>
    <n v="0"/>
    <n v="45948.1"/>
  </r>
  <r>
    <n v="401"/>
    <s v="سيارة أكسنت "/>
    <x v="3"/>
    <x v="4"/>
    <x v="4"/>
    <x v="117"/>
    <s v="HYACC 012"/>
    <x v="7"/>
    <s v="النفايات"/>
    <s v="التشغيل"/>
    <s v="سانتوش"/>
    <s v="د.ص.ق 4360"/>
    <d v="2018-12-31T00:00:00"/>
    <s v="شركة عبد اللطيف جميل للتمويل"/>
    <s v="JV-00323"/>
    <m/>
    <m/>
    <m/>
    <n v="0"/>
    <m/>
    <n v="0"/>
    <n v="1"/>
    <m/>
    <n v="45948.1"/>
    <n v="45948.1"/>
    <m/>
    <m/>
    <m/>
    <m/>
    <m/>
    <m/>
    <n v="0"/>
    <n v="0"/>
    <n v="1"/>
    <n v="45948.1"/>
    <n v="0.15"/>
    <m/>
    <m/>
    <n v="0"/>
    <n v="0"/>
    <n v="0"/>
    <n v="0"/>
    <m/>
    <n v="0"/>
    <n v="45948.1"/>
  </r>
  <r>
    <n v="402"/>
    <s v="سيارة أكسنت "/>
    <x v="3"/>
    <x v="4"/>
    <x v="4"/>
    <x v="118"/>
    <s v="HYACC 013"/>
    <x v="6"/>
    <s v="النفايات"/>
    <s v="التشغيل"/>
    <s v="محمد مسعد "/>
    <s v="د.ص.ق 4361"/>
    <d v="2018-12-31T00:00:00"/>
    <s v="شركة عبد اللطيف جميل للتمويل"/>
    <s v="JV-00323"/>
    <m/>
    <m/>
    <m/>
    <n v="0"/>
    <m/>
    <n v="0"/>
    <n v="1"/>
    <m/>
    <n v="45948.1"/>
    <n v="45948.1"/>
    <m/>
    <m/>
    <m/>
    <m/>
    <m/>
    <m/>
    <n v="0"/>
    <n v="0"/>
    <n v="1"/>
    <n v="45948.1"/>
    <n v="0.15"/>
    <m/>
    <m/>
    <n v="0"/>
    <n v="0"/>
    <n v="0"/>
    <n v="0"/>
    <m/>
    <n v="0"/>
    <n v="45948.1"/>
  </r>
  <r>
    <n v="403"/>
    <s v="سيارة أكسنت "/>
    <x v="3"/>
    <x v="4"/>
    <x v="4"/>
    <x v="119"/>
    <s v="HYACC 014"/>
    <x v="6"/>
    <s v="النفايات"/>
    <s v="التشغيل"/>
    <s v="مصطفى رحومه "/>
    <s v="د.ص.ق 4362"/>
    <d v="2018-12-31T00:00:00"/>
    <s v="شركة عبد اللطيف جميل للتمويل"/>
    <s v="JV-00323"/>
    <m/>
    <m/>
    <m/>
    <n v="0"/>
    <m/>
    <n v="0"/>
    <n v="1"/>
    <m/>
    <n v="45948.1"/>
    <n v="45948.1"/>
    <m/>
    <m/>
    <m/>
    <m/>
    <m/>
    <m/>
    <n v="0"/>
    <n v="0"/>
    <n v="1"/>
    <n v="45948.1"/>
    <n v="0.15"/>
    <m/>
    <m/>
    <n v="0"/>
    <n v="0"/>
    <n v="0"/>
    <n v="0"/>
    <m/>
    <n v="0"/>
    <n v="45948.1"/>
  </r>
  <r>
    <n v="404"/>
    <s v="سيارة أكسنت "/>
    <x v="3"/>
    <x v="4"/>
    <x v="4"/>
    <x v="120"/>
    <s v="HYACC 015"/>
    <x v="6"/>
    <s v="النفايات"/>
    <s v="التشغيل"/>
    <s v="حسن شفيق"/>
    <s v="د.ص.ق 4363"/>
    <d v="2018-12-31T00:00:00"/>
    <s v="شركة عبد اللطيف جميل للتمويل"/>
    <s v="JV-00323"/>
    <m/>
    <m/>
    <m/>
    <n v="0"/>
    <m/>
    <n v="0"/>
    <n v="1"/>
    <m/>
    <n v="45948.1"/>
    <n v="45948.1"/>
    <m/>
    <m/>
    <m/>
    <m/>
    <m/>
    <m/>
    <n v="0"/>
    <n v="0"/>
    <n v="1"/>
    <n v="45948.1"/>
    <n v="0.15"/>
    <m/>
    <m/>
    <n v="0"/>
    <n v="0"/>
    <n v="0"/>
    <n v="0"/>
    <m/>
    <n v="0"/>
    <n v="45948.1"/>
  </r>
  <r>
    <n v="405"/>
    <s v="سيارة أكسنت "/>
    <x v="3"/>
    <x v="4"/>
    <x v="4"/>
    <x v="121"/>
    <s v="HYACC 016"/>
    <x v="11"/>
    <s v="النفايات"/>
    <s v="التشغيل"/>
    <s v="عبد التواب"/>
    <s v="د.ص.ق 4364"/>
    <d v="2018-12-31T00:00:00"/>
    <s v="شركة عبد اللطيف جميل للتمويل"/>
    <s v="JV-00323"/>
    <m/>
    <m/>
    <m/>
    <n v="0"/>
    <m/>
    <n v="0"/>
    <n v="1"/>
    <m/>
    <n v="45948.1"/>
    <n v="45948.1"/>
    <m/>
    <m/>
    <m/>
    <m/>
    <m/>
    <m/>
    <n v="0"/>
    <n v="0"/>
    <n v="1"/>
    <n v="45948.1"/>
    <n v="0.15"/>
    <m/>
    <m/>
    <n v="0"/>
    <n v="0"/>
    <n v="0"/>
    <n v="0"/>
    <m/>
    <n v="0"/>
    <n v="45948.1"/>
  </r>
  <r>
    <n v="406"/>
    <s v="سيارة أكسنت "/>
    <x v="3"/>
    <x v="4"/>
    <x v="4"/>
    <x v="122"/>
    <s v="HYACC 017"/>
    <x v="6"/>
    <s v="النفايات"/>
    <s v="التشغيل"/>
    <s v="هاني لطفي"/>
    <s v="د.ص.ق 4365"/>
    <d v="2018-12-31T00:00:00"/>
    <s v="شركة عبد اللطيف جميل للتمويل"/>
    <s v="JV-00323"/>
    <m/>
    <m/>
    <m/>
    <n v="0"/>
    <m/>
    <n v="0"/>
    <n v="1"/>
    <m/>
    <n v="45948.1"/>
    <n v="45948.1"/>
    <m/>
    <m/>
    <m/>
    <m/>
    <m/>
    <m/>
    <n v="0"/>
    <n v="0"/>
    <n v="1"/>
    <n v="45948.1"/>
    <n v="0.15"/>
    <m/>
    <m/>
    <n v="0"/>
    <n v="0"/>
    <n v="0"/>
    <n v="0"/>
    <m/>
    <n v="0"/>
    <n v="45948.1"/>
  </r>
  <r>
    <n v="407"/>
    <s v="سيارة أكسنت "/>
    <x v="3"/>
    <x v="4"/>
    <x v="4"/>
    <x v="123"/>
    <s v="HYACC 018"/>
    <x v="11"/>
    <s v="النفايات"/>
    <s v="التشغيل"/>
    <s v="محمد مهدي"/>
    <s v="د.ص.ق 4366"/>
    <d v="2018-12-31T00:00:00"/>
    <s v="شركة عبد اللطيف جميل للتمويل"/>
    <s v="JV-00323"/>
    <m/>
    <m/>
    <m/>
    <n v="0"/>
    <m/>
    <n v="0"/>
    <n v="1"/>
    <m/>
    <n v="45948.1"/>
    <n v="45948.1"/>
    <m/>
    <m/>
    <m/>
    <m/>
    <m/>
    <m/>
    <n v="0"/>
    <n v="0"/>
    <n v="1"/>
    <n v="45948.1"/>
    <n v="0.15"/>
    <m/>
    <m/>
    <n v="0"/>
    <n v="0"/>
    <n v="0"/>
    <n v="0"/>
    <m/>
    <n v="0"/>
    <n v="45948.1"/>
  </r>
  <r>
    <n v="408"/>
    <s v="سيارة أكسنت "/>
    <x v="3"/>
    <x v="4"/>
    <x v="4"/>
    <x v="124"/>
    <s v="HYACC 019"/>
    <x v="7"/>
    <s v="النفايات"/>
    <s v="التشغيل"/>
    <s v="محمد الشاعر"/>
    <s v="د.ص.ق 4367"/>
    <d v="2018-12-31T00:00:00"/>
    <s v="شركة عبد اللطيف جميل للتمويل"/>
    <s v="JV-00323"/>
    <m/>
    <m/>
    <m/>
    <n v="0"/>
    <m/>
    <n v="0"/>
    <n v="1"/>
    <m/>
    <n v="45948.1"/>
    <n v="45948.1"/>
    <m/>
    <m/>
    <m/>
    <m/>
    <m/>
    <m/>
    <n v="0"/>
    <n v="0"/>
    <n v="1"/>
    <n v="45948.1"/>
    <n v="0.15"/>
    <m/>
    <m/>
    <n v="0"/>
    <n v="0"/>
    <n v="0"/>
    <n v="0"/>
    <m/>
    <n v="0"/>
    <n v="45948.1"/>
  </r>
  <r>
    <n v="409"/>
    <s v="سيارة أكسنت "/>
    <x v="3"/>
    <x v="4"/>
    <x v="4"/>
    <x v="125"/>
    <s v="HYACC 020"/>
    <x v="6"/>
    <s v="النفايات"/>
    <s v="التشغيل"/>
    <s v="صلاح محمد "/>
    <s v="د.ص.ق 4368"/>
    <d v="2018-12-31T00:00:00"/>
    <s v="شركة عبد اللطيف جميل للتمويل"/>
    <s v="JV-00323"/>
    <m/>
    <m/>
    <m/>
    <n v="0"/>
    <m/>
    <n v="0"/>
    <n v="1"/>
    <m/>
    <n v="45948.1"/>
    <n v="45948.1"/>
    <m/>
    <m/>
    <m/>
    <m/>
    <m/>
    <m/>
    <n v="0"/>
    <n v="0"/>
    <n v="1"/>
    <n v="45948.1"/>
    <n v="0.15"/>
    <m/>
    <s v="في التشغيل"/>
    <n v="0"/>
    <n v="0"/>
    <n v="0"/>
    <n v="0"/>
    <m/>
    <n v="0"/>
    <n v="45948.1"/>
  </r>
  <r>
    <n v="410"/>
    <s v="طابعة Epson "/>
    <x v="3"/>
    <x v="3"/>
    <x v="3"/>
    <x v="3"/>
    <m/>
    <x v="0"/>
    <m/>
    <m/>
    <m/>
    <m/>
    <d v="2018-12-31T00:00:00"/>
    <s v="فيوتشر بوور "/>
    <s v="JV-00312"/>
    <m/>
    <m/>
    <m/>
    <n v="0"/>
    <m/>
    <n v="0"/>
    <n v="1"/>
    <n v="30716"/>
    <n v="2010"/>
    <n v="2010"/>
    <m/>
    <m/>
    <m/>
    <m/>
    <m/>
    <m/>
    <n v="0"/>
    <n v="0"/>
    <n v="1"/>
    <n v="2010"/>
    <n v="0.125"/>
    <m/>
    <m/>
    <n v="0"/>
    <n v="0"/>
    <n v="0"/>
    <n v="0"/>
    <m/>
    <n v="0"/>
    <n v="2010"/>
  </r>
  <r>
    <n v="411"/>
    <s v="جهاز حاسب محمول "/>
    <x v="3"/>
    <x v="3"/>
    <x v="28"/>
    <x v="79"/>
    <m/>
    <x v="4"/>
    <m/>
    <m/>
    <m/>
    <m/>
    <d v="2018-12-31T00:00:00"/>
    <s v="مؤسسة أملاك التراث للتجارة"/>
    <s v="JV-00414"/>
    <m/>
    <m/>
    <m/>
    <n v="0"/>
    <m/>
    <n v="0"/>
    <n v="1"/>
    <n v="6474"/>
    <n v="2300"/>
    <n v="2300"/>
    <m/>
    <m/>
    <m/>
    <m/>
    <m/>
    <m/>
    <n v="0"/>
    <n v="0"/>
    <n v="1"/>
    <n v="2300"/>
    <n v="0.125"/>
    <m/>
    <m/>
    <n v="0"/>
    <n v="0"/>
    <n v="0"/>
    <n v="0"/>
    <m/>
    <n v="0"/>
    <n v="2300"/>
  </r>
  <r>
    <n v="412"/>
    <s v="جوال جراند برايم "/>
    <x v="3"/>
    <x v="3"/>
    <x v="41"/>
    <x v="112"/>
    <m/>
    <x v="0"/>
    <m/>
    <m/>
    <m/>
    <m/>
    <d v="2018-12-31T00:00:00"/>
    <s v="باحة الورد"/>
    <s v="JV-00631"/>
    <m/>
    <m/>
    <m/>
    <n v="0"/>
    <m/>
    <n v="0"/>
    <n v="1"/>
    <n v="40"/>
    <n v="430"/>
    <n v="430"/>
    <m/>
    <m/>
    <m/>
    <m/>
    <m/>
    <m/>
    <n v="0"/>
    <n v="0"/>
    <n v="1"/>
    <n v="430"/>
    <n v="0.125"/>
    <m/>
    <m/>
    <n v="0"/>
    <n v="0"/>
    <n v="0"/>
    <n v="0"/>
    <m/>
    <n v="0"/>
    <n v="430"/>
  </r>
  <r>
    <n v="413"/>
    <s v="كرفانات"/>
    <x v="3"/>
    <x v="0"/>
    <x v="39"/>
    <x v="110"/>
    <m/>
    <x v="2"/>
    <m/>
    <m/>
    <m/>
    <m/>
    <d v="2018-12-31T00:00:00"/>
    <m/>
    <s v="JV-00457"/>
    <m/>
    <m/>
    <m/>
    <n v="0"/>
    <m/>
    <n v="0"/>
    <n v="1"/>
    <m/>
    <n v="16000"/>
    <n v="16000"/>
    <m/>
    <m/>
    <m/>
    <m/>
    <m/>
    <m/>
    <n v="0"/>
    <n v="0"/>
    <n v="1"/>
    <n v="16000"/>
    <n v="0.125"/>
    <m/>
    <m/>
    <n v="0"/>
    <n v="0"/>
    <n v="0"/>
    <n v="0"/>
    <m/>
    <n v="0"/>
    <n v="16000"/>
  </r>
  <r>
    <n v="414"/>
    <s v="صندوق ضاغط 22 ياردة"/>
    <x v="0"/>
    <x v="5"/>
    <x v="5"/>
    <x v="9"/>
    <m/>
    <x v="0"/>
    <s v="النفايات"/>
    <s v="التشغيل"/>
    <s v="ok"/>
    <s v="ب.ح.ك_x000a_6842"/>
    <d v="2017-06-30T00:00:00"/>
    <s v="مصنع الفهاد"/>
    <s v="17-06-2017"/>
    <n v="1"/>
    <n v="10317"/>
    <n v="87000"/>
    <n v="87000"/>
    <n v="10964.384"/>
    <n v="76035.615999999995"/>
    <m/>
    <m/>
    <m/>
    <n v="0"/>
    <m/>
    <m/>
    <m/>
    <m/>
    <m/>
    <m/>
    <n v="0"/>
    <n v="0"/>
    <n v="1"/>
    <n v="87000"/>
    <n v="0.15"/>
    <m/>
    <s v="في التشغيل"/>
    <n v="13050"/>
    <n v="0"/>
    <n v="0"/>
    <n v="0"/>
    <m/>
    <n v="24014.383999999998"/>
    <n v="62985.616000000002"/>
  </r>
  <r>
    <n v="415"/>
    <s v="ضاغط 22 ياردة"/>
    <x v="0"/>
    <x v="5"/>
    <x v="5"/>
    <x v="5"/>
    <m/>
    <x v="0"/>
    <s v="النفايات"/>
    <s v="التشغيل"/>
    <s v="ok"/>
    <s v="ب.ح.ك_x000a_6835"/>
    <d v="2017-06-30T00:00:00"/>
    <s v="مصنع الفهاد"/>
    <s v="17-06-2017"/>
    <n v="1"/>
    <n v="10317"/>
    <n v="87000"/>
    <n v="87000"/>
    <n v="10964.384"/>
    <n v="76035.615999999995"/>
    <m/>
    <m/>
    <m/>
    <n v="0"/>
    <m/>
    <m/>
    <m/>
    <m/>
    <m/>
    <m/>
    <n v="0"/>
    <n v="0"/>
    <n v="1"/>
    <n v="87000"/>
    <n v="0.15"/>
    <m/>
    <s v="في التشغيل"/>
    <n v="13050"/>
    <n v="0"/>
    <n v="0"/>
    <n v="0"/>
    <m/>
    <n v="24014.383999999998"/>
    <n v="62985.616000000002"/>
  </r>
  <r>
    <n v="416"/>
    <s v="صندوق ضاغط 22 ياردة"/>
    <x v="0"/>
    <x v="5"/>
    <x v="5"/>
    <x v="7"/>
    <m/>
    <x v="0"/>
    <s v="النفايات"/>
    <s v="التشغيل"/>
    <s v="ok"/>
    <s v="ب.ح.ك_x000a_6838"/>
    <d v="2017-06-30T00:00:00"/>
    <s v="مصنع الفهاد"/>
    <s v="17-06-2017"/>
    <n v="1"/>
    <n v="10317"/>
    <n v="87000"/>
    <n v="87000"/>
    <n v="10964.384"/>
    <n v="76035.615999999995"/>
    <m/>
    <m/>
    <m/>
    <n v="0"/>
    <m/>
    <m/>
    <m/>
    <m/>
    <m/>
    <m/>
    <n v="0"/>
    <n v="0"/>
    <n v="1"/>
    <n v="87000"/>
    <n v="0.15"/>
    <m/>
    <s v="في التشغيل"/>
    <n v="13050"/>
    <n v="0"/>
    <n v="0"/>
    <n v="0"/>
    <m/>
    <n v="24014.383999999998"/>
    <n v="62985.616000000002"/>
  </r>
  <r>
    <n v="417"/>
    <s v="صندوق ضاغط 22 ياردة"/>
    <x v="0"/>
    <x v="5"/>
    <x v="5"/>
    <x v="8"/>
    <m/>
    <x v="0"/>
    <s v="النفايات"/>
    <s v="التشغيل"/>
    <s v="ok"/>
    <s v="ب.ح.ك_x000a_6840"/>
    <d v="2017-06-30T00:00:00"/>
    <s v="مصنع الفهاد"/>
    <s v="17-06-2017"/>
    <n v="1"/>
    <n v="10317"/>
    <n v="87000"/>
    <n v="87000"/>
    <n v="10964.384"/>
    <n v="76035.615999999995"/>
    <m/>
    <m/>
    <m/>
    <n v="0"/>
    <m/>
    <m/>
    <m/>
    <m/>
    <m/>
    <m/>
    <n v="0"/>
    <n v="0"/>
    <n v="1"/>
    <n v="87000"/>
    <n v="0.15"/>
    <m/>
    <s v="في التشغيل"/>
    <n v="13050"/>
    <n v="0"/>
    <n v="0"/>
    <n v="0"/>
    <m/>
    <n v="24014.383999999998"/>
    <n v="62985.616000000002"/>
  </r>
  <r>
    <n v="418"/>
    <s v="مكبس نفايات مستعمل"/>
    <x v="3"/>
    <x v="5"/>
    <x v="5"/>
    <x v="6"/>
    <m/>
    <x v="0"/>
    <s v="النفايات"/>
    <s v="التشغيل"/>
    <m/>
    <s v="ب.ح.ك_x000a_6836"/>
    <d v="2018-12-31T00:00:00"/>
    <m/>
    <s v="JV-00343"/>
    <m/>
    <m/>
    <m/>
    <n v="0"/>
    <m/>
    <n v="0"/>
    <n v="1"/>
    <m/>
    <n v="9000"/>
    <n v="9000"/>
    <m/>
    <m/>
    <m/>
    <m/>
    <m/>
    <m/>
    <n v="0"/>
    <n v="0"/>
    <n v="1"/>
    <n v="9000"/>
    <n v="0.15"/>
    <m/>
    <m/>
    <n v="0"/>
    <n v="0"/>
    <n v="0"/>
    <n v="0"/>
    <m/>
    <n v="0"/>
    <n v="9000"/>
  </r>
  <r>
    <n v="419"/>
    <s v="مكبس نفايات مستعمل"/>
    <x v="3"/>
    <x v="5"/>
    <x v="5"/>
    <x v="7"/>
    <m/>
    <x v="0"/>
    <s v="النفايات"/>
    <s v="التشغيل"/>
    <m/>
    <s v="ب.ح.ك_x000a_6838"/>
    <d v="2018-12-31T00:00:00"/>
    <m/>
    <s v="JV-00343"/>
    <m/>
    <m/>
    <m/>
    <n v="0"/>
    <m/>
    <n v="0"/>
    <n v="1"/>
    <m/>
    <n v="9000"/>
    <n v="9000"/>
    <m/>
    <m/>
    <m/>
    <m/>
    <m/>
    <m/>
    <n v="0"/>
    <n v="0"/>
    <n v="1"/>
    <n v="9000"/>
    <n v="0.15"/>
    <m/>
    <m/>
    <n v="0"/>
    <n v="0"/>
    <n v="0"/>
    <n v="0"/>
    <m/>
    <n v="0"/>
    <n v="9000"/>
  </r>
  <r>
    <n v="420"/>
    <s v="مكبس نفايات مستعمل"/>
    <x v="3"/>
    <x v="5"/>
    <x v="6"/>
    <x v="12"/>
    <m/>
    <x v="2"/>
    <m/>
    <m/>
    <m/>
    <s v="الشبك"/>
    <d v="2018-12-31T00:00:00"/>
    <m/>
    <s v="JV-00343"/>
    <m/>
    <m/>
    <m/>
    <n v="0"/>
    <m/>
    <n v="0"/>
    <n v="3"/>
    <m/>
    <n v="9000"/>
    <n v="27000"/>
    <m/>
    <m/>
    <m/>
    <m/>
    <m/>
    <m/>
    <n v="0"/>
    <n v="0"/>
    <n v="3"/>
    <n v="27000"/>
    <n v="0.15"/>
    <m/>
    <m/>
    <n v="0"/>
    <n v="0"/>
    <n v="0"/>
    <n v="0"/>
    <m/>
    <n v="0"/>
    <n v="27000"/>
  </r>
  <r>
    <n v="421"/>
    <s v="مكبس نفايات 32 ياردة"/>
    <x v="3"/>
    <x v="5"/>
    <x v="6"/>
    <x v="12"/>
    <m/>
    <x v="2"/>
    <m/>
    <m/>
    <m/>
    <m/>
    <d v="2018-12-31T00:00:00"/>
    <m/>
    <s v="JV-00457"/>
    <m/>
    <m/>
    <m/>
    <n v="0"/>
    <m/>
    <n v="0"/>
    <n v="1"/>
    <m/>
    <n v="107000"/>
    <n v="107000"/>
    <m/>
    <m/>
    <m/>
    <m/>
    <m/>
    <m/>
    <n v="0"/>
    <n v="0"/>
    <n v="1"/>
    <n v="107000"/>
    <n v="0.15"/>
    <m/>
    <m/>
    <n v="0"/>
    <n v="0"/>
    <n v="0"/>
    <n v="0"/>
    <m/>
    <n v="0"/>
    <n v="107000"/>
  </r>
  <r>
    <n v="422"/>
    <s v="ضاغط 10 ياردة مركب على سيارة إيسوزو"/>
    <x v="3"/>
    <x v="5"/>
    <x v="6"/>
    <x v="12"/>
    <m/>
    <x v="2"/>
    <m/>
    <m/>
    <m/>
    <m/>
    <d v="2018-12-31T00:00:00"/>
    <m/>
    <s v="JV-00346"/>
    <m/>
    <m/>
    <m/>
    <n v="0"/>
    <m/>
    <n v="0"/>
    <n v="1"/>
    <m/>
    <n v="120000"/>
    <n v="120000"/>
    <m/>
    <m/>
    <m/>
    <m/>
    <m/>
    <m/>
    <n v="0"/>
    <n v="0"/>
    <n v="1"/>
    <n v="120000"/>
    <n v="0.15"/>
    <m/>
    <m/>
    <n v="0"/>
    <n v="0"/>
    <n v="0"/>
    <n v="0"/>
    <m/>
    <n v="0"/>
    <n v="120000"/>
  </r>
  <r>
    <n v="423"/>
    <s v="شراء جهاز رول ان - سيارة 5754"/>
    <x v="3"/>
    <x v="5"/>
    <x v="6"/>
    <x v="12"/>
    <m/>
    <x v="2"/>
    <m/>
    <m/>
    <m/>
    <m/>
    <d v="2018-12-31T00:00:00"/>
    <m/>
    <s v="JV-00408"/>
    <m/>
    <m/>
    <m/>
    <n v="0"/>
    <m/>
    <n v="0"/>
    <n v="1"/>
    <m/>
    <n v="16000"/>
    <n v="16000"/>
    <m/>
    <m/>
    <m/>
    <m/>
    <m/>
    <m/>
    <n v="0"/>
    <n v="0"/>
    <n v="1"/>
    <n v="16000"/>
    <n v="0.15"/>
    <m/>
    <m/>
    <n v="0"/>
    <n v="0"/>
    <n v="0"/>
    <n v="0"/>
    <m/>
    <n v="0"/>
    <n v="16000"/>
  </r>
  <r>
    <n v="424"/>
    <s v="جهاز روول أون روول أوف"/>
    <x v="3"/>
    <x v="5"/>
    <x v="6"/>
    <x v="12"/>
    <m/>
    <x v="2"/>
    <m/>
    <m/>
    <m/>
    <m/>
    <d v="2018-12-31T00:00:00"/>
    <m/>
    <s v="JV-00438_x000a_JV-00285"/>
    <m/>
    <m/>
    <m/>
    <n v="0"/>
    <m/>
    <n v="0"/>
    <n v="1"/>
    <m/>
    <n v="27095.24"/>
    <n v="27095.24"/>
    <m/>
    <m/>
    <m/>
    <m/>
    <m/>
    <m/>
    <n v="0"/>
    <n v="0"/>
    <n v="1"/>
    <n v="27095.24"/>
    <n v="0.15"/>
    <m/>
    <m/>
    <n v="0"/>
    <n v="0"/>
    <n v="0"/>
    <n v="0"/>
    <m/>
    <n v="0"/>
    <n v="27095.24"/>
  </r>
  <r>
    <n v="425"/>
    <s v="مكبس نفايات أرضي"/>
    <x v="3"/>
    <x v="2"/>
    <x v="18"/>
    <x v="126"/>
    <s v="SA004"/>
    <x v="0"/>
    <s v="أنقاض"/>
    <s v="التشغيل"/>
    <m/>
    <m/>
    <d v="2018-12-31T00:00:00"/>
    <s v="اعتماد مستندي 6201664 - مكابس ارضية عدد 15 مكبس من سابتك"/>
    <s v="JV-00492"/>
    <m/>
    <m/>
    <m/>
    <n v="0"/>
    <m/>
    <n v="0"/>
    <n v="1"/>
    <n v="6201664"/>
    <n v="70494"/>
    <n v="70494"/>
    <m/>
    <m/>
    <m/>
    <m/>
    <m/>
    <m/>
    <n v="0"/>
    <n v="0"/>
    <n v="1"/>
    <n v="70494"/>
    <n v="0.15"/>
    <m/>
    <m/>
    <n v="0"/>
    <n v="0"/>
    <n v="0"/>
    <n v="0"/>
    <m/>
    <n v="0"/>
    <n v="70494"/>
  </r>
  <r>
    <n v="426"/>
    <s v="مكبس نفايات أرضي"/>
    <x v="3"/>
    <x v="2"/>
    <x v="18"/>
    <x v="127"/>
    <s v="SA005"/>
    <x v="0"/>
    <s v="أنقاض"/>
    <s v="التشغيل"/>
    <m/>
    <m/>
    <d v="2018-12-31T00:00:00"/>
    <s v="اعتماد مستندي 6201664 - مكابس ارضية عدد 15 مكبس من سابتك"/>
    <s v="JV-00492"/>
    <m/>
    <m/>
    <m/>
    <n v="0"/>
    <m/>
    <n v="0"/>
    <n v="1"/>
    <n v="6201664"/>
    <n v="70494"/>
    <n v="70494"/>
    <m/>
    <m/>
    <m/>
    <m/>
    <m/>
    <m/>
    <n v="0"/>
    <n v="0"/>
    <n v="1"/>
    <n v="70494"/>
    <n v="0.15"/>
    <m/>
    <m/>
    <n v="0"/>
    <n v="0"/>
    <n v="0"/>
    <n v="0"/>
    <m/>
    <n v="0"/>
    <n v="70494"/>
  </r>
  <r>
    <n v="427"/>
    <s v="مكبس نفايات أرضي"/>
    <x v="3"/>
    <x v="2"/>
    <x v="18"/>
    <x v="128"/>
    <s v="SA006"/>
    <x v="0"/>
    <s v="أنقاض"/>
    <s v="التشغيل"/>
    <m/>
    <m/>
    <d v="2018-12-31T00:00:00"/>
    <s v="اعتماد مستندي 6201664 - مكابس ارضية عدد 15 مكبس من سابتك"/>
    <s v="JV-00492"/>
    <m/>
    <m/>
    <m/>
    <n v="0"/>
    <m/>
    <n v="0"/>
    <n v="1"/>
    <n v="6201664"/>
    <n v="70494"/>
    <n v="70494"/>
    <m/>
    <m/>
    <m/>
    <m/>
    <m/>
    <m/>
    <n v="0"/>
    <n v="0"/>
    <n v="1"/>
    <n v="70494"/>
    <n v="0.15"/>
    <m/>
    <m/>
    <n v="0"/>
    <n v="0"/>
    <n v="0"/>
    <n v="0"/>
    <m/>
    <n v="0"/>
    <n v="70494"/>
  </r>
  <r>
    <n v="428"/>
    <s v="مكبس نفايات أرضي"/>
    <x v="3"/>
    <x v="2"/>
    <x v="18"/>
    <x v="129"/>
    <s v="SA007"/>
    <x v="0"/>
    <s v="أنقاض"/>
    <s v="التشغيل"/>
    <m/>
    <m/>
    <d v="2018-12-31T00:00:00"/>
    <s v="اعتماد مستندي 6201664 - مكابس ارضية عدد 15 مكبس من سابتك"/>
    <s v="JV-00492"/>
    <m/>
    <m/>
    <m/>
    <n v="0"/>
    <m/>
    <n v="0"/>
    <n v="1"/>
    <n v="6201664"/>
    <n v="70494"/>
    <n v="70494"/>
    <m/>
    <m/>
    <m/>
    <m/>
    <m/>
    <m/>
    <n v="0"/>
    <n v="0"/>
    <n v="1"/>
    <n v="70494"/>
    <n v="0.15"/>
    <m/>
    <m/>
    <n v="0"/>
    <n v="0"/>
    <n v="0"/>
    <n v="0"/>
    <m/>
    <n v="0"/>
    <n v="70494"/>
  </r>
  <r>
    <n v="429"/>
    <s v="مكبس نفايات أرضي"/>
    <x v="3"/>
    <x v="2"/>
    <x v="18"/>
    <x v="130"/>
    <s v="SA008"/>
    <x v="0"/>
    <s v="أنقاض"/>
    <s v="التشغيل"/>
    <m/>
    <m/>
    <d v="2018-12-31T00:00:00"/>
    <s v="اعتماد مستندي 6201664 - مكابس ارضية عدد 15 مكبس من سابتك"/>
    <s v="JV-00492"/>
    <m/>
    <m/>
    <m/>
    <n v="0"/>
    <m/>
    <n v="0"/>
    <n v="1"/>
    <n v="6201664"/>
    <n v="70494"/>
    <n v="70494"/>
    <m/>
    <m/>
    <m/>
    <m/>
    <m/>
    <m/>
    <n v="0"/>
    <n v="0"/>
    <n v="1"/>
    <n v="70494"/>
    <n v="0.15"/>
    <m/>
    <m/>
    <n v="0"/>
    <n v="0"/>
    <n v="0"/>
    <n v="0"/>
    <m/>
    <n v="0"/>
    <n v="70494"/>
  </r>
  <r>
    <n v="430"/>
    <s v="مكبس نفايات أرضي"/>
    <x v="3"/>
    <x v="2"/>
    <x v="18"/>
    <x v="131"/>
    <s v="SA009"/>
    <x v="0"/>
    <s v="أنقاض"/>
    <s v="التشغيل"/>
    <m/>
    <m/>
    <d v="2018-12-31T00:00:00"/>
    <s v="اعتماد مستندي 6201664 - مكابس ارضية عدد 15 مكبس من سابتك"/>
    <s v="JV-00492"/>
    <m/>
    <m/>
    <m/>
    <n v="0"/>
    <m/>
    <n v="0"/>
    <n v="1"/>
    <n v="6201664"/>
    <n v="70494"/>
    <n v="70494"/>
    <m/>
    <m/>
    <m/>
    <m/>
    <m/>
    <m/>
    <n v="0"/>
    <n v="0"/>
    <n v="1"/>
    <n v="70494"/>
    <n v="0.15"/>
    <m/>
    <m/>
    <n v="0"/>
    <n v="0"/>
    <n v="0"/>
    <n v="0"/>
    <m/>
    <n v="0"/>
    <n v="70494"/>
  </r>
  <r>
    <n v="431"/>
    <s v="مكبس نفايات أرضي"/>
    <x v="3"/>
    <x v="2"/>
    <x v="18"/>
    <x v="132"/>
    <s v="SA010"/>
    <x v="0"/>
    <s v="أنقاض"/>
    <s v="التشغيل"/>
    <m/>
    <m/>
    <d v="2018-12-31T00:00:00"/>
    <s v="اعتماد مستندي 6201664 - مكابس ارضية عدد 15 مكبس من سابتك"/>
    <s v="JV-00492"/>
    <m/>
    <m/>
    <m/>
    <n v="0"/>
    <m/>
    <n v="0"/>
    <n v="1"/>
    <n v="6201664"/>
    <n v="70494"/>
    <n v="70494"/>
    <m/>
    <m/>
    <m/>
    <m/>
    <m/>
    <m/>
    <n v="0"/>
    <n v="0"/>
    <n v="1"/>
    <n v="70494"/>
    <n v="0.15"/>
    <m/>
    <m/>
    <n v="0"/>
    <n v="0"/>
    <n v="0"/>
    <n v="0"/>
    <m/>
    <n v="0"/>
    <n v="70494"/>
  </r>
  <r>
    <n v="432"/>
    <s v="مكبس نفايات أرضي"/>
    <x v="3"/>
    <x v="2"/>
    <x v="18"/>
    <x v="133"/>
    <s v="SA011"/>
    <x v="0"/>
    <s v="أنقاض"/>
    <s v="التشغيل"/>
    <m/>
    <m/>
    <d v="2018-12-31T00:00:00"/>
    <s v="اعتماد مستندي 6201664 - مكابس ارضية عدد 15 مكبس من سابتك"/>
    <s v="JV-00492"/>
    <m/>
    <m/>
    <m/>
    <n v="0"/>
    <m/>
    <n v="0"/>
    <n v="1"/>
    <n v="6201664"/>
    <n v="70494"/>
    <n v="70494"/>
    <m/>
    <m/>
    <m/>
    <m/>
    <m/>
    <m/>
    <n v="0"/>
    <n v="0"/>
    <n v="1"/>
    <n v="70494"/>
    <n v="0.15"/>
    <m/>
    <m/>
    <n v="0"/>
    <n v="0"/>
    <n v="0"/>
    <n v="0"/>
    <m/>
    <n v="0"/>
    <n v="70494"/>
  </r>
  <r>
    <n v="433"/>
    <s v="مكبس نفايات أرضي"/>
    <x v="3"/>
    <x v="2"/>
    <x v="18"/>
    <x v="134"/>
    <s v="SA012"/>
    <x v="0"/>
    <s v="أنقاض"/>
    <s v="التشغيل"/>
    <m/>
    <m/>
    <d v="2018-12-31T00:00:00"/>
    <s v="اعتماد مستندي 6201664 - مكابس ارضية عدد 15 مكبس من سابتك"/>
    <s v="JV-00492"/>
    <m/>
    <m/>
    <m/>
    <n v="0"/>
    <m/>
    <n v="0"/>
    <n v="1"/>
    <n v="6201664"/>
    <n v="70494"/>
    <n v="70494"/>
    <m/>
    <m/>
    <m/>
    <m/>
    <m/>
    <m/>
    <n v="0"/>
    <n v="0"/>
    <n v="1"/>
    <n v="70494"/>
    <n v="0.15"/>
    <m/>
    <m/>
    <n v="0"/>
    <n v="0"/>
    <n v="0"/>
    <n v="0"/>
    <m/>
    <n v="0"/>
    <n v="70494"/>
  </r>
  <r>
    <n v="434"/>
    <s v="مكبس نفايات أرضي"/>
    <x v="3"/>
    <x v="2"/>
    <x v="18"/>
    <x v="135"/>
    <s v="SA013"/>
    <x v="0"/>
    <s v="أنقاض"/>
    <s v="التشغيل"/>
    <m/>
    <m/>
    <d v="2018-12-31T00:00:00"/>
    <s v="اعتماد مستندي 6201664 - مكابس ارضية عدد 15 مكبس من سابتك"/>
    <s v="JV-00492"/>
    <m/>
    <m/>
    <m/>
    <n v="0"/>
    <m/>
    <n v="0"/>
    <n v="1"/>
    <n v="6201664"/>
    <n v="70494"/>
    <n v="70494"/>
    <m/>
    <m/>
    <m/>
    <m/>
    <m/>
    <m/>
    <n v="0"/>
    <n v="0"/>
    <n v="1"/>
    <n v="70494"/>
    <n v="0.15"/>
    <m/>
    <m/>
    <n v="0"/>
    <n v="0"/>
    <n v="0"/>
    <n v="0"/>
    <m/>
    <n v="0"/>
    <n v="70494"/>
  </r>
  <r>
    <n v="435"/>
    <s v="مكبس نفايات أرضي"/>
    <x v="3"/>
    <x v="2"/>
    <x v="18"/>
    <x v="136"/>
    <s v="SA014"/>
    <x v="0"/>
    <s v="أنقاض"/>
    <s v="التشغيل"/>
    <m/>
    <m/>
    <d v="2018-12-31T00:00:00"/>
    <s v="اعتماد مستندي 6201664 - مكابس ارضية عدد 15 مكبس من سابتك"/>
    <s v="JV-00492"/>
    <m/>
    <m/>
    <m/>
    <n v="0"/>
    <m/>
    <n v="0"/>
    <n v="1"/>
    <n v="6201664"/>
    <n v="70494"/>
    <n v="70494"/>
    <m/>
    <m/>
    <m/>
    <m/>
    <m/>
    <m/>
    <n v="0"/>
    <n v="0"/>
    <n v="1"/>
    <n v="70494"/>
    <n v="0.15"/>
    <m/>
    <m/>
    <n v="0"/>
    <n v="0"/>
    <n v="0"/>
    <n v="0"/>
    <m/>
    <n v="0"/>
    <n v="70494"/>
  </r>
  <r>
    <n v="436"/>
    <s v="مكبس نفايات أرضي"/>
    <x v="3"/>
    <x v="2"/>
    <x v="18"/>
    <x v="137"/>
    <s v="SA015"/>
    <x v="0"/>
    <s v="أنقاض"/>
    <s v="التشغيل"/>
    <m/>
    <m/>
    <d v="2018-12-31T00:00:00"/>
    <s v="اعتماد مستندي 6201664 - مكابس ارضية عدد 15 مكبس من سابتك"/>
    <s v="JV-00492"/>
    <m/>
    <m/>
    <m/>
    <n v="0"/>
    <m/>
    <n v="0"/>
    <n v="1"/>
    <n v="6201664"/>
    <n v="70494"/>
    <n v="70494"/>
    <m/>
    <m/>
    <m/>
    <m/>
    <m/>
    <m/>
    <n v="0"/>
    <n v="0"/>
    <n v="1"/>
    <n v="70494"/>
    <n v="0.15"/>
    <m/>
    <m/>
    <n v="0"/>
    <n v="0"/>
    <n v="0"/>
    <n v="0"/>
    <m/>
    <n v="0"/>
    <n v="70494"/>
  </r>
  <r>
    <n v="437"/>
    <s v="مكبس نفايات أرضي"/>
    <x v="3"/>
    <x v="2"/>
    <x v="18"/>
    <x v="138"/>
    <s v="SA016"/>
    <x v="0"/>
    <s v="أنقاض"/>
    <s v="التشغيل"/>
    <m/>
    <m/>
    <d v="2018-12-31T00:00:00"/>
    <s v="اعتماد مستندي 6201664 - مكابس ارضية عدد 15 مكبس من سابتك"/>
    <s v="JV-00492"/>
    <m/>
    <m/>
    <m/>
    <n v="0"/>
    <m/>
    <n v="0"/>
    <n v="1"/>
    <n v="6201664"/>
    <n v="70494"/>
    <n v="70494"/>
    <m/>
    <m/>
    <m/>
    <m/>
    <m/>
    <m/>
    <n v="0"/>
    <n v="0"/>
    <n v="1"/>
    <n v="70494"/>
    <n v="0.15"/>
    <m/>
    <m/>
    <n v="0"/>
    <n v="0"/>
    <n v="0"/>
    <n v="0"/>
    <m/>
    <n v="0"/>
    <n v="70494"/>
  </r>
  <r>
    <n v="438"/>
    <s v="مكبس نفايات أرضي"/>
    <x v="0"/>
    <x v="2"/>
    <x v="18"/>
    <x v="139"/>
    <s v="SA017"/>
    <x v="4"/>
    <s v="أنقاض"/>
    <s v="التشغيل"/>
    <m/>
    <m/>
    <d v="2017-09-20T00:00:00"/>
    <s v="سابتك"/>
    <s v="21-09-2017"/>
    <n v="1"/>
    <m/>
    <n v="65000"/>
    <n v="65000"/>
    <n v="2724.6575342465749"/>
    <n v="62275.342465753427"/>
    <m/>
    <m/>
    <m/>
    <n v="0"/>
    <m/>
    <m/>
    <m/>
    <m/>
    <m/>
    <m/>
    <n v="0"/>
    <n v="0"/>
    <n v="1"/>
    <n v="65000"/>
    <n v="0.15"/>
    <m/>
    <s v="في التشغيل"/>
    <n v="9750"/>
    <n v="0"/>
    <n v="0"/>
    <n v="0"/>
    <m/>
    <n v="12474.657534246575"/>
    <n v="52525.342465753427"/>
  </r>
  <r>
    <n v="439"/>
    <s v="مكبس نفايات أرضي"/>
    <x v="0"/>
    <x v="2"/>
    <x v="18"/>
    <x v="140"/>
    <s v="SA018"/>
    <x v="4"/>
    <s v="أنقاض"/>
    <s v="التشغيل"/>
    <m/>
    <m/>
    <d v="2017-09-20T00:00:00"/>
    <s v="سابتك"/>
    <s v="21-09-2017"/>
    <n v="1"/>
    <m/>
    <n v="65000"/>
    <n v="65000"/>
    <n v="2724.6575342465749"/>
    <n v="62275.342465753427"/>
    <m/>
    <m/>
    <m/>
    <n v="0"/>
    <m/>
    <m/>
    <m/>
    <m/>
    <m/>
    <m/>
    <n v="0"/>
    <n v="0"/>
    <n v="1"/>
    <n v="65000"/>
    <n v="0.15"/>
    <m/>
    <s v="في التشغيل"/>
    <n v="9750"/>
    <n v="0"/>
    <n v="0"/>
    <n v="0"/>
    <m/>
    <n v="12474.657534246575"/>
    <n v="52525.342465753427"/>
  </r>
  <r>
    <n v="440"/>
    <s v="غسالة "/>
    <x v="3"/>
    <x v="0"/>
    <x v="7"/>
    <x v="14"/>
    <m/>
    <x v="0"/>
    <m/>
    <m/>
    <m/>
    <m/>
    <d v="2018-12-31T00:00:00"/>
    <m/>
    <s v="JV-00637"/>
    <m/>
    <m/>
    <m/>
    <n v="0"/>
    <m/>
    <n v="0"/>
    <n v="1"/>
    <m/>
    <n v="449"/>
    <n v="449"/>
    <m/>
    <m/>
    <m/>
    <m/>
    <m/>
    <m/>
    <n v="0"/>
    <n v="0"/>
    <n v="1"/>
    <n v="449"/>
    <n v="0.125"/>
    <m/>
    <m/>
    <n v="0"/>
    <n v="0"/>
    <n v="0"/>
    <n v="0"/>
    <m/>
    <n v="0"/>
    <n v="449"/>
  </r>
  <r>
    <n v="441"/>
    <s v="غسالة "/>
    <x v="3"/>
    <x v="0"/>
    <x v="7"/>
    <x v="14"/>
    <m/>
    <x v="0"/>
    <m/>
    <m/>
    <m/>
    <m/>
    <d v="2018-12-31T00:00:00"/>
    <s v="مؤسسة رؤية المستقبل"/>
    <s v="JV-00270"/>
    <m/>
    <m/>
    <m/>
    <n v="0"/>
    <m/>
    <n v="0"/>
    <n v="1"/>
    <m/>
    <n v="550"/>
    <n v="550"/>
    <m/>
    <m/>
    <m/>
    <m/>
    <m/>
    <m/>
    <n v="0"/>
    <n v="0"/>
    <n v="1"/>
    <n v="550"/>
    <n v="0.125"/>
    <m/>
    <m/>
    <n v="0"/>
    <n v="0"/>
    <n v="0"/>
    <n v="0"/>
    <m/>
    <n v="0"/>
    <n v="550"/>
  </r>
  <r>
    <n v="442"/>
    <s v="مكيف "/>
    <x v="3"/>
    <x v="0"/>
    <x v="0"/>
    <x v="0"/>
    <m/>
    <x v="0"/>
    <m/>
    <s v="الحركة"/>
    <m/>
    <m/>
    <d v="2018-12-31T00:00:00"/>
    <s v="الحضارات الرائدة"/>
    <s v="JV-00272"/>
    <m/>
    <m/>
    <m/>
    <n v="0"/>
    <m/>
    <n v="0"/>
    <n v="1"/>
    <n v="1575"/>
    <n v="400"/>
    <n v="400"/>
    <m/>
    <m/>
    <m/>
    <m/>
    <m/>
    <m/>
    <n v="0"/>
    <n v="0"/>
    <n v="1"/>
    <n v="400"/>
    <n v="0.125"/>
    <m/>
    <m/>
    <n v="0"/>
    <n v="0"/>
    <n v="0"/>
    <n v="0"/>
    <m/>
    <n v="0"/>
    <n v="400"/>
  </r>
  <r>
    <n v="443"/>
    <s v="شاشات benq led 24"/>
    <x v="3"/>
    <x v="3"/>
    <x v="44"/>
    <x v="141"/>
    <m/>
    <x v="0"/>
    <m/>
    <s v="المالية"/>
    <m/>
    <m/>
    <d v="2018-12-31T00:00:00"/>
    <m/>
    <s v="JV-00438"/>
    <m/>
    <m/>
    <m/>
    <n v="0"/>
    <m/>
    <n v="0"/>
    <n v="2"/>
    <m/>
    <n v="610"/>
    <n v="1220"/>
    <m/>
    <m/>
    <m/>
    <m/>
    <m/>
    <m/>
    <n v="0"/>
    <n v="0"/>
    <n v="2"/>
    <n v="1220"/>
    <n v="0.125"/>
    <m/>
    <m/>
    <n v="0"/>
    <n v="0"/>
    <n v="0"/>
    <n v="0"/>
    <m/>
    <n v="0"/>
    <n v="1220"/>
  </r>
  <r>
    <n v="444"/>
    <s v="ثلاجة 220 لتر "/>
    <x v="3"/>
    <x v="0"/>
    <x v="7"/>
    <x v="14"/>
    <m/>
    <x v="0"/>
    <m/>
    <m/>
    <m/>
    <m/>
    <d v="2018-12-31T00:00:00"/>
    <s v="الحضارات الرائدة"/>
    <s v="JV-00287"/>
    <m/>
    <m/>
    <m/>
    <n v="0"/>
    <m/>
    <n v="0"/>
    <n v="1"/>
    <n v="1593"/>
    <n v="600"/>
    <n v="600"/>
    <m/>
    <m/>
    <m/>
    <m/>
    <m/>
    <m/>
    <n v="0"/>
    <n v="0"/>
    <n v="1"/>
    <n v="600"/>
    <n v="0.125"/>
    <m/>
    <m/>
    <n v="0"/>
    <n v="0"/>
    <n v="0"/>
    <n v="0"/>
    <m/>
    <n v="0"/>
    <n v="600"/>
  </r>
  <r>
    <n v="445"/>
    <s v="كرسي مكتبي"/>
    <x v="3"/>
    <x v="0"/>
    <x v="0"/>
    <x v="0"/>
    <m/>
    <x v="7"/>
    <m/>
    <m/>
    <m/>
    <m/>
    <d v="2018-12-31T00:00:00"/>
    <m/>
    <s v="JV-00273"/>
    <m/>
    <m/>
    <m/>
    <n v="0"/>
    <m/>
    <n v="0"/>
    <n v="1"/>
    <m/>
    <n v="150"/>
    <n v="150"/>
    <m/>
    <m/>
    <m/>
    <m/>
    <m/>
    <m/>
    <n v="0"/>
    <n v="0"/>
    <n v="1"/>
    <n v="150"/>
    <n v="0.125"/>
    <m/>
    <m/>
    <n v="0"/>
    <n v="0"/>
    <n v="0"/>
    <n v="0"/>
    <m/>
    <n v="0"/>
    <n v="150"/>
  </r>
  <r>
    <n v="446"/>
    <s v="خزينة ملفات حديد "/>
    <x v="3"/>
    <x v="0"/>
    <x v="0"/>
    <x v="0"/>
    <m/>
    <x v="0"/>
    <m/>
    <s v="الموارد البشرية"/>
    <m/>
    <m/>
    <d v="2018-12-31T00:00:00"/>
    <s v="مؤسسة نبراس المستقبل"/>
    <s v="JV-00272"/>
    <m/>
    <m/>
    <m/>
    <n v="0"/>
    <m/>
    <n v="0"/>
    <n v="1"/>
    <n v="472"/>
    <n v="1100"/>
    <n v="1100"/>
    <m/>
    <m/>
    <m/>
    <m/>
    <m/>
    <m/>
    <n v="0"/>
    <n v="0"/>
    <n v="1"/>
    <n v="1100"/>
    <n v="0.125"/>
    <m/>
    <m/>
    <n v="0"/>
    <n v="0"/>
    <n v="0"/>
    <n v="0"/>
    <m/>
    <n v="0"/>
    <n v="1100"/>
  </r>
  <r>
    <n v="447"/>
    <s v="مكيف هام جداري "/>
    <x v="3"/>
    <x v="0"/>
    <x v="0"/>
    <x v="0"/>
    <m/>
    <x v="0"/>
    <m/>
    <s v="المدير العام "/>
    <m/>
    <m/>
    <d v="2018-12-31T00:00:00"/>
    <m/>
    <s v="JV-00342"/>
    <m/>
    <m/>
    <m/>
    <n v="0"/>
    <m/>
    <n v="0"/>
    <n v="1"/>
    <m/>
    <n v="1852"/>
    <n v="1852"/>
    <m/>
    <m/>
    <m/>
    <m/>
    <m/>
    <m/>
    <n v="0"/>
    <n v="0"/>
    <n v="1"/>
    <n v="1852"/>
    <n v="0.125"/>
    <m/>
    <m/>
    <n v="0"/>
    <n v="0"/>
    <n v="0"/>
    <n v="0"/>
    <m/>
    <n v="0"/>
    <n v="1852"/>
  </r>
  <r>
    <n v="448"/>
    <s v="شاشة تلفزيون 55 بوصة هام "/>
    <x v="3"/>
    <x v="3"/>
    <x v="45"/>
    <x v="142"/>
    <m/>
    <x v="0"/>
    <m/>
    <s v="المدير العام "/>
    <m/>
    <m/>
    <d v="2018-12-31T00:00:00"/>
    <m/>
    <s v="JV-00342"/>
    <m/>
    <m/>
    <m/>
    <n v="0"/>
    <m/>
    <n v="0"/>
    <n v="1"/>
    <m/>
    <n v="1399"/>
    <n v="1399"/>
    <m/>
    <m/>
    <m/>
    <m/>
    <m/>
    <m/>
    <n v="0"/>
    <n v="0"/>
    <n v="1"/>
    <n v="1399"/>
    <n v="0.125"/>
    <m/>
    <m/>
    <n v="0"/>
    <n v="0"/>
    <n v="0"/>
    <n v="0"/>
    <m/>
    <n v="0"/>
    <n v="1399"/>
  </r>
  <r>
    <n v="461"/>
    <s v="شاحنة 22 ياردة "/>
    <x v="3"/>
    <x v="5"/>
    <x v="6"/>
    <x v="12"/>
    <m/>
    <x v="2"/>
    <m/>
    <m/>
    <m/>
    <m/>
    <d v="2018-12-31T00:00:00"/>
    <m/>
    <s v="JV-00597"/>
    <m/>
    <m/>
    <m/>
    <n v="0"/>
    <m/>
    <n v="0"/>
    <n v="1"/>
    <m/>
    <n v="106644"/>
    <n v="106644"/>
    <m/>
    <m/>
    <m/>
    <m/>
    <m/>
    <m/>
    <n v="0"/>
    <n v="0"/>
    <n v="1"/>
    <n v="106644"/>
    <n v="0.15"/>
    <m/>
    <m/>
    <n v="0"/>
    <n v="0"/>
    <n v="0"/>
    <n v="0"/>
    <m/>
    <n v="0"/>
    <n v="106644"/>
  </r>
  <r>
    <n v="450"/>
    <s v="حاويات مقاس 02 ياردة "/>
    <x v="3"/>
    <x v="1"/>
    <x v="1"/>
    <x v="1"/>
    <m/>
    <x v="0"/>
    <m/>
    <m/>
    <m/>
    <m/>
    <d v="2018-12-31T00:00:00"/>
    <s v="شركة مصنع وسائط النقل للمنتجات المعدنية "/>
    <s v="JV-00425"/>
    <m/>
    <m/>
    <m/>
    <n v="0"/>
    <m/>
    <n v="0"/>
    <n v="10"/>
    <n v="176"/>
    <n v="1000"/>
    <n v="10000"/>
    <m/>
    <m/>
    <m/>
    <m/>
    <m/>
    <m/>
    <n v="0"/>
    <n v="0"/>
    <n v="10"/>
    <n v="10000"/>
    <n v="0.125"/>
    <m/>
    <m/>
    <n v="0"/>
    <n v="0"/>
    <n v="0"/>
    <n v="0"/>
    <m/>
    <n v="0"/>
    <n v="10000"/>
  </r>
  <r>
    <n v="451"/>
    <s v="حاويات مقاس 02 ياردة "/>
    <x v="3"/>
    <x v="1"/>
    <x v="1"/>
    <x v="1"/>
    <m/>
    <x v="0"/>
    <m/>
    <m/>
    <m/>
    <m/>
    <d v="2018-12-31T00:00:00"/>
    <s v="شركة مصنع وسائط النقل للمنتجات المعدنية "/>
    <s v="JV-00425"/>
    <m/>
    <m/>
    <m/>
    <n v="0"/>
    <m/>
    <n v="0"/>
    <n v="30"/>
    <n v="177"/>
    <n v="700"/>
    <n v="21000"/>
    <m/>
    <m/>
    <m/>
    <m/>
    <m/>
    <m/>
    <n v="0"/>
    <n v="0"/>
    <n v="30"/>
    <n v="21000"/>
    <n v="0.125"/>
    <m/>
    <m/>
    <n v="0"/>
    <n v="0"/>
    <n v="0"/>
    <n v="0"/>
    <m/>
    <n v="0"/>
    <n v="21000"/>
  </r>
  <r>
    <n v="452"/>
    <s v="حاويات مقاس 02 ياردة "/>
    <x v="3"/>
    <x v="1"/>
    <x v="1"/>
    <x v="1"/>
    <m/>
    <x v="0"/>
    <m/>
    <m/>
    <m/>
    <m/>
    <d v="2018-12-31T00:00:00"/>
    <s v="شركة مصنع وسائط النقل للمنتجات المعدنية "/>
    <s v="JV-00426"/>
    <m/>
    <m/>
    <m/>
    <n v="0"/>
    <m/>
    <n v="0"/>
    <n v="40"/>
    <n v="216"/>
    <n v="700"/>
    <n v="28000"/>
    <m/>
    <m/>
    <m/>
    <m/>
    <m/>
    <m/>
    <n v="0"/>
    <n v="0"/>
    <n v="40"/>
    <n v="28000"/>
    <n v="0.125"/>
    <m/>
    <m/>
    <n v="0"/>
    <n v="0"/>
    <n v="0"/>
    <n v="0"/>
    <m/>
    <n v="0"/>
    <n v="28000"/>
  </r>
  <r>
    <n v="453"/>
    <s v="حاويات مقاس 02 ياردة "/>
    <x v="3"/>
    <x v="1"/>
    <x v="1"/>
    <x v="1"/>
    <m/>
    <x v="0"/>
    <m/>
    <m/>
    <m/>
    <m/>
    <d v="2018-12-31T00:00:00"/>
    <s v="شركة مصنع مقاييس الدقة للمعدات"/>
    <s v="JV-00410"/>
    <m/>
    <m/>
    <m/>
    <n v="0"/>
    <m/>
    <n v="0"/>
    <n v="80"/>
    <m/>
    <n v="640"/>
    <n v="51200"/>
    <m/>
    <m/>
    <m/>
    <m/>
    <m/>
    <m/>
    <n v="0"/>
    <n v="0"/>
    <n v="80"/>
    <n v="51200"/>
    <n v="0.125"/>
    <m/>
    <m/>
    <n v="0"/>
    <n v="0"/>
    <n v="0"/>
    <n v="0"/>
    <m/>
    <n v="0"/>
    <n v="51200"/>
  </r>
  <r>
    <n v="454"/>
    <s v="حاويات مقاس 02 ياردة "/>
    <x v="3"/>
    <x v="1"/>
    <x v="1"/>
    <x v="1"/>
    <m/>
    <x v="0"/>
    <m/>
    <m/>
    <m/>
    <m/>
    <d v="2018-12-31T00:00:00"/>
    <s v="شركة الفهاد للمعدات و السيارات"/>
    <s v="JV-00457"/>
    <m/>
    <m/>
    <m/>
    <n v="0"/>
    <m/>
    <n v="0"/>
    <n v="250"/>
    <n v="180349"/>
    <n v="690"/>
    <n v="172500"/>
    <m/>
    <m/>
    <m/>
    <m/>
    <m/>
    <m/>
    <n v="0"/>
    <n v="0"/>
    <n v="250"/>
    <n v="172500"/>
    <n v="0.125"/>
    <m/>
    <m/>
    <n v="0"/>
    <n v="0"/>
    <n v="0"/>
    <n v="0"/>
    <m/>
    <n v="0"/>
    <n v="172500"/>
  </r>
  <r>
    <n v="455"/>
    <s v="حاويات مقاس 02 ياردة "/>
    <x v="3"/>
    <x v="1"/>
    <x v="1"/>
    <x v="1"/>
    <m/>
    <x v="0"/>
    <m/>
    <m/>
    <m/>
    <m/>
    <d v="2018-12-31T00:00:00"/>
    <s v="شركة مصنع وسائط النقل للمنتجات المعدنية "/>
    <s v="JV-00439"/>
    <m/>
    <m/>
    <m/>
    <n v="0"/>
    <m/>
    <n v="0"/>
    <n v="50"/>
    <n v="282"/>
    <n v="700"/>
    <n v="35000"/>
    <m/>
    <m/>
    <m/>
    <m/>
    <m/>
    <m/>
    <n v="0"/>
    <n v="0"/>
    <n v="50"/>
    <n v="35000"/>
    <n v="0.125"/>
    <m/>
    <m/>
    <n v="0"/>
    <n v="0"/>
    <n v="0"/>
    <n v="0"/>
    <m/>
    <n v="0"/>
    <n v="35000"/>
  </r>
  <r>
    <n v="456"/>
    <s v="حاويات مقاس 02 ياردة بغطاء"/>
    <x v="3"/>
    <x v="1"/>
    <x v="1"/>
    <x v="1"/>
    <m/>
    <x v="0"/>
    <m/>
    <m/>
    <m/>
    <m/>
    <d v="2018-12-31T00:00:00"/>
    <s v="شركة مصنع وسائط النقل للمنتجات المعدنية "/>
    <s v="JV-00425"/>
    <m/>
    <m/>
    <m/>
    <n v="0"/>
    <m/>
    <n v="0"/>
    <n v="9"/>
    <n v="177"/>
    <n v="1000"/>
    <n v="9000"/>
    <m/>
    <m/>
    <m/>
    <m/>
    <m/>
    <m/>
    <n v="0"/>
    <n v="0"/>
    <n v="9"/>
    <n v="9000"/>
    <n v="0.125"/>
    <m/>
    <m/>
    <n v="0"/>
    <n v="0"/>
    <n v="0"/>
    <n v="0"/>
    <m/>
    <n v="0"/>
    <n v="9000"/>
  </r>
  <r>
    <n v="457"/>
    <s v="حاويات مقاس 02 ياردة بغطاء"/>
    <x v="3"/>
    <x v="1"/>
    <x v="1"/>
    <x v="1"/>
    <m/>
    <x v="0"/>
    <m/>
    <m/>
    <m/>
    <m/>
    <d v="2018-12-31T00:00:00"/>
    <s v="شركة مصنع وسائط النقل للمنتجات المعدنية "/>
    <s v="JV-00426"/>
    <m/>
    <m/>
    <m/>
    <n v="0"/>
    <m/>
    <n v="0"/>
    <n v="5"/>
    <n v="216"/>
    <n v="1000"/>
    <n v="5000"/>
    <m/>
    <m/>
    <m/>
    <m/>
    <m/>
    <m/>
    <n v="0"/>
    <n v="0"/>
    <n v="5"/>
    <n v="5000"/>
    <n v="0.125"/>
    <m/>
    <m/>
    <n v="0"/>
    <n v="0"/>
    <n v="0"/>
    <n v="0"/>
    <m/>
    <n v="0"/>
    <n v="5000"/>
  </r>
  <r>
    <n v="458"/>
    <s v="حاويات مقاس 02 ياردة بغطاء"/>
    <x v="3"/>
    <x v="1"/>
    <x v="1"/>
    <x v="1"/>
    <m/>
    <x v="0"/>
    <m/>
    <m/>
    <m/>
    <m/>
    <d v="2018-12-31T00:00:00"/>
    <s v="شركة مصنع وسائط النقل للمنتجات المعدنية "/>
    <s v="JV-00426"/>
    <m/>
    <m/>
    <m/>
    <n v="0"/>
    <m/>
    <n v="0"/>
    <n v="8"/>
    <n v="221"/>
    <n v="1000"/>
    <n v="8000"/>
    <m/>
    <m/>
    <m/>
    <m/>
    <m/>
    <m/>
    <n v="0"/>
    <n v="0"/>
    <n v="8"/>
    <n v="8000"/>
    <n v="0.125"/>
    <m/>
    <m/>
    <n v="0"/>
    <n v="0"/>
    <n v="0"/>
    <n v="0"/>
    <m/>
    <n v="0"/>
    <n v="8000"/>
  </r>
  <r>
    <n v="461"/>
    <s v="حاويات مقاس 02 ياردة "/>
    <x v="3"/>
    <x v="1"/>
    <x v="1"/>
    <x v="1"/>
    <m/>
    <x v="0"/>
    <m/>
    <m/>
    <m/>
    <m/>
    <d v="2018-12-31T00:00:00"/>
    <s v="مؤسسة كلد الدولية للمقاولات "/>
    <s v="JV-00425"/>
    <m/>
    <m/>
    <m/>
    <n v="0"/>
    <m/>
    <n v="0"/>
    <n v="100"/>
    <n v="148"/>
    <n v="700"/>
    <n v="70000"/>
    <m/>
    <m/>
    <m/>
    <m/>
    <m/>
    <m/>
    <n v="0"/>
    <n v="0"/>
    <n v="100"/>
    <n v="70000"/>
    <n v="0.125"/>
    <m/>
    <m/>
    <n v="0"/>
    <n v="0"/>
    <n v="0"/>
    <n v="0"/>
    <m/>
    <n v="0"/>
    <n v="70000"/>
  </r>
  <r>
    <n v="461"/>
    <s v="المباني"/>
    <x v="3"/>
    <x v="9"/>
    <x v="46"/>
    <x v="143"/>
    <m/>
    <x v="0"/>
    <m/>
    <m/>
    <m/>
    <m/>
    <d v="2018-01-01T00:00:00"/>
    <m/>
    <s v="JV-00630"/>
    <m/>
    <m/>
    <m/>
    <n v="0"/>
    <m/>
    <n v="0"/>
    <n v="1"/>
    <m/>
    <n v="24868"/>
    <n v="24868"/>
    <m/>
    <m/>
    <m/>
    <m/>
    <m/>
    <m/>
    <n v="0"/>
    <n v="0"/>
    <n v="1"/>
    <n v="24868"/>
    <n v="0.1"/>
    <m/>
    <m/>
    <n v="2479.9868493150689"/>
    <n v="0"/>
    <n v="0"/>
    <n v="0"/>
    <m/>
    <n v="2479.9868493150689"/>
    <n v="22388.013150684932"/>
  </r>
  <r>
    <n v="461"/>
    <s v="المباني"/>
    <x v="3"/>
    <x v="9"/>
    <x v="46"/>
    <x v="143"/>
    <m/>
    <x v="0"/>
    <m/>
    <m/>
    <m/>
    <m/>
    <d v="2018-01-01T00:00:00"/>
    <m/>
    <s v="JV-00631"/>
    <m/>
    <m/>
    <m/>
    <n v="0"/>
    <m/>
    <n v="0"/>
    <n v="1"/>
    <m/>
    <n v="62150"/>
    <n v="62150"/>
    <m/>
    <m/>
    <m/>
    <m/>
    <m/>
    <m/>
    <n v="0"/>
    <n v="0"/>
    <n v="1"/>
    <n v="62150"/>
    <n v="0.1"/>
    <m/>
    <m/>
    <n v="6197.9726027397255"/>
    <n v="0"/>
    <n v="0"/>
    <n v="0"/>
    <m/>
    <n v="6197.9726027397255"/>
    <n v="55952.027397260274"/>
  </r>
  <r>
    <s v=""/>
    <m/>
    <x v="7"/>
    <x v="10"/>
    <x v="22"/>
    <x v="144"/>
    <m/>
    <x v="2"/>
    <m/>
    <m/>
    <m/>
    <m/>
    <m/>
    <m/>
    <m/>
    <m/>
    <m/>
    <m/>
    <n v="0"/>
    <m/>
    <s v=""/>
    <m/>
    <m/>
    <m/>
    <n v="0"/>
    <m/>
    <m/>
    <m/>
    <m/>
    <m/>
    <m/>
    <n v="0"/>
    <n v="0"/>
    <n v="0"/>
    <n v="0"/>
    <m/>
    <m/>
    <m/>
    <e v="#VALUE!"/>
    <n v="0"/>
    <n v="0"/>
    <n v="0"/>
    <m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89913A-CC59-4F85-9064-8A9882FCD0FA}" name="PivotTable1" cacheId="9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14" firstHeaderRow="0" firstDataRow="1" firstDataCol="1" rowPageCount="1" colPageCount="1"/>
  <pivotFields count="45">
    <pivotField numFmtId="1" showAll="0"/>
    <pivotField showAll="0"/>
    <pivotField axis="axisPage" multipleItemSelectionAllowed="1" showAll="0">
      <items count="9">
        <item x="3"/>
        <item h="1" x="1"/>
        <item x="5"/>
        <item x="0"/>
        <item h="1" x="6"/>
        <item h="1" x="4"/>
        <item h="1" x="2"/>
        <item h="1" x="7"/>
        <item t="default"/>
      </items>
    </pivotField>
    <pivotField axis="axisRow" showAll="0">
      <items count="19">
        <item sd="0" x="0"/>
        <item sd="0" m="1" x="13"/>
        <item sd="0" m="1" x="12"/>
        <item sd="0" x="3"/>
        <item sd="0" x="6"/>
        <item sd="0" m="1" x="11"/>
        <item sd="0" m="1" x="17"/>
        <item sd="0" x="5"/>
        <item sd="0" x="4"/>
        <item sd="0" x="8"/>
        <item sd="0" x="7"/>
        <item sd="0" x="2"/>
        <item sd="0" m="1" x="14"/>
        <item sd="0" x="1"/>
        <item sd="0" m="1" x="16"/>
        <item sd="0" x="9"/>
        <item sd="0" m="1" x="15"/>
        <item x="10"/>
        <item t="default"/>
      </items>
    </pivotField>
    <pivotField axis="axisRow" showAll="0">
      <items count="72">
        <item x="1"/>
        <item sd="0" x="12"/>
        <item sd="0" x="13"/>
        <item sd="0" x="32"/>
        <item sd="0" x="31"/>
        <item sd="0" x="37"/>
        <item sd="0" x="20"/>
        <item x="34"/>
        <item sd="0" x="7"/>
        <item sd="0" x="0"/>
        <item sd="0" x="43"/>
        <item sd="0" x="28"/>
        <item sd="0" x="40"/>
        <item sd="0" m="1" x="68"/>
        <item sd="0" x="8"/>
        <item sd="0" x="39"/>
        <item sd="0" x="41"/>
        <item m="1" x="64"/>
        <item sd="0" x="6"/>
        <item m="1" x="49"/>
        <item sd="0" x="3"/>
        <item sd="0" m="1" x="59"/>
        <item m="1" x="61"/>
        <item x="22"/>
        <item sd="0" x="42"/>
        <item x="2"/>
        <item x="9"/>
        <item m="1" x="48"/>
        <item m="1" x="67"/>
        <item m="1" x="63"/>
        <item x="4"/>
        <item x="24"/>
        <item x="25"/>
        <item sd="0" x="29"/>
        <item x="38"/>
        <item x="46"/>
        <item m="1" x="52"/>
        <item x="44"/>
        <item x="45"/>
        <item sd="0" m="1" x="53"/>
        <item sd="0" m="1" x="56"/>
        <item sd="0" m="1" x="55"/>
        <item sd="0" m="1" x="62"/>
        <item sd="0" m="1" x="69"/>
        <item sd="0" m="1" x="51"/>
        <item sd="0" m="1" x="58"/>
        <item m="1" x="60"/>
        <item m="1" x="70"/>
        <item m="1" x="54"/>
        <item m="1" x="47"/>
        <item m="1" x="50"/>
        <item m="1" x="66"/>
        <item m="1" x="65"/>
        <item m="1" x="57"/>
        <item sd="0" x="5"/>
        <item x="10"/>
        <item x="11"/>
        <item sd="0" x="15"/>
        <item x="16"/>
        <item x="17"/>
        <item sd="0" x="26"/>
        <item x="27"/>
        <item sd="0" x="30"/>
        <item sd="0" x="35"/>
        <item x="21"/>
        <item x="23"/>
        <item x="36"/>
        <item x="14"/>
        <item x="18"/>
        <item x="19"/>
        <item x="33"/>
        <item t="default"/>
      </items>
    </pivotField>
    <pivotField axis="axisRow" showAll="0">
      <items count="151">
        <item x="65"/>
        <item x="66"/>
        <item x="73"/>
        <item x="72"/>
        <item x="76"/>
        <item x="114"/>
        <item x="69"/>
        <item x="70"/>
        <item x="68"/>
        <item x="71"/>
        <item x="67"/>
        <item x="29"/>
        <item x="54"/>
        <item x="53"/>
        <item x="143"/>
        <item x="1"/>
        <item x="26"/>
        <item x="27"/>
        <item x="97"/>
        <item x="113"/>
        <item x="96"/>
        <item x="108"/>
        <item x="55"/>
        <item x="100"/>
        <item x="14"/>
        <item x="0"/>
        <item x="115"/>
        <item x="79"/>
        <item x="111"/>
        <item x="15"/>
        <item x="25"/>
        <item x="24"/>
        <item x="62"/>
        <item x="31"/>
        <item x="110"/>
        <item m="1" x="145"/>
        <item x="112"/>
        <item x="12"/>
        <item x="74"/>
        <item x="142"/>
        <item x="141"/>
        <item x="80"/>
        <item m="1" x="148"/>
        <item x="77"/>
        <item x="78"/>
        <item x="20"/>
        <item x="21"/>
        <item x="23"/>
        <item x="60"/>
        <item x="61"/>
        <item x="101"/>
        <item x="102"/>
        <item x="7"/>
        <item x="10"/>
        <item x="8"/>
        <item x="9"/>
        <item x="13"/>
        <item x="5"/>
        <item x="6"/>
        <item x="11"/>
        <item x="3"/>
        <item x="109"/>
        <item x="95"/>
        <item x="94"/>
        <item x="93"/>
        <item x="2"/>
        <item m="1" x="147"/>
        <item m="1" x="146"/>
        <item m="1" x="149"/>
        <item x="30"/>
        <item x="22"/>
        <item x="59"/>
        <item x="58"/>
        <item x="16"/>
        <item x="18"/>
        <item x="19"/>
        <item x="56"/>
        <item x="57"/>
        <item x="63"/>
        <item x="64"/>
        <item x="75"/>
        <item x="104"/>
        <item x="105"/>
        <item x="106"/>
        <item x="107"/>
        <item x="121"/>
        <item x="123"/>
        <item x="144"/>
        <item x="4"/>
        <item x="17"/>
        <item x="103"/>
        <item x="116"/>
        <item x="117"/>
        <item x="118"/>
        <item x="119"/>
        <item x="120"/>
        <item x="122"/>
        <item x="124"/>
        <item x="125"/>
        <item x="28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8"/>
        <item x="99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t="default"/>
      </items>
    </pivotField>
    <pivotField showAll="0"/>
    <pivotField axis="axisRow" showAll="0">
      <items count="13">
        <item sd="0" x="5"/>
        <item sd="0" x="4"/>
        <item sd="0" x="11"/>
        <item sd="0" x="0"/>
        <item sd="0" x="10"/>
        <item sd="0" x="3"/>
        <item sd="0" x="1"/>
        <item sd="0" x="6"/>
        <item sd="0" x="8"/>
        <item sd="0" x="7"/>
        <item sd="0" x="9"/>
        <item sd="0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7" showAll="0"/>
    <pivotField dataField="1" showAll="0"/>
    <pivotField dataField="1" numFmtId="167" showAll="0"/>
    <pivotField showAll="0"/>
    <pivotField showAll="0"/>
    <pivotField showAll="0"/>
    <pivotField dataField="1" numFmtId="167" showAll="0"/>
    <pivotField showAll="0"/>
    <pivotField showAll="0"/>
    <pivotField showAll="0"/>
    <pivotField showAll="0"/>
    <pivotField showAll="0"/>
    <pivotField showAll="0"/>
    <pivotField dataField="1" showAll="0"/>
    <pivotField name="اهلاك المستبعد" showAll="0"/>
    <pivotField numFmtId="167"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</pivotFields>
  <rowFields count="4">
    <field x="3"/>
    <field x="4"/>
    <field x="7"/>
    <field x="5"/>
  </rowFields>
  <rowItems count="11">
    <i>
      <x/>
    </i>
    <i>
      <x v="3"/>
    </i>
    <i>
      <x v="4"/>
    </i>
    <i>
      <x v="7"/>
    </i>
    <i>
      <x v="8"/>
    </i>
    <i>
      <x v="9"/>
    </i>
    <i>
      <x v="10"/>
    </i>
    <i>
      <x v="11"/>
    </i>
    <i>
      <x v="13"/>
    </i>
    <i>
      <x v="15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2" hier="-1"/>
  </pageFields>
  <dataFields count="9">
    <dataField name="Sum of الإجمالي" fld="18" baseField="4" baseItem="2" numFmtId="43"/>
    <dataField name="Sum of مجمع الاهلاك _x000a_في 01-01-2018" fld="19" baseField="0" baseItem="0" numFmtId="166"/>
    <dataField name="Sum of القيمة الدفترية _x000a_في 01-01-2018" fld="20" baseField="0" baseItem="0" numFmtId="166"/>
    <dataField name="Sum of إجمالي الإضافات" fld="24" baseField="0" baseItem="0" numFmtId="166"/>
    <dataField name="Sum of إجمالي المستبعد" fld="31" baseField="4" baseItem="0" numFmtId="43"/>
    <dataField name="Sum of الإجمالي الصافي" fld="34" baseField="4" baseItem="0" numFmtId="43"/>
    <dataField name="Sum of مصروف الاهلاك 2018" fld="38" baseField="4" baseItem="5" numFmtId="43"/>
    <dataField name="Sum of مجمع الاهلاك" fld="43" baseField="4" baseItem="8" numFmtId="43"/>
    <dataField name="Sum of القيمة الدفترية " fld="44" baseField="4" baseItem="8" numFmtId="43"/>
  </dataFields>
  <formats count="29">
    <format dxfId="472">
      <pivotArea outline="0" collapsedLevelsAreSubtotals="1" fieldPosition="0"/>
    </format>
    <format dxfId="471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470">
      <pivotArea dataOnly="0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469">
      <pivotArea field="3" type="button" dataOnly="0" labelOnly="1" outline="0" axis="axisRow" fieldPosition="0"/>
    </format>
    <format dxfId="468">
      <pivotArea dataOnly="0" labelOnly="1" fieldPosition="0">
        <references count="1">
          <reference field="3" count="0"/>
        </references>
      </pivotArea>
    </format>
    <format dxfId="467">
      <pivotArea dataOnly="0" labelOnly="1" grandRow="1" outline="0" fieldPosition="0"/>
    </format>
    <format dxfId="466">
      <pivotArea dataOnly="0" labelOnly="1" fieldPosition="0">
        <references count="2">
          <reference field="3" count="1" selected="0">
            <x v="8"/>
          </reference>
          <reference field="7" count="8">
            <x v="0"/>
            <x v="1"/>
            <x v="2"/>
            <x v="3"/>
            <x v="5"/>
            <x v="6"/>
            <x v="7"/>
            <x v="9"/>
          </reference>
        </references>
      </pivotArea>
    </format>
    <format dxfId="465">
      <pivotArea outline="0" fieldPosition="0">
        <references count="1">
          <reference field="4294967294" count="1">
            <x v="5"/>
          </reference>
        </references>
      </pivotArea>
    </format>
    <format dxfId="464">
      <pivotArea outline="0" fieldPosition="0">
        <references count="1">
          <reference field="4294967294" count="1">
            <x v="4"/>
          </reference>
        </references>
      </pivotArea>
    </format>
    <format dxfId="463">
      <pivotArea outline="0" fieldPosition="0">
        <references count="1">
          <reference field="4294967294" count="1">
            <x v="0"/>
          </reference>
        </references>
      </pivotArea>
    </format>
    <format dxfId="462">
      <pivotArea outline="0" fieldPosition="0">
        <references count="1">
          <reference field="4294967294" count="1">
            <x v="6"/>
          </reference>
        </references>
      </pivotArea>
    </format>
    <format dxfId="461">
      <pivotArea outline="0" fieldPosition="0">
        <references count="1">
          <reference field="4294967294" count="1">
            <x v="7"/>
          </reference>
        </references>
      </pivotArea>
    </format>
    <format dxfId="460">
      <pivotArea outline="0" fieldPosition="0">
        <references count="1">
          <reference field="4294967294" count="1">
            <x v="8"/>
          </reference>
        </references>
      </pivotArea>
    </format>
    <format dxfId="459">
      <pivotArea field="3" type="button" dataOnly="0" labelOnly="1" outline="0" axis="axisRow" fieldPosition="0"/>
    </format>
    <format dxfId="458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457">
      <pivotArea field="3" type="button" dataOnly="0" labelOnly="1" outline="0" axis="axisRow" fieldPosition="0"/>
    </format>
    <format dxfId="456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455">
      <pivotArea field="3" type="button" dataOnly="0" labelOnly="1" outline="0" axis="axisRow" fieldPosition="0"/>
    </format>
    <format dxfId="454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453">
      <pivotArea collapsedLevelsAreSubtotals="1" fieldPosition="0">
        <references count="2">
          <reference field="4294967294" count="1" selected="0">
            <x v="6"/>
          </reference>
          <reference field="3" count="1">
            <x v="7"/>
          </reference>
        </references>
      </pivotArea>
    </format>
    <format dxfId="452">
      <pivotArea collapsedLevelsAreSubtotals="1" fieldPosition="0">
        <references count="2">
          <reference field="4294967294" count="1" selected="0">
            <x v="6"/>
          </reference>
          <reference field="3" count="1">
            <x v="8"/>
          </reference>
        </references>
      </pivotArea>
    </format>
    <format dxfId="451">
      <pivotArea collapsedLevelsAreSubtotals="1" fieldPosition="0">
        <references count="2">
          <reference field="4294967294" count="1" selected="0">
            <x v="6"/>
          </reference>
          <reference field="3" count="1">
            <x v="9"/>
          </reference>
        </references>
      </pivotArea>
    </format>
    <format dxfId="450">
      <pivotArea collapsedLevelsAreSubtotals="1" fieldPosition="0">
        <references count="2">
          <reference field="4294967294" count="1" selected="0">
            <x v="6"/>
          </reference>
          <reference field="3" count="1">
            <x v="10"/>
          </reference>
        </references>
      </pivotArea>
    </format>
    <format dxfId="449">
      <pivotArea collapsedLevelsAreSubtotals="1" fieldPosition="0">
        <references count="2">
          <reference field="4294967294" count="1" selected="0">
            <x v="6"/>
          </reference>
          <reference field="3" count="1">
            <x v="11"/>
          </reference>
        </references>
      </pivotArea>
    </format>
    <format dxfId="448">
      <pivotArea collapsedLevelsAreSubtotals="1" fieldPosition="0">
        <references count="2">
          <reference field="4294967294" count="1" selected="0">
            <x v="6"/>
          </reference>
          <reference field="3" count="1">
            <x v="12"/>
          </reference>
        </references>
      </pivotArea>
    </format>
    <format dxfId="447">
      <pivotArea collapsedLevelsAreSubtotals="1" fieldPosition="0">
        <references count="2">
          <reference field="4294967294" count="1" selected="0">
            <x v="0"/>
          </reference>
          <reference field="3" count="1">
            <x v="12"/>
          </reference>
        </references>
      </pivotArea>
    </format>
    <format dxfId="446">
      <pivotArea collapsedLevelsAreSubtotals="1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445">
      <pivotArea collapsedLevelsAreSubtotals="1" fieldPosition="0">
        <references count="2">
          <reference field="4294967294" count="1" selected="0">
            <x v="0"/>
          </reference>
          <reference field="3" count="1">
            <x v="3"/>
          </reference>
        </references>
      </pivotArea>
    </format>
    <format dxfId="444">
      <pivotArea collapsedLevelsAreSubtotals="1" fieldPosition="0">
        <references count="2">
          <reference field="4294967294" count="1" selected="0">
            <x v="0"/>
          </reference>
          <reference field="3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CBC1FC-1895-409B-B37E-BD79A2166D42}" name="Table5101345411" displayName="Table5101345411" ref="A5:AS468" totalsRowCount="1" headerRowDxfId="440" dataDxfId="439" totalsRowDxfId="438" totalsRowBorderDxfId="437" headerRowCellStyle="Comma" dataCellStyle="Comma">
  <autoFilter ref="A5:AS467" xr:uid="{00000000-0009-0000-0100-000001000000}"/>
  <sortState xmlns:xlrd2="http://schemas.microsoft.com/office/spreadsheetml/2017/richdata2" ref="A48:AS444">
    <sortCondition ref="G5:G467"/>
  </sortState>
  <tableColumns count="45">
    <tableColumn id="1" xr3:uid="{5217855E-1A60-4E47-90D2-35134CBB2A56}" name="م" totalsRowLabel="Total" dataDxfId="436" totalsRowDxfId="435">
      <calculatedColumnFormula>IF(B6="","",SUBTOTAL(3,$B$6:B6))</calculatedColumnFormula>
    </tableColumn>
    <tableColumn id="2" xr3:uid="{CA357942-462D-4E2C-AB8D-E89934D55DB0}" name="الأصل" dataDxfId="434" totalsRowDxfId="433"/>
    <tableColumn id="27" xr3:uid="{C43F565E-3D48-4568-A66C-DDFB8987982E}" name="المالك" dataDxfId="432" totalsRowDxfId="431"/>
    <tableColumn id="3" xr3:uid="{A19E782F-6A93-4148-9DB7-92E1473E0BD0}" name="مجموعة الاصول" dataDxfId="430" totalsRowDxfId="429" dataCellStyle="Normal 6"/>
    <tableColumn id="34" xr3:uid="{A8D0DD32-21C9-4556-9924-F051F0627176}" name="الرئيسية" dataDxfId="428" totalsRowDxfId="427" dataCellStyle="Normal 6"/>
    <tableColumn id="30" xr3:uid="{6BBD4D99-0880-489D-BFFE-069A69C5A66A}" name="الفرعي" dataDxfId="426" totalsRowDxfId="425" dataCellStyle="Normal 6"/>
    <tableColumn id="45" xr3:uid="{E5D07093-424B-4098-ABF8-06A8FDACA168}" name="الكود" totalsRowDxfId="424"/>
    <tableColumn id="4" xr3:uid="{6ABF50F6-DA4A-48E7-99E6-CE54C7E7019A}" name="المشروع" dataDxfId="423" totalsRowDxfId="422"/>
    <tableColumn id="21" xr3:uid="{8B9C2D53-F119-4308-BE62-A9222ABDFC99}" name="القطاع" dataDxfId="421" totalsRowDxfId="420"/>
    <tableColumn id="5" xr3:uid="{7B4A56EE-31AF-4C03-99D8-03F38EF79D54}" name="الإدارة" dataDxfId="419" totalsRowDxfId="418"/>
    <tableColumn id="6" xr3:uid="{4FD30185-9083-4864-9858-E2C3620005EA}" name="المستخدم" dataDxfId="417" totalsRowDxfId="416"/>
    <tableColumn id="7" xr3:uid="{C58B7B3A-4C8A-40A7-B9F0-BDC7F26A2162}" name="plate" dataDxfId="415" totalsRowDxfId="414"/>
    <tableColumn id="8" xr3:uid="{D3EAB1D3-48FA-46DC-97E6-250722AE745D}" name="تاريخ الشراء-الاستلام" dataDxfId="413" totalsRowDxfId="412"/>
    <tableColumn id="9" xr3:uid="{88F307B7-95DF-4096-A6AA-094AE529FA47}" name="المورد" dataDxfId="411" totalsRowDxfId="410"/>
    <tableColumn id="20" xr3:uid="{B696F0E7-093F-4D15-86FC-83E1F394FEA0}" name="قيد الاثبات" dataDxfId="409" totalsRowDxfId="408" dataCellStyle="Normal 6"/>
    <tableColumn id="10" xr3:uid="{358F9E39-0F4B-4D20-B843-ED3C458C402D}" name="الكمية" dataDxfId="407" totalsRowDxfId="406"/>
    <tableColumn id="26" xr3:uid="{43586BE6-83D4-40F1-A1C2-201ADD1CC2F1}" name="رقم الفاتورة" dataDxfId="405" totalsRowDxfId="404"/>
    <tableColumn id="11" xr3:uid="{B22CAA52-7197-467B-A1F0-762E2A8BFE07}" name="سعر/الحبة" dataDxfId="403" totalsRowDxfId="402" dataCellStyle="Comma"/>
    <tableColumn id="12" xr3:uid="{40707210-B06F-483C-9D70-29882446E515}" name="الإجمالي" dataDxfId="401" totalsRowDxfId="400" dataCellStyle="Comma">
      <calculatedColumnFormula>R6*P6</calculatedColumnFormula>
    </tableColumn>
    <tableColumn id="17" xr3:uid="{D5B5E6ED-CEAF-464E-9B06-4A49811EBBCD}" name="مجمع الاهلاك _x000a_في 01-01-2018" dataDxfId="399" totalsRowDxfId="398" dataCellStyle="Comma"/>
    <tableColumn id="18" xr3:uid="{0FCA4016-F963-4692-BFDC-A0A5225F25CD}" name="القيمة الدفترية _x000a_في 01-01-2018" dataDxfId="397" totalsRowDxfId="396" dataCellStyle="Comma">
      <calculatedColumnFormula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الشراء-الاستلام]]&lt;DATE(2018,1,1),S6-T6,0))</calculatedColumnFormula>
    </tableColumn>
    <tableColumn id="41" xr3:uid="{BEA4CFDA-5305-4188-BC50-E87928FFDF55}" name="عدد الإضافات" dataDxfId="395" totalsRowDxfId="394" dataCellStyle="Comma"/>
    <tableColumn id="42" xr3:uid="{2DE60D66-EA12-45A4-9D6F-7FD398D01C90}" name="الفاتورة للإضافة" dataDxfId="393" totalsRowDxfId="392" dataCellStyle="Comma"/>
    <tableColumn id="43" xr3:uid="{89CB0500-8656-450F-AF38-6F8215FA3F6C}" name="سعر الحبة المضافة" dataDxfId="391" totalsRowDxfId="390" dataCellStyle="Comma"/>
    <tableColumn id="44" xr3:uid="{C275632A-0BEB-4299-A988-F20AC91C2EC8}" name="إجمالي الإضافات" dataDxfId="389" totalsRowDxfId="388" dataCellStyle="Comma">
      <calculatedColumnFormula>Table5101345411[[#This Row],[عدد الإضافات]]*Table5101345411[[#This Row],[سعر الحبة المضافة]]</calculatedColumnFormula>
    </tableColumn>
    <tableColumn id="32" xr3:uid="{13D06767-301F-458F-9412-31885A4E51C9}" name="رقم القيد" dataDxfId="387" totalsRowDxfId="386" dataCellStyle="Comma"/>
    <tableColumn id="33" xr3:uid="{64A14EE0-B9D9-42D0-81B1-842CE332187E}" name="التاريخ" dataDxfId="385" totalsRowDxfId="384" dataCellStyle="Comma"/>
    <tableColumn id="13" xr3:uid="{8312AB76-DD1B-4FE6-ABDD-F02CDB6AF9F3}" name="العدد" dataDxfId="383" totalsRowDxfId="382" dataCellStyle="Comma"/>
    <tableColumn id="22" xr3:uid="{56E78D8B-7016-4CA3-AA69-16A4D4A0195D}" name="عن طريق" dataDxfId="381" totalsRowDxfId="380" dataCellStyle="Comma"/>
    <tableColumn id="40" xr3:uid="{4FFD25AB-02DC-4CD8-A2E3-6A823BF6654B}" name="مبلغ البيع" dataDxfId="379" totalsRowDxfId="378" dataCellStyle="Comma"/>
    <tableColumn id="23" xr3:uid="{35AC2E1C-25E8-49EB-BF0B-F48D1B78F52E}" name="قيمة الشراء" dataDxfId="377" totalsRowDxfId="376" dataCellStyle="Comma"/>
    <tableColumn id="28" xr3:uid="{9976D20B-1AC3-43E0-B651-372F9052463B}" name="إجمالي المستبعد" dataDxfId="375" totalsRowDxfId="374" dataCellStyle="Comma">
      <calculatedColumnFormula>Table5101345411[[#This Row],[العدد]]*Table5101345411[[#This Row],[قيمة الشراء]]</calculatedColumnFormula>
    </tableColumn>
    <tableColumn id="36" xr3:uid="{2B129466-ED33-46F4-B1A7-ABD6DAAB8AB1}" name="اهلاك المستبعد_x000a_في 2018" dataDxfId="373" totalsRowDxfId="372" dataCellStyle="Comma">
      <calculatedColumnFormula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calculatedColumnFormula>
    </tableColumn>
    <tableColumn id="29" xr3:uid="{6F87A051-BB46-44B3-AEB7-BF05DEA488D8}" name="العدد2" dataDxfId="371" totalsRowDxfId="370" dataCellStyle="Comma">
      <calculatedColumnFormula>Table5101345411[[#This Row],[الكمية]]+Table5101345411[[#This Row],[عدد الإضافات]]-Table5101345411[[#This Row],[العدد]]</calculatedColumnFormula>
    </tableColumn>
    <tableColumn id="31" xr3:uid="{C2E5D74A-8F62-45DF-B867-C627E6B76561}" name="الإجمالي الصافي" dataDxfId="369" totalsRowDxfId="368" dataCellStyle="Comma">
      <calculatedColumnFormula>Table5101345411[[#This Row],[الإجمالي]]+Table5101345411[[#This Row],[إجمالي الإضافات]]-Table5101345411[[#This Row],[إجمالي المستبعد]]</calculatedColumnFormula>
    </tableColumn>
    <tableColumn id="14" xr3:uid="{FCC48992-8447-4E3C-AA1E-EB57B5453DEC}" name="العمر الافتراضي" dataDxfId="367" totalsRowDxfId="366"/>
    <tableColumn id="15" xr3:uid="{9B8EDABA-B3A0-40BC-A3EF-8AF0FF69C4C8}" name="كود الاصل" dataDxfId="365" totalsRowDxfId="364"/>
    <tableColumn id="16" xr3:uid="{35A7B990-01F0-4552-8716-47BE41390808}" name="حالة الاصل" dataDxfId="363" totalsRowDxfId="362"/>
    <tableColumn id="19" xr3:uid="{14FF2020-14B9-4692-9866-75C69956AA7C}" name="مصروف الاهلاك 2018" dataDxfId="361" totalsRowDxfId="360" dataCellStyle="Comma">
      <calculatedColumnFormula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calculatedColumnFormula>
    </tableColumn>
    <tableColumn id="37" xr3:uid="{AD232B90-07A6-4CCF-B5B2-0CF4A9741782}" name="مجمع إهلاك المستبعد _x000a_01-01-2018" dataDxfId="359" totalsRowDxfId="358" dataCellStyle="Comma">
      <calculatedColumnFormula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calculatedColumnFormula>
    </tableColumn>
    <tableColumn id="39" xr3:uid="{5B8ABD30-CA7B-40C3-94E1-7012FD547633}" name="مجمع إهلاك المستبعد _x000a_بتاريخ الأستبعاد" dataDxfId="357" totalsRowDxfId="356" dataCellStyle="Comma">
      <calculatedColumnFormula>Table5101345411[[#This Row],[اهلاك المستبعد
في 2018]]+Table5101345411[[#This Row],[مجمع إهلاك المستبعد 
01-01-2018]]</calculatedColumnFormula>
    </tableColumn>
    <tableColumn id="38" xr3:uid="{F2272463-12F6-462A-849B-E6BFEB64FDC7}" name="الربح/الخسارة من الاستبعاد" dataDxfId="355" totalsRowDxfId="354" dataCellStyle="Comma">
      <calculatedColumnFormula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calculatedColumnFormula>
    </tableColumn>
    <tableColumn id="35" xr3:uid="{F339F4DD-5375-445C-BF32-5205F323483F}" name="رقم قيد الأهلاك" dataDxfId="353" totalsRowDxfId="352" dataCellStyle="Comma"/>
    <tableColumn id="24" xr3:uid="{71761233-6099-49FD-AE47-6D3B73ED5E87}" name="مجمع الاهلاك_x000a_في 31-12-2018" dataDxfId="351" totalsRowDxfId="350" dataCellStyle="Comma">
      <calculatedColumnFormula>IF(OR(Table5101345411[[#This Row],[تاريخ الشراء-الاستلام]]="",Table5101345411[[#This Row],[الإجمالي]]="",Table5101345411[[#This Row],[العمر الافتراضي]]=""),"",IF(((T6+AM6)-Table5101345411[[#This Row],[مجمع إهلاك المستبعد 
بتاريخ الأستبعاد]])&lt;=0,0,((T6+AM6)-Table5101345411[[#This Row],[مجمع إهلاك المستبعد 
بتاريخ الأستبعاد]])))</calculatedColumnFormula>
    </tableColumn>
    <tableColumn id="25" xr3:uid="{3B86D9A7-D5D5-4C67-937D-3D557367A0A7}" name="القيمة الدفترية _x000a_في 31-12-2018" totalsRowFunction="count" dataDxfId="349" totalsRowDxfId="348" dataCellStyle="Comma">
      <calculatedColumnFormula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الشراء-الاستلام]]&gt;DATE(2018,12,31),0,AI6-AR6)))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table" Target="../tables/table1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7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EF761-E80D-458F-AB82-7EA1F09149DE}">
  <dimension ref="A1:K121"/>
  <sheetViews>
    <sheetView tabSelected="1" zoomScaleNormal="100" workbookViewId="0">
      <selection activeCell="P6" sqref="P6"/>
    </sheetView>
  </sheetViews>
  <sheetFormatPr defaultRowHeight="15"/>
  <cols>
    <col min="1" max="1" width="22.140625" style="43" bestFit="1" customWidth="1"/>
    <col min="2" max="2" width="17.85546875" style="41" bestFit="1" customWidth="1"/>
    <col min="3" max="3" width="13.28515625" style="41" bestFit="1" customWidth="1"/>
    <col min="4" max="4" width="19.5703125" style="41" bestFit="1" customWidth="1"/>
    <col min="5" max="5" width="13.28515625" style="41" bestFit="1" customWidth="1"/>
    <col min="6" max="6" width="12.7109375" style="41" bestFit="1" customWidth="1"/>
    <col min="7" max="7" width="14.28515625" style="41" bestFit="1" customWidth="1"/>
    <col min="8" max="8" width="14.140625" style="41" bestFit="1" customWidth="1"/>
    <col min="9" max="9" width="13.28515625" style="41" bestFit="1" customWidth="1"/>
    <col min="10" max="10" width="14.28515625" style="41" bestFit="1" customWidth="1"/>
    <col min="11" max="11" width="17.85546875" style="41" bestFit="1" customWidth="1"/>
    <col min="12" max="12" width="9.85546875" style="41" bestFit="1" customWidth="1"/>
    <col min="13" max="14" width="9.42578125" style="41" bestFit="1" customWidth="1"/>
    <col min="15" max="15" width="10" style="41" bestFit="1" customWidth="1"/>
    <col min="16" max="16" width="9.28515625" style="41" bestFit="1" customWidth="1"/>
    <col min="17" max="17" width="10" style="41" bestFit="1" customWidth="1"/>
    <col min="18" max="18" width="9.5703125" style="41" bestFit="1" customWidth="1"/>
    <col min="19" max="19" width="9.42578125" style="41" bestFit="1" customWidth="1"/>
    <col min="20" max="20" width="9.7109375" style="41" bestFit="1" customWidth="1"/>
    <col min="21" max="21" width="10" style="41" bestFit="1" customWidth="1"/>
    <col min="22" max="22" width="8.7109375" style="41" bestFit="1" customWidth="1"/>
    <col min="23" max="23" width="9.7109375" style="41" bestFit="1" customWidth="1"/>
    <col min="24" max="24" width="8.5703125" style="41" bestFit="1" customWidth="1"/>
    <col min="25" max="25" width="9.5703125" style="41" bestFit="1" customWidth="1"/>
    <col min="26" max="26" width="8.42578125" style="41" bestFit="1" customWidth="1"/>
    <col min="27" max="28" width="8.85546875" style="41" bestFit="1" customWidth="1"/>
    <col min="29" max="29" width="9.7109375" style="41" bestFit="1" customWidth="1"/>
    <col min="30" max="30" width="9.42578125" style="41" bestFit="1" customWidth="1"/>
    <col min="31" max="32" width="10" style="41" bestFit="1" customWidth="1"/>
    <col min="33" max="33" width="8.7109375" style="41" bestFit="1" customWidth="1"/>
    <col min="34" max="34" width="10.28515625" style="41" bestFit="1" customWidth="1"/>
    <col min="35" max="35" width="7.85546875" style="41" bestFit="1" customWidth="1"/>
    <col min="36" max="36" width="8.7109375" style="41" bestFit="1" customWidth="1"/>
    <col min="37" max="37" width="10.28515625" style="41" bestFit="1" customWidth="1"/>
    <col min="38" max="38" width="8.42578125" style="41" bestFit="1" customWidth="1"/>
    <col min="39" max="40" width="9.42578125" style="41" bestFit="1" customWidth="1"/>
    <col min="41" max="41" width="10" style="41" bestFit="1" customWidth="1"/>
    <col min="42" max="42" width="8.28515625" style="41" bestFit="1" customWidth="1"/>
    <col min="43" max="45" width="9.7109375" style="41" bestFit="1" customWidth="1"/>
    <col min="46" max="46" width="9.5703125" style="41" bestFit="1" customWidth="1"/>
    <col min="47" max="47" width="8.42578125" style="41" bestFit="1" customWidth="1"/>
    <col min="48" max="49" width="8.85546875" style="41" bestFit="1" customWidth="1"/>
    <col min="50" max="50" width="9.85546875" style="41" bestFit="1" customWidth="1"/>
    <col min="51" max="51" width="9" style="41" bestFit="1" customWidth="1"/>
    <col min="52" max="52" width="8.85546875" style="41" bestFit="1" customWidth="1"/>
    <col min="53" max="53" width="9.85546875" style="41" bestFit="1" customWidth="1"/>
    <col min="54" max="54" width="9.28515625" style="41" bestFit="1" customWidth="1"/>
    <col min="55" max="55" width="9.5703125" style="41" bestFit="1" customWidth="1"/>
    <col min="56" max="56" width="10.28515625" style="41" bestFit="1" customWidth="1"/>
    <col min="57" max="57" width="8.85546875" style="41" bestFit="1" customWidth="1"/>
    <col min="58" max="58" width="9.7109375" style="41" bestFit="1" customWidth="1"/>
    <col min="59" max="59" width="10.28515625" style="41" bestFit="1" customWidth="1"/>
    <col min="60" max="60" width="9.85546875" style="41" bestFit="1" customWidth="1"/>
    <col min="61" max="61" width="8.42578125" style="41" bestFit="1" customWidth="1"/>
    <col min="62" max="62" width="9" style="41" bestFit="1" customWidth="1"/>
    <col min="63" max="63" width="8.7109375" style="41" bestFit="1" customWidth="1"/>
    <col min="64" max="64" width="9.7109375" style="41" bestFit="1" customWidth="1"/>
    <col min="65" max="65" width="7.85546875" style="41" bestFit="1" customWidth="1"/>
    <col min="66" max="66" width="8.42578125" style="41" bestFit="1" customWidth="1"/>
    <col min="67" max="68" width="9.28515625" style="41" bestFit="1" customWidth="1"/>
    <col min="69" max="69" width="10" style="41" bestFit="1" customWidth="1"/>
    <col min="70" max="70" width="8.28515625" style="41" bestFit="1" customWidth="1"/>
    <col min="71" max="71" width="10.28515625" style="41" bestFit="1" customWidth="1"/>
    <col min="72" max="72" width="8.7109375" style="41" bestFit="1" customWidth="1"/>
    <col min="73" max="73" width="10" style="41" bestFit="1" customWidth="1"/>
    <col min="74" max="74" width="9.28515625" style="41" bestFit="1" customWidth="1"/>
    <col min="75" max="75" width="9.42578125" style="41" bestFit="1" customWidth="1"/>
    <col min="76" max="77" width="8.7109375" style="41" bestFit="1" customWidth="1"/>
    <col min="78" max="78" width="10" style="41" bestFit="1" customWidth="1"/>
    <col min="79" max="79" width="9.85546875" style="41" bestFit="1" customWidth="1"/>
    <col min="80" max="80" width="9.42578125" style="41" bestFit="1" customWidth="1"/>
    <col min="81" max="82" width="8.28515625" style="41" bestFit="1" customWidth="1"/>
    <col min="83" max="83" width="9.42578125" style="41" bestFit="1" customWidth="1"/>
    <col min="84" max="84" width="9.28515625" style="41" bestFit="1" customWidth="1"/>
    <col min="85" max="85" width="10" style="41" bestFit="1" customWidth="1"/>
    <col min="86" max="86" width="9.7109375" style="41" bestFit="1" customWidth="1"/>
    <col min="87" max="87" width="8.85546875" style="41" bestFit="1" customWidth="1"/>
    <col min="88" max="88" width="10" style="41" bestFit="1" customWidth="1"/>
    <col min="89" max="89" width="8.28515625" style="41" bestFit="1" customWidth="1"/>
    <col min="90" max="90" width="10" style="41" bestFit="1" customWidth="1"/>
    <col min="91" max="91" width="9.42578125" style="41" bestFit="1" customWidth="1"/>
    <col min="92" max="92" width="10.28515625" style="41" bestFit="1" customWidth="1"/>
    <col min="93" max="93" width="9.28515625" style="41" bestFit="1" customWidth="1"/>
    <col min="94" max="94" width="8.42578125" style="41" bestFit="1" customWidth="1"/>
    <col min="95" max="95" width="9.7109375" style="41" bestFit="1" customWidth="1"/>
    <col min="96" max="96" width="8.42578125" style="41" bestFit="1" customWidth="1"/>
    <col min="97" max="97" width="9" style="41" bestFit="1" customWidth="1"/>
    <col min="98" max="99" width="10" style="41" bestFit="1" customWidth="1"/>
    <col min="100" max="100" width="8.7109375" style="41" bestFit="1" customWidth="1"/>
    <col min="101" max="101" width="9.7109375" style="41" bestFit="1" customWidth="1"/>
    <col min="102" max="102" width="9.5703125" style="41" bestFit="1" customWidth="1"/>
    <col min="103" max="103" width="10.28515625" style="41" bestFit="1" customWidth="1"/>
    <col min="104" max="104" width="9.85546875" style="41" bestFit="1" customWidth="1"/>
    <col min="105" max="106" width="10" style="41" bestFit="1" customWidth="1"/>
    <col min="107" max="107" width="9.5703125" style="41" bestFit="1" customWidth="1"/>
    <col min="108" max="108" width="9.28515625" style="41" bestFit="1" customWidth="1"/>
    <col min="109" max="109" width="10" style="41" bestFit="1" customWidth="1"/>
    <col min="110" max="110" width="9.85546875" style="41" bestFit="1" customWidth="1"/>
    <col min="111" max="111" width="9.7109375" style="41" bestFit="1" customWidth="1"/>
    <col min="112" max="112" width="9.42578125" style="41" bestFit="1" customWidth="1"/>
    <col min="113" max="113" width="9.28515625" style="41" bestFit="1" customWidth="1"/>
    <col min="114" max="114" width="9.7109375" style="41" bestFit="1" customWidth="1"/>
    <col min="115" max="115" width="9.85546875" style="41" bestFit="1" customWidth="1"/>
    <col min="116" max="116" width="9.5703125" style="41" bestFit="1" customWidth="1"/>
    <col min="117" max="117" width="10.28515625" style="41" bestFit="1" customWidth="1"/>
    <col min="118" max="118" width="8.42578125" style="41" bestFit="1" customWidth="1"/>
    <col min="119" max="120" width="9.42578125" style="41" bestFit="1" customWidth="1"/>
    <col min="121" max="121" width="7.85546875" style="41" bestFit="1" customWidth="1"/>
    <col min="122" max="122" width="8.85546875" style="41" bestFit="1" customWidth="1"/>
    <col min="123" max="124" width="8.7109375" style="41" bestFit="1" customWidth="1"/>
    <col min="125" max="125" width="9.42578125" style="41" bestFit="1" customWidth="1"/>
    <col min="126" max="126" width="9" style="41" bestFit="1" customWidth="1"/>
    <col min="127" max="127" width="9.85546875" style="41" bestFit="1" customWidth="1"/>
    <col min="128" max="128" width="10.28515625" style="41" bestFit="1" customWidth="1"/>
    <col min="129" max="129" width="9.7109375" style="41" bestFit="1" customWidth="1"/>
    <col min="130" max="130" width="7.85546875" style="41" bestFit="1" customWidth="1"/>
    <col min="131" max="131" width="9.5703125" style="41" bestFit="1" customWidth="1"/>
    <col min="132" max="132" width="8.42578125" style="41" bestFit="1" customWidth="1"/>
    <col min="133" max="133" width="8.85546875" style="41" bestFit="1" customWidth="1"/>
    <col min="134" max="134" width="9.42578125" style="41" bestFit="1" customWidth="1"/>
    <col min="135" max="135" width="7.85546875" style="41" bestFit="1" customWidth="1"/>
    <col min="136" max="136" width="10" style="41" bestFit="1" customWidth="1"/>
    <col min="137" max="138" width="8.85546875" style="41" bestFit="1" customWidth="1"/>
    <col min="139" max="139" width="10.28515625" style="41" bestFit="1" customWidth="1"/>
    <col min="140" max="140" width="9.5703125" style="41" bestFit="1" customWidth="1"/>
    <col min="141" max="141" width="8.7109375" style="41" bestFit="1" customWidth="1"/>
    <col min="142" max="142" width="7.85546875" style="41" bestFit="1" customWidth="1"/>
    <col min="143" max="143" width="10" style="41" bestFit="1" customWidth="1"/>
    <col min="144" max="144" width="9.7109375" style="41" bestFit="1" customWidth="1"/>
    <col min="145" max="145" width="8.85546875" style="41" bestFit="1" customWidth="1"/>
    <col min="146" max="146" width="10" style="41" bestFit="1" customWidth="1"/>
    <col min="147" max="147" width="9.42578125" style="41" bestFit="1" customWidth="1"/>
    <col min="148" max="148" width="7.85546875" style="41" bestFit="1" customWidth="1"/>
    <col min="149" max="149" width="10" style="41" bestFit="1" customWidth="1"/>
    <col min="150" max="150" width="8.7109375" style="41" bestFit="1" customWidth="1"/>
    <col min="151" max="151" width="8.85546875" style="41" bestFit="1" customWidth="1"/>
    <col min="152" max="152" width="9.5703125" style="41" bestFit="1" customWidth="1"/>
    <col min="153" max="153" width="8.85546875" style="41" bestFit="1" customWidth="1"/>
    <col min="154" max="154" width="9.5703125" style="41" bestFit="1" customWidth="1"/>
    <col min="155" max="155" width="7.85546875" style="41" bestFit="1" customWidth="1"/>
    <col min="156" max="156" width="8.42578125" style="41" bestFit="1" customWidth="1"/>
    <col min="157" max="157" width="8.5703125" style="41" bestFit="1" customWidth="1"/>
    <col min="158" max="158" width="9.85546875" style="41" bestFit="1" customWidth="1"/>
    <col min="159" max="159" width="8.28515625" style="41" bestFit="1" customWidth="1"/>
    <col min="160" max="160" width="9.85546875" style="41" bestFit="1" customWidth="1"/>
    <col min="161" max="161" width="9.28515625" style="41" bestFit="1" customWidth="1"/>
    <col min="162" max="164" width="9.7109375" style="41" bestFit="1" customWidth="1"/>
    <col min="165" max="165" width="9.85546875" style="41" bestFit="1" customWidth="1"/>
    <col min="166" max="166" width="9.28515625" style="41" bestFit="1" customWidth="1"/>
    <col min="167" max="167" width="9.42578125" style="41" bestFit="1" customWidth="1"/>
    <col min="168" max="168" width="8.5703125" style="41" bestFit="1" customWidth="1"/>
    <col min="169" max="169" width="7.85546875" style="41" bestFit="1" customWidth="1"/>
    <col min="170" max="170" width="9.7109375" style="41" bestFit="1" customWidth="1"/>
    <col min="171" max="171" width="10" style="41" bestFit="1" customWidth="1"/>
    <col min="172" max="172" width="9.7109375" style="41" bestFit="1" customWidth="1"/>
    <col min="173" max="173" width="9" style="41" bestFit="1" customWidth="1"/>
    <col min="174" max="174" width="10.28515625" style="41" bestFit="1" customWidth="1"/>
    <col min="175" max="175" width="9.85546875" style="41" bestFit="1" customWidth="1"/>
    <col min="176" max="176" width="9.7109375" style="41" bestFit="1" customWidth="1"/>
    <col min="177" max="177" width="9.42578125" style="41" bestFit="1" customWidth="1"/>
    <col min="178" max="178" width="8.85546875" style="41" bestFit="1" customWidth="1"/>
    <col min="179" max="179" width="8.7109375" style="41" bestFit="1" customWidth="1"/>
    <col min="180" max="180" width="8.85546875" style="41" bestFit="1" customWidth="1"/>
    <col min="181" max="181" width="9" style="41" bestFit="1" customWidth="1"/>
    <col min="182" max="182" width="9.42578125" style="41" bestFit="1" customWidth="1"/>
    <col min="183" max="183" width="8.85546875" style="41" bestFit="1" customWidth="1"/>
    <col min="184" max="184" width="8.7109375" style="41" bestFit="1" customWidth="1"/>
    <col min="185" max="186" width="8.42578125" style="41" bestFit="1" customWidth="1"/>
    <col min="187" max="187" width="8.7109375" style="41" bestFit="1" customWidth="1"/>
    <col min="188" max="188" width="9.42578125" style="41" bestFit="1" customWidth="1"/>
    <col min="189" max="189" width="9.28515625" style="41" bestFit="1" customWidth="1"/>
    <col min="190" max="190" width="8.85546875" style="41" bestFit="1" customWidth="1"/>
    <col min="191" max="191" width="9.7109375" style="41" bestFit="1" customWidth="1"/>
    <col min="192" max="192" width="9.85546875" style="41" bestFit="1" customWidth="1"/>
    <col min="193" max="193" width="9.42578125" style="41" bestFit="1" customWidth="1"/>
    <col min="194" max="194" width="9.7109375" style="41" bestFit="1" customWidth="1"/>
    <col min="195" max="195" width="8.42578125" style="41" bestFit="1" customWidth="1"/>
    <col min="196" max="198" width="8.7109375" style="41" bestFit="1" customWidth="1"/>
    <col min="199" max="199" width="8.5703125" style="41" bestFit="1" customWidth="1"/>
    <col min="200" max="200" width="8.7109375" style="41" bestFit="1" customWidth="1"/>
    <col min="201" max="201" width="7.85546875" style="41" bestFit="1" customWidth="1"/>
    <col min="202" max="202" width="10" style="41" bestFit="1" customWidth="1"/>
    <col min="203" max="204" width="9.28515625" style="41" bestFit="1" customWidth="1"/>
    <col min="205" max="206" width="9.42578125" style="41" bestFit="1" customWidth="1"/>
    <col min="207" max="208" width="8.7109375" style="41" bestFit="1" customWidth="1"/>
    <col min="209" max="209" width="9.5703125" style="41" bestFit="1" customWidth="1"/>
    <col min="210" max="210" width="8.7109375" style="41" bestFit="1" customWidth="1"/>
    <col min="211" max="211" width="8.5703125" style="41" bestFit="1" customWidth="1"/>
    <col min="212" max="212" width="9.28515625" style="41" bestFit="1" customWidth="1"/>
    <col min="213" max="214" width="7.85546875" style="41" bestFit="1" customWidth="1"/>
    <col min="215" max="215" width="9.7109375" style="41" bestFit="1" customWidth="1"/>
    <col min="216" max="216" width="9.42578125" style="41" bestFit="1" customWidth="1"/>
    <col min="217" max="217" width="9.7109375" style="41" bestFit="1" customWidth="1"/>
    <col min="218" max="220" width="9.42578125" style="41" bestFit="1" customWidth="1"/>
    <col min="221" max="221" width="8.7109375" style="41" bestFit="1" customWidth="1"/>
    <col min="222" max="222" width="9.5703125" style="41" bestFit="1" customWidth="1"/>
    <col min="223" max="223" width="8.7109375" style="41" bestFit="1" customWidth="1"/>
    <col min="224" max="224" width="2" style="41" bestFit="1" customWidth="1"/>
    <col min="225" max="225" width="8.5703125" style="41" bestFit="1" customWidth="1"/>
    <col min="226" max="226" width="32" style="41" bestFit="1" customWidth="1"/>
    <col min="227" max="227" width="8.85546875" style="41" bestFit="1" customWidth="1"/>
    <col min="228" max="228" width="8.42578125" style="41" bestFit="1" customWidth="1"/>
    <col min="229" max="229" width="9.42578125" style="41" bestFit="1" customWidth="1"/>
    <col min="230" max="231" width="8.7109375" style="41" bestFit="1" customWidth="1"/>
    <col min="232" max="232" width="10" style="41" bestFit="1" customWidth="1"/>
    <col min="233" max="233" width="9.5703125" style="41" bestFit="1" customWidth="1"/>
    <col min="234" max="234" width="10.28515625" style="41" bestFit="1" customWidth="1"/>
    <col min="235" max="235" width="7.85546875" style="41" bestFit="1" customWidth="1"/>
    <col min="236" max="236" width="9.85546875" style="41" bestFit="1" customWidth="1"/>
    <col min="237" max="238" width="9.42578125" style="41" bestFit="1" customWidth="1"/>
    <col min="239" max="239" width="10" style="41" bestFit="1" customWidth="1"/>
    <col min="240" max="240" width="9.28515625" style="41" bestFit="1" customWidth="1"/>
    <col min="241" max="241" width="10" style="41" bestFit="1" customWidth="1"/>
    <col min="242" max="242" width="9.5703125" style="41" bestFit="1" customWidth="1"/>
    <col min="243" max="243" width="9.42578125" style="41" bestFit="1" customWidth="1"/>
    <col min="244" max="244" width="9.7109375" style="41" bestFit="1" customWidth="1"/>
    <col min="245" max="245" width="10" style="41" bestFit="1" customWidth="1"/>
    <col min="246" max="246" width="8.7109375" style="41" bestFit="1" customWidth="1"/>
    <col min="247" max="247" width="9.7109375" style="41" bestFit="1" customWidth="1"/>
    <col min="248" max="248" width="8.5703125" style="41" bestFit="1" customWidth="1"/>
    <col min="249" max="249" width="9.5703125" style="41" bestFit="1" customWidth="1"/>
    <col min="250" max="250" width="8.42578125" style="41" bestFit="1" customWidth="1"/>
    <col min="251" max="252" width="8.85546875" style="41" bestFit="1" customWidth="1"/>
    <col min="253" max="253" width="9.7109375" style="41" bestFit="1" customWidth="1"/>
    <col min="254" max="254" width="9.42578125" style="41" bestFit="1" customWidth="1"/>
    <col min="255" max="256" width="10" style="41" bestFit="1" customWidth="1"/>
    <col min="257" max="257" width="9.5703125" style="41" bestFit="1" customWidth="1"/>
    <col min="258" max="258" width="10.28515625" style="41" bestFit="1" customWidth="1"/>
    <col min="259" max="259" width="8" style="41" bestFit="1" customWidth="1"/>
    <col min="260" max="260" width="8.7109375" style="41" bestFit="1" customWidth="1"/>
    <col min="261" max="261" width="10.28515625" style="41" bestFit="1" customWidth="1"/>
    <col min="262" max="262" width="8.42578125" style="41" bestFit="1" customWidth="1"/>
    <col min="263" max="264" width="9.42578125" style="41" bestFit="1" customWidth="1"/>
    <col min="265" max="265" width="10" style="41" bestFit="1" customWidth="1"/>
    <col min="266" max="266" width="8.28515625" style="41" bestFit="1" customWidth="1"/>
    <col min="267" max="269" width="9.7109375" style="41" bestFit="1" customWidth="1"/>
    <col min="270" max="270" width="9.5703125" style="41" bestFit="1" customWidth="1"/>
    <col min="271" max="271" width="8.42578125" style="41" bestFit="1" customWidth="1"/>
    <col min="272" max="273" width="8.85546875" style="41" bestFit="1" customWidth="1"/>
    <col min="274" max="274" width="9.85546875" style="41" bestFit="1" customWidth="1"/>
    <col min="275" max="275" width="9" style="41" bestFit="1" customWidth="1"/>
    <col min="276" max="276" width="8.85546875" style="41" bestFit="1" customWidth="1"/>
    <col min="277" max="277" width="9.85546875" style="41" bestFit="1" customWidth="1"/>
    <col min="278" max="278" width="9.28515625" style="41" bestFit="1" customWidth="1"/>
    <col min="279" max="279" width="9.5703125" style="41" bestFit="1" customWidth="1"/>
    <col min="280" max="280" width="10.28515625" style="41" bestFit="1" customWidth="1"/>
    <col min="281" max="281" width="9.5703125" style="41" bestFit="1" customWidth="1"/>
    <col min="282" max="282" width="9.7109375" style="41" bestFit="1" customWidth="1"/>
    <col min="283" max="283" width="10.28515625" style="41" bestFit="1" customWidth="1"/>
    <col min="284" max="284" width="9.85546875" style="41" bestFit="1" customWidth="1"/>
    <col min="285" max="285" width="8.42578125" style="41" bestFit="1" customWidth="1"/>
    <col min="286" max="286" width="9" style="41" bestFit="1" customWidth="1"/>
    <col min="287" max="287" width="8.7109375" style="41" bestFit="1" customWidth="1"/>
    <col min="288" max="288" width="9.7109375" style="41" bestFit="1" customWidth="1"/>
    <col min="289" max="289" width="8" style="41" bestFit="1" customWidth="1"/>
    <col min="290" max="290" width="8.42578125" style="41" bestFit="1" customWidth="1"/>
    <col min="291" max="291" width="9.5703125" style="41" bestFit="1" customWidth="1"/>
    <col min="292" max="292" width="9.28515625" style="41" bestFit="1" customWidth="1"/>
    <col min="293" max="293" width="10" style="41" bestFit="1" customWidth="1"/>
    <col min="294" max="294" width="8.28515625" style="41" bestFit="1" customWidth="1"/>
    <col min="295" max="295" width="10.28515625" style="41" bestFit="1" customWidth="1"/>
    <col min="296" max="296" width="8.7109375" style="41" bestFit="1" customWidth="1"/>
    <col min="297" max="297" width="10" style="41" bestFit="1" customWidth="1"/>
    <col min="298" max="298" width="9.28515625" style="41" bestFit="1" customWidth="1"/>
    <col min="299" max="299" width="9.42578125" style="41" bestFit="1" customWidth="1"/>
    <col min="300" max="300" width="9.5703125" style="41" bestFit="1" customWidth="1"/>
    <col min="301" max="301" width="8.7109375" style="41" bestFit="1" customWidth="1"/>
    <col min="302" max="302" width="10" style="41" bestFit="1" customWidth="1"/>
    <col min="303" max="303" width="9.85546875" style="41" bestFit="1" customWidth="1"/>
    <col min="304" max="304" width="9.42578125" style="41" bestFit="1" customWidth="1"/>
    <col min="305" max="305" width="9.5703125" style="41" bestFit="1" customWidth="1"/>
    <col min="306" max="306" width="8.28515625" style="41" bestFit="1" customWidth="1"/>
    <col min="307" max="307" width="9.42578125" style="41" bestFit="1" customWidth="1"/>
    <col min="308" max="308" width="9.28515625" style="41" bestFit="1" customWidth="1"/>
    <col min="309" max="309" width="10" style="41" bestFit="1" customWidth="1"/>
    <col min="310" max="310" width="9.7109375" style="41" bestFit="1" customWidth="1"/>
    <col min="311" max="311" width="8.85546875" style="41" bestFit="1" customWidth="1"/>
    <col min="312" max="312" width="10" style="41" bestFit="1" customWidth="1"/>
    <col min="313" max="313" width="9.5703125" style="41" bestFit="1" customWidth="1"/>
    <col min="314" max="314" width="10" style="41" bestFit="1" customWidth="1"/>
    <col min="315" max="315" width="9.42578125" style="41" bestFit="1" customWidth="1"/>
    <col min="316" max="316" width="10.28515625" style="41" bestFit="1" customWidth="1"/>
    <col min="317" max="317" width="9.5703125" style="41" bestFit="1" customWidth="1"/>
    <col min="318" max="318" width="8.42578125" style="41" bestFit="1" customWidth="1"/>
    <col min="319" max="319" width="9.7109375" style="41" bestFit="1" customWidth="1"/>
    <col min="320" max="321" width="9.5703125" style="41" bestFit="1" customWidth="1"/>
    <col min="322" max="323" width="10" style="41" bestFit="1" customWidth="1"/>
    <col min="324" max="324" width="8.7109375" style="41" bestFit="1" customWidth="1"/>
    <col min="325" max="325" width="9.7109375" style="41" bestFit="1" customWidth="1"/>
    <col min="326" max="326" width="9.5703125" style="41" bestFit="1" customWidth="1"/>
    <col min="327" max="327" width="10.28515625" style="41" bestFit="1" customWidth="1"/>
    <col min="328" max="328" width="9.85546875" style="41" bestFit="1" customWidth="1"/>
    <col min="329" max="330" width="10" style="41" bestFit="1" customWidth="1"/>
    <col min="331" max="331" width="9.5703125" style="41" bestFit="1" customWidth="1"/>
    <col min="332" max="332" width="9.28515625" style="41" bestFit="1" customWidth="1"/>
    <col min="333" max="333" width="10" style="41" bestFit="1" customWidth="1"/>
    <col min="334" max="334" width="9.85546875" style="41" bestFit="1" customWidth="1"/>
    <col min="335" max="335" width="9.7109375" style="41" bestFit="1" customWidth="1"/>
    <col min="336" max="336" width="9.42578125" style="41" bestFit="1" customWidth="1"/>
    <col min="337" max="337" width="9.5703125" style="41" bestFit="1" customWidth="1"/>
    <col min="338" max="338" width="9.7109375" style="41" bestFit="1" customWidth="1"/>
    <col min="339" max="339" width="9.85546875" style="41" bestFit="1" customWidth="1"/>
    <col min="340" max="340" width="9.5703125" style="41" bestFit="1" customWidth="1"/>
    <col min="341" max="341" width="10.28515625" style="41" bestFit="1" customWidth="1"/>
    <col min="342" max="345" width="9.5703125" style="41" bestFit="1" customWidth="1"/>
    <col min="346" max="346" width="8.85546875" style="41" bestFit="1" customWidth="1"/>
    <col min="347" max="347" width="8.7109375" style="41" bestFit="1" customWidth="1"/>
    <col min="348" max="348" width="9.5703125" style="41" bestFit="1" customWidth="1"/>
    <col min="349" max="349" width="9.42578125" style="41" bestFit="1" customWidth="1"/>
    <col min="350" max="350" width="9" style="41" bestFit="1" customWidth="1"/>
    <col min="351" max="351" width="9.85546875" style="41" bestFit="1" customWidth="1"/>
    <col min="352" max="352" width="10.28515625" style="41" bestFit="1" customWidth="1"/>
    <col min="353" max="354" width="10.5703125" style="41" bestFit="1" customWidth="1"/>
    <col min="355" max="355" width="9.5703125" style="41" bestFit="1" customWidth="1"/>
    <col min="356" max="356" width="10.5703125" style="41" bestFit="1" customWidth="1"/>
    <col min="357" max="357" width="8.85546875" style="41" bestFit="1" customWidth="1"/>
    <col min="358" max="358" width="10.5703125" style="41" bestFit="1" customWidth="1"/>
    <col min="359" max="359" width="8" style="41" bestFit="1" customWidth="1"/>
    <col min="360" max="360" width="10" style="41" bestFit="1" customWidth="1"/>
    <col min="361" max="361" width="9.5703125" style="41" bestFit="1" customWidth="1"/>
    <col min="362" max="362" width="10.5703125" style="41" bestFit="1" customWidth="1"/>
    <col min="363" max="363" width="10.28515625" style="41" bestFit="1" customWidth="1"/>
    <col min="364" max="367" width="10.5703125" style="41" bestFit="1" customWidth="1"/>
    <col min="368" max="368" width="9.7109375" style="41" bestFit="1" customWidth="1"/>
    <col min="369" max="369" width="9.5703125" style="41" bestFit="1" customWidth="1"/>
    <col min="370" max="370" width="10" style="41" bestFit="1" customWidth="1"/>
    <col min="371" max="371" width="9.42578125" style="41" bestFit="1" customWidth="1"/>
    <col min="372" max="372" width="10.5703125" style="41" bestFit="1" customWidth="1"/>
    <col min="373" max="373" width="11.5703125" style="41" bestFit="1" customWidth="1"/>
    <col min="374" max="374" width="9.5703125" style="41" bestFit="1" customWidth="1"/>
    <col min="375" max="377" width="10.5703125" style="41" bestFit="1" customWidth="1"/>
    <col min="378" max="378" width="9.5703125" style="41" bestFit="1" customWidth="1"/>
    <col min="379" max="379" width="10.5703125" style="41" bestFit="1" customWidth="1"/>
    <col min="380" max="381" width="9.5703125" style="41" bestFit="1" customWidth="1"/>
    <col min="382" max="392" width="10.5703125" style="41" bestFit="1" customWidth="1"/>
    <col min="393" max="393" width="11.5703125" style="41" bestFit="1" customWidth="1"/>
    <col min="394" max="398" width="10.5703125" style="41" bestFit="1" customWidth="1"/>
    <col min="399" max="399" width="11.5703125" style="41" bestFit="1" customWidth="1"/>
    <col min="400" max="400" width="9.7109375" style="41" bestFit="1" customWidth="1"/>
    <col min="401" max="402" width="10.5703125" style="41" bestFit="1" customWidth="1"/>
    <col min="403" max="403" width="8.7109375" style="41" bestFit="1" customWidth="1"/>
    <col min="404" max="404" width="9.5703125" style="41" bestFit="1" customWidth="1"/>
    <col min="405" max="407" width="10.5703125" style="41" bestFit="1" customWidth="1"/>
    <col min="408" max="408" width="9.5703125" style="41" bestFit="1" customWidth="1"/>
    <col min="409" max="410" width="11.5703125" style="41" bestFit="1" customWidth="1"/>
    <col min="411" max="412" width="10.5703125" style="41" bestFit="1" customWidth="1"/>
    <col min="413" max="414" width="11.5703125" style="41" bestFit="1" customWidth="1"/>
    <col min="415" max="415" width="10.5703125" style="41" bestFit="1" customWidth="1"/>
    <col min="416" max="416" width="11.5703125" style="41" bestFit="1" customWidth="1"/>
    <col min="417" max="420" width="10.5703125" style="41" bestFit="1" customWidth="1"/>
    <col min="421" max="423" width="11.5703125" style="41" bestFit="1" customWidth="1"/>
    <col min="424" max="424" width="10.5703125" style="41" bestFit="1" customWidth="1"/>
    <col min="425" max="426" width="11.5703125" style="41" bestFit="1" customWidth="1"/>
    <col min="427" max="427" width="13.28515625" style="41" bestFit="1" customWidth="1"/>
    <col min="428" max="428" width="11.5703125" style="41" bestFit="1" customWidth="1"/>
    <col min="429" max="429" width="13.28515625" style="41" bestFit="1" customWidth="1"/>
    <col min="430" max="433" width="11.5703125" style="41" bestFit="1" customWidth="1"/>
    <col min="434" max="435" width="10.5703125" style="41" bestFit="1" customWidth="1"/>
    <col min="436" max="438" width="11.5703125" style="41" bestFit="1" customWidth="1"/>
    <col min="439" max="439" width="10.5703125" style="41" bestFit="1" customWidth="1"/>
    <col min="440" max="441" width="11.5703125" style="41" bestFit="1" customWidth="1"/>
    <col min="442" max="442" width="9.42578125" style="41" bestFit="1" customWidth="1"/>
    <col min="443" max="443" width="11.5703125" style="41" bestFit="1" customWidth="1"/>
    <col min="444" max="444" width="13.28515625" style="41" bestFit="1" customWidth="1"/>
    <col min="445" max="445" width="8.7109375" style="41" bestFit="1" customWidth="1"/>
    <col min="446" max="446" width="9.5703125" style="41" bestFit="1" customWidth="1"/>
    <col min="447" max="447" width="8.7109375" style="41" bestFit="1" customWidth="1"/>
    <col min="448" max="448" width="5.140625" style="41" bestFit="1" customWidth="1"/>
    <col min="449" max="449" width="8.5703125" style="41" bestFit="1" customWidth="1"/>
    <col min="450" max="450" width="32.28515625" style="41" bestFit="1" customWidth="1"/>
    <col min="451" max="451" width="8.85546875" style="41" bestFit="1" customWidth="1"/>
    <col min="452" max="452" width="8.42578125" style="41" bestFit="1" customWidth="1"/>
    <col min="453" max="453" width="9.42578125" style="41" bestFit="1" customWidth="1"/>
    <col min="454" max="455" width="8.7109375" style="41" bestFit="1" customWidth="1"/>
    <col min="456" max="456" width="10" style="41" bestFit="1" customWidth="1"/>
    <col min="457" max="457" width="9.5703125" style="41" bestFit="1" customWidth="1"/>
    <col min="458" max="458" width="10.28515625" style="41" bestFit="1" customWidth="1"/>
    <col min="459" max="459" width="8" style="41" bestFit="1" customWidth="1"/>
    <col min="460" max="460" width="9.85546875" style="41" bestFit="1" customWidth="1"/>
    <col min="461" max="461" width="9.42578125" style="41" bestFit="1" customWidth="1"/>
    <col min="462" max="462" width="9.5703125" style="41" bestFit="1" customWidth="1"/>
    <col min="463" max="463" width="10" style="41" bestFit="1" customWidth="1"/>
    <col min="464" max="464" width="9.28515625" style="41" bestFit="1" customWidth="1"/>
    <col min="465" max="465" width="10" style="41" bestFit="1" customWidth="1"/>
    <col min="466" max="467" width="9.5703125" style="41" bestFit="1" customWidth="1"/>
    <col min="468" max="468" width="9.7109375" style="41" bestFit="1" customWidth="1"/>
    <col min="469" max="469" width="10" style="41" bestFit="1" customWidth="1"/>
    <col min="470" max="470" width="8.7109375" style="41" bestFit="1" customWidth="1"/>
    <col min="471" max="471" width="9.7109375" style="41" bestFit="1" customWidth="1"/>
    <col min="472" max="474" width="9.5703125" style="41" bestFit="1" customWidth="1"/>
    <col min="475" max="475" width="8.85546875" style="41" bestFit="1" customWidth="1"/>
    <col min="476" max="476" width="9.5703125" style="41" bestFit="1" customWidth="1"/>
    <col min="477" max="477" width="9.7109375" style="41" bestFit="1" customWidth="1"/>
    <col min="478" max="478" width="9.5703125" style="41" bestFit="1" customWidth="1"/>
    <col min="479" max="480" width="10" style="41" bestFit="1" customWidth="1"/>
    <col min="481" max="481" width="8.7109375" style="41" bestFit="1" customWidth="1"/>
    <col min="482" max="482" width="10.28515625" style="41" bestFit="1" customWidth="1"/>
    <col min="483" max="484" width="9.5703125" style="41" bestFit="1" customWidth="1"/>
    <col min="485" max="485" width="10.28515625" style="41" bestFit="1" customWidth="1"/>
    <col min="486" max="488" width="9.5703125" style="41" bestFit="1" customWidth="1"/>
    <col min="489" max="489" width="10" style="41" bestFit="1" customWidth="1"/>
    <col min="490" max="490" width="9.5703125" style="41" bestFit="1" customWidth="1"/>
    <col min="491" max="493" width="9.7109375" style="41" bestFit="1" customWidth="1"/>
    <col min="494" max="496" width="9.5703125" style="41" bestFit="1" customWidth="1"/>
    <col min="497" max="497" width="8.85546875" style="41" bestFit="1" customWidth="1"/>
    <col min="498" max="498" width="9.85546875" style="41" bestFit="1" customWidth="1"/>
    <col min="499" max="500" width="9.5703125" style="41" bestFit="1" customWidth="1"/>
    <col min="501" max="501" width="9.85546875" style="41" bestFit="1" customWidth="1"/>
    <col min="502" max="503" width="9.5703125" style="41" bestFit="1" customWidth="1"/>
    <col min="504" max="504" width="10.28515625" style="41" bestFit="1" customWidth="1"/>
    <col min="505" max="505" width="9.5703125" style="41" bestFit="1" customWidth="1"/>
    <col min="506" max="506" width="9.7109375" style="41" bestFit="1" customWidth="1"/>
    <col min="507" max="507" width="10.28515625" style="41" bestFit="1" customWidth="1"/>
    <col min="508" max="508" width="9.85546875" style="41" bestFit="1" customWidth="1"/>
    <col min="509" max="509" width="8.42578125" style="41" bestFit="1" customWidth="1"/>
    <col min="510" max="510" width="9" style="41" bestFit="1" customWidth="1"/>
    <col min="511" max="511" width="9.5703125" style="41" bestFit="1" customWidth="1"/>
    <col min="512" max="512" width="9.7109375" style="41" bestFit="1" customWidth="1"/>
    <col min="513" max="513" width="9.5703125" style="41" bestFit="1" customWidth="1"/>
    <col min="514" max="514" width="8.42578125" style="41" bestFit="1" customWidth="1"/>
    <col min="515" max="516" width="9.5703125" style="41" bestFit="1" customWidth="1"/>
    <col min="517" max="517" width="10" style="41" bestFit="1" customWidth="1"/>
    <col min="518" max="518" width="9.5703125" style="41" bestFit="1" customWidth="1"/>
    <col min="519" max="519" width="10.28515625" style="41" bestFit="1" customWidth="1"/>
    <col min="520" max="520" width="8.7109375" style="41" bestFit="1" customWidth="1"/>
    <col min="521" max="521" width="10" style="41" bestFit="1" customWidth="1"/>
    <col min="522" max="522" width="9.28515625" style="41" bestFit="1" customWidth="1"/>
    <col min="523" max="523" width="9.5703125" style="41" bestFit="1" customWidth="1"/>
    <col min="524" max="524" width="8.7109375" style="41" bestFit="1" customWidth="1"/>
    <col min="525" max="525" width="9.5703125" style="41" bestFit="1" customWidth="1"/>
    <col min="526" max="526" width="10" style="41" bestFit="1" customWidth="1"/>
    <col min="527" max="527" width="9.85546875" style="41" bestFit="1" customWidth="1"/>
    <col min="528" max="528" width="9.42578125" style="41" bestFit="1" customWidth="1"/>
    <col min="529" max="530" width="9.5703125" style="41" bestFit="1" customWidth="1"/>
    <col min="531" max="531" width="9.42578125" style="41" bestFit="1" customWidth="1"/>
    <col min="532" max="532" width="9.5703125" style="41" bestFit="1" customWidth="1"/>
    <col min="533" max="533" width="10" style="41" bestFit="1" customWidth="1"/>
    <col min="534" max="534" width="9.7109375" style="41" bestFit="1" customWidth="1"/>
    <col min="535" max="535" width="8.85546875" style="41" bestFit="1" customWidth="1"/>
    <col min="536" max="536" width="10" style="41" bestFit="1" customWidth="1"/>
    <col min="537" max="537" width="9.5703125" style="41" bestFit="1" customWidth="1"/>
    <col min="538" max="538" width="10" style="41" bestFit="1" customWidth="1"/>
    <col min="539" max="539" width="9.42578125" style="41" bestFit="1" customWidth="1"/>
    <col min="540" max="540" width="10.28515625" style="41" bestFit="1" customWidth="1"/>
    <col min="541" max="541" width="9.5703125" style="41" bestFit="1" customWidth="1"/>
    <col min="542" max="542" width="8.42578125" style="41" bestFit="1" customWidth="1"/>
    <col min="543" max="543" width="9.7109375" style="41" bestFit="1" customWidth="1"/>
    <col min="544" max="546" width="10.5703125" style="41" bestFit="1" customWidth="1"/>
    <col min="547" max="547" width="10" style="41" bestFit="1" customWidth="1"/>
    <col min="548" max="548" width="8.7109375" style="41" bestFit="1" customWidth="1"/>
    <col min="549" max="549" width="9.7109375" style="41" bestFit="1" customWidth="1"/>
    <col min="550" max="550" width="9.5703125" style="41" bestFit="1" customWidth="1"/>
    <col min="551" max="551" width="10.28515625" style="41" bestFit="1" customWidth="1"/>
    <col min="552" max="552" width="9.85546875" style="41" bestFit="1" customWidth="1"/>
    <col min="553" max="553" width="10.5703125" style="41" bestFit="1" customWidth="1"/>
    <col min="554" max="554" width="10" style="41" bestFit="1" customWidth="1"/>
    <col min="555" max="555" width="9.5703125" style="41" bestFit="1" customWidth="1"/>
    <col min="556" max="556" width="10.5703125" style="41" bestFit="1" customWidth="1"/>
    <col min="557" max="557" width="10" style="41" bestFit="1" customWidth="1"/>
    <col min="558" max="558" width="10.5703125" style="41" bestFit="1" customWidth="1"/>
    <col min="559" max="559" width="9.7109375" style="41" bestFit="1" customWidth="1"/>
    <col min="560" max="560" width="9.42578125" style="41" bestFit="1" customWidth="1"/>
    <col min="561" max="570" width="10.5703125" style="41" bestFit="1" customWidth="1"/>
    <col min="571" max="571" width="8.7109375" style="41" bestFit="1" customWidth="1"/>
    <col min="572" max="572" width="10.5703125" style="41" bestFit="1" customWidth="1"/>
    <col min="573" max="573" width="9.42578125" style="41" bestFit="1" customWidth="1"/>
    <col min="574" max="574" width="9" style="41" bestFit="1" customWidth="1"/>
    <col min="575" max="577" width="10.5703125" style="41" bestFit="1" customWidth="1"/>
    <col min="578" max="578" width="7.85546875" style="41" bestFit="1" customWidth="1"/>
    <col min="579" max="579" width="9.5703125" style="41" bestFit="1" customWidth="1"/>
    <col min="580" max="580" width="10.5703125" style="41" bestFit="1" customWidth="1"/>
    <col min="581" max="581" width="8.85546875" style="41" bestFit="1" customWidth="1"/>
    <col min="582" max="587" width="10.5703125" style="41" bestFit="1" customWidth="1"/>
    <col min="588" max="588" width="9.5703125" style="41" bestFit="1" customWidth="1"/>
    <col min="589" max="589" width="10.5703125" style="41" bestFit="1" customWidth="1"/>
    <col min="590" max="590" width="11.5703125" style="41" bestFit="1" customWidth="1"/>
    <col min="591" max="591" width="10" style="41" bestFit="1" customWidth="1"/>
    <col min="592" max="592" width="9.7109375" style="41" bestFit="1" customWidth="1"/>
    <col min="593" max="594" width="10.5703125" style="41" bestFit="1" customWidth="1"/>
    <col min="595" max="595" width="9.42578125" style="41" bestFit="1" customWidth="1"/>
    <col min="596" max="605" width="10.5703125" style="41" bestFit="1" customWidth="1"/>
    <col min="606" max="606" width="9.85546875" style="41" bestFit="1" customWidth="1"/>
    <col min="607" max="607" width="10.5703125" style="41" bestFit="1" customWidth="1"/>
    <col min="608" max="608" width="9.85546875" style="41" bestFit="1" customWidth="1"/>
    <col min="609" max="609" width="9.28515625" style="41" bestFit="1" customWidth="1"/>
    <col min="610" max="610" width="10.5703125" style="41" bestFit="1" customWidth="1"/>
    <col min="611" max="611" width="11.5703125" style="41" bestFit="1" customWidth="1"/>
    <col min="612" max="612" width="10.5703125" style="41" bestFit="1" customWidth="1"/>
    <col min="613" max="613" width="11.5703125" style="41" bestFit="1" customWidth="1"/>
    <col min="614" max="616" width="10.5703125" style="41" bestFit="1" customWidth="1"/>
    <col min="617" max="617" width="7.85546875" style="41" bestFit="1" customWidth="1"/>
    <col min="618" max="618" width="10.5703125" style="41" bestFit="1" customWidth="1"/>
    <col min="619" max="619" width="11.5703125" style="41" bestFit="1" customWidth="1"/>
    <col min="620" max="620" width="10.5703125" style="41" bestFit="1" customWidth="1"/>
    <col min="621" max="621" width="9" style="41" bestFit="1" customWidth="1"/>
    <col min="622" max="623" width="11.5703125" style="41" bestFit="1" customWidth="1"/>
    <col min="624" max="626" width="10.5703125" style="41" bestFit="1" customWidth="1"/>
    <col min="627" max="627" width="8.7109375" style="41" bestFit="1" customWidth="1"/>
    <col min="628" max="628" width="11.5703125" style="41" bestFit="1" customWidth="1"/>
    <col min="629" max="631" width="10.5703125" style="41" bestFit="1" customWidth="1"/>
    <col min="632" max="632" width="11.5703125" style="41" bestFit="1" customWidth="1"/>
    <col min="633" max="634" width="8.42578125" style="41" bestFit="1" customWidth="1"/>
    <col min="635" max="636" width="10.5703125" style="41" bestFit="1" customWidth="1"/>
    <col min="637" max="637" width="11.5703125" style="41" bestFit="1" customWidth="1"/>
    <col min="638" max="639" width="10.5703125" style="41" bestFit="1" customWidth="1"/>
    <col min="640" max="640" width="13.28515625" style="41" bestFit="1" customWidth="1"/>
    <col min="641" max="644" width="11.5703125" style="41" bestFit="1" customWidth="1"/>
    <col min="645" max="645" width="8.7109375" style="41" bestFit="1" customWidth="1"/>
    <col min="646" max="646" width="11.5703125" style="41" bestFit="1" customWidth="1"/>
    <col min="647" max="647" width="8.5703125" style="41" bestFit="1" customWidth="1"/>
    <col min="648" max="648" width="11.5703125" style="41" bestFit="1" customWidth="1"/>
    <col min="649" max="649" width="10.5703125" style="41" bestFit="1" customWidth="1"/>
    <col min="650" max="654" width="11.5703125" style="41" bestFit="1" customWidth="1"/>
    <col min="655" max="656" width="10.5703125" style="41" bestFit="1" customWidth="1"/>
    <col min="657" max="659" width="11.5703125" style="41" bestFit="1" customWidth="1"/>
    <col min="660" max="660" width="10.5703125" style="41" bestFit="1" customWidth="1"/>
    <col min="661" max="661" width="7.85546875" style="41" bestFit="1" customWidth="1"/>
    <col min="662" max="662" width="10.5703125" style="41" bestFit="1" customWidth="1"/>
    <col min="663" max="664" width="11.5703125" style="41" bestFit="1" customWidth="1"/>
    <col min="665" max="665" width="9.7109375" style="41" bestFit="1" customWidth="1"/>
    <col min="666" max="666" width="9.42578125" style="41" bestFit="1" customWidth="1"/>
    <col min="667" max="667" width="11.5703125" style="41" bestFit="1" customWidth="1"/>
    <col min="668" max="668" width="9.42578125" style="41" bestFit="1" customWidth="1"/>
    <col min="669" max="669" width="8.7109375" style="41" bestFit="1" customWidth="1"/>
    <col min="670" max="670" width="13.28515625" style="41" bestFit="1" customWidth="1"/>
    <col min="671" max="671" width="8.7109375" style="41" bestFit="1" customWidth="1"/>
    <col min="672" max="672" width="14.28515625" style="41" bestFit="1" customWidth="1"/>
    <col min="673" max="673" width="8.5703125" style="41" bestFit="1" customWidth="1"/>
    <col min="674" max="674" width="21.42578125" style="41" bestFit="1" customWidth="1"/>
    <col min="675" max="675" width="8.85546875" style="41" bestFit="1" customWidth="1"/>
    <col min="676" max="676" width="8.42578125" style="41" bestFit="1" customWidth="1"/>
    <col min="677" max="677" width="9.42578125" style="41" bestFit="1" customWidth="1"/>
    <col min="678" max="679" width="8.7109375" style="41" bestFit="1" customWidth="1"/>
    <col min="680" max="680" width="10" style="41" bestFit="1" customWidth="1"/>
    <col min="681" max="681" width="9.5703125" style="41" bestFit="1" customWidth="1"/>
    <col min="682" max="682" width="10.28515625" style="41" bestFit="1" customWidth="1"/>
    <col min="683" max="683" width="7.85546875" style="41" bestFit="1" customWidth="1"/>
    <col min="684" max="684" width="9.85546875" style="41" bestFit="1" customWidth="1"/>
    <col min="685" max="686" width="9.42578125" style="41" bestFit="1" customWidth="1"/>
    <col min="687" max="687" width="10" style="41" bestFit="1" customWidth="1"/>
    <col min="688" max="688" width="9.28515625" style="41" bestFit="1" customWidth="1"/>
    <col min="689" max="689" width="10" style="41" bestFit="1" customWidth="1"/>
    <col min="690" max="690" width="9.5703125" style="41" bestFit="1" customWidth="1"/>
    <col min="691" max="691" width="9.42578125" style="41" bestFit="1" customWidth="1"/>
    <col min="692" max="692" width="9.7109375" style="41" bestFit="1" customWidth="1"/>
    <col min="693" max="693" width="10" style="41" bestFit="1" customWidth="1"/>
    <col min="694" max="694" width="9.5703125" style="41" bestFit="1" customWidth="1"/>
    <col min="695" max="695" width="9.7109375" style="41" bestFit="1" customWidth="1"/>
    <col min="696" max="696" width="8.5703125" style="41" bestFit="1" customWidth="1"/>
    <col min="697" max="697" width="9.5703125" style="41" bestFit="1" customWidth="1"/>
    <col min="698" max="698" width="8.42578125" style="41" bestFit="1" customWidth="1"/>
    <col min="699" max="700" width="8.85546875" style="41" bestFit="1" customWidth="1"/>
    <col min="701" max="701" width="9.7109375" style="41" bestFit="1" customWidth="1"/>
    <col min="702" max="702" width="9.42578125" style="41" bestFit="1" customWidth="1"/>
    <col min="703" max="704" width="10" style="41" bestFit="1" customWidth="1"/>
    <col min="705" max="705" width="8.7109375" style="41" bestFit="1" customWidth="1"/>
    <col min="706" max="706" width="10.28515625" style="41" bestFit="1" customWidth="1"/>
    <col min="707" max="707" width="7.85546875" style="41" bestFit="1" customWidth="1"/>
    <col min="708" max="708" width="8.7109375" style="41" bestFit="1" customWidth="1"/>
    <col min="709" max="709" width="10.28515625" style="41" bestFit="1" customWidth="1"/>
    <col min="710" max="710" width="8.42578125" style="41" bestFit="1" customWidth="1"/>
    <col min="711" max="712" width="9.42578125" style="41" bestFit="1" customWidth="1"/>
    <col min="713" max="713" width="10" style="41" bestFit="1" customWidth="1"/>
    <col min="714" max="714" width="8.28515625" style="41" bestFit="1" customWidth="1"/>
    <col min="715" max="717" width="9.7109375" style="41" bestFit="1" customWidth="1"/>
    <col min="718" max="718" width="9.5703125" style="41" bestFit="1" customWidth="1"/>
    <col min="719" max="719" width="8.42578125" style="41" bestFit="1" customWidth="1"/>
    <col min="720" max="720" width="8.85546875" style="41" bestFit="1" customWidth="1"/>
    <col min="721" max="721" width="9.5703125" style="41" bestFit="1" customWidth="1"/>
    <col min="722" max="722" width="9.85546875" style="41" bestFit="1" customWidth="1"/>
    <col min="723" max="723" width="9" style="41" bestFit="1" customWidth="1"/>
    <col min="724" max="724" width="8.85546875" style="41" bestFit="1" customWidth="1"/>
    <col min="725" max="725" width="9.85546875" style="41" bestFit="1" customWidth="1"/>
    <col min="726" max="726" width="9.28515625" style="41" bestFit="1" customWidth="1"/>
    <col min="727" max="727" width="9.5703125" style="41" bestFit="1" customWidth="1"/>
    <col min="728" max="728" width="10.28515625" style="41" bestFit="1" customWidth="1"/>
    <col min="729" max="729" width="9.5703125" style="41" bestFit="1" customWidth="1"/>
    <col min="730" max="730" width="9.7109375" style="41" bestFit="1" customWidth="1"/>
    <col min="731" max="731" width="10.28515625" style="41" bestFit="1" customWidth="1"/>
    <col min="732" max="732" width="9.85546875" style="41" bestFit="1" customWidth="1"/>
    <col min="733" max="734" width="9.5703125" style="41" bestFit="1" customWidth="1"/>
    <col min="735" max="735" width="8.7109375" style="41" bestFit="1" customWidth="1"/>
    <col min="736" max="736" width="9.7109375" style="41" bestFit="1" customWidth="1"/>
    <col min="737" max="737" width="7.85546875" style="41" bestFit="1" customWidth="1"/>
    <col min="738" max="738" width="9.5703125" style="41" bestFit="1" customWidth="1"/>
    <col min="739" max="740" width="9.28515625" style="41" bestFit="1" customWidth="1"/>
    <col min="741" max="741" width="10" style="41" bestFit="1" customWidth="1"/>
    <col min="742" max="742" width="8.28515625" style="41" bestFit="1" customWidth="1"/>
    <col min="743" max="743" width="10.28515625" style="41" bestFit="1" customWidth="1"/>
    <col min="744" max="744" width="9.5703125" style="41" bestFit="1" customWidth="1"/>
    <col min="745" max="745" width="10" style="41" bestFit="1" customWidth="1"/>
    <col min="746" max="746" width="10.5703125" style="41" bestFit="1" customWidth="1"/>
    <col min="747" max="747" width="9.42578125" style="41" bestFit="1" customWidth="1"/>
    <col min="748" max="749" width="8.7109375" style="41" bestFit="1" customWidth="1"/>
    <col min="750" max="751" width="10.5703125" style="41" bestFit="1" customWidth="1"/>
    <col min="752" max="752" width="9.5703125" style="41" bestFit="1" customWidth="1"/>
    <col min="753" max="754" width="8.28515625" style="41" bestFit="1" customWidth="1"/>
    <col min="755" max="755" width="10.5703125" style="41" bestFit="1" customWidth="1"/>
    <col min="756" max="756" width="9.28515625" style="41" bestFit="1" customWidth="1"/>
    <col min="757" max="757" width="10" style="41" bestFit="1" customWidth="1"/>
    <col min="758" max="758" width="9.7109375" style="41" bestFit="1" customWidth="1"/>
    <col min="759" max="759" width="10.5703125" style="41" bestFit="1" customWidth="1"/>
    <col min="760" max="760" width="10" style="41" bestFit="1" customWidth="1"/>
    <col min="761" max="761" width="8.28515625" style="41" bestFit="1" customWidth="1"/>
    <col min="762" max="762" width="10" style="41" bestFit="1" customWidth="1"/>
    <col min="763" max="763" width="9.5703125" style="41" bestFit="1" customWidth="1"/>
    <col min="764" max="764" width="10.28515625" style="41" bestFit="1" customWidth="1"/>
    <col min="765" max="765" width="9.28515625" style="41" bestFit="1" customWidth="1"/>
    <col min="766" max="766" width="10.5703125" style="41" bestFit="1" customWidth="1"/>
    <col min="767" max="767" width="9.7109375" style="41" bestFit="1" customWidth="1"/>
    <col min="768" max="768" width="8.42578125" style="41" bestFit="1" customWidth="1"/>
    <col min="769" max="769" width="9" style="41" bestFit="1" customWidth="1"/>
    <col min="770" max="771" width="10" style="41" bestFit="1" customWidth="1"/>
    <col min="772" max="776" width="10.5703125" style="41" bestFit="1" customWidth="1"/>
    <col min="777" max="777" width="10" style="41" bestFit="1" customWidth="1"/>
    <col min="778" max="778" width="10.5703125" style="41" bestFit="1" customWidth="1"/>
    <col min="779" max="779" width="9.5703125" style="41" bestFit="1" customWidth="1"/>
    <col min="780" max="780" width="9.28515625" style="41" bestFit="1" customWidth="1"/>
    <col min="781" max="781" width="10.5703125" style="41" bestFit="1" customWidth="1"/>
    <col min="782" max="782" width="9.85546875" style="41" bestFit="1" customWidth="1"/>
    <col min="783" max="784" width="10.5703125" style="41" bestFit="1" customWidth="1"/>
    <col min="785" max="785" width="9.28515625" style="41" bestFit="1" customWidth="1"/>
    <col min="786" max="786" width="9.7109375" style="41" bestFit="1" customWidth="1"/>
    <col min="787" max="787" width="9.85546875" style="41" bestFit="1" customWidth="1"/>
    <col min="788" max="788" width="9.5703125" style="41" bestFit="1" customWidth="1"/>
    <col min="789" max="789" width="10.28515625" style="41" bestFit="1" customWidth="1"/>
    <col min="790" max="790" width="8.42578125" style="41" bestFit="1" customWidth="1"/>
    <col min="791" max="791" width="9.42578125" style="41" bestFit="1" customWidth="1"/>
    <col min="792" max="792" width="10.5703125" style="41" bestFit="1" customWidth="1"/>
    <col min="793" max="793" width="7.85546875" style="41" bestFit="1" customWidth="1"/>
    <col min="794" max="794" width="8.85546875" style="41" bestFit="1" customWidth="1"/>
    <col min="795" max="795" width="10.5703125" style="41" bestFit="1" customWidth="1"/>
    <col min="796" max="796" width="8.7109375" style="41" bestFit="1" customWidth="1"/>
    <col min="797" max="799" width="10.5703125" style="41" bestFit="1" customWidth="1"/>
    <col min="800" max="800" width="10.28515625" style="41" bestFit="1" customWidth="1"/>
    <col min="801" max="801" width="9.7109375" style="41" bestFit="1" customWidth="1"/>
    <col min="802" max="802" width="7.85546875" style="41" bestFit="1" customWidth="1"/>
    <col min="803" max="803" width="10.5703125" style="41" bestFit="1" customWidth="1"/>
    <col min="804" max="804" width="8.42578125" style="41" bestFit="1" customWidth="1"/>
    <col min="805" max="805" width="10.5703125" style="41" bestFit="1" customWidth="1"/>
    <col min="806" max="806" width="9.42578125" style="41" bestFit="1" customWidth="1"/>
    <col min="807" max="807" width="7.85546875" style="41" bestFit="1" customWidth="1"/>
    <col min="808" max="808" width="10" style="41" bestFit="1" customWidth="1"/>
    <col min="809" max="810" width="8.85546875" style="41" bestFit="1" customWidth="1"/>
    <col min="811" max="811" width="10.28515625" style="41" bestFit="1" customWidth="1"/>
    <col min="812" max="812" width="9.5703125" style="41" bestFit="1" customWidth="1"/>
    <col min="813" max="813" width="8.7109375" style="41" bestFit="1" customWidth="1"/>
    <col min="814" max="814" width="10.5703125" style="41" bestFit="1" customWidth="1"/>
    <col min="815" max="815" width="10" style="41" bestFit="1" customWidth="1"/>
    <col min="816" max="816" width="10.5703125" style="41" bestFit="1" customWidth="1"/>
    <col min="817" max="817" width="8.85546875" style="41" bestFit="1" customWidth="1"/>
    <col min="818" max="818" width="10" style="41" bestFit="1" customWidth="1"/>
    <col min="819" max="819" width="11.5703125" style="41" bestFit="1" customWidth="1"/>
    <col min="820" max="820" width="7.85546875" style="41" bestFit="1" customWidth="1"/>
    <col min="821" max="821" width="10" style="41" bestFit="1" customWidth="1"/>
    <col min="822" max="822" width="8.7109375" style="41" bestFit="1" customWidth="1"/>
    <col min="823" max="823" width="8.85546875" style="41" bestFit="1" customWidth="1"/>
    <col min="824" max="824" width="9.5703125" style="41" bestFit="1" customWidth="1"/>
    <col min="825" max="825" width="10.5703125" style="41" bestFit="1" customWidth="1"/>
    <col min="826" max="826" width="9.5703125" style="41" bestFit="1" customWidth="1"/>
    <col min="827" max="827" width="7.85546875" style="41" bestFit="1" customWidth="1"/>
    <col min="828" max="828" width="8.42578125" style="41" bestFit="1" customWidth="1"/>
    <col min="829" max="829" width="8.5703125" style="41" bestFit="1" customWidth="1"/>
    <col min="830" max="830" width="9.85546875" style="41" bestFit="1" customWidth="1"/>
    <col min="831" max="831" width="8.28515625" style="41" bestFit="1" customWidth="1"/>
    <col min="832" max="832" width="9.85546875" style="41" bestFit="1" customWidth="1"/>
    <col min="833" max="833" width="9.28515625" style="41" bestFit="1" customWidth="1"/>
    <col min="834" max="836" width="9.7109375" style="41" bestFit="1" customWidth="1"/>
    <col min="837" max="837" width="11.5703125" style="41" bestFit="1" customWidth="1"/>
    <col min="838" max="838" width="9.28515625" style="41" bestFit="1" customWidth="1"/>
    <col min="839" max="839" width="9.42578125" style="41" bestFit="1" customWidth="1"/>
    <col min="840" max="840" width="8.5703125" style="41" bestFit="1" customWidth="1"/>
    <col min="841" max="841" width="7.85546875" style="41" bestFit="1" customWidth="1"/>
    <col min="842" max="842" width="9.7109375" style="41" bestFit="1" customWidth="1"/>
    <col min="843" max="843" width="10" style="41" bestFit="1" customWidth="1"/>
    <col min="844" max="844" width="9.7109375" style="41" bestFit="1" customWidth="1"/>
    <col min="845" max="845" width="9" style="41" bestFit="1" customWidth="1"/>
    <col min="846" max="846" width="10.28515625" style="41" bestFit="1" customWidth="1"/>
    <col min="847" max="847" width="9.85546875" style="41" bestFit="1" customWidth="1"/>
    <col min="848" max="848" width="9.7109375" style="41" bestFit="1" customWidth="1"/>
    <col min="849" max="849" width="9.42578125" style="41" bestFit="1" customWidth="1"/>
    <col min="850" max="850" width="8.85546875" style="41" bestFit="1" customWidth="1"/>
    <col min="851" max="851" width="11.5703125" style="41" bestFit="1" customWidth="1"/>
    <col min="852" max="852" width="8.85546875" style="41" bestFit="1" customWidth="1"/>
    <col min="853" max="853" width="9" style="41" bestFit="1" customWidth="1"/>
    <col min="854" max="854" width="9.42578125" style="41" bestFit="1" customWidth="1"/>
    <col min="855" max="855" width="8.85546875" style="41" bestFit="1" customWidth="1"/>
    <col min="856" max="856" width="8.7109375" style="41" bestFit="1" customWidth="1"/>
    <col min="857" max="858" width="8.42578125" style="41" bestFit="1" customWidth="1"/>
    <col min="859" max="859" width="8.7109375" style="41" bestFit="1" customWidth="1"/>
    <col min="860" max="860" width="9.42578125" style="41" bestFit="1" customWidth="1"/>
    <col min="861" max="861" width="9.28515625" style="41" bestFit="1" customWidth="1"/>
    <col min="862" max="862" width="8.85546875" style="41" bestFit="1" customWidth="1"/>
    <col min="863" max="863" width="9.7109375" style="41" bestFit="1" customWidth="1"/>
    <col min="864" max="864" width="9.85546875" style="41" bestFit="1" customWidth="1"/>
    <col min="865" max="865" width="9.42578125" style="41" bestFit="1" customWidth="1"/>
    <col min="866" max="866" width="9.7109375" style="41" bestFit="1" customWidth="1"/>
    <col min="867" max="867" width="8.42578125" style="41" bestFit="1" customWidth="1"/>
    <col min="868" max="870" width="8.7109375" style="41" bestFit="1" customWidth="1"/>
    <col min="871" max="871" width="8.5703125" style="41" bestFit="1" customWidth="1"/>
    <col min="872" max="872" width="8.7109375" style="41" bestFit="1" customWidth="1"/>
    <col min="873" max="873" width="7.85546875" style="41" bestFit="1" customWidth="1"/>
    <col min="874" max="874" width="10" style="41" bestFit="1" customWidth="1"/>
    <col min="875" max="876" width="9.28515625" style="41" bestFit="1" customWidth="1"/>
    <col min="877" max="878" width="9.42578125" style="41" bestFit="1" customWidth="1"/>
    <col min="879" max="880" width="8.7109375" style="41" bestFit="1" customWidth="1"/>
    <col min="881" max="881" width="9.5703125" style="41" bestFit="1" customWidth="1"/>
    <col min="882" max="882" width="8.7109375" style="41" bestFit="1" customWidth="1"/>
    <col min="883" max="883" width="8.5703125" style="41" bestFit="1" customWidth="1"/>
    <col min="884" max="884" width="9.28515625" style="41" bestFit="1" customWidth="1"/>
    <col min="885" max="886" width="7.85546875" style="41" bestFit="1" customWidth="1"/>
    <col min="887" max="887" width="9.7109375" style="41" bestFit="1" customWidth="1"/>
    <col min="888" max="888" width="9.42578125" style="41" bestFit="1" customWidth="1"/>
    <col min="889" max="889" width="9.7109375" style="41" bestFit="1" customWidth="1"/>
    <col min="890" max="890" width="11.5703125" style="41" bestFit="1" customWidth="1"/>
    <col min="891" max="892" width="9.42578125" style="41" bestFit="1" customWidth="1"/>
    <col min="893" max="893" width="13.28515625" style="41" bestFit="1" customWidth="1"/>
    <col min="894" max="894" width="9.5703125" style="41" bestFit="1" customWidth="1"/>
    <col min="895" max="895" width="13.28515625" style="41" bestFit="1" customWidth="1"/>
    <col min="896" max="896" width="5.140625" style="41" bestFit="1" customWidth="1"/>
    <col min="897" max="897" width="10.5703125" style="41" bestFit="1" customWidth="1"/>
    <col min="898" max="898" width="17.28515625" style="41" bestFit="1" customWidth="1"/>
    <col min="899" max="899" width="35.5703125" style="41" bestFit="1" customWidth="1"/>
    <col min="900" max="900" width="35.85546875" style="41" bestFit="1" customWidth="1"/>
    <col min="901" max="901" width="24.85546875" style="41" bestFit="1" customWidth="1"/>
    <col min="902" max="16384" width="9.140625" style="41"/>
  </cols>
  <sheetData>
    <row r="1" spans="1:11">
      <c r="A1" s="40" t="s">
        <v>12</v>
      </c>
      <c r="B1" t="s">
        <v>501</v>
      </c>
    </row>
    <row r="3" spans="1:11" s="49" customFormat="1" ht="45">
      <c r="A3" s="46" t="s">
        <v>493</v>
      </c>
      <c r="B3" s="47" t="s">
        <v>500</v>
      </c>
      <c r="C3" s="48" t="s">
        <v>495</v>
      </c>
      <c r="D3" s="48" t="s">
        <v>496</v>
      </c>
      <c r="E3" s="48" t="s">
        <v>497</v>
      </c>
      <c r="F3" s="47" t="s">
        <v>499</v>
      </c>
      <c r="G3" s="47" t="s">
        <v>498</v>
      </c>
      <c r="H3" s="47" t="s">
        <v>502</v>
      </c>
      <c r="I3" s="47" t="s">
        <v>504</v>
      </c>
      <c r="J3" s="47" t="s">
        <v>505</v>
      </c>
      <c r="K3"/>
    </row>
    <row r="4" spans="1:11">
      <c r="A4" s="44" t="s">
        <v>56</v>
      </c>
      <c r="B4" s="142">
        <v>82818</v>
      </c>
      <c r="C4" s="42">
        <v>16972.065205479459</v>
      </c>
      <c r="D4" s="42">
        <v>65845.934794520537</v>
      </c>
      <c r="E4" s="42">
        <v>44571</v>
      </c>
      <c r="F4" s="45">
        <v>0</v>
      </c>
      <c r="G4" s="45">
        <v>127389</v>
      </c>
      <c r="H4" s="45">
        <v>10774.260958904108</v>
      </c>
      <c r="I4" s="45">
        <v>27746.326164383561</v>
      </c>
      <c r="J4" s="45">
        <v>99642.673835616442</v>
      </c>
      <c r="K4"/>
    </row>
    <row r="5" spans="1:11">
      <c r="A5" s="44" t="s">
        <v>367</v>
      </c>
      <c r="B5" s="142">
        <v>43373</v>
      </c>
      <c r="C5" s="42">
        <v>3014.3432876712332</v>
      </c>
      <c r="D5" s="42">
        <v>40358.656712328768</v>
      </c>
      <c r="E5" s="42">
        <v>26200.91</v>
      </c>
      <c r="F5" s="45">
        <v>0</v>
      </c>
      <c r="G5" s="45">
        <v>69573.909999999989</v>
      </c>
      <c r="H5" s="45">
        <v>7251.8543972602738</v>
      </c>
      <c r="I5" s="45">
        <v>10266.197684931509</v>
      </c>
      <c r="J5" s="45">
        <v>59307.712315068493</v>
      </c>
      <c r="K5"/>
    </row>
    <row r="6" spans="1:11">
      <c r="A6" s="44" t="s">
        <v>249</v>
      </c>
      <c r="B6" s="142">
        <v>11460000</v>
      </c>
      <c r="C6" s="42">
        <v>0</v>
      </c>
      <c r="D6" s="42">
        <v>11460000</v>
      </c>
      <c r="E6" s="42">
        <v>0</v>
      </c>
      <c r="F6" s="45">
        <v>0</v>
      </c>
      <c r="G6" s="45">
        <v>11460000</v>
      </c>
      <c r="H6" s="45">
        <v>0</v>
      </c>
      <c r="I6" s="45">
        <v>0</v>
      </c>
      <c r="J6" s="45">
        <v>11460000</v>
      </c>
      <c r="K6"/>
    </row>
    <row r="7" spans="1:11">
      <c r="A7" s="44" t="s">
        <v>84</v>
      </c>
      <c r="B7" s="45">
        <v>9109993.9999949988</v>
      </c>
      <c r="C7" s="42">
        <v>3079642.0158854099</v>
      </c>
      <c r="D7" s="42">
        <v>6030351.9841095889</v>
      </c>
      <c r="E7" s="42">
        <v>1887229.24</v>
      </c>
      <c r="F7" s="45">
        <v>0</v>
      </c>
      <c r="G7" s="45">
        <v>10997223.239994999</v>
      </c>
      <c r="H7" s="142">
        <v>1209833.1164383562</v>
      </c>
      <c r="I7" s="45">
        <v>4289475.1323237652</v>
      </c>
      <c r="J7" s="45">
        <v>6707748.1076712338</v>
      </c>
      <c r="K7"/>
    </row>
    <row r="8" spans="1:11">
      <c r="A8" s="44" t="s">
        <v>80</v>
      </c>
      <c r="B8" s="45">
        <v>719000</v>
      </c>
      <c r="C8" s="42">
        <v>306183.28767123289</v>
      </c>
      <c r="D8" s="42">
        <v>412816.71232876711</v>
      </c>
      <c r="E8" s="42">
        <v>459480.99999999988</v>
      </c>
      <c r="F8" s="45">
        <v>61000</v>
      </c>
      <c r="G8" s="45">
        <v>1117480.9999999998</v>
      </c>
      <c r="H8" s="142">
        <v>84075</v>
      </c>
      <c r="I8" s="45">
        <v>377515.1369863014</v>
      </c>
      <c r="J8" s="45">
        <v>739965.86301369825</v>
      </c>
      <c r="K8"/>
    </row>
    <row r="9" spans="1:11">
      <c r="A9" s="44" t="s">
        <v>157</v>
      </c>
      <c r="B9" s="45">
        <v>15540</v>
      </c>
      <c r="C9" s="42">
        <v>1741.9438356164383</v>
      </c>
      <c r="D9" s="42">
        <v>13798.056164383564</v>
      </c>
      <c r="E9" s="42">
        <v>0</v>
      </c>
      <c r="F9" s="45">
        <v>0</v>
      </c>
      <c r="G9" s="45">
        <v>15540</v>
      </c>
      <c r="H9" s="142">
        <v>1942.5</v>
      </c>
      <c r="I9" s="45">
        <v>3684.4438356164383</v>
      </c>
      <c r="J9" s="45">
        <v>11855.556164383561</v>
      </c>
      <c r="K9"/>
    </row>
    <row r="10" spans="1:11">
      <c r="A10" s="44" t="s">
        <v>253</v>
      </c>
      <c r="B10" s="45">
        <v>108700</v>
      </c>
      <c r="C10" s="42">
        <v>2233.5616438356165</v>
      </c>
      <c r="D10" s="42">
        <v>106466.43835616438</v>
      </c>
      <c r="E10" s="42">
        <v>0</v>
      </c>
      <c r="F10" s="45">
        <v>0</v>
      </c>
      <c r="G10" s="45">
        <v>108700</v>
      </c>
      <c r="H10" s="142">
        <v>16305</v>
      </c>
      <c r="I10" s="45">
        <v>18538.561643835616</v>
      </c>
      <c r="J10" s="45">
        <v>90161.438356164377</v>
      </c>
      <c r="K10"/>
    </row>
    <row r="11" spans="1:11">
      <c r="A11" s="44" t="s">
        <v>68</v>
      </c>
      <c r="B11" s="45">
        <v>2415016</v>
      </c>
      <c r="C11" s="42">
        <v>413913.19369863044</v>
      </c>
      <c r="D11" s="42">
        <v>2001102.8063013703</v>
      </c>
      <c r="E11" s="42">
        <v>1057410</v>
      </c>
      <c r="F11" s="45">
        <v>0</v>
      </c>
      <c r="G11" s="45">
        <v>3472426</v>
      </c>
      <c r="H11" s="142">
        <v>362220.22499999986</v>
      </c>
      <c r="I11" s="45">
        <v>776133.4186986303</v>
      </c>
      <c r="J11" s="45">
        <v>2696292.5813013669</v>
      </c>
      <c r="K11"/>
    </row>
    <row r="12" spans="1:11">
      <c r="A12" s="44" t="s">
        <v>522</v>
      </c>
      <c r="B12" s="45">
        <v>4268150.32</v>
      </c>
      <c r="C12" s="42">
        <v>1918060.2752518358</v>
      </c>
      <c r="D12" s="42">
        <v>2350090.0447481638</v>
      </c>
      <c r="E12" s="42">
        <v>1683514.9500000002</v>
      </c>
      <c r="F12" s="45">
        <v>76500</v>
      </c>
      <c r="G12" s="45">
        <v>5875165.2700000005</v>
      </c>
      <c r="H12" s="45">
        <v>459773.11363013694</v>
      </c>
      <c r="I12" s="45">
        <v>2377454.7929915613</v>
      </c>
      <c r="J12" s="45">
        <v>3497710.4770084377</v>
      </c>
      <c r="K12"/>
    </row>
    <row r="13" spans="1:11">
      <c r="A13" s="44" t="s">
        <v>546</v>
      </c>
      <c r="B13" s="45">
        <v>0</v>
      </c>
      <c r="C13" s="42"/>
      <c r="D13" s="42">
        <v>0</v>
      </c>
      <c r="E13" s="42">
        <v>87018</v>
      </c>
      <c r="F13" s="45">
        <v>0</v>
      </c>
      <c r="G13" s="45">
        <v>87018</v>
      </c>
      <c r="H13" s="45">
        <v>8677.9594520547944</v>
      </c>
      <c r="I13" s="45">
        <v>8677.9594520547944</v>
      </c>
      <c r="J13" s="45">
        <v>78340.040547945202</v>
      </c>
      <c r="K13"/>
    </row>
    <row r="14" spans="1:11">
      <c r="A14" s="44" t="s">
        <v>494</v>
      </c>
      <c r="B14" s="45">
        <v>28222591.319995001</v>
      </c>
      <c r="C14" s="42">
        <v>5741760.6864797119</v>
      </c>
      <c r="D14" s="42">
        <v>22480830.633515287</v>
      </c>
      <c r="E14" s="42">
        <v>5245425.0999999996</v>
      </c>
      <c r="F14" s="45">
        <v>137500</v>
      </c>
      <c r="G14" s="45">
        <v>33330516.419994999</v>
      </c>
      <c r="H14" s="45">
        <v>2160853.0298767122</v>
      </c>
      <c r="I14" s="45">
        <v>7889491.9697810793</v>
      </c>
      <c r="J14" s="45">
        <v>25441024.450213917</v>
      </c>
      <c r="K14"/>
    </row>
    <row r="15" spans="1:11">
      <c r="A15"/>
      <c r="B15"/>
      <c r="C15"/>
      <c r="D15"/>
      <c r="E15"/>
      <c r="F15"/>
      <c r="G15"/>
      <c r="H15"/>
      <c r="I15"/>
      <c r="J15"/>
      <c r="K15"/>
    </row>
    <row r="16" spans="1:11">
      <c r="A16"/>
      <c r="B16"/>
      <c r="C16"/>
      <c r="D16"/>
      <c r="E16"/>
      <c r="F16"/>
      <c r="G16"/>
      <c r="H16"/>
      <c r="I16"/>
      <c r="J16"/>
      <c r="K16"/>
    </row>
    <row r="17" spans="1:11">
      <c r="A17"/>
      <c r="B17"/>
      <c r="C17"/>
      <c r="D17"/>
      <c r="E17"/>
      <c r="F17"/>
      <c r="G17"/>
      <c r="H17"/>
      <c r="I17"/>
      <c r="J17"/>
      <c r="K17"/>
    </row>
    <row r="18" spans="1:11">
      <c r="A18"/>
      <c r="B18"/>
      <c r="C18"/>
      <c r="D18"/>
      <c r="E18"/>
      <c r="F18"/>
      <c r="G18"/>
      <c r="H18"/>
      <c r="I18"/>
      <c r="J18"/>
      <c r="K18"/>
    </row>
    <row r="19" spans="1:11">
      <c r="A19"/>
      <c r="B19"/>
      <c r="C19"/>
      <c r="D19"/>
      <c r="E19"/>
      <c r="F19"/>
      <c r="G19"/>
      <c r="H19"/>
      <c r="I19"/>
      <c r="J19"/>
      <c r="K19"/>
    </row>
    <row r="20" spans="1:11">
      <c r="A20"/>
      <c r="B20"/>
      <c r="C20"/>
      <c r="D20"/>
      <c r="E20"/>
      <c r="F20"/>
      <c r="G20"/>
      <c r="H20"/>
      <c r="I20"/>
      <c r="J20"/>
      <c r="K20"/>
    </row>
    <row r="21" spans="1:11">
      <c r="A21"/>
      <c r="B21"/>
      <c r="C21"/>
      <c r="D21"/>
      <c r="E21"/>
      <c r="F21"/>
      <c r="G21"/>
      <c r="H21"/>
      <c r="I21"/>
      <c r="J21"/>
      <c r="K21"/>
    </row>
    <row r="22" spans="1:11">
      <c r="A22"/>
      <c r="B22"/>
      <c r="C22"/>
      <c r="D22"/>
      <c r="E22"/>
      <c r="F22"/>
      <c r="G22"/>
      <c r="H22"/>
      <c r="I22"/>
      <c r="J22"/>
      <c r="K22"/>
    </row>
    <row r="23" spans="1:11">
      <c r="A23"/>
      <c r="B23"/>
      <c r="C23"/>
      <c r="D23"/>
      <c r="E23"/>
      <c r="F23"/>
      <c r="G23"/>
      <c r="H23"/>
      <c r="I23"/>
      <c r="J23"/>
      <c r="K23"/>
    </row>
    <row r="24" spans="1:11">
      <c r="A24"/>
      <c r="B24"/>
      <c r="C24"/>
      <c r="D24"/>
      <c r="E24"/>
      <c r="F24"/>
      <c r="G24"/>
      <c r="H24"/>
      <c r="I24"/>
      <c r="J24"/>
      <c r="K24"/>
    </row>
    <row r="25" spans="1:11">
      <c r="A25"/>
      <c r="B25"/>
      <c r="C25"/>
      <c r="D25"/>
      <c r="E25"/>
      <c r="F25"/>
      <c r="G25"/>
      <c r="H25"/>
      <c r="I25"/>
      <c r="J25"/>
      <c r="K25"/>
    </row>
    <row r="26" spans="1:11">
      <c r="A26"/>
      <c r="B26"/>
      <c r="C26"/>
      <c r="D26"/>
      <c r="E26"/>
      <c r="F26"/>
      <c r="G26"/>
      <c r="H26"/>
      <c r="I26"/>
      <c r="J26"/>
      <c r="K26"/>
    </row>
    <row r="27" spans="1:11">
      <c r="A27"/>
      <c r="B27"/>
      <c r="C27"/>
      <c r="D27"/>
      <c r="E27"/>
      <c r="F27"/>
      <c r="G27"/>
      <c r="H27"/>
      <c r="I27"/>
      <c r="J27"/>
      <c r="K27"/>
    </row>
    <row r="28" spans="1:11">
      <c r="A28"/>
      <c r="B28"/>
      <c r="C28"/>
      <c r="D28"/>
      <c r="E28"/>
      <c r="F28"/>
      <c r="G28"/>
      <c r="H28"/>
      <c r="I28"/>
      <c r="J28"/>
      <c r="K28"/>
    </row>
    <row r="29" spans="1:11">
      <c r="A29"/>
      <c r="B29"/>
      <c r="C29"/>
      <c r="D29"/>
      <c r="E29"/>
      <c r="F29"/>
      <c r="G29"/>
      <c r="H29"/>
      <c r="I29"/>
      <c r="J29"/>
      <c r="K29"/>
    </row>
    <row r="30" spans="1:11">
      <c r="A30"/>
      <c r="B30"/>
      <c r="C30"/>
      <c r="D30"/>
      <c r="E30"/>
      <c r="F30"/>
      <c r="G30"/>
      <c r="H30"/>
      <c r="I30"/>
      <c r="J30"/>
      <c r="K30"/>
    </row>
    <row r="31" spans="1:11">
      <c r="A31"/>
      <c r="B31"/>
      <c r="C31"/>
      <c r="D31"/>
      <c r="E31"/>
      <c r="F31"/>
      <c r="G31"/>
      <c r="H31"/>
      <c r="I31"/>
      <c r="J31"/>
      <c r="K31"/>
    </row>
    <row r="32" spans="1:11">
      <c r="A32"/>
      <c r="B32"/>
      <c r="C32"/>
      <c r="D32"/>
      <c r="E32"/>
      <c r="F32"/>
      <c r="G32"/>
      <c r="H32"/>
      <c r="I32"/>
      <c r="J32"/>
      <c r="K32"/>
    </row>
    <row r="33" spans="1:11">
      <c r="A33"/>
      <c r="B33"/>
      <c r="C33"/>
      <c r="D33"/>
      <c r="E33"/>
      <c r="F33"/>
      <c r="G33"/>
      <c r="H33"/>
      <c r="I33"/>
      <c r="J33"/>
      <c r="K33"/>
    </row>
    <row r="34" spans="1:11">
      <c r="A34"/>
      <c r="B34"/>
      <c r="C34"/>
      <c r="D34"/>
      <c r="E34"/>
      <c r="F34"/>
      <c r="G34"/>
      <c r="H34"/>
      <c r="I34"/>
      <c r="J34"/>
      <c r="K34"/>
    </row>
    <row r="35" spans="1:11">
      <c r="A35"/>
      <c r="B35"/>
      <c r="C35"/>
      <c r="D35"/>
      <c r="E35"/>
      <c r="F35"/>
      <c r="G35"/>
      <c r="H35"/>
      <c r="I35"/>
      <c r="J35"/>
      <c r="K35"/>
    </row>
    <row r="36" spans="1:11">
      <c r="A36"/>
      <c r="B36"/>
      <c r="C36"/>
      <c r="D36"/>
      <c r="E36"/>
      <c r="F36"/>
      <c r="G36"/>
      <c r="H36"/>
      <c r="I36"/>
      <c r="J36"/>
      <c r="K36"/>
    </row>
    <row r="37" spans="1:11">
      <c r="A37"/>
      <c r="B37"/>
      <c r="C37"/>
      <c r="D37"/>
      <c r="E37"/>
      <c r="F37"/>
      <c r="G37"/>
      <c r="H37"/>
      <c r="I37"/>
      <c r="J37"/>
      <c r="K37"/>
    </row>
    <row r="38" spans="1:11">
      <c r="A38"/>
      <c r="B38"/>
      <c r="C38"/>
      <c r="D38"/>
      <c r="E38"/>
      <c r="F38"/>
      <c r="G38"/>
      <c r="H38"/>
      <c r="I38"/>
      <c r="J38"/>
      <c r="K38"/>
    </row>
    <row r="39" spans="1:11">
      <c r="A39"/>
      <c r="B39"/>
      <c r="C39"/>
      <c r="D39"/>
      <c r="E39"/>
      <c r="F39"/>
      <c r="G39"/>
      <c r="H39"/>
      <c r="I39"/>
      <c r="J39"/>
      <c r="K39"/>
    </row>
    <row r="40" spans="1:11">
      <c r="A40"/>
      <c r="B40"/>
      <c r="C40"/>
      <c r="D40"/>
      <c r="E40"/>
      <c r="F40"/>
      <c r="G40"/>
      <c r="H40"/>
      <c r="I40"/>
      <c r="J40"/>
      <c r="K40"/>
    </row>
    <row r="41" spans="1:11">
      <c r="A41"/>
      <c r="B41"/>
      <c r="C41"/>
      <c r="D41"/>
      <c r="E41"/>
      <c r="F41"/>
      <c r="G41"/>
      <c r="H41"/>
      <c r="I41"/>
      <c r="J41"/>
      <c r="K41"/>
    </row>
    <row r="42" spans="1:11">
      <c r="A42"/>
      <c r="B42"/>
      <c r="C42"/>
      <c r="D42"/>
      <c r="E42"/>
      <c r="F42"/>
      <c r="G42"/>
      <c r="H42"/>
      <c r="I42"/>
      <c r="J42"/>
      <c r="K42"/>
    </row>
    <row r="43" spans="1:11">
      <c r="A43"/>
      <c r="B43"/>
      <c r="C43"/>
      <c r="D43"/>
      <c r="E43"/>
      <c r="F43"/>
      <c r="G43"/>
      <c r="H43"/>
      <c r="I43"/>
      <c r="J43"/>
      <c r="K43"/>
    </row>
    <row r="44" spans="1:11">
      <c r="A44"/>
      <c r="B44"/>
      <c r="C44"/>
      <c r="D44"/>
      <c r="E44"/>
      <c r="F44"/>
      <c r="G44"/>
      <c r="H44"/>
      <c r="I44"/>
      <c r="J44"/>
      <c r="K44"/>
    </row>
    <row r="45" spans="1:11">
      <c r="A45"/>
      <c r="B45"/>
      <c r="C45"/>
      <c r="D45"/>
      <c r="E45"/>
      <c r="F45"/>
      <c r="G45"/>
      <c r="H45"/>
      <c r="I45"/>
      <c r="J45"/>
      <c r="K45"/>
    </row>
    <row r="46" spans="1:11">
      <c r="A46"/>
      <c r="B46"/>
      <c r="C46"/>
      <c r="D46"/>
      <c r="E46"/>
      <c r="F46"/>
      <c r="G46"/>
      <c r="H46"/>
      <c r="I46"/>
      <c r="J46"/>
      <c r="K46"/>
    </row>
    <row r="47" spans="1:11">
      <c r="A47"/>
      <c r="B47"/>
      <c r="C47"/>
      <c r="D47"/>
      <c r="E47"/>
      <c r="F47"/>
      <c r="G47"/>
      <c r="H47"/>
      <c r="I47"/>
      <c r="J47"/>
      <c r="K47"/>
    </row>
    <row r="48" spans="1:11">
      <c r="A48"/>
      <c r="B48"/>
      <c r="C48"/>
      <c r="D48"/>
      <c r="E48"/>
      <c r="F48"/>
      <c r="G48"/>
      <c r="H48"/>
      <c r="I48"/>
      <c r="J48"/>
      <c r="K48"/>
    </row>
    <row r="49" spans="1:11">
      <c r="A49"/>
      <c r="B49"/>
      <c r="C49"/>
      <c r="D49"/>
      <c r="E49"/>
      <c r="F49"/>
      <c r="G49"/>
      <c r="H49"/>
      <c r="I49"/>
      <c r="J49"/>
      <c r="K49"/>
    </row>
    <row r="50" spans="1:11">
      <c r="A50"/>
      <c r="B50"/>
      <c r="C50"/>
      <c r="D50"/>
      <c r="E50"/>
      <c r="F50"/>
      <c r="G50"/>
      <c r="H50"/>
      <c r="I50"/>
      <c r="J50"/>
      <c r="K50"/>
    </row>
    <row r="51" spans="1:11">
      <c r="A51"/>
      <c r="B51"/>
      <c r="C51"/>
      <c r="D51"/>
      <c r="E51"/>
      <c r="F51"/>
      <c r="G51"/>
      <c r="H51"/>
      <c r="I51"/>
      <c r="J51"/>
      <c r="K51"/>
    </row>
    <row r="52" spans="1:11">
      <c r="A52"/>
      <c r="B52"/>
      <c r="C52"/>
      <c r="D52"/>
      <c r="E52"/>
      <c r="F52"/>
      <c r="G52"/>
      <c r="H52"/>
      <c r="I52"/>
      <c r="J52"/>
      <c r="K52"/>
    </row>
    <row r="53" spans="1:11">
      <c r="A53"/>
      <c r="B53"/>
      <c r="C53"/>
      <c r="D53"/>
      <c r="E53"/>
      <c r="F53"/>
      <c r="G53"/>
      <c r="H53"/>
      <c r="I53"/>
      <c r="J53"/>
      <c r="K53"/>
    </row>
    <row r="54" spans="1:11">
      <c r="A54"/>
      <c r="B54"/>
      <c r="C54"/>
      <c r="D54"/>
      <c r="E54"/>
      <c r="F54"/>
      <c r="G54"/>
      <c r="H54"/>
      <c r="I54"/>
      <c r="J54"/>
      <c r="K54"/>
    </row>
    <row r="55" spans="1:11">
      <c r="A55"/>
      <c r="B55"/>
      <c r="C55"/>
      <c r="D55"/>
      <c r="E55"/>
      <c r="F55"/>
      <c r="G55"/>
      <c r="H55"/>
      <c r="I55"/>
      <c r="J55"/>
      <c r="K55"/>
    </row>
    <row r="56" spans="1:11">
      <c r="A56"/>
      <c r="B56"/>
      <c r="C56"/>
      <c r="D56"/>
      <c r="E56"/>
      <c r="F56"/>
      <c r="G56"/>
      <c r="H56"/>
      <c r="I56"/>
      <c r="J56"/>
      <c r="K56"/>
    </row>
    <row r="57" spans="1:11">
      <c r="A57"/>
      <c r="B57"/>
      <c r="C57"/>
      <c r="D57"/>
      <c r="E57"/>
      <c r="F57"/>
      <c r="G57"/>
      <c r="H57"/>
      <c r="I57"/>
      <c r="J57"/>
      <c r="K57"/>
    </row>
    <row r="58" spans="1:11">
      <c r="A58"/>
      <c r="B58"/>
      <c r="C58"/>
      <c r="D58"/>
      <c r="E58"/>
      <c r="F58"/>
      <c r="G58"/>
      <c r="H58"/>
      <c r="I58"/>
      <c r="J58"/>
      <c r="K58"/>
    </row>
    <row r="59" spans="1:11">
      <c r="A59"/>
      <c r="B59"/>
      <c r="C59"/>
      <c r="D59"/>
      <c r="E59"/>
      <c r="F59"/>
      <c r="G59"/>
      <c r="H59"/>
      <c r="I59"/>
      <c r="J59"/>
      <c r="K59"/>
    </row>
    <row r="60" spans="1:11">
      <c r="A60"/>
      <c r="B60"/>
      <c r="C60"/>
      <c r="D60"/>
      <c r="E60"/>
      <c r="F60"/>
      <c r="G60"/>
      <c r="H60"/>
      <c r="I60"/>
      <c r="J60"/>
      <c r="K60"/>
    </row>
    <row r="61" spans="1:11">
      <c r="A61"/>
      <c r="B61"/>
      <c r="C61"/>
      <c r="D61"/>
      <c r="E61"/>
      <c r="F61"/>
      <c r="G61"/>
      <c r="H61"/>
      <c r="I61"/>
      <c r="J61"/>
      <c r="K61"/>
    </row>
    <row r="62" spans="1:11">
      <c r="A62"/>
      <c r="B62"/>
      <c r="C62"/>
      <c r="D62"/>
      <c r="E62"/>
      <c r="F62"/>
      <c r="G62"/>
      <c r="H62"/>
      <c r="I62"/>
      <c r="J62"/>
      <c r="K62"/>
    </row>
    <row r="63" spans="1:11">
      <c r="A63"/>
      <c r="B63"/>
      <c r="C63"/>
      <c r="D63"/>
      <c r="E63"/>
      <c r="F63"/>
      <c r="G63"/>
      <c r="H63"/>
      <c r="I63"/>
      <c r="J63"/>
      <c r="K63"/>
    </row>
    <row r="64" spans="1:11">
      <c r="A64"/>
      <c r="B64"/>
      <c r="C64"/>
      <c r="D64"/>
      <c r="E64"/>
      <c r="F64"/>
      <c r="G64"/>
      <c r="H64"/>
      <c r="I64"/>
      <c r="J64"/>
      <c r="K64"/>
    </row>
    <row r="65" spans="1:11">
      <c r="A65"/>
      <c r="B65"/>
      <c r="C65"/>
      <c r="D65"/>
      <c r="E65"/>
      <c r="F65"/>
      <c r="G65"/>
      <c r="H65"/>
      <c r="I65"/>
      <c r="J65"/>
      <c r="K65"/>
    </row>
    <row r="66" spans="1:11">
      <c r="A66"/>
      <c r="B66"/>
      <c r="C66"/>
      <c r="D66"/>
      <c r="E66"/>
      <c r="F66"/>
      <c r="G66"/>
      <c r="H66"/>
      <c r="I66"/>
      <c r="J66"/>
      <c r="K66"/>
    </row>
    <row r="67" spans="1:11">
      <c r="A67"/>
      <c r="B67"/>
      <c r="C67"/>
      <c r="D67"/>
      <c r="E67"/>
      <c r="F67"/>
      <c r="G67"/>
      <c r="H67"/>
      <c r="I67"/>
      <c r="J67"/>
    </row>
    <row r="68" spans="1:11">
      <c r="A68"/>
      <c r="B68"/>
      <c r="C68"/>
      <c r="D68"/>
      <c r="E68"/>
      <c r="F68"/>
      <c r="G68"/>
      <c r="H68"/>
      <c r="I68"/>
      <c r="J68"/>
    </row>
    <row r="69" spans="1:11">
      <c r="A69"/>
      <c r="B69"/>
      <c r="C69"/>
      <c r="D69"/>
      <c r="E69"/>
      <c r="F69"/>
      <c r="G69"/>
      <c r="H69"/>
      <c r="I69"/>
      <c r="J69"/>
    </row>
    <row r="70" spans="1:11">
      <c r="A70"/>
      <c r="B70"/>
      <c r="C70"/>
      <c r="D70"/>
      <c r="E70"/>
      <c r="F70"/>
      <c r="G70"/>
      <c r="H70"/>
      <c r="I70"/>
      <c r="J70"/>
    </row>
    <row r="71" spans="1:11">
      <c r="A71"/>
      <c r="B71"/>
      <c r="C71"/>
      <c r="D71"/>
      <c r="E71"/>
      <c r="F71"/>
      <c r="G71"/>
      <c r="H71"/>
      <c r="I71"/>
      <c r="J71"/>
    </row>
    <row r="72" spans="1:11">
      <c r="A72"/>
      <c r="B72"/>
      <c r="C72"/>
      <c r="D72"/>
      <c r="E72"/>
      <c r="F72"/>
      <c r="G72"/>
      <c r="H72"/>
      <c r="I72"/>
      <c r="J72"/>
    </row>
    <row r="73" spans="1:11">
      <c r="A73"/>
      <c r="B73"/>
      <c r="C73"/>
      <c r="D73"/>
      <c r="E73"/>
      <c r="F73"/>
      <c r="G73"/>
      <c r="H73"/>
      <c r="I73"/>
      <c r="J73"/>
    </row>
    <row r="74" spans="1:11">
      <c r="A74"/>
      <c r="B74"/>
      <c r="C74"/>
      <c r="D74"/>
      <c r="E74"/>
      <c r="F74"/>
      <c r="G74"/>
      <c r="H74"/>
      <c r="I74"/>
      <c r="J74"/>
    </row>
    <row r="75" spans="1:11">
      <c r="A75"/>
      <c r="B75"/>
      <c r="C75"/>
      <c r="D75"/>
      <c r="E75"/>
      <c r="F75"/>
      <c r="G75"/>
      <c r="H75"/>
      <c r="I75"/>
      <c r="J75"/>
    </row>
    <row r="76" spans="1:11">
      <c r="A76"/>
      <c r="B76"/>
      <c r="C76"/>
      <c r="D76"/>
      <c r="E76"/>
      <c r="F76"/>
      <c r="G76"/>
      <c r="H76"/>
      <c r="I76"/>
      <c r="J76"/>
    </row>
    <row r="77" spans="1:11">
      <c r="A77"/>
      <c r="B77"/>
      <c r="C77"/>
      <c r="D77"/>
      <c r="E77"/>
      <c r="F77"/>
      <c r="G77"/>
      <c r="H77"/>
      <c r="I77"/>
      <c r="J77"/>
    </row>
    <row r="78" spans="1:11">
      <c r="A78"/>
      <c r="B78"/>
      <c r="C78"/>
      <c r="D78"/>
      <c r="E78"/>
      <c r="F78"/>
      <c r="G78"/>
      <c r="H78"/>
      <c r="I78"/>
      <c r="J78"/>
    </row>
    <row r="79" spans="1:11">
      <c r="A79"/>
      <c r="B79"/>
      <c r="C79"/>
      <c r="D79"/>
      <c r="E79"/>
      <c r="F79"/>
      <c r="G79"/>
      <c r="H79"/>
      <c r="I79"/>
      <c r="J79"/>
    </row>
    <row r="80" spans="1:11">
      <c r="A80"/>
      <c r="B80"/>
      <c r="C80"/>
      <c r="D80"/>
      <c r="E80"/>
      <c r="F80"/>
      <c r="G80"/>
      <c r="H80"/>
      <c r="I80"/>
      <c r="J80"/>
    </row>
    <row r="81" spans="1:10">
      <c r="A81"/>
      <c r="B81"/>
      <c r="C81"/>
      <c r="D81"/>
      <c r="E81"/>
      <c r="F81"/>
      <c r="G81"/>
      <c r="H81"/>
      <c r="I81"/>
      <c r="J81"/>
    </row>
    <row r="82" spans="1:10">
      <c r="A82"/>
      <c r="B82"/>
      <c r="C82"/>
      <c r="D82"/>
      <c r="E82"/>
      <c r="F82"/>
      <c r="G82"/>
      <c r="H82"/>
      <c r="I82"/>
      <c r="J82"/>
    </row>
    <row r="83" spans="1:10">
      <c r="A83"/>
      <c r="B83"/>
      <c r="C83"/>
      <c r="D83"/>
      <c r="E83"/>
      <c r="F83"/>
      <c r="G83"/>
      <c r="H83"/>
      <c r="I83"/>
      <c r="J83"/>
    </row>
    <row r="84" spans="1:10">
      <c r="A84"/>
      <c r="B84"/>
      <c r="C84"/>
      <c r="D84"/>
      <c r="E84"/>
      <c r="F84"/>
      <c r="G84"/>
      <c r="H84"/>
      <c r="I84"/>
      <c r="J84"/>
    </row>
    <row r="85" spans="1:10">
      <c r="A85"/>
      <c r="B85"/>
      <c r="C85"/>
      <c r="D85"/>
      <c r="E85"/>
      <c r="F85"/>
      <c r="G85"/>
      <c r="H85"/>
      <c r="I85"/>
      <c r="J85"/>
    </row>
    <row r="86" spans="1:10">
      <c r="A86"/>
      <c r="B86"/>
      <c r="C86"/>
      <c r="D86"/>
      <c r="E86"/>
      <c r="F86"/>
      <c r="G86"/>
      <c r="H86"/>
      <c r="I86"/>
      <c r="J86"/>
    </row>
    <row r="87" spans="1:10">
      <c r="A87"/>
      <c r="B87"/>
      <c r="C87"/>
      <c r="D87"/>
      <c r="E87"/>
      <c r="F87"/>
      <c r="G87"/>
      <c r="H87"/>
      <c r="I87"/>
      <c r="J87"/>
    </row>
    <row r="88" spans="1:10">
      <c r="A88"/>
      <c r="B88"/>
      <c r="C88"/>
      <c r="D88"/>
      <c r="E88"/>
      <c r="F88"/>
      <c r="G88"/>
      <c r="H88"/>
      <c r="I88"/>
      <c r="J88"/>
    </row>
    <row r="89" spans="1:10">
      <c r="A89"/>
      <c r="B89"/>
      <c r="C89"/>
      <c r="D89"/>
      <c r="E89"/>
      <c r="F89"/>
      <c r="G89"/>
      <c r="H89"/>
      <c r="I89"/>
      <c r="J89"/>
    </row>
    <row r="90" spans="1:10">
      <c r="A90"/>
      <c r="B90"/>
      <c r="C90"/>
      <c r="D90"/>
      <c r="E90"/>
      <c r="F90"/>
      <c r="G90"/>
      <c r="H90"/>
      <c r="I90"/>
      <c r="J90"/>
    </row>
    <row r="91" spans="1:10">
      <c r="A91"/>
      <c r="B91"/>
      <c r="C91"/>
      <c r="D91"/>
      <c r="E91"/>
      <c r="F91"/>
      <c r="G91"/>
      <c r="H91"/>
      <c r="I91"/>
      <c r="J91"/>
    </row>
    <row r="92" spans="1:10">
      <c r="A92"/>
      <c r="B92"/>
      <c r="C92"/>
      <c r="D92"/>
      <c r="E92"/>
      <c r="F92"/>
      <c r="G92"/>
      <c r="H92"/>
      <c r="I92"/>
      <c r="J92"/>
    </row>
    <row r="93" spans="1:10">
      <c r="A93"/>
      <c r="B93"/>
      <c r="C93"/>
      <c r="D93"/>
      <c r="E93"/>
      <c r="F93"/>
      <c r="G93"/>
      <c r="H93"/>
      <c r="I93"/>
      <c r="J93"/>
    </row>
    <row r="94" spans="1:10">
      <c r="A94"/>
      <c r="B94"/>
      <c r="C94"/>
      <c r="D94"/>
      <c r="E94"/>
      <c r="F94"/>
      <c r="G94"/>
      <c r="H94"/>
      <c r="I94"/>
      <c r="J94"/>
    </row>
    <row r="95" spans="1:10">
      <c r="A95"/>
      <c r="B95"/>
      <c r="C95"/>
      <c r="D95"/>
      <c r="E95"/>
      <c r="F95"/>
      <c r="G95"/>
      <c r="H95"/>
      <c r="I95"/>
      <c r="J95"/>
    </row>
    <row r="96" spans="1:10">
      <c r="A96"/>
      <c r="B96"/>
      <c r="C96"/>
      <c r="D96"/>
      <c r="E96"/>
      <c r="F96"/>
      <c r="G96"/>
      <c r="H96"/>
      <c r="I96"/>
      <c r="J96"/>
    </row>
    <row r="97" spans="1:10">
      <c r="A97"/>
      <c r="B97"/>
      <c r="C97"/>
      <c r="D97"/>
      <c r="E97"/>
      <c r="F97"/>
      <c r="G97"/>
      <c r="H97"/>
      <c r="I97"/>
      <c r="J97"/>
    </row>
    <row r="98" spans="1:10">
      <c r="A98"/>
      <c r="B98"/>
      <c r="C98"/>
      <c r="D98"/>
      <c r="E98"/>
      <c r="F98"/>
      <c r="G98"/>
      <c r="H98"/>
      <c r="I98"/>
      <c r="J98"/>
    </row>
    <row r="99" spans="1:10">
      <c r="A99"/>
      <c r="B99"/>
      <c r="C99"/>
      <c r="D99"/>
      <c r="E99"/>
      <c r="F99"/>
      <c r="G99"/>
      <c r="H99"/>
      <c r="I99"/>
      <c r="J99"/>
    </row>
    <row r="100" spans="1:10">
      <c r="A100"/>
      <c r="B100"/>
      <c r="C100"/>
      <c r="D100"/>
      <c r="E100"/>
      <c r="F100"/>
      <c r="G100"/>
      <c r="H100"/>
      <c r="I100"/>
      <c r="J100"/>
    </row>
    <row r="101" spans="1:10">
      <c r="A101"/>
      <c r="B101"/>
      <c r="C101"/>
      <c r="D101"/>
      <c r="E101"/>
      <c r="F101"/>
      <c r="G101"/>
      <c r="H101"/>
      <c r="I101"/>
      <c r="J101"/>
    </row>
    <row r="102" spans="1:10">
      <c r="A102"/>
      <c r="B102"/>
      <c r="C102"/>
      <c r="D102"/>
      <c r="E102"/>
      <c r="F102"/>
      <c r="G102"/>
      <c r="H102"/>
      <c r="I102"/>
      <c r="J102"/>
    </row>
    <row r="103" spans="1:10">
      <c r="A103"/>
      <c r="B103"/>
      <c r="C103"/>
      <c r="D103"/>
      <c r="E103"/>
      <c r="F103"/>
      <c r="G103"/>
      <c r="H103"/>
      <c r="I103"/>
      <c r="J103"/>
    </row>
    <row r="104" spans="1:10">
      <c r="A104"/>
      <c r="B104"/>
      <c r="C104"/>
      <c r="D104"/>
      <c r="E104"/>
      <c r="F104"/>
      <c r="G104"/>
      <c r="H104"/>
      <c r="I104"/>
      <c r="J104"/>
    </row>
    <row r="105" spans="1:10">
      <c r="A105"/>
      <c r="B105"/>
      <c r="C105"/>
      <c r="D105"/>
      <c r="E105"/>
      <c r="F105"/>
      <c r="G105"/>
      <c r="H105"/>
      <c r="I105"/>
      <c r="J105"/>
    </row>
    <row r="106" spans="1:10">
      <c r="A106"/>
      <c r="B106"/>
      <c r="C106"/>
      <c r="D106"/>
      <c r="E106"/>
      <c r="F106"/>
      <c r="G106"/>
      <c r="H106"/>
      <c r="I106"/>
      <c r="J106"/>
    </row>
    <row r="107" spans="1:10">
      <c r="A107"/>
      <c r="B107"/>
      <c r="C107"/>
      <c r="D107"/>
      <c r="E107"/>
      <c r="F107"/>
      <c r="G107"/>
      <c r="H107"/>
      <c r="I107"/>
      <c r="J107"/>
    </row>
    <row r="108" spans="1:10">
      <c r="A108"/>
      <c r="B108"/>
      <c r="C108"/>
      <c r="D108"/>
      <c r="E108"/>
      <c r="F108"/>
      <c r="G108"/>
      <c r="H108"/>
      <c r="I108"/>
      <c r="J108"/>
    </row>
    <row r="109" spans="1:10">
      <c r="A109"/>
      <c r="B109"/>
      <c r="C109"/>
      <c r="D109"/>
      <c r="E109"/>
      <c r="F109"/>
      <c r="G109"/>
      <c r="H109"/>
      <c r="I109"/>
      <c r="J109"/>
    </row>
    <row r="110" spans="1:10">
      <c r="A110"/>
      <c r="B110"/>
      <c r="C110"/>
      <c r="D110"/>
      <c r="E110"/>
      <c r="F110"/>
      <c r="G110"/>
      <c r="H110"/>
      <c r="I110"/>
      <c r="J110"/>
    </row>
    <row r="111" spans="1:10">
      <c r="A111"/>
      <c r="B111"/>
      <c r="C111"/>
      <c r="D111"/>
      <c r="E111"/>
      <c r="F111"/>
      <c r="G111"/>
      <c r="H111"/>
      <c r="I111"/>
      <c r="J111"/>
    </row>
    <row r="112" spans="1:10">
      <c r="A112"/>
      <c r="B112"/>
      <c r="C112"/>
      <c r="D112"/>
      <c r="E112"/>
      <c r="F112"/>
      <c r="G112"/>
      <c r="H112"/>
      <c r="I112"/>
      <c r="J112"/>
    </row>
    <row r="113" spans="1:10">
      <c r="A113"/>
      <c r="B113"/>
      <c r="C113"/>
      <c r="D113"/>
      <c r="E113"/>
      <c r="F113"/>
      <c r="G113"/>
      <c r="H113"/>
      <c r="I113"/>
      <c r="J113"/>
    </row>
    <row r="114" spans="1:10">
      <c r="A114"/>
      <c r="B114"/>
      <c r="C114"/>
      <c r="D114"/>
      <c r="E114"/>
      <c r="F114"/>
      <c r="G114"/>
      <c r="H114"/>
      <c r="I114"/>
      <c r="J114"/>
    </row>
    <row r="115" spans="1:10">
      <c r="A115"/>
      <c r="B115"/>
      <c r="C115"/>
      <c r="D115"/>
      <c r="E115"/>
      <c r="F115"/>
      <c r="G115"/>
      <c r="H115"/>
      <c r="I115"/>
      <c r="J115"/>
    </row>
    <row r="116" spans="1:10">
      <c r="A116"/>
      <c r="B116"/>
      <c r="C116"/>
      <c r="D116"/>
      <c r="E116"/>
      <c r="F116"/>
      <c r="G116"/>
      <c r="H116"/>
      <c r="I116"/>
      <c r="J116"/>
    </row>
    <row r="117" spans="1:10">
      <c r="A117"/>
      <c r="B117"/>
      <c r="C117"/>
      <c r="D117"/>
      <c r="E117"/>
      <c r="F117"/>
      <c r="G117"/>
      <c r="H117"/>
      <c r="I117"/>
      <c r="J117"/>
    </row>
    <row r="118" spans="1:10">
      <c r="A118"/>
      <c r="B118"/>
      <c r="C118"/>
      <c r="D118"/>
      <c r="E118"/>
      <c r="F118"/>
      <c r="G118"/>
      <c r="H118"/>
      <c r="I118"/>
      <c r="J118"/>
    </row>
    <row r="119" spans="1:10">
      <c r="A119"/>
      <c r="B119"/>
      <c r="C119"/>
      <c r="D119"/>
      <c r="E119"/>
      <c r="F119"/>
      <c r="G119"/>
      <c r="H119"/>
      <c r="I119"/>
      <c r="J119"/>
    </row>
    <row r="120" spans="1:10">
      <c r="A120"/>
      <c r="B120"/>
      <c r="C120"/>
      <c r="D120"/>
      <c r="E120"/>
      <c r="F120"/>
      <c r="G120"/>
      <c r="H120"/>
      <c r="I120"/>
      <c r="J120"/>
    </row>
    <row r="121" spans="1:10">
      <c r="A121"/>
      <c r="B121"/>
      <c r="C121"/>
      <c r="D121"/>
      <c r="E121"/>
      <c r="F121"/>
      <c r="G121"/>
      <c r="H121"/>
      <c r="I121"/>
      <c r="J121"/>
    </row>
  </sheetData>
  <pageMargins left="0.7" right="0.7" top="0.75" bottom="0.75" header="0.3" footer="0.3"/>
  <pageSetup paperSize="9" scale="72" orientation="landscape" r:id="rId2"/>
  <colBreaks count="1" manualBreakCount="1">
    <brk id="10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9D33F-00D6-4D26-9E2E-64716972D104}">
  <sheetPr codeName="Sheet35"/>
  <dimension ref="A1:AS700"/>
  <sheetViews>
    <sheetView rightToLeft="1" zoomScale="40" zoomScaleNormal="40" zoomScaleSheetLayoutView="10" workbookViewId="0">
      <pane xSplit="1" ySplit="5" topLeftCell="B177" activePane="bottomRight" state="frozen"/>
      <selection pane="topRight" activeCell="B1" sqref="B1"/>
      <selection pane="bottomLeft" activeCell="A5" sqref="A5"/>
      <selection pane="bottomRight" activeCell="E2" sqref="E2"/>
    </sheetView>
  </sheetViews>
  <sheetFormatPr defaultColWidth="9.140625" defaultRowHeight="15"/>
  <cols>
    <col min="1" max="1" width="7.42578125" style="1" customWidth="1"/>
    <col min="2" max="2" width="59.85546875" style="1" customWidth="1"/>
    <col min="3" max="3" width="40.5703125" style="1" bestFit="1" customWidth="1"/>
    <col min="4" max="4" width="37.85546875" style="1" customWidth="1"/>
    <col min="5" max="5" width="60.5703125" style="1" bestFit="1" customWidth="1"/>
    <col min="6" max="6" width="88.42578125" style="1" bestFit="1" customWidth="1"/>
    <col min="7" max="7" width="27.28515625" style="1" bestFit="1" customWidth="1"/>
    <col min="8" max="8" width="16.28515625" customWidth="1"/>
    <col min="9" max="9" width="22.7109375" style="1" bestFit="1" customWidth="1"/>
    <col min="10" max="10" width="31.5703125" style="1" bestFit="1" customWidth="1"/>
    <col min="11" max="11" width="49.42578125" style="1" bestFit="1" customWidth="1"/>
    <col min="12" max="12" width="31.28515625" style="1" bestFit="1" customWidth="1"/>
    <col min="13" max="13" width="35.140625" style="1" bestFit="1" customWidth="1"/>
    <col min="14" max="14" width="62.42578125" style="1" customWidth="1"/>
    <col min="15" max="15" width="39" style="1" customWidth="1"/>
    <col min="16" max="16" width="15" style="11" customWidth="1"/>
    <col min="17" max="17" width="30.140625" style="1" bestFit="1" customWidth="1"/>
    <col min="18" max="18" width="31.5703125" style="35" bestFit="1" customWidth="1"/>
    <col min="19" max="19" width="34.42578125" style="1" bestFit="1" customWidth="1"/>
    <col min="20" max="21" width="55.140625" style="1" bestFit="1" customWidth="1"/>
    <col min="22" max="26" width="31.42578125" customWidth="1"/>
    <col min="27" max="27" width="30.5703125" style="11" bestFit="1" customWidth="1"/>
    <col min="28" max="28" width="15.5703125" style="12" customWidth="1"/>
    <col min="29" max="29" width="15.5703125" style="1" customWidth="1"/>
    <col min="30" max="30" width="25.5703125" style="1" bestFit="1" customWidth="1"/>
    <col min="31" max="31" width="28" style="1" bestFit="1" customWidth="1"/>
    <col min="32" max="32" width="28.7109375" style="1" bestFit="1" customWidth="1"/>
    <col min="33" max="33" width="18.42578125" style="1" customWidth="1"/>
    <col min="34" max="34" width="25" style="1" customWidth="1"/>
    <col min="35" max="35" width="29.140625" style="1" bestFit="1" customWidth="1"/>
    <col min="36" max="36" width="22.140625" style="1" customWidth="1"/>
    <col min="37" max="37" width="18.42578125" style="1" customWidth="1"/>
    <col min="38" max="38" width="15.85546875" style="1" customWidth="1"/>
    <col min="39" max="39" width="21.85546875" style="1" customWidth="1"/>
    <col min="40" max="40" width="22.28515625" customWidth="1"/>
    <col min="41" max="41" width="30" style="1" customWidth="1"/>
    <col min="42" max="42" width="34.5703125" style="1" customWidth="1"/>
    <col min="43" max="43" width="36.85546875" style="1" customWidth="1"/>
    <col min="44" max="44" width="28.28515625" style="1" customWidth="1"/>
    <col min="45" max="45" width="50.85546875" style="11" bestFit="1" customWidth="1"/>
    <col min="46" max="16384" width="9.140625" style="137"/>
  </cols>
  <sheetData>
    <row r="1" spans="1:45" ht="35.25" customHeight="1" thickBot="1">
      <c r="H1" s="1"/>
      <c r="J1" s="2" t="s">
        <v>0</v>
      </c>
      <c r="K1" s="3" t="s">
        <v>1</v>
      </c>
      <c r="L1" s="4" t="s">
        <v>2</v>
      </c>
      <c r="M1" s="5" t="s">
        <v>3</v>
      </c>
      <c r="N1" s="6"/>
      <c r="O1" s="7" t="s">
        <v>4</v>
      </c>
      <c r="P1" s="1"/>
      <c r="Q1" s="8"/>
      <c r="R1" s="9"/>
      <c r="S1" s="241" t="str">
        <f>IF(S2-T2=U2,"OK","NO")</f>
        <v>OK</v>
      </c>
      <c r="T1" s="241"/>
      <c r="U1" s="241"/>
      <c r="V1" s="10"/>
      <c r="W1" s="10"/>
      <c r="X1" s="10"/>
      <c r="Y1" s="10"/>
      <c r="Z1" s="11"/>
      <c r="AA1" s="12"/>
      <c r="AB1" s="1"/>
      <c r="AI1" s="9"/>
      <c r="AJ1" s="13"/>
      <c r="AL1" s="13"/>
      <c r="AM1" s="13"/>
      <c r="AN1" s="13"/>
      <c r="AO1" s="13"/>
      <c r="AP1" s="14"/>
      <c r="AS1" s="1"/>
    </row>
    <row r="2" spans="1:45" s="138" customFormat="1" ht="61.5" customHeight="1" thickBot="1">
      <c r="A2" s="15"/>
      <c r="B2" s="15"/>
      <c r="C2" s="15"/>
      <c r="D2" s="15"/>
      <c r="E2" s="15"/>
      <c r="F2" s="8"/>
      <c r="G2" s="15"/>
      <c r="H2" s="15"/>
      <c r="I2" s="15"/>
      <c r="J2" s="16">
        <f ca="1">SUMPRODUCT(SUBTOTAL(109,OFFSET(Table5101345411[الإجمالي],ROW(Table5101345411[الإجمالي])-ROW(S$6),,1)),--(Table5101345411[تاريخ الشراء-الاستلام]&lt;DATE(2018,1,1)))</f>
        <v>37042592.319995001</v>
      </c>
      <c r="K2" s="17">
        <f ca="1">SUMPRODUCT(SUBTOTAL(109,OFFSET(Table5101345411[إجمالي الإضافات],ROW(Table5101345411[إجمالي الإضافات])-ROW(Y$6),,1)),--(Table5101345411[تاريخ الشراء-الاستلام]&gt;DATE(2017,12,31)))</f>
        <v>5245425.1000000015</v>
      </c>
      <c r="L2" s="18">
        <f ca="1">SUMPRODUCT(SUBTOTAL(109,OFFSET(Table5101345411[إجمالي المستبعد],ROW(Table5101345411[إجمالي المستبعد])-ROW(S$6),,1)),--(Table5101345411[التاريخ]&gt;=DATE(2018,1,1)))</f>
        <v>137500</v>
      </c>
      <c r="M2" s="19">
        <f ca="1">SUM(J2:K2)-L2</f>
        <v>42150517.419995002</v>
      </c>
      <c r="N2" s="20"/>
      <c r="O2" s="21"/>
      <c r="P2" s="22">
        <f>SUBTOTAL(9,Table5101345411[الكمية])</f>
        <v>3359</v>
      </c>
      <c r="Q2" s="23"/>
      <c r="R2" s="24"/>
      <c r="S2" s="22">
        <f>SUBTOTAL(9,Table5101345411[الإجمالي])</f>
        <v>37042592.319995001</v>
      </c>
      <c r="T2" s="25">
        <f>SUBTOTAL(9,Table5101345411[مجمع الاهلاك 
في 01-01-2018])</f>
        <v>12777541.301959172</v>
      </c>
      <c r="U2" s="25">
        <f>SUBTOTAL(9,Table5101345411[القيمة الدفترية 
في 01-01-2018])</f>
        <v>24265051.018035829</v>
      </c>
      <c r="V2" s="26">
        <f>SUBTOTAL(9,Table5101345411[عدد الإضافات])</f>
        <v>1844</v>
      </c>
      <c r="W2" s="27"/>
      <c r="X2" s="27"/>
      <c r="Y2" s="28">
        <f>SUBTOTAL(9,Table5101345411[إجمالي الإضافات])</f>
        <v>5245425.1000000015</v>
      </c>
      <c r="Z2" s="29"/>
      <c r="AA2" s="30"/>
      <c r="AB2" s="31"/>
      <c r="AC2" s="31"/>
      <c r="AD2" s="31"/>
      <c r="AE2" s="15"/>
      <c r="AF2" s="22">
        <f>SUBTOTAL(9,Table5101345411[إجمالي المستبعد])</f>
        <v>137500</v>
      </c>
      <c r="AG2" s="22">
        <f>SUBTOTAL(9,Table5101345411[اهلاك المستبعد
في 2018])</f>
        <v>378.59589041095893</v>
      </c>
      <c r="AH2" s="22">
        <f>SUBTOTAL(9,Table5101345411[العدد2])</f>
        <v>5187</v>
      </c>
      <c r="AI2" s="22">
        <f>SUBTOTAL(9,Table5101345411[الإجمالي الصافي])</f>
        <v>42150517.419995017</v>
      </c>
      <c r="AJ2" s="32"/>
      <c r="AK2" s="33"/>
      <c r="AL2" s="22">
        <f>SUBTOTAL(9,Table5101345411[مجمع الاهلاك 
في 01-01-2018])</f>
        <v>12777541.301959172</v>
      </c>
      <c r="AM2" s="25" t="e">
        <f>SUBTOTAL(9,Table5101345411[مصروف الاهلاك 2018])</f>
        <v>#VALUE!</v>
      </c>
      <c r="AN2" s="25">
        <f>SUBTOTAL(9,Table5101345411[مجمع إهلاك المستبعد 
بتاريخ الأستبعاد])</f>
        <v>13121.746575342459</v>
      </c>
      <c r="AO2" s="15"/>
      <c r="AP2" s="25">
        <f>SUBTOTAL(9,Table5101345411[الربح/الخسارة من الاستبعاد])</f>
        <v>-24578.898575342449</v>
      </c>
      <c r="AQ2" s="15"/>
      <c r="AR2" s="22">
        <f>SUBTOTAL(9,Table5101345411[مجمع الاهلاك
في 31-12-2018])</f>
        <v>15815783.385945452</v>
      </c>
      <c r="AS2" s="131">
        <f>SUBTOTAL(9,Table5101345411[القيمة الدفترية 
في 31-12-2018])</f>
        <v>26334734.034049541</v>
      </c>
    </row>
    <row r="3" spans="1:45" ht="45.75" customHeight="1" thickBot="1">
      <c r="B3" s="34"/>
      <c r="C3" s="34"/>
      <c r="E3" s="34"/>
      <c r="F3" s="34"/>
      <c r="G3" s="34"/>
      <c r="H3" s="1"/>
      <c r="O3" s="11"/>
      <c r="P3" s="1"/>
      <c r="Q3" s="35"/>
      <c r="R3" s="1"/>
      <c r="V3" s="1"/>
      <c r="W3" s="1"/>
      <c r="X3" s="1"/>
      <c r="Y3" s="1"/>
      <c r="Z3" s="11"/>
      <c r="AA3" s="12"/>
      <c r="AB3" s="1"/>
      <c r="AL3" s="36"/>
      <c r="AN3" s="1"/>
      <c r="AP3" s="11"/>
      <c r="AS3" s="1"/>
    </row>
    <row r="4" spans="1:45" ht="45.75" customHeight="1" thickTop="1" thickBot="1">
      <c r="B4" s="34"/>
      <c r="C4" s="34"/>
      <c r="E4" s="34"/>
      <c r="F4" s="34"/>
      <c r="G4" s="34"/>
      <c r="H4" s="1"/>
      <c r="O4" s="242" t="s">
        <v>5</v>
      </c>
      <c r="P4" s="243"/>
      <c r="Q4" s="243"/>
      <c r="R4" s="243"/>
      <c r="S4" s="243"/>
      <c r="T4" s="243"/>
      <c r="U4" s="244"/>
      <c r="V4" s="245" t="s">
        <v>6</v>
      </c>
      <c r="W4" s="246"/>
      <c r="X4" s="246"/>
      <c r="Y4" s="247"/>
      <c r="Z4" s="248" t="s">
        <v>7</v>
      </c>
      <c r="AA4" s="249"/>
      <c r="AB4" s="249"/>
      <c r="AC4" s="249"/>
      <c r="AD4" s="249"/>
      <c r="AE4" s="249"/>
      <c r="AF4" s="249"/>
      <c r="AG4" s="250"/>
      <c r="AH4" s="251" t="s">
        <v>8</v>
      </c>
      <c r="AI4" s="252"/>
      <c r="AJ4" s="252"/>
      <c r="AK4" s="253"/>
      <c r="AL4" s="37"/>
      <c r="AN4" s="238" t="s">
        <v>9</v>
      </c>
      <c r="AO4" s="239"/>
      <c r="AP4" s="240"/>
      <c r="AS4" s="1"/>
    </row>
    <row r="5" spans="1:45" s="139" customFormat="1" ht="89.25" customHeight="1">
      <c r="A5" s="53" t="s">
        <v>10</v>
      </c>
      <c r="B5" s="54" t="s">
        <v>11</v>
      </c>
      <c r="C5" s="54" t="s">
        <v>12</v>
      </c>
      <c r="D5" s="54" t="s">
        <v>14</v>
      </c>
      <c r="E5" s="54" t="s">
        <v>13</v>
      </c>
      <c r="F5" s="54" t="s">
        <v>608</v>
      </c>
      <c r="G5" s="54" t="s">
        <v>722</v>
      </c>
      <c r="H5" s="54" t="s">
        <v>15</v>
      </c>
      <c r="I5" s="54" t="s">
        <v>16</v>
      </c>
      <c r="J5" s="54" t="s">
        <v>17</v>
      </c>
      <c r="K5" s="54" t="s">
        <v>18</v>
      </c>
      <c r="L5" s="54" t="s">
        <v>19</v>
      </c>
      <c r="M5" s="54" t="s">
        <v>20</v>
      </c>
      <c r="N5" s="145" t="s">
        <v>21</v>
      </c>
      <c r="O5" s="148" t="s">
        <v>22</v>
      </c>
      <c r="P5" s="50" t="s">
        <v>23</v>
      </c>
      <c r="Q5" s="51" t="s">
        <v>24</v>
      </c>
      <c r="R5" s="52" t="s">
        <v>25</v>
      </c>
      <c r="S5" s="52" t="s">
        <v>26</v>
      </c>
      <c r="T5" s="54" t="s">
        <v>27</v>
      </c>
      <c r="U5" s="149" t="s">
        <v>28</v>
      </c>
      <c r="V5" s="164" t="s">
        <v>29</v>
      </c>
      <c r="W5" s="52" t="s">
        <v>30</v>
      </c>
      <c r="X5" s="52" t="s">
        <v>31</v>
      </c>
      <c r="Y5" s="165" t="s">
        <v>32</v>
      </c>
      <c r="Z5" s="173" t="s">
        <v>33</v>
      </c>
      <c r="AA5" s="55" t="s">
        <v>34</v>
      </c>
      <c r="AB5" s="50" t="s">
        <v>35</v>
      </c>
      <c r="AC5" s="54" t="s">
        <v>36</v>
      </c>
      <c r="AD5" s="54" t="s">
        <v>37</v>
      </c>
      <c r="AE5" s="52" t="s">
        <v>38</v>
      </c>
      <c r="AF5" s="52" t="s">
        <v>39</v>
      </c>
      <c r="AG5" s="149" t="s">
        <v>40</v>
      </c>
      <c r="AH5" s="164" t="s">
        <v>41</v>
      </c>
      <c r="AI5" s="52" t="s">
        <v>42</v>
      </c>
      <c r="AJ5" s="56" t="s">
        <v>43</v>
      </c>
      <c r="AK5" s="184" t="s">
        <v>44</v>
      </c>
      <c r="AL5" s="183" t="s">
        <v>45</v>
      </c>
      <c r="AM5" s="132" t="s">
        <v>46</v>
      </c>
      <c r="AN5" s="204" t="s">
        <v>47</v>
      </c>
      <c r="AO5" s="52" t="s">
        <v>48</v>
      </c>
      <c r="AP5" s="205" t="s">
        <v>49</v>
      </c>
      <c r="AQ5" s="163" t="s">
        <v>50</v>
      </c>
      <c r="AR5" s="52" t="s">
        <v>51</v>
      </c>
      <c r="AS5" s="132" t="s">
        <v>52</v>
      </c>
    </row>
    <row r="6" spans="1:45" s="140" customFormat="1" ht="83.25" customHeight="1">
      <c r="A6" s="57">
        <f>IF(B6="","",SUBTOTAL(3,$B$6:B6))</f>
        <v>1</v>
      </c>
      <c r="B6" s="58" t="s">
        <v>53</v>
      </c>
      <c r="C6" s="59" t="s">
        <v>54</v>
      </c>
      <c r="D6" s="58" t="s">
        <v>56</v>
      </c>
      <c r="E6" s="59" t="s">
        <v>55</v>
      </c>
      <c r="F6" s="222" t="s">
        <v>55</v>
      </c>
      <c r="G6" s="222"/>
      <c r="H6" s="58" t="s">
        <v>57</v>
      </c>
      <c r="I6" s="58" t="s">
        <v>58</v>
      </c>
      <c r="J6" s="58" t="s">
        <v>59</v>
      </c>
      <c r="K6" s="58" t="s">
        <v>60</v>
      </c>
      <c r="L6" s="60"/>
      <c r="M6" s="58">
        <v>42571</v>
      </c>
      <c r="N6" s="83"/>
      <c r="O6" s="150"/>
      <c r="P6" s="122">
        <v>1</v>
      </c>
      <c r="Q6" s="123">
        <v>4232</v>
      </c>
      <c r="R6" s="124">
        <v>1300</v>
      </c>
      <c r="S6" s="124">
        <f t="shared" ref="S6:S7" si="0">R6*P6</f>
        <v>1300</v>
      </c>
      <c r="T6" s="124">
        <v>282.61643835616439</v>
      </c>
      <c r="U6" s="151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الشراء-الاستلام]]&lt;DATE(2018,1,1),S6-T6,0))</f>
        <v>1017.3835616438356</v>
      </c>
      <c r="V6" s="166"/>
      <c r="W6" s="109"/>
      <c r="X6" s="109"/>
      <c r="Y6" s="110">
        <f>Table5101345411[[#This Row],[عدد الإضافات]]*Table5101345411[[#This Row],[سعر الحبة المضافة]]</f>
        <v>0</v>
      </c>
      <c r="Z6" s="88"/>
      <c r="AA6" s="89"/>
      <c r="AB6" s="90"/>
      <c r="AC6" s="90"/>
      <c r="AD6" s="90"/>
      <c r="AE6" s="90"/>
      <c r="AF6" s="90">
        <f>Table5101345411[[#This Row],[العدد]]*Table5101345411[[#This Row],[قيمة الشراء]]</f>
        <v>0</v>
      </c>
      <c r="AG6" s="174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6" s="185">
        <f>Table5101345411[[#This Row],[الكمية]]+Table5101345411[[#This Row],[عدد الإضافات]]-Table5101345411[[#This Row],[العدد]]</f>
        <v>1</v>
      </c>
      <c r="AI6" s="61">
        <f>Table5101345411[[#This Row],[الإجمالي]]+Table5101345411[[#This Row],[إجمالي الإضافات]]-Table5101345411[[#This Row],[إجمالي المستبعد]]</f>
        <v>1300</v>
      </c>
      <c r="AJ6" s="62">
        <v>0.125</v>
      </c>
      <c r="AK6" s="186"/>
      <c r="AL6" s="107" t="s">
        <v>61</v>
      </c>
      <c r="AM6" s="194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162.5</v>
      </c>
      <c r="AN6" s="206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6" s="63">
        <f>Table5101345411[[#This Row],[اهلاك المستبعد
في 2018]]+Table5101345411[[#This Row],[مجمع إهلاك المستبعد 
01-01-2018]]</f>
        <v>0</v>
      </c>
      <c r="AP6" s="207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6" s="199"/>
      <c r="AR6" s="61">
        <f>IF(OR(Table5101345411[[#This Row],[تاريخ الشراء-الاستلام]]="",Table5101345411[[#This Row],[الإجمالي]]="",Table5101345411[[#This Row],[العمر الافتراضي]]=""),"",IF(((T6+AM6)-Table5101345411[[#This Row],[مجمع إهلاك المستبعد 
بتاريخ الأستبعاد]])&lt;=0,0,((T6+AM6)-Table5101345411[[#This Row],[مجمع إهلاك المستبعد 
بتاريخ الأستبعاد]])))</f>
        <v>445.11643835616439</v>
      </c>
      <c r="AS6" s="133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الشراء-الاستلام]]&gt;DATE(2018,12,31),0,AI6-AR6)))</f>
        <v>854.88356164383561</v>
      </c>
    </row>
    <row r="7" spans="1:45" s="141" customFormat="1" ht="83.25" customHeight="1">
      <c r="A7" s="64">
        <f>IF(B7="","",SUBTOTAL(3,$B$6:B7))</f>
        <v>2</v>
      </c>
      <c r="B7" s="65" t="s">
        <v>62</v>
      </c>
      <c r="C7" s="66" t="s">
        <v>54</v>
      </c>
      <c r="D7" s="65" t="s">
        <v>522</v>
      </c>
      <c r="E7" s="66" t="s">
        <v>523</v>
      </c>
      <c r="F7" s="223" t="s">
        <v>523</v>
      </c>
      <c r="G7" s="223"/>
      <c r="H7" s="65" t="s">
        <v>63</v>
      </c>
      <c r="I7" s="65"/>
      <c r="J7" s="65" t="s">
        <v>64</v>
      </c>
      <c r="K7" s="65"/>
      <c r="L7" s="67"/>
      <c r="M7" s="65">
        <v>42695</v>
      </c>
      <c r="N7" s="84" t="s">
        <v>65</v>
      </c>
      <c r="O7" s="152"/>
      <c r="P7" s="125">
        <v>150</v>
      </c>
      <c r="Q7" s="126" t="s">
        <v>66</v>
      </c>
      <c r="R7" s="127">
        <v>700</v>
      </c>
      <c r="S7" s="127">
        <f t="shared" si="0"/>
        <v>105000</v>
      </c>
      <c r="T7" s="127">
        <v>17476.027397260274</v>
      </c>
      <c r="U7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الشراء-الاستلام]]&lt;DATE(2018,1,1),S7-T7,0))</f>
        <v>87523.972602739726</v>
      </c>
      <c r="V7" s="167"/>
      <c r="W7" s="111"/>
      <c r="X7" s="111"/>
      <c r="Y7" s="112">
        <f>Table5101345411[[#This Row],[عدد الإضافات]]*Table5101345411[[#This Row],[سعر الحبة المضافة]]</f>
        <v>0</v>
      </c>
      <c r="Z7" s="91"/>
      <c r="AA7" s="92"/>
      <c r="AB7" s="93"/>
      <c r="AC7" s="93"/>
      <c r="AD7" s="93"/>
      <c r="AE7" s="93"/>
      <c r="AF7" s="93">
        <f>Table5101345411[[#This Row],[العدد]]*Table5101345411[[#This Row],[قيمة الشراء]]</f>
        <v>0</v>
      </c>
      <c r="AG7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7" s="187">
        <f>Table5101345411[[#This Row],[الكمية]]+Table5101345411[[#This Row],[عدد الإضافات]]-Table5101345411[[#This Row],[العدد]]</f>
        <v>150</v>
      </c>
      <c r="AI7" s="68">
        <f>Table5101345411[[#This Row],[الإجمالي]]+Table5101345411[[#This Row],[إجمالي الإضافات]]-Table5101345411[[#This Row],[إجمالي المستبعد]]</f>
        <v>105000</v>
      </c>
      <c r="AJ7" s="69">
        <v>0.125</v>
      </c>
      <c r="AK7" s="188"/>
      <c r="AL7" s="108" t="s">
        <v>61</v>
      </c>
      <c r="AM7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13125</v>
      </c>
      <c r="AN7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7" s="70">
        <f>Table5101345411[[#This Row],[اهلاك المستبعد
في 2018]]+Table5101345411[[#This Row],[مجمع إهلاك المستبعد 
01-01-2018]]</f>
        <v>0</v>
      </c>
      <c r="AP7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7" s="200"/>
      <c r="AR7" s="68">
        <f>IF(OR(Table5101345411[[#This Row],[تاريخ الشراء-الاستلام]]="",Table5101345411[[#This Row],[الإجمالي]]="",Table5101345411[[#This Row],[العمر الافتراضي]]=""),"",IF(((T7+AM7)-Table5101345411[[#This Row],[مجمع إهلاك المستبعد 
بتاريخ الأستبعاد]])&lt;=0,0,((T7+AM7)-Table5101345411[[#This Row],[مجمع إهلاك المستبعد 
بتاريخ الأستبعاد]])))</f>
        <v>30601.027397260274</v>
      </c>
      <c r="AS7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الشراء-الاستلام]]&gt;DATE(2018,12,31),0,AI7-AR7)))</f>
        <v>74398.972602739726</v>
      </c>
    </row>
    <row r="8" spans="1:45" s="141" customFormat="1" ht="83.25" customHeight="1">
      <c r="A8" s="64">
        <f>IF(B8="","",SUBTOTAL(3,$B$6:B8))</f>
        <v>3</v>
      </c>
      <c r="B8" s="65" t="s">
        <v>67</v>
      </c>
      <c r="C8" s="66" t="s">
        <v>54</v>
      </c>
      <c r="D8" s="65" t="s">
        <v>68</v>
      </c>
      <c r="E8" s="65" t="s">
        <v>544</v>
      </c>
      <c r="F8" s="224" t="s">
        <v>544</v>
      </c>
      <c r="G8" s="224"/>
      <c r="H8" s="65" t="s">
        <v>57</v>
      </c>
      <c r="I8" s="65" t="s">
        <v>69</v>
      </c>
      <c r="J8" s="65" t="s">
        <v>64</v>
      </c>
      <c r="K8" s="65"/>
      <c r="L8" s="67" t="s">
        <v>70</v>
      </c>
      <c r="M8" s="65">
        <v>42711</v>
      </c>
      <c r="N8" s="84" t="s">
        <v>71</v>
      </c>
      <c r="O8" s="154" t="s">
        <v>72</v>
      </c>
      <c r="P8" s="125">
        <v>1</v>
      </c>
      <c r="Q8" s="126"/>
      <c r="R8" s="127">
        <v>971.25</v>
      </c>
      <c r="S8" s="127">
        <f t="shared" ref="S8:S71" si="1">R8*P8</f>
        <v>971.25</v>
      </c>
      <c r="T8" s="127">
        <f>828.090410958904/4</f>
        <v>207.02260273972601</v>
      </c>
      <c r="U8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الشراء-الاستلام]]&lt;DATE(2018,1,1),S8-T8,0))</f>
        <v>764.22739726027396</v>
      </c>
      <c r="V8" s="167"/>
      <c r="W8" s="111"/>
      <c r="X8" s="111"/>
      <c r="Y8" s="112">
        <f>Table5101345411[[#This Row],[عدد الإضافات]]*Table5101345411[[#This Row],[سعر الحبة المضافة]]</f>
        <v>0</v>
      </c>
      <c r="Z8" s="94"/>
      <c r="AA8" s="92"/>
      <c r="AB8" s="93"/>
      <c r="AC8" s="93"/>
      <c r="AD8" s="93"/>
      <c r="AE8" s="93"/>
      <c r="AF8" s="93">
        <f>Table5101345411[[#This Row],[العدد]]*Table5101345411[[#This Row],[قيمة الشراء]]</f>
        <v>0</v>
      </c>
      <c r="AG8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8" s="187">
        <f>Table5101345411[[#This Row],[الكمية]]+Table5101345411[[#This Row],[عدد الإضافات]]-Table5101345411[[#This Row],[العدد]]</f>
        <v>1</v>
      </c>
      <c r="AI8" s="68">
        <f>Table5101345411[[#This Row],[الإجمالي]]+Table5101345411[[#This Row],[إجمالي الإضافات]]-Table5101345411[[#This Row],[إجمالي المستبعد]]</f>
        <v>971.25</v>
      </c>
      <c r="AJ8" s="71">
        <v>0.15</v>
      </c>
      <c r="AK8" s="188"/>
      <c r="AL8" s="108" t="s">
        <v>61</v>
      </c>
      <c r="AM8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145.6875</v>
      </c>
      <c r="AN8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8" s="70">
        <f>Table5101345411[[#This Row],[اهلاك المستبعد
في 2018]]+Table5101345411[[#This Row],[مجمع إهلاك المستبعد 
01-01-2018]]</f>
        <v>0</v>
      </c>
      <c r="AP8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8" s="200"/>
      <c r="AR8" s="68">
        <f>IF(OR(Table5101345411[[#This Row],[تاريخ الشراء-الاستلام]]="",Table5101345411[[#This Row],[الإجمالي]]="",Table5101345411[[#This Row],[العمر الافتراضي]]=""),"",IF(((T8+AM8)-Table5101345411[[#This Row],[مجمع إهلاك المستبعد 
بتاريخ الأستبعاد]])&lt;=0,0,((T8+AM8)-Table5101345411[[#This Row],[مجمع إهلاك المستبعد 
بتاريخ الأستبعاد]])))</f>
        <v>352.71010273972604</v>
      </c>
      <c r="AS8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الشراء-الاستلام]]&gt;DATE(2018,12,31),0,AI8-AR8)))</f>
        <v>618.53989726027396</v>
      </c>
    </row>
    <row r="9" spans="1:45" s="140" customFormat="1" ht="83.25" customHeight="1">
      <c r="A9" s="57">
        <f>IF(B9="","",SUBTOTAL(3,$B$6:B9))</f>
        <v>4</v>
      </c>
      <c r="B9" s="58" t="s">
        <v>73</v>
      </c>
      <c r="C9" s="59" t="s">
        <v>54</v>
      </c>
      <c r="D9" s="58" t="s">
        <v>56</v>
      </c>
      <c r="E9" s="59" t="s">
        <v>55</v>
      </c>
      <c r="F9" s="222" t="s">
        <v>55</v>
      </c>
      <c r="G9" s="222"/>
      <c r="H9" s="58" t="s">
        <v>57</v>
      </c>
      <c r="I9" s="58" t="s">
        <v>58</v>
      </c>
      <c r="J9" s="58" t="s">
        <v>74</v>
      </c>
      <c r="K9" s="58" t="s">
        <v>75</v>
      </c>
      <c r="L9" s="60"/>
      <c r="M9" s="58">
        <v>42705</v>
      </c>
      <c r="N9" s="83" t="s">
        <v>76</v>
      </c>
      <c r="O9" s="150"/>
      <c r="P9" s="122">
        <v>1</v>
      </c>
      <c r="Q9" s="123"/>
      <c r="R9" s="124">
        <v>850</v>
      </c>
      <c r="S9" s="124">
        <f t="shared" si="1"/>
        <v>850</v>
      </c>
      <c r="T9" s="124">
        <v>137.97945205479454</v>
      </c>
      <c r="U9" s="151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الشراء-الاستلام]]&lt;DATE(2018,1,1),S9-T9,0))</f>
        <v>712.02054794520541</v>
      </c>
      <c r="V9" s="166"/>
      <c r="W9" s="109"/>
      <c r="X9" s="109"/>
      <c r="Y9" s="110">
        <f>Table5101345411[[#This Row],[عدد الإضافات]]*Table5101345411[[#This Row],[سعر الحبة المضافة]]</f>
        <v>0</v>
      </c>
      <c r="Z9" s="95"/>
      <c r="AA9" s="96"/>
      <c r="AB9" s="97"/>
      <c r="AC9" s="97"/>
      <c r="AD9" s="97"/>
      <c r="AE9" s="97"/>
      <c r="AF9" s="97">
        <f>Table5101345411[[#This Row],[العدد]]*Table5101345411[[#This Row],[قيمة الشراء]]</f>
        <v>0</v>
      </c>
      <c r="AG9" s="176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9" s="185">
        <f>Table5101345411[[#This Row],[الكمية]]+Table5101345411[[#This Row],[عدد الإضافات]]-Table5101345411[[#This Row],[العدد]]</f>
        <v>1</v>
      </c>
      <c r="AI9" s="61">
        <f>Table5101345411[[#This Row],[الإجمالي]]+Table5101345411[[#This Row],[إجمالي الإضافات]]-Table5101345411[[#This Row],[إجمالي المستبعد]]</f>
        <v>850</v>
      </c>
      <c r="AJ9" s="62">
        <v>0.125</v>
      </c>
      <c r="AK9" s="186"/>
      <c r="AL9" s="107" t="s">
        <v>61</v>
      </c>
      <c r="AM9" s="194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106.25</v>
      </c>
      <c r="AN9" s="206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9" s="63">
        <f>Table5101345411[[#This Row],[اهلاك المستبعد
في 2018]]+Table5101345411[[#This Row],[مجمع إهلاك المستبعد 
01-01-2018]]</f>
        <v>0</v>
      </c>
      <c r="AP9" s="207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9" s="199"/>
      <c r="AR9" s="61">
        <f>IF(OR(Table5101345411[[#This Row],[تاريخ الشراء-الاستلام]]="",Table5101345411[[#This Row],[الإجمالي]]="",Table5101345411[[#This Row],[العمر الافتراضي]]=""),"",IF(((T9+AM9)-Table5101345411[[#This Row],[مجمع إهلاك المستبعد 
بتاريخ الأستبعاد]])&lt;=0,0,((T9+AM9)-Table5101345411[[#This Row],[مجمع إهلاك المستبعد 
بتاريخ الأستبعاد]])))</f>
        <v>244.22945205479454</v>
      </c>
      <c r="AS9" s="133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الشراء-الاستلام]]&gt;DATE(2018,12,31),0,AI9-AR9)))</f>
        <v>605.77054794520541</v>
      </c>
    </row>
    <row r="10" spans="1:45" s="141" customFormat="1" ht="83.25" customHeight="1">
      <c r="A10" s="64">
        <f>IF(B10="","",SUBTOTAL(3,$B$6:B10))</f>
        <v>5</v>
      </c>
      <c r="B10" s="65" t="s">
        <v>77</v>
      </c>
      <c r="C10" s="66" t="s">
        <v>54</v>
      </c>
      <c r="D10" s="65" t="s">
        <v>367</v>
      </c>
      <c r="E10" s="65" t="s">
        <v>399</v>
      </c>
      <c r="F10" s="224" t="s">
        <v>399</v>
      </c>
      <c r="G10" s="224"/>
      <c r="H10" s="65" t="s">
        <v>57</v>
      </c>
      <c r="I10" s="65" t="s">
        <v>58</v>
      </c>
      <c r="J10" s="65" t="s">
        <v>74</v>
      </c>
      <c r="K10" s="65" t="s">
        <v>75</v>
      </c>
      <c r="L10" s="67"/>
      <c r="M10" s="65">
        <v>42730</v>
      </c>
      <c r="N10" s="84" t="s">
        <v>78</v>
      </c>
      <c r="O10" s="152"/>
      <c r="P10" s="125">
        <v>1</v>
      </c>
      <c r="Q10" s="126"/>
      <c r="R10" s="127">
        <v>1400</v>
      </c>
      <c r="S10" s="127">
        <f t="shared" si="1"/>
        <v>1400</v>
      </c>
      <c r="T10" s="127">
        <v>212.87671232876713</v>
      </c>
      <c r="U10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الشراء-الاستلام]]&lt;DATE(2018,1,1),S10-T10,0))</f>
        <v>1187.1232876712329</v>
      </c>
      <c r="V10" s="167"/>
      <c r="W10" s="111"/>
      <c r="X10" s="111"/>
      <c r="Y10" s="112">
        <f>Table5101345411[[#This Row],[عدد الإضافات]]*Table5101345411[[#This Row],[سعر الحبة المضافة]]</f>
        <v>0</v>
      </c>
      <c r="Z10" s="91"/>
      <c r="AA10" s="92"/>
      <c r="AB10" s="93"/>
      <c r="AC10" s="93"/>
      <c r="AD10" s="93"/>
      <c r="AE10" s="93"/>
      <c r="AF10" s="93">
        <f>Table5101345411[[#This Row],[العدد]]*Table5101345411[[#This Row],[قيمة الشراء]]</f>
        <v>0</v>
      </c>
      <c r="AG10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0" s="187">
        <f>Table5101345411[[#This Row],[الكمية]]+Table5101345411[[#This Row],[عدد الإضافات]]-Table5101345411[[#This Row],[العدد]]</f>
        <v>1</v>
      </c>
      <c r="AI10" s="68">
        <f>Table5101345411[[#This Row],[الإجمالي]]+Table5101345411[[#This Row],[إجمالي الإضافات]]-Table5101345411[[#This Row],[إجمالي المستبعد]]</f>
        <v>1400</v>
      </c>
      <c r="AJ10" s="69">
        <v>0.125</v>
      </c>
      <c r="AK10" s="188"/>
      <c r="AL10" s="108" t="s">
        <v>61</v>
      </c>
      <c r="AM10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175</v>
      </c>
      <c r="AN10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0" s="70">
        <f>Table5101345411[[#This Row],[اهلاك المستبعد
في 2018]]+Table5101345411[[#This Row],[مجمع إهلاك المستبعد 
01-01-2018]]</f>
        <v>0</v>
      </c>
      <c r="AP10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0" s="200"/>
      <c r="AR10" s="68">
        <f>IF(OR(Table5101345411[[#This Row],[تاريخ الشراء-الاستلام]]="",Table5101345411[[#This Row],[الإجمالي]]="",Table5101345411[[#This Row],[العمر الافتراضي]]=""),"",IF(((T10+AM10)-Table5101345411[[#This Row],[مجمع إهلاك المستبعد 
بتاريخ الأستبعاد]])&lt;=0,0,((T10+AM10)-Table5101345411[[#This Row],[مجمع إهلاك المستبعد 
بتاريخ الأستبعاد]])))</f>
        <v>387.8767123287671</v>
      </c>
      <c r="AS10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الشراء-الاستلام]]&gt;DATE(2018,12,31),0,AI10-AR10)))</f>
        <v>1012.1232876712329</v>
      </c>
    </row>
    <row r="11" spans="1:45" s="141" customFormat="1" ht="83.25" customHeight="1">
      <c r="A11" s="64">
        <f>IF(B11="","",SUBTOTAL(3,$B$6:B11))</f>
        <v>6</v>
      </c>
      <c r="B11" s="65" t="s">
        <v>79</v>
      </c>
      <c r="C11" s="66" t="s">
        <v>54</v>
      </c>
      <c r="D11" s="66" t="s">
        <v>80</v>
      </c>
      <c r="E11" s="66" t="s">
        <v>158</v>
      </c>
      <c r="F11" s="223" t="s">
        <v>675</v>
      </c>
      <c r="G11" s="223" t="s">
        <v>807</v>
      </c>
      <c r="H11" s="65" t="s">
        <v>63</v>
      </c>
      <c r="I11" s="65" t="s">
        <v>619</v>
      </c>
      <c r="J11" s="65" t="s">
        <v>64</v>
      </c>
      <c r="K11" s="65" t="s">
        <v>81</v>
      </c>
      <c r="L11" s="72" t="s">
        <v>676</v>
      </c>
      <c r="M11" s="65">
        <v>42704</v>
      </c>
      <c r="N11" s="84" t="s">
        <v>82</v>
      </c>
      <c r="O11" s="152"/>
      <c r="P11" s="125">
        <v>1</v>
      </c>
      <c r="Q11" s="126">
        <v>3519</v>
      </c>
      <c r="R11" s="127">
        <v>37500</v>
      </c>
      <c r="S11" s="127">
        <f t="shared" si="1"/>
        <v>37500</v>
      </c>
      <c r="T11" s="127">
        <v>10171.232876712329</v>
      </c>
      <c r="U11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الشراء-الاستلام]]&lt;DATE(2018,1,1),S11-T11,0))</f>
        <v>27328.767123287671</v>
      </c>
      <c r="V11" s="167"/>
      <c r="W11" s="111"/>
      <c r="X11" s="111"/>
      <c r="Y11" s="112">
        <f>Table5101345411[[#This Row],[عدد الإضافات]]*Table5101345411[[#This Row],[سعر الحبة المضافة]]</f>
        <v>0</v>
      </c>
      <c r="Z11" s="91"/>
      <c r="AA11" s="92"/>
      <c r="AB11" s="93"/>
      <c r="AC11" s="93"/>
      <c r="AD11" s="93"/>
      <c r="AE11" s="93"/>
      <c r="AF11" s="93">
        <f>Table5101345411[[#This Row],[العدد]]*Table5101345411[[#This Row],[قيمة الشراء]]</f>
        <v>0</v>
      </c>
      <c r="AG11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1" s="187">
        <f>Table5101345411[[#This Row],[الكمية]]+Table5101345411[[#This Row],[عدد الإضافات]]-Table5101345411[[#This Row],[العدد]]</f>
        <v>1</v>
      </c>
      <c r="AI11" s="68">
        <f>Table5101345411[[#This Row],[الإجمالي]]+Table5101345411[[#This Row],[إجمالي الإضافات]]-Table5101345411[[#This Row],[إجمالي المستبعد]]</f>
        <v>37500</v>
      </c>
      <c r="AJ11" s="71">
        <v>0.15</v>
      </c>
      <c r="AK11" s="188"/>
      <c r="AL11" s="108" t="s">
        <v>61</v>
      </c>
      <c r="AM11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5625</v>
      </c>
      <c r="AN11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1" s="70">
        <f>Table5101345411[[#This Row],[اهلاك المستبعد
في 2018]]+Table5101345411[[#This Row],[مجمع إهلاك المستبعد 
01-01-2018]]</f>
        <v>0</v>
      </c>
      <c r="AP11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1" s="200"/>
      <c r="AR11" s="68">
        <f>IF(OR(Table5101345411[[#This Row],[تاريخ الشراء-الاستلام]]="",Table5101345411[[#This Row],[الإجمالي]]="",Table5101345411[[#This Row],[العمر الافتراضي]]=""),"",IF(((T11+AM11)-Table5101345411[[#This Row],[مجمع إهلاك المستبعد 
بتاريخ الأستبعاد]])&lt;=0,0,((T11+AM11)-Table5101345411[[#This Row],[مجمع إهلاك المستبعد 
بتاريخ الأستبعاد]])))</f>
        <v>15796.232876712329</v>
      </c>
      <c r="AS11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الشراء-الاستلام]]&gt;DATE(2018,12,31),0,AI11-AR11)))</f>
        <v>21703.767123287671</v>
      </c>
    </row>
    <row r="12" spans="1:45" s="141" customFormat="1" ht="83.25" customHeight="1">
      <c r="A12" s="64">
        <f>IF(B12="","",SUBTOTAL(3,$B$6:B12))</f>
        <v>7</v>
      </c>
      <c r="B12" s="65" t="s">
        <v>83</v>
      </c>
      <c r="C12" s="66" t="s">
        <v>54</v>
      </c>
      <c r="D12" s="65" t="s">
        <v>84</v>
      </c>
      <c r="E12" s="66" t="s">
        <v>207</v>
      </c>
      <c r="F12" s="223" t="s">
        <v>596</v>
      </c>
      <c r="G12" s="223"/>
      <c r="H12" s="65" t="s">
        <v>57</v>
      </c>
      <c r="I12" s="65" t="s">
        <v>619</v>
      </c>
      <c r="J12" s="65" t="s">
        <v>64</v>
      </c>
      <c r="K12" s="65" t="s">
        <v>86</v>
      </c>
      <c r="L12" s="72" t="s">
        <v>87</v>
      </c>
      <c r="M12" s="65">
        <v>42735</v>
      </c>
      <c r="N12" s="84" t="s">
        <v>88</v>
      </c>
      <c r="O12" s="152"/>
      <c r="P12" s="125">
        <v>1</v>
      </c>
      <c r="Q12" s="126"/>
      <c r="R12" s="127">
        <v>170800</v>
      </c>
      <c r="S12" s="127">
        <f t="shared" si="1"/>
        <v>170800</v>
      </c>
      <c r="T12" s="127">
        <v>42700</v>
      </c>
      <c r="U12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الشراء-الاستلام]]&lt;DATE(2018,1,1),S12-T12,0))</f>
        <v>128100</v>
      </c>
      <c r="V12" s="167"/>
      <c r="W12" s="111"/>
      <c r="X12" s="111"/>
      <c r="Y12" s="112">
        <f>Table5101345411[[#This Row],[عدد الإضافات]]*Table5101345411[[#This Row],[سعر الحبة المضافة]]</f>
        <v>0</v>
      </c>
      <c r="Z12" s="91"/>
      <c r="AA12" s="92"/>
      <c r="AB12" s="93"/>
      <c r="AC12" s="93"/>
      <c r="AD12" s="93"/>
      <c r="AE12" s="93"/>
      <c r="AF12" s="93">
        <f>Table5101345411[[#This Row],[العدد]]*Table5101345411[[#This Row],[قيمة الشراء]]</f>
        <v>0</v>
      </c>
      <c r="AG12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2" s="187">
        <f>Table5101345411[[#This Row],[الكمية]]+Table5101345411[[#This Row],[عدد الإضافات]]-Table5101345411[[#This Row],[العدد]]</f>
        <v>1</v>
      </c>
      <c r="AI12" s="68">
        <f>Table5101345411[[#This Row],[الإجمالي]]+Table5101345411[[#This Row],[إجمالي الإضافات]]-Table5101345411[[#This Row],[إجمالي المستبعد]]</f>
        <v>170800</v>
      </c>
      <c r="AJ12" s="71">
        <v>0.15</v>
      </c>
      <c r="AK12" s="188"/>
      <c r="AL12" s="108" t="s">
        <v>61</v>
      </c>
      <c r="AM12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25620</v>
      </c>
      <c r="AN12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2" s="70">
        <f>Table5101345411[[#This Row],[اهلاك المستبعد
في 2018]]+Table5101345411[[#This Row],[مجمع إهلاك المستبعد 
01-01-2018]]</f>
        <v>0</v>
      </c>
      <c r="AP12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2" s="200"/>
      <c r="AR12" s="68">
        <f>IF(OR(Table5101345411[[#This Row],[تاريخ الشراء-الاستلام]]="",Table5101345411[[#This Row],[الإجمالي]]="",Table5101345411[[#This Row],[العمر الافتراضي]]=""),"",IF(((T12+AM12)-Table5101345411[[#This Row],[مجمع إهلاك المستبعد 
بتاريخ الأستبعاد]])&lt;=0,0,((T12+AM12)-Table5101345411[[#This Row],[مجمع إهلاك المستبعد 
بتاريخ الأستبعاد]])))</f>
        <v>68320</v>
      </c>
      <c r="AS12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الشراء-الاستلام]]&gt;DATE(2018,12,31),0,AI12-AR12)))</f>
        <v>102480</v>
      </c>
    </row>
    <row r="13" spans="1:45" s="141" customFormat="1" ht="83.25" customHeight="1">
      <c r="A13" s="64">
        <f>IF(B13="","",SUBTOTAL(3,$B$6:B13))</f>
        <v>8</v>
      </c>
      <c r="B13" s="65" t="s">
        <v>83</v>
      </c>
      <c r="C13" s="66" t="s">
        <v>54</v>
      </c>
      <c r="D13" s="65" t="s">
        <v>84</v>
      </c>
      <c r="E13" s="66" t="s">
        <v>207</v>
      </c>
      <c r="F13" s="223" t="s">
        <v>597</v>
      </c>
      <c r="G13" s="223"/>
      <c r="H13" s="65" t="s">
        <v>57</v>
      </c>
      <c r="I13" s="65" t="s">
        <v>619</v>
      </c>
      <c r="J13" s="65" t="s">
        <v>64</v>
      </c>
      <c r="K13" s="65" t="s">
        <v>86</v>
      </c>
      <c r="L13" s="72" t="s">
        <v>89</v>
      </c>
      <c r="M13" s="65">
        <v>42735</v>
      </c>
      <c r="N13" s="84" t="s">
        <v>88</v>
      </c>
      <c r="O13" s="152"/>
      <c r="P13" s="125">
        <v>1</v>
      </c>
      <c r="Q13" s="126"/>
      <c r="R13" s="127">
        <v>170800</v>
      </c>
      <c r="S13" s="127">
        <f t="shared" si="1"/>
        <v>170800</v>
      </c>
      <c r="T13" s="127">
        <v>42700</v>
      </c>
      <c r="U13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الشراء-الاستلام]]&lt;DATE(2018,1,1),S13-T13,0))</f>
        <v>128100</v>
      </c>
      <c r="V13" s="167"/>
      <c r="W13" s="111"/>
      <c r="X13" s="111"/>
      <c r="Y13" s="112">
        <f>Table5101345411[[#This Row],[عدد الإضافات]]*Table5101345411[[#This Row],[سعر الحبة المضافة]]</f>
        <v>0</v>
      </c>
      <c r="Z13" s="91"/>
      <c r="AA13" s="92"/>
      <c r="AB13" s="93"/>
      <c r="AC13" s="93"/>
      <c r="AD13" s="93"/>
      <c r="AE13" s="93"/>
      <c r="AF13" s="93">
        <f>Table5101345411[[#This Row],[العدد]]*Table5101345411[[#This Row],[قيمة الشراء]]</f>
        <v>0</v>
      </c>
      <c r="AG13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3" s="187">
        <f>Table5101345411[[#This Row],[الكمية]]+Table5101345411[[#This Row],[عدد الإضافات]]-Table5101345411[[#This Row],[العدد]]</f>
        <v>1</v>
      </c>
      <c r="AI13" s="68">
        <f>Table5101345411[[#This Row],[الإجمالي]]+Table5101345411[[#This Row],[إجمالي الإضافات]]-Table5101345411[[#This Row],[إجمالي المستبعد]]</f>
        <v>170800</v>
      </c>
      <c r="AJ13" s="71">
        <v>0.15</v>
      </c>
      <c r="AK13" s="188"/>
      <c r="AL13" s="108" t="s">
        <v>61</v>
      </c>
      <c r="AM13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25620</v>
      </c>
      <c r="AN13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3" s="70">
        <f>Table5101345411[[#This Row],[اهلاك المستبعد
في 2018]]+Table5101345411[[#This Row],[مجمع إهلاك المستبعد 
01-01-2018]]</f>
        <v>0</v>
      </c>
      <c r="AP13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3" s="200"/>
      <c r="AR13" s="68">
        <f>IF(OR(Table5101345411[[#This Row],[تاريخ الشراء-الاستلام]]="",Table5101345411[[#This Row],[الإجمالي]]="",Table5101345411[[#This Row],[العمر الافتراضي]]=""),"",IF(((T13+AM13)-Table5101345411[[#This Row],[مجمع إهلاك المستبعد 
بتاريخ الأستبعاد]])&lt;=0,0,((T13+AM13)-Table5101345411[[#This Row],[مجمع إهلاك المستبعد 
بتاريخ الأستبعاد]])))</f>
        <v>68320</v>
      </c>
      <c r="AS13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الشراء-الاستلام]]&gt;DATE(2018,12,31),0,AI13-AR13)))</f>
        <v>102480</v>
      </c>
    </row>
    <row r="14" spans="1:45" s="141" customFormat="1" ht="83.25" customHeight="1">
      <c r="A14" s="64">
        <f>IF(B14="","",SUBTOTAL(3,$B$6:B14))</f>
        <v>9</v>
      </c>
      <c r="B14" s="65" t="s">
        <v>83</v>
      </c>
      <c r="C14" s="66" t="s">
        <v>54</v>
      </c>
      <c r="D14" s="65" t="s">
        <v>84</v>
      </c>
      <c r="E14" s="66" t="s">
        <v>207</v>
      </c>
      <c r="F14" s="223" t="s">
        <v>599</v>
      </c>
      <c r="G14" s="223"/>
      <c r="H14" s="65" t="s">
        <v>57</v>
      </c>
      <c r="I14" s="65" t="s">
        <v>619</v>
      </c>
      <c r="J14" s="65" t="s">
        <v>64</v>
      </c>
      <c r="K14" s="65" t="s">
        <v>86</v>
      </c>
      <c r="L14" s="72" t="s">
        <v>90</v>
      </c>
      <c r="M14" s="65">
        <v>42735</v>
      </c>
      <c r="N14" s="84" t="s">
        <v>88</v>
      </c>
      <c r="O14" s="152"/>
      <c r="P14" s="125">
        <v>1</v>
      </c>
      <c r="Q14" s="126"/>
      <c r="R14" s="127">
        <v>170800</v>
      </c>
      <c r="S14" s="127">
        <f t="shared" si="1"/>
        <v>170800</v>
      </c>
      <c r="T14" s="127">
        <v>42700</v>
      </c>
      <c r="U14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الشراء-الاستلام]]&lt;DATE(2018,1,1),S14-T14,0))</f>
        <v>128100</v>
      </c>
      <c r="V14" s="167"/>
      <c r="W14" s="111"/>
      <c r="X14" s="111"/>
      <c r="Y14" s="112">
        <f>Table5101345411[[#This Row],[عدد الإضافات]]*Table5101345411[[#This Row],[سعر الحبة المضافة]]</f>
        <v>0</v>
      </c>
      <c r="Z14" s="91"/>
      <c r="AA14" s="92"/>
      <c r="AB14" s="93"/>
      <c r="AC14" s="93"/>
      <c r="AD14" s="93"/>
      <c r="AE14" s="93"/>
      <c r="AF14" s="93">
        <f>Table5101345411[[#This Row],[العدد]]*Table5101345411[[#This Row],[قيمة الشراء]]</f>
        <v>0</v>
      </c>
      <c r="AG14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4" s="187">
        <f>Table5101345411[[#This Row],[الكمية]]+Table5101345411[[#This Row],[عدد الإضافات]]-Table5101345411[[#This Row],[العدد]]</f>
        <v>1</v>
      </c>
      <c r="AI14" s="68">
        <f>Table5101345411[[#This Row],[الإجمالي]]+Table5101345411[[#This Row],[إجمالي الإضافات]]-Table5101345411[[#This Row],[إجمالي المستبعد]]</f>
        <v>170800</v>
      </c>
      <c r="AJ14" s="71">
        <v>0.15</v>
      </c>
      <c r="AK14" s="188"/>
      <c r="AL14" s="108" t="s">
        <v>61</v>
      </c>
      <c r="AM14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25620</v>
      </c>
      <c r="AN14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4" s="70">
        <f>Table5101345411[[#This Row],[اهلاك المستبعد
في 2018]]+Table5101345411[[#This Row],[مجمع إهلاك المستبعد 
01-01-2018]]</f>
        <v>0</v>
      </c>
      <c r="AP14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4" s="200"/>
      <c r="AR14" s="68">
        <f>IF(OR(Table5101345411[[#This Row],[تاريخ الشراء-الاستلام]]="",Table5101345411[[#This Row],[الإجمالي]]="",Table5101345411[[#This Row],[العمر الافتراضي]]=""),"",IF(((T14+AM14)-Table5101345411[[#This Row],[مجمع إهلاك المستبعد 
بتاريخ الأستبعاد]])&lt;=0,0,((T14+AM14)-Table5101345411[[#This Row],[مجمع إهلاك المستبعد 
بتاريخ الأستبعاد]])))</f>
        <v>68320</v>
      </c>
      <c r="AS14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الشراء-الاستلام]]&gt;DATE(2018,12,31),0,AI14-AR14)))</f>
        <v>102480</v>
      </c>
    </row>
    <row r="15" spans="1:45" s="141" customFormat="1" ht="83.25" customHeight="1">
      <c r="A15" s="64">
        <f>IF(B15="","",SUBTOTAL(3,$B$6:B15))</f>
        <v>10</v>
      </c>
      <c r="B15" s="65" t="s">
        <v>83</v>
      </c>
      <c r="C15" s="66" t="s">
        <v>54</v>
      </c>
      <c r="D15" s="65" t="s">
        <v>84</v>
      </c>
      <c r="E15" s="66" t="s">
        <v>207</v>
      </c>
      <c r="F15" s="223" t="s">
        <v>600</v>
      </c>
      <c r="G15" s="223"/>
      <c r="H15" s="65" t="s">
        <v>57</v>
      </c>
      <c r="I15" s="65" t="s">
        <v>619</v>
      </c>
      <c r="J15" s="65" t="s">
        <v>64</v>
      </c>
      <c r="K15" s="65" t="s">
        <v>86</v>
      </c>
      <c r="L15" s="72" t="s">
        <v>91</v>
      </c>
      <c r="M15" s="65">
        <v>42735</v>
      </c>
      <c r="N15" s="84" t="s">
        <v>88</v>
      </c>
      <c r="O15" s="152"/>
      <c r="P15" s="125">
        <v>1</v>
      </c>
      <c r="Q15" s="126"/>
      <c r="R15" s="127">
        <v>170800</v>
      </c>
      <c r="S15" s="127">
        <f t="shared" si="1"/>
        <v>170800</v>
      </c>
      <c r="T15" s="127">
        <v>42700</v>
      </c>
      <c r="U15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الشراء-الاستلام]]&lt;DATE(2018,1,1),S15-T15,0))</f>
        <v>128100</v>
      </c>
      <c r="V15" s="167"/>
      <c r="W15" s="111"/>
      <c r="X15" s="111"/>
      <c r="Y15" s="112">
        <f>Table5101345411[[#This Row],[عدد الإضافات]]*Table5101345411[[#This Row],[سعر الحبة المضافة]]</f>
        <v>0</v>
      </c>
      <c r="Z15" s="91"/>
      <c r="AA15" s="92"/>
      <c r="AB15" s="93"/>
      <c r="AC15" s="93"/>
      <c r="AD15" s="93"/>
      <c r="AE15" s="93"/>
      <c r="AF15" s="93">
        <f>Table5101345411[[#This Row],[العدد]]*Table5101345411[[#This Row],[قيمة الشراء]]</f>
        <v>0</v>
      </c>
      <c r="AG15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5" s="187">
        <f>Table5101345411[[#This Row],[الكمية]]+Table5101345411[[#This Row],[عدد الإضافات]]-Table5101345411[[#This Row],[العدد]]</f>
        <v>1</v>
      </c>
      <c r="AI15" s="68">
        <f>Table5101345411[[#This Row],[الإجمالي]]+Table5101345411[[#This Row],[إجمالي الإضافات]]-Table5101345411[[#This Row],[إجمالي المستبعد]]</f>
        <v>170800</v>
      </c>
      <c r="AJ15" s="71">
        <v>0.15</v>
      </c>
      <c r="AK15" s="188"/>
      <c r="AL15" s="108" t="s">
        <v>61</v>
      </c>
      <c r="AM15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25620</v>
      </c>
      <c r="AN15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5" s="70">
        <f>Table5101345411[[#This Row],[اهلاك المستبعد
في 2018]]+Table5101345411[[#This Row],[مجمع إهلاك المستبعد 
01-01-2018]]</f>
        <v>0</v>
      </c>
      <c r="AP15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5" s="200"/>
      <c r="AR15" s="68">
        <f>IF(OR(Table5101345411[[#This Row],[تاريخ الشراء-الاستلام]]="",Table5101345411[[#This Row],[الإجمالي]]="",Table5101345411[[#This Row],[العمر الافتراضي]]=""),"",IF(((T15+AM15)-Table5101345411[[#This Row],[مجمع إهلاك المستبعد 
بتاريخ الأستبعاد]])&lt;=0,0,((T15+AM15)-Table5101345411[[#This Row],[مجمع إهلاك المستبعد 
بتاريخ الأستبعاد]])))</f>
        <v>68320</v>
      </c>
      <c r="AS15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الشراء-الاستلام]]&gt;DATE(2018,12,31),0,AI15-AR15)))</f>
        <v>102480</v>
      </c>
    </row>
    <row r="16" spans="1:45" s="141" customFormat="1" ht="83.25" customHeight="1">
      <c r="A16" s="64">
        <f>IF(B16="","",SUBTOTAL(3,$B$6:B16))</f>
        <v>11</v>
      </c>
      <c r="B16" s="65" t="s">
        <v>83</v>
      </c>
      <c r="C16" s="66" t="s">
        <v>54</v>
      </c>
      <c r="D16" s="65" t="s">
        <v>84</v>
      </c>
      <c r="E16" s="66" t="s">
        <v>207</v>
      </c>
      <c r="F16" s="223" t="s">
        <v>601</v>
      </c>
      <c r="G16" s="223"/>
      <c r="H16" s="65" t="s">
        <v>57</v>
      </c>
      <c r="I16" s="65" t="s">
        <v>619</v>
      </c>
      <c r="J16" s="65" t="s">
        <v>64</v>
      </c>
      <c r="K16" s="65" t="s">
        <v>86</v>
      </c>
      <c r="L16" s="72" t="s">
        <v>92</v>
      </c>
      <c r="M16" s="65">
        <v>42735</v>
      </c>
      <c r="N16" s="84" t="s">
        <v>88</v>
      </c>
      <c r="O16" s="152"/>
      <c r="P16" s="125">
        <v>1</v>
      </c>
      <c r="Q16" s="126"/>
      <c r="R16" s="127">
        <v>170800</v>
      </c>
      <c r="S16" s="127">
        <f t="shared" si="1"/>
        <v>170800</v>
      </c>
      <c r="T16" s="127">
        <v>42700</v>
      </c>
      <c r="U16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الشراء-الاستلام]]&lt;DATE(2018,1,1),S16-T16,0))</f>
        <v>128100</v>
      </c>
      <c r="V16" s="167"/>
      <c r="W16" s="111"/>
      <c r="X16" s="111"/>
      <c r="Y16" s="112">
        <f>Table5101345411[[#This Row],[عدد الإضافات]]*Table5101345411[[#This Row],[سعر الحبة المضافة]]</f>
        <v>0</v>
      </c>
      <c r="Z16" s="91"/>
      <c r="AA16" s="92"/>
      <c r="AB16" s="93"/>
      <c r="AC16" s="93"/>
      <c r="AD16" s="93"/>
      <c r="AE16" s="93"/>
      <c r="AF16" s="93">
        <f>Table5101345411[[#This Row],[العدد]]*Table5101345411[[#This Row],[قيمة الشراء]]</f>
        <v>0</v>
      </c>
      <c r="AG16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6" s="187">
        <f>Table5101345411[[#This Row],[الكمية]]+Table5101345411[[#This Row],[عدد الإضافات]]-Table5101345411[[#This Row],[العدد]]</f>
        <v>1</v>
      </c>
      <c r="AI16" s="68">
        <f>Table5101345411[[#This Row],[الإجمالي]]+Table5101345411[[#This Row],[إجمالي الإضافات]]-Table5101345411[[#This Row],[إجمالي المستبعد]]</f>
        <v>170800</v>
      </c>
      <c r="AJ16" s="71">
        <v>0.15</v>
      </c>
      <c r="AK16" s="188"/>
      <c r="AL16" s="108" t="s">
        <v>61</v>
      </c>
      <c r="AM16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25620</v>
      </c>
      <c r="AN16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6" s="70">
        <f>Table5101345411[[#This Row],[اهلاك المستبعد
في 2018]]+Table5101345411[[#This Row],[مجمع إهلاك المستبعد 
01-01-2018]]</f>
        <v>0</v>
      </c>
      <c r="AP16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6" s="200"/>
      <c r="AR16" s="68">
        <f>IF(OR(Table5101345411[[#This Row],[تاريخ الشراء-الاستلام]]="",Table5101345411[[#This Row],[الإجمالي]]="",Table5101345411[[#This Row],[العمر الافتراضي]]=""),"",IF(((T16+AM16)-Table5101345411[[#This Row],[مجمع إهلاك المستبعد 
بتاريخ الأستبعاد]])&lt;=0,0,((T16+AM16)-Table5101345411[[#This Row],[مجمع إهلاك المستبعد 
بتاريخ الأستبعاد]])))</f>
        <v>68320</v>
      </c>
      <c r="AS16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الشراء-الاستلام]]&gt;DATE(2018,12,31),0,AI16-AR16)))</f>
        <v>102480</v>
      </c>
    </row>
    <row r="17" spans="1:45" s="141" customFormat="1" ht="83.25" customHeight="1">
      <c r="A17" s="64">
        <f>IF(B17="","",SUBTOTAL(3,$B$6:B17))</f>
        <v>12</v>
      </c>
      <c r="B17" s="65" t="s">
        <v>83</v>
      </c>
      <c r="C17" s="66" t="s">
        <v>54</v>
      </c>
      <c r="D17" s="65" t="s">
        <v>84</v>
      </c>
      <c r="E17" s="66" t="s">
        <v>207</v>
      </c>
      <c r="F17" s="223" t="s">
        <v>602</v>
      </c>
      <c r="G17" s="223"/>
      <c r="H17" s="65"/>
      <c r="I17" s="65"/>
      <c r="J17" s="65" t="s">
        <v>64</v>
      </c>
      <c r="K17" s="65" t="s">
        <v>86</v>
      </c>
      <c r="L17" s="72" t="s">
        <v>94</v>
      </c>
      <c r="M17" s="65">
        <v>42735</v>
      </c>
      <c r="N17" s="84" t="s">
        <v>88</v>
      </c>
      <c r="O17" s="152"/>
      <c r="P17" s="125">
        <v>1</v>
      </c>
      <c r="Q17" s="126"/>
      <c r="R17" s="127">
        <v>170800</v>
      </c>
      <c r="S17" s="127">
        <f t="shared" si="1"/>
        <v>170800</v>
      </c>
      <c r="T17" s="127">
        <v>42700</v>
      </c>
      <c r="U17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الشراء-الاستلام]]&lt;DATE(2018,1,1),S17-T17,0))</f>
        <v>128100</v>
      </c>
      <c r="V17" s="167"/>
      <c r="W17" s="111"/>
      <c r="X17" s="111"/>
      <c r="Y17" s="112">
        <f>Table5101345411[[#This Row],[عدد الإضافات]]*Table5101345411[[#This Row],[سعر الحبة المضافة]]</f>
        <v>0</v>
      </c>
      <c r="Z17" s="91"/>
      <c r="AA17" s="92"/>
      <c r="AB17" s="93"/>
      <c r="AC17" s="93"/>
      <c r="AD17" s="93"/>
      <c r="AE17" s="93"/>
      <c r="AF17" s="93">
        <f>Table5101345411[[#This Row],[العدد]]*Table5101345411[[#This Row],[قيمة الشراء]]</f>
        <v>0</v>
      </c>
      <c r="AG17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7" s="187">
        <f>Table5101345411[[#This Row],[الكمية]]+Table5101345411[[#This Row],[عدد الإضافات]]-Table5101345411[[#This Row],[العدد]]</f>
        <v>1</v>
      </c>
      <c r="AI17" s="68">
        <f>Table5101345411[[#This Row],[الإجمالي]]+Table5101345411[[#This Row],[إجمالي الإضافات]]-Table5101345411[[#This Row],[إجمالي المستبعد]]</f>
        <v>170800</v>
      </c>
      <c r="AJ17" s="71">
        <v>0.15</v>
      </c>
      <c r="AK17" s="188"/>
      <c r="AL17" s="108" t="s">
        <v>61</v>
      </c>
      <c r="AM17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25620</v>
      </c>
      <c r="AN17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7" s="70">
        <f>Table5101345411[[#This Row],[اهلاك المستبعد
في 2018]]+Table5101345411[[#This Row],[مجمع إهلاك المستبعد 
01-01-2018]]</f>
        <v>0</v>
      </c>
      <c r="AP17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7" s="200"/>
      <c r="AR17" s="68">
        <f>IF(OR(Table5101345411[[#This Row],[تاريخ الشراء-الاستلام]]="",Table5101345411[[#This Row],[الإجمالي]]="",Table5101345411[[#This Row],[العمر الافتراضي]]=""),"",IF(((T17+AM17)-Table5101345411[[#This Row],[مجمع إهلاك المستبعد 
بتاريخ الأستبعاد]])&lt;=0,0,((T17+AM17)-Table5101345411[[#This Row],[مجمع إهلاك المستبعد 
بتاريخ الأستبعاد]])))</f>
        <v>68320</v>
      </c>
      <c r="AS17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الشراء-الاستلام]]&gt;DATE(2018,12,31),0,AI17-AR17)))</f>
        <v>102480</v>
      </c>
    </row>
    <row r="18" spans="1:45" s="141" customFormat="1" ht="83.25" customHeight="1">
      <c r="A18" s="64">
        <f>IF(B18="","",SUBTOTAL(3,$B$6:B18))</f>
        <v>13</v>
      </c>
      <c r="B18" s="65" t="s">
        <v>83</v>
      </c>
      <c r="C18" s="66" t="s">
        <v>54</v>
      </c>
      <c r="D18" s="65" t="s">
        <v>84</v>
      </c>
      <c r="E18" s="66" t="s">
        <v>207</v>
      </c>
      <c r="F18" s="223" t="s">
        <v>598</v>
      </c>
      <c r="G18" s="223"/>
      <c r="H18" s="65" t="s">
        <v>57</v>
      </c>
      <c r="I18" s="65" t="s">
        <v>619</v>
      </c>
      <c r="J18" s="65" t="s">
        <v>64</v>
      </c>
      <c r="K18" s="65" t="s">
        <v>86</v>
      </c>
      <c r="L18" s="72" t="s">
        <v>95</v>
      </c>
      <c r="M18" s="65">
        <v>42735</v>
      </c>
      <c r="N18" s="84" t="s">
        <v>88</v>
      </c>
      <c r="O18" s="152"/>
      <c r="P18" s="125">
        <v>1</v>
      </c>
      <c r="Q18" s="126"/>
      <c r="R18" s="127">
        <v>170800</v>
      </c>
      <c r="S18" s="127">
        <f t="shared" si="1"/>
        <v>170800</v>
      </c>
      <c r="T18" s="127">
        <v>42700</v>
      </c>
      <c r="U18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الشراء-الاستلام]]&lt;DATE(2018,1,1),S18-T18,0))</f>
        <v>128100</v>
      </c>
      <c r="V18" s="167"/>
      <c r="W18" s="111"/>
      <c r="X18" s="111"/>
      <c r="Y18" s="112">
        <f>Table5101345411[[#This Row],[عدد الإضافات]]*Table5101345411[[#This Row],[سعر الحبة المضافة]]</f>
        <v>0</v>
      </c>
      <c r="Z18" s="91"/>
      <c r="AA18" s="92"/>
      <c r="AB18" s="93"/>
      <c r="AC18" s="93"/>
      <c r="AD18" s="93"/>
      <c r="AE18" s="93"/>
      <c r="AF18" s="93">
        <f>Table5101345411[[#This Row],[العدد]]*Table5101345411[[#This Row],[قيمة الشراء]]</f>
        <v>0</v>
      </c>
      <c r="AG18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8" s="187">
        <f>Table5101345411[[#This Row],[الكمية]]+Table5101345411[[#This Row],[عدد الإضافات]]-Table5101345411[[#This Row],[العدد]]</f>
        <v>1</v>
      </c>
      <c r="AI18" s="68">
        <f>Table5101345411[[#This Row],[الإجمالي]]+Table5101345411[[#This Row],[إجمالي الإضافات]]-Table5101345411[[#This Row],[إجمالي المستبعد]]</f>
        <v>170800</v>
      </c>
      <c r="AJ18" s="71">
        <v>0.15</v>
      </c>
      <c r="AK18" s="188"/>
      <c r="AL18" s="108" t="s">
        <v>61</v>
      </c>
      <c r="AM18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25620</v>
      </c>
      <c r="AN18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8" s="70">
        <f>Table5101345411[[#This Row],[اهلاك المستبعد
في 2018]]+Table5101345411[[#This Row],[مجمع إهلاك المستبعد 
01-01-2018]]</f>
        <v>0</v>
      </c>
      <c r="AP18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8" s="200"/>
      <c r="AR18" s="68">
        <f>IF(OR(Table5101345411[[#This Row],[تاريخ الشراء-الاستلام]]="",Table5101345411[[#This Row],[الإجمالي]]="",Table5101345411[[#This Row],[العمر الافتراضي]]=""),"",IF(((T18+AM18)-Table5101345411[[#This Row],[مجمع إهلاك المستبعد 
بتاريخ الأستبعاد]])&lt;=0,0,((T18+AM18)-Table5101345411[[#This Row],[مجمع إهلاك المستبعد 
بتاريخ الأستبعاد]])))</f>
        <v>68320</v>
      </c>
      <c r="AS18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الشراء-الاستلام]]&gt;DATE(2018,12,31),0,AI18-AR18)))</f>
        <v>102480</v>
      </c>
    </row>
    <row r="19" spans="1:45" s="141" customFormat="1" ht="83.25" customHeight="1">
      <c r="A19" s="64">
        <f>IF(B19="","",SUBTOTAL(3,$B$6:B19))</f>
        <v>14</v>
      </c>
      <c r="B19" s="65" t="s">
        <v>83</v>
      </c>
      <c r="C19" s="66" t="s">
        <v>54</v>
      </c>
      <c r="D19" s="65" t="s">
        <v>84</v>
      </c>
      <c r="E19" s="66" t="s">
        <v>84</v>
      </c>
      <c r="F19" s="223" t="s">
        <v>84</v>
      </c>
      <c r="G19" s="223"/>
      <c r="H19" s="65"/>
      <c r="I19" s="65"/>
      <c r="J19" s="65" t="s">
        <v>64</v>
      </c>
      <c r="K19" s="65" t="s">
        <v>86</v>
      </c>
      <c r="L19" s="72" t="s">
        <v>97</v>
      </c>
      <c r="M19" s="65">
        <v>42735</v>
      </c>
      <c r="N19" s="84" t="s">
        <v>88</v>
      </c>
      <c r="O19" s="152"/>
      <c r="P19" s="125">
        <v>1</v>
      </c>
      <c r="Q19" s="126"/>
      <c r="R19" s="127">
        <v>170800</v>
      </c>
      <c r="S19" s="127">
        <f t="shared" si="1"/>
        <v>170800</v>
      </c>
      <c r="T19" s="127">
        <v>42700</v>
      </c>
      <c r="U19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الشراء-الاستلام]]&lt;DATE(2018,1,1),S19-T19,0))</f>
        <v>128100</v>
      </c>
      <c r="V19" s="167"/>
      <c r="W19" s="111"/>
      <c r="X19" s="111"/>
      <c r="Y19" s="112">
        <f>Table5101345411[[#This Row],[عدد الإضافات]]*Table5101345411[[#This Row],[سعر الحبة المضافة]]</f>
        <v>0</v>
      </c>
      <c r="Z19" s="91"/>
      <c r="AA19" s="92"/>
      <c r="AB19" s="93"/>
      <c r="AC19" s="93"/>
      <c r="AD19" s="93"/>
      <c r="AE19" s="93"/>
      <c r="AF19" s="93">
        <f>Table5101345411[[#This Row],[العدد]]*Table5101345411[[#This Row],[قيمة الشراء]]</f>
        <v>0</v>
      </c>
      <c r="AG19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9" s="187">
        <f>Table5101345411[[#This Row],[الكمية]]+Table5101345411[[#This Row],[عدد الإضافات]]-Table5101345411[[#This Row],[العدد]]</f>
        <v>1</v>
      </c>
      <c r="AI19" s="68">
        <f>Table5101345411[[#This Row],[الإجمالي]]+Table5101345411[[#This Row],[إجمالي الإضافات]]-Table5101345411[[#This Row],[إجمالي المستبعد]]</f>
        <v>170800</v>
      </c>
      <c r="AJ19" s="71">
        <v>0.15</v>
      </c>
      <c r="AK19" s="188"/>
      <c r="AL19" s="108" t="s">
        <v>61</v>
      </c>
      <c r="AM19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25620</v>
      </c>
      <c r="AN19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9" s="70">
        <f>Table5101345411[[#This Row],[اهلاك المستبعد
في 2018]]+Table5101345411[[#This Row],[مجمع إهلاك المستبعد 
01-01-2018]]</f>
        <v>0</v>
      </c>
      <c r="AP19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9" s="200"/>
      <c r="AR19" s="68">
        <f>IF(OR(Table5101345411[[#This Row],[تاريخ الشراء-الاستلام]]="",Table5101345411[[#This Row],[الإجمالي]]="",Table5101345411[[#This Row],[العمر الافتراضي]]=""),"",IF(((T19+AM19)-Table5101345411[[#This Row],[مجمع إهلاك المستبعد 
بتاريخ الأستبعاد]])&lt;=0,0,((T19+AM19)-Table5101345411[[#This Row],[مجمع إهلاك المستبعد 
بتاريخ الأستبعاد]])))</f>
        <v>68320</v>
      </c>
      <c r="AS19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الشراء-الاستلام]]&gt;DATE(2018,12,31),0,AI19-AR19)))</f>
        <v>102480</v>
      </c>
    </row>
    <row r="20" spans="1:45" s="141" customFormat="1" ht="83.25" customHeight="1">
      <c r="A20" s="64">
        <f>IF(B20="","",SUBTOTAL(3,$B$6:B20))</f>
        <v>15</v>
      </c>
      <c r="B20" s="65" t="s">
        <v>83</v>
      </c>
      <c r="C20" s="66" t="s">
        <v>54</v>
      </c>
      <c r="D20" s="65" t="s">
        <v>84</v>
      </c>
      <c r="E20" s="66" t="s">
        <v>84</v>
      </c>
      <c r="F20" s="223" t="s">
        <v>84</v>
      </c>
      <c r="G20" s="223"/>
      <c r="H20" s="65"/>
      <c r="I20" s="65"/>
      <c r="J20" s="65" t="s">
        <v>64</v>
      </c>
      <c r="K20" s="65" t="s">
        <v>86</v>
      </c>
      <c r="L20" s="72" t="s">
        <v>98</v>
      </c>
      <c r="M20" s="65">
        <v>42735</v>
      </c>
      <c r="N20" s="84" t="s">
        <v>88</v>
      </c>
      <c r="O20" s="152"/>
      <c r="P20" s="125">
        <v>1</v>
      </c>
      <c r="Q20" s="126"/>
      <c r="R20" s="127">
        <v>170800</v>
      </c>
      <c r="S20" s="127">
        <f t="shared" si="1"/>
        <v>170800</v>
      </c>
      <c r="T20" s="127">
        <v>42700</v>
      </c>
      <c r="U20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الشراء-الاستلام]]&lt;DATE(2018,1,1),S20-T20,0))</f>
        <v>128100</v>
      </c>
      <c r="V20" s="167"/>
      <c r="W20" s="111"/>
      <c r="X20" s="111"/>
      <c r="Y20" s="112">
        <f>Table5101345411[[#This Row],[عدد الإضافات]]*Table5101345411[[#This Row],[سعر الحبة المضافة]]</f>
        <v>0</v>
      </c>
      <c r="Z20" s="91"/>
      <c r="AA20" s="92"/>
      <c r="AB20" s="93"/>
      <c r="AC20" s="93"/>
      <c r="AD20" s="93"/>
      <c r="AE20" s="93"/>
      <c r="AF20" s="93">
        <f>Table5101345411[[#This Row],[العدد]]*Table5101345411[[#This Row],[قيمة الشراء]]</f>
        <v>0</v>
      </c>
      <c r="AG20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0" s="187">
        <f>Table5101345411[[#This Row],[الكمية]]+Table5101345411[[#This Row],[عدد الإضافات]]-Table5101345411[[#This Row],[العدد]]</f>
        <v>1</v>
      </c>
      <c r="AI20" s="68">
        <f>Table5101345411[[#This Row],[الإجمالي]]+Table5101345411[[#This Row],[إجمالي الإضافات]]-Table5101345411[[#This Row],[إجمالي المستبعد]]</f>
        <v>170800</v>
      </c>
      <c r="AJ20" s="71">
        <v>0.15</v>
      </c>
      <c r="AK20" s="188"/>
      <c r="AL20" s="108" t="s">
        <v>61</v>
      </c>
      <c r="AM20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25620</v>
      </c>
      <c r="AN20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0" s="70">
        <f>Table5101345411[[#This Row],[اهلاك المستبعد
في 2018]]+Table5101345411[[#This Row],[مجمع إهلاك المستبعد 
01-01-2018]]</f>
        <v>0</v>
      </c>
      <c r="AP20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0" s="200"/>
      <c r="AR20" s="68">
        <f>IF(OR(Table5101345411[[#This Row],[تاريخ الشراء-الاستلام]]="",Table5101345411[[#This Row],[الإجمالي]]="",Table5101345411[[#This Row],[العمر الافتراضي]]=""),"",IF(((T20+AM20)-Table5101345411[[#This Row],[مجمع إهلاك المستبعد 
بتاريخ الأستبعاد]])&lt;=0,0,((T20+AM20)-Table5101345411[[#This Row],[مجمع إهلاك المستبعد 
بتاريخ الأستبعاد]])))</f>
        <v>68320</v>
      </c>
      <c r="AS20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الشراء-الاستلام]]&gt;DATE(2018,12,31),0,AI20-AR20)))</f>
        <v>102480</v>
      </c>
    </row>
    <row r="21" spans="1:45" s="141" customFormat="1" ht="83.25" customHeight="1">
      <c r="A21" s="64">
        <f>IF(B21="","",SUBTOTAL(3,$B$6:B21))</f>
        <v>16</v>
      </c>
      <c r="B21" s="65" t="s">
        <v>83</v>
      </c>
      <c r="C21" s="66" t="s">
        <v>54</v>
      </c>
      <c r="D21" s="65" t="s">
        <v>84</v>
      </c>
      <c r="E21" s="66" t="s">
        <v>207</v>
      </c>
      <c r="F21" s="223" t="s">
        <v>620</v>
      </c>
      <c r="G21" s="223"/>
      <c r="H21" s="65" t="s">
        <v>57</v>
      </c>
      <c r="I21" s="65" t="s">
        <v>619</v>
      </c>
      <c r="J21" s="65" t="s">
        <v>64</v>
      </c>
      <c r="K21" s="65" t="s">
        <v>86</v>
      </c>
      <c r="L21" s="72" t="s">
        <v>100</v>
      </c>
      <c r="M21" s="65">
        <v>42735</v>
      </c>
      <c r="N21" s="84" t="s">
        <v>88</v>
      </c>
      <c r="O21" s="152"/>
      <c r="P21" s="125">
        <v>1</v>
      </c>
      <c r="Q21" s="126"/>
      <c r="R21" s="127">
        <v>170800</v>
      </c>
      <c r="S21" s="127">
        <f t="shared" si="1"/>
        <v>170800</v>
      </c>
      <c r="T21" s="127">
        <v>42700</v>
      </c>
      <c r="U21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الشراء-الاستلام]]&lt;DATE(2018,1,1),S21-T21,0))</f>
        <v>128100</v>
      </c>
      <c r="V21" s="167"/>
      <c r="W21" s="111"/>
      <c r="X21" s="111"/>
      <c r="Y21" s="112">
        <f>Table5101345411[[#This Row],[عدد الإضافات]]*Table5101345411[[#This Row],[سعر الحبة المضافة]]</f>
        <v>0</v>
      </c>
      <c r="Z21" s="91"/>
      <c r="AA21" s="92"/>
      <c r="AB21" s="93"/>
      <c r="AC21" s="93"/>
      <c r="AD21" s="93"/>
      <c r="AE21" s="93"/>
      <c r="AF21" s="93">
        <f>Table5101345411[[#This Row],[العدد]]*Table5101345411[[#This Row],[قيمة الشراء]]</f>
        <v>0</v>
      </c>
      <c r="AG21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1" s="187">
        <f>Table5101345411[[#This Row],[الكمية]]+Table5101345411[[#This Row],[عدد الإضافات]]-Table5101345411[[#This Row],[العدد]]</f>
        <v>1</v>
      </c>
      <c r="AI21" s="68">
        <f>Table5101345411[[#This Row],[الإجمالي]]+Table5101345411[[#This Row],[إجمالي الإضافات]]-Table5101345411[[#This Row],[إجمالي المستبعد]]</f>
        <v>170800</v>
      </c>
      <c r="AJ21" s="71">
        <v>0.15</v>
      </c>
      <c r="AK21" s="188"/>
      <c r="AL21" s="108" t="s">
        <v>61</v>
      </c>
      <c r="AM21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25620</v>
      </c>
      <c r="AN21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1" s="70">
        <f>Table5101345411[[#This Row],[اهلاك المستبعد
في 2018]]+Table5101345411[[#This Row],[مجمع إهلاك المستبعد 
01-01-2018]]</f>
        <v>0</v>
      </c>
      <c r="AP21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1" s="200"/>
      <c r="AR21" s="68">
        <f>IF(OR(Table5101345411[[#This Row],[تاريخ الشراء-الاستلام]]="",Table5101345411[[#This Row],[الإجمالي]]="",Table5101345411[[#This Row],[العمر الافتراضي]]=""),"",IF(((T21+AM21)-Table5101345411[[#This Row],[مجمع إهلاك المستبعد 
بتاريخ الأستبعاد]])&lt;=0,0,((T21+AM21)-Table5101345411[[#This Row],[مجمع إهلاك المستبعد 
بتاريخ الأستبعاد]])))</f>
        <v>68320</v>
      </c>
      <c r="AS21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الشراء-الاستلام]]&gt;DATE(2018,12,31),0,AI21-AR21)))</f>
        <v>102480</v>
      </c>
    </row>
    <row r="22" spans="1:45" s="140" customFormat="1" ht="83.25" customHeight="1">
      <c r="A22" s="57">
        <f>IF(B22="","",SUBTOTAL(3,$B$6:B22))</f>
        <v>17</v>
      </c>
      <c r="B22" s="58" t="s">
        <v>101</v>
      </c>
      <c r="C22" s="59" t="s">
        <v>54</v>
      </c>
      <c r="D22" s="58" t="s">
        <v>56</v>
      </c>
      <c r="E22" s="59" t="s">
        <v>55</v>
      </c>
      <c r="F22" s="222" t="s">
        <v>55</v>
      </c>
      <c r="G22" s="222"/>
      <c r="H22" s="58" t="s">
        <v>96</v>
      </c>
      <c r="I22" s="58"/>
      <c r="J22" s="58" t="s">
        <v>64</v>
      </c>
      <c r="K22" s="58"/>
      <c r="L22" s="60"/>
      <c r="M22" s="58">
        <v>42732</v>
      </c>
      <c r="N22" s="83" t="s">
        <v>102</v>
      </c>
      <c r="O22" s="150"/>
      <c r="P22" s="122">
        <v>1</v>
      </c>
      <c r="Q22" s="123"/>
      <c r="R22" s="124">
        <v>1417</v>
      </c>
      <c r="S22" s="124">
        <f t="shared" si="1"/>
        <v>1417</v>
      </c>
      <c r="T22" s="124">
        <v>214.29698630136986</v>
      </c>
      <c r="U22" s="151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الشراء-الاستلام]]&lt;DATE(2018,1,1),S22-T22,0))</f>
        <v>1202.7030136986302</v>
      </c>
      <c r="V22" s="166"/>
      <c r="W22" s="109"/>
      <c r="X22" s="109"/>
      <c r="Y22" s="110">
        <f>Table5101345411[[#This Row],[عدد الإضافات]]*Table5101345411[[#This Row],[سعر الحبة المضافة]]</f>
        <v>0</v>
      </c>
      <c r="Z22" s="95"/>
      <c r="AA22" s="96"/>
      <c r="AB22" s="97"/>
      <c r="AC22" s="97"/>
      <c r="AD22" s="97"/>
      <c r="AE22" s="97"/>
      <c r="AF22" s="97">
        <f>Table5101345411[[#This Row],[العدد]]*Table5101345411[[#This Row],[قيمة الشراء]]</f>
        <v>0</v>
      </c>
      <c r="AG22" s="176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2" s="185">
        <f>Table5101345411[[#This Row],[الكمية]]+Table5101345411[[#This Row],[عدد الإضافات]]-Table5101345411[[#This Row],[العدد]]</f>
        <v>1</v>
      </c>
      <c r="AI22" s="61">
        <f>Table5101345411[[#This Row],[الإجمالي]]+Table5101345411[[#This Row],[إجمالي الإضافات]]-Table5101345411[[#This Row],[إجمالي المستبعد]]</f>
        <v>1417</v>
      </c>
      <c r="AJ22" s="62">
        <v>0.125</v>
      </c>
      <c r="AK22" s="186"/>
      <c r="AL22" s="107" t="s">
        <v>61</v>
      </c>
      <c r="AM22" s="194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177.125</v>
      </c>
      <c r="AN22" s="206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2" s="63">
        <f>Table5101345411[[#This Row],[اهلاك المستبعد
في 2018]]+Table5101345411[[#This Row],[مجمع إهلاك المستبعد 
01-01-2018]]</f>
        <v>0</v>
      </c>
      <c r="AP22" s="207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2" s="199"/>
      <c r="AR22" s="61">
        <f>IF(OR(Table5101345411[[#This Row],[تاريخ الشراء-الاستلام]]="",Table5101345411[[#This Row],[الإجمالي]]="",Table5101345411[[#This Row],[العمر الافتراضي]]=""),"",IF(((T22+AM22)-Table5101345411[[#This Row],[مجمع إهلاك المستبعد 
بتاريخ الأستبعاد]])&lt;=0,0,((T22+AM22)-Table5101345411[[#This Row],[مجمع إهلاك المستبعد 
بتاريخ الأستبعاد]])))</f>
        <v>391.42198630136988</v>
      </c>
      <c r="AS22" s="133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الشراء-الاستلام]]&gt;DATE(2018,12,31),0,AI22-AR22)))</f>
        <v>1025.57801369863</v>
      </c>
    </row>
    <row r="23" spans="1:45" s="140" customFormat="1" ht="83.25" customHeight="1">
      <c r="A23" s="57">
        <f>IF(B23="","",SUBTOTAL(3,$B$6:B23))</f>
        <v>18</v>
      </c>
      <c r="B23" s="58" t="s">
        <v>103</v>
      </c>
      <c r="C23" s="59" t="s">
        <v>54</v>
      </c>
      <c r="D23" s="58" t="s">
        <v>56</v>
      </c>
      <c r="E23" s="59" t="s">
        <v>352</v>
      </c>
      <c r="F23" s="222" t="s">
        <v>352</v>
      </c>
      <c r="G23" s="222"/>
      <c r="H23" s="58" t="s">
        <v>96</v>
      </c>
      <c r="I23" s="58"/>
      <c r="J23" s="58" t="s">
        <v>64</v>
      </c>
      <c r="K23" s="58"/>
      <c r="L23" s="60"/>
      <c r="M23" s="58">
        <v>42732</v>
      </c>
      <c r="N23" s="83" t="s">
        <v>102</v>
      </c>
      <c r="O23" s="150"/>
      <c r="P23" s="122">
        <v>1</v>
      </c>
      <c r="Q23" s="123"/>
      <c r="R23" s="124">
        <v>683</v>
      </c>
      <c r="S23" s="124">
        <f t="shared" si="1"/>
        <v>683</v>
      </c>
      <c r="T23" s="124">
        <v>103.29205479452055</v>
      </c>
      <c r="U23" s="151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الشراء-الاستلام]]&lt;DATE(2018,1,1),S23-T23,0))</f>
        <v>579.7079452054794</v>
      </c>
      <c r="V23" s="166"/>
      <c r="W23" s="109"/>
      <c r="X23" s="109"/>
      <c r="Y23" s="110">
        <f>Table5101345411[[#This Row],[عدد الإضافات]]*Table5101345411[[#This Row],[سعر الحبة المضافة]]</f>
        <v>0</v>
      </c>
      <c r="Z23" s="95"/>
      <c r="AA23" s="96"/>
      <c r="AB23" s="97"/>
      <c r="AC23" s="97"/>
      <c r="AD23" s="97"/>
      <c r="AE23" s="97"/>
      <c r="AF23" s="97">
        <f>Table5101345411[[#This Row],[العدد]]*Table5101345411[[#This Row],[قيمة الشراء]]</f>
        <v>0</v>
      </c>
      <c r="AG23" s="176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3" s="185">
        <f>Table5101345411[[#This Row],[الكمية]]+Table5101345411[[#This Row],[عدد الإضافات]]-Table5101345411[[#This Row],[العدد]]</f>
        <v>1</v>
      </c>
      <c r="AI23" s="61">
        <f>Table5101345411[[#This Row],[الإجمالي]]+Table5101345411[[#This Row],[إجمالي الإضافات]]-Table5101345411[[#This Row],[إجمالي المستبعد]]</f>
        <v>683</v>
      </c>
      <c r="AJ23" s="62">
        <v>0.125</v>
      </c>
      <c r="AK23" s="186"/>
      <c r="AL23" s="107" t="s">
        <v>61</v>
      </c>
      <c r="AM23" s="194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85.375</v>
      </c>
      <c r="AN23" s="206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3" s="63">
        <f>Table5101345411[[#This Row],[اهلاك المستبعد
في 2018]]+Table5101345411[[#This Row],[مجمع إهلاك المستبعد 
01-01-2018]]</f>
        <v>0</v>
      </c>
      <c r="AP23" s="207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3" s="199"/>
      <c r="AR23" s="61">
        <f>IF(OR(Table5101345411[[#This Row],[تاريخ الشراء-الاستلام]]="",Table5101345411[[#This Row],[الإجمالي]]="",Table5101345411[[#This Row],[العمر الافتراضي]]=""),"",IF(((T23+AM23)-Table5101345411[[#This Row],[مجمع إهلاك المستبعد 
بتاريخ الأستبعاد]])&lt;=0,0,((T23+AM23)-Table5101345411[[#This Row],[مجمع إهلاك المستبعد 
بتاريخ الأستبعاد]])))</f>
        <v>188.66705479452054</v>
      </c>
      <c r="AS23" s="133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الشراء-الاستلام]]&gt;DATE(2018,12,31),0,AI23-AR23)))</f>
        <v>494.33294520547946</v>
      </c>
    </row>
    <row r="24" spans="1:45" s="141" customFormat="1" ht="83.25" customHeight="1">
      <c r="A24" s="64">
        <f>IF(B24="","",SUBTOTAL(3,$B$6:B24))</f>
        <v>19</v>
      </c>
      <c r="B24" s="65" t="s">
        <v>104</v>
      </c>
      <c r="C24" s="66" t="s">
        <v>54</v>
      </c>
      <c r="D24" s="65" t="s">
        <v>367</v>
      </c>
      <c r="E24" s="65" t="s">
        <v>516</v>
      </c>
      <c r="F24" s="224" t="s">
        <v>516</v>
      </c>
      <c r="G24" s="224"/>
      <c r="H24" s="65" t="s">
        <v>57</v>
      </c>
      <c r="I24" s="65" t="s">
        <v>58</v>
      </c>
      <c r="J24" s="65" t="s">
        <v>64</v>
      </c>
      <c r="K24" s="65"/>
      <c r="L24" s="67"/>
      <c r="M24" s="65">
        <v>42735</v>
      </c>
      <c r="N24" s="84" t="s">
        <v>105</v>
      </c>
      <c r="O24" s="152"/>
      <c r="P24" s="125">
        <v>1</v>
      </c>
      <c r="Q24" s="126"/>
      <c r="R24" s="127">
        <v>900</v>
      </c>
      <c r="S24" s="127">
        <f t="shared" si="1"/>
        <v>900</v>
      </c>
      <c r="T24" s="127">
        <v>135</v>
      </c>
      <c r="U24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الشراء-الاستلام]]&lt;DATE(2018,1,1),S24-T24,0))</f>
        <v>765</v>
      </c>
      <c r="V24" s="167"/>
      <c r="W24" s="111"/>
      <c r="X24" s="111"/>
      <c r="Y24" s="112">
        <f>Table5101345411[[#This Row],[عدد الإضافات]]*Table5101345411[[#This Row],[سعر الحبة المضافة]]</f>
        <v>0</v>
      </c>
      <c r="Z24" s="91"/>
      <c r="AA24" s="92"/>
      <c r="AB24" s="93"/>
      <c r="AC24" s="93"/>
      <c r="AD24" s="93"/>
      <c r="AE24" s="93"/>
      <c r="AF24" s="93">
        <f>Table5101345411[[#This Row],[العدد]]*Table5101345411[[#This Row],[قيمة الشراء]]</f>
        <v>0</v>
      </c>
      <c r="AG24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4" s="187">
        <f>Table5101345411[[#This Row],[الكمية]]+Table5101345411[[#This Row],[عدد الإضافات]]-Table5101345411[[#This Row],[العدد]]</f>
        <v>1</v>
      </c>
      <c r="AI24" s="68">
        <f>Table5101345411[[#This Row],[الإجمالي]]+Table5101345411[[#This Row],[إجمالي الإضافات]]-Table5101345411[[#This Row],[إجمالي المستبعد]]</f>
        <v>900</v>
      </c>
      <c r="AJ24" s="69">
        <v>0.125</v>
      </c>
      <c r="AK24" s="188"/>
      <c r="AL24" s="108" t="s">
        <v>61</v>
      </c>
      <c r="AM24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112.5</v>
      </c>
      <c r="AN24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4" s="70">
        <f>Table5101345411[[#This Row],[اهلاك المستبعد
في 2018]]+Table5101345411[[#This Row],[مجمع إهلاك المستبعد 
01-01-2018]]</f>
        <v>0</v>
      </c>
      <c r="AP24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4" s="200"/>
      <c r="AR24" s="68">
        <f>IF(OR(Table5101345411[[#This Row],[تاريخ الشراء-الاستلام]]="",Table5101345411[[#This Row],[الإجمالي]]="",Table5101345411[[#This Row],[العمر الافتراضي]]=""),"",IF(((T24+AM24)-Table5101345411[[#This Row],[مجمع إهلاك المستبعد 
بتاريخ الأستبعاد]])&lt;=0,0,((T24+AM24)-Table5101345411[[#This Row],[مجمع إهلاك المستبعد 
بتاريخ الأستبعاد]])))</f>
        <v>247.5</v>
      </c>
      <c r="AS24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الشراء-الاستلام]]&gt;DATE(2018,12,31),0,AI24-AR24)))</f>
        <v>652.5</v>
      </c>
    </row>
    <row r="25" spans="1:45" s="141" customFormat="1" ht="83.25" customHeight="1">
      <c r="A25" s="64">
        <f>IF(B25="","",SUBTOTAL(3,$B$6:B25))</f>
        <v>20</v>
      </c>
      <c r="B25" s="65" t="s">
        <v>79</v>
      </c>
      <c r="C25" s="66" t="s">
        <v>54</v>
      </c>
      <c r="D25" s="66" t="s">
        <v>80</v>
      </c>
      <c r="E25" s="66" t="s">
        <v>158</v>
      </c>
      <c r="F25" s="223" t="s">
        <v>658</v>
      </c>
      <c r="G25" s="223" t="s">
        <v>808</v>
      </c>
      <c r="H25" s="65" t="s">
        <v>57</v>
      </c>
      <c r="I25" s="65" t="s">
        <v>619</v>
      </c>
      <c r="J25" s="65" t="s">
        <v>106</v>
      </c>
      <c r="K25" s="65" t="s">
        <v>107</v>
      </c>
      <c r="L25" s="72" t="s">
        <v>659</v>
      </c>
      <c r="M25" s="65">
        <v>42594</v>
      </c>
      <c r="N25" s="84" t="s">
        <v>82</v>
      </c>
      <c r="O25" s="152"/>
      <c r="P25" s="125">
        <v>1</v>
      </c>
      <c r="Q25" s="126"/>
      <c r="R25" s="127">
        <v>40000</v>
      </c>
      <c r="S25" s="127">
        <f t="shared" si="1"/>
        <v>40000</v>
      </c>
      <c r="T25" s="127">
        <v>13863.013698630137</v>
      </c>
      <c r="U25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الشراء-الاستلام]]&lt;DATE(2018,1,1),S25-T25,0))</f>
        <v>26136.986301369863</v>
      </c>
      <c r="V25" s="167"/>
      <c r="W25" s="111"/>
      <c r="X25" s="111"/>
      <c r="Y25" s="112">
        <f>Table5101345411[[#This Row],[عدد الإضافات]]*Table5101345411[[#This Row],[سعر الحبة المضافة]]</f>
        <v>0</v>
      </c>
      <c r="Z25" s="91"/>
      <c r="AA25" s="92"/>
      <c r="AB25" s="93"/>
      <c r="AC25" s="93"/>
      <c r="AD25" s="93"/>
      <c r="AE25" s="93"/>
      <c r="AF25" s="93">
        <f>Table5101345411[[#This Row],[العدد]]*Table5101345411[[#This Row],[قيمة الشراء]]</f>
        <v>0</v>
      </c>
      <c r="AG25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5" s="187">
        <f>Table5101345411[[#This Row],[الكمية]]+Table5101345411[[#This Row],[عدد الإضافات]]-Table5101345411[[#This Row],[العدد]]</f>
        <v>1</v>
      </c>
      <c r="AI25" s="68">
        <f>Table5101345411[[#This Row],[الإجمالي]]+Table5101345411[[#This Row],[إجمالي الإضافات]]-Table5101345411[[#This Row],[إجمالي المستبعد]]</f>
        <v>40000</v>
      </c>
      <c r="AJ25" s="71">
        <v>0.15</v>
      </c>
      <c r="AK25" s="188"/>
      <c r="AL25" s="108" t="s">
        <v>61</v>
      </c>
      <c r="AM25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6000</v>
      </c>
      <c r="AN25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5" s="70">
        <f>Table5101345411[[#This Row],[اهلاك المستبعد
في 2018]]+Table5101345411[[#This Row],[مجمع إهلاك المستبعد 
01-01-2018]]</f>
        <v>0</v>
      </c>
      <c r="AP25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5" s="200"/>
      <c r="AR25" s="68">
        <f>IF(OR(Table5101345411[[#This Row],[تاريخ الشراء-الاستلام]]="",Table5101345411[[#This Row],[الإجمالي]]="",Table5101345411[[#This Row],[العمر الافتراضي]]=""),"",IF(((T25+AM25)-Table5101345411[[#This Row],[مجمع إهلاك المستبعد 
بتاريخ الأستبعاد]])&lt;=0,0,((T25+AM25)-Table5101345411[[#This Row],[مجمع إهلاك المستبعد 
بتاريخ الأستبعاد]])))</f>
        <v>19863.013698630137</v>
      </c>
      <c r="AS25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الشراء-الاستلام]]&gt;DATE(2018,12,31),0,AI25-AR25)))</f>
        <v>20136.986301369863</v>
      </c>
    </row>
    <row r="26" spans="1:45" s="141" customFormat="1" ht="83.25" customHeight="1">
      <c r="A26" s="64">
        <f>IF(B26="","",SUBTOTAL(3,$B$6:B26))</f>
        <v>21</v>
      </c>
      <c r="B26" s="65" t="s">
        <v>79</v>
      </c>
      <c r="C26" s="66" t="s">
        <v>54</v>
      </c>
      <c r="D26" s="66" t="s">
        <v>80</v>
      </c>
      <c r="E26" s="66" t="s">
        <v>158</v>
      </c>
      <c r="F26" s="223" t="s">
        <v>679</v>
      </c>
      <c r="G26" s="223" t="s">
        <v>809</v>
      </c>
      <c r="H26" s="65" t="s">
        <v>93</v>
      </c>
      <c r="I26" s="65" t="s">
        <v>619</v>
      </c>
      <c r="J26" s="65" t="s">
        <v>106</v>
      </c>
      <c r="K26" s="65" t="s">
        <v>108</v>
      </c>
      <c r="L26" s="72" t="s">
        <v>677</v>
      </c>
      <c r="M26" s="65">
        <v>42594.7</v>
      </c>
      <c r="N26" s="84" t="s">
        <v>82</v>
      </c>
      <c r="O26" s="152"/>
      <c r="P26" s="125">
        <v>1</v>
      </c>
      <c r="Q26" s="126"/>
      <c r="R26" s="127">
        <v>40000</v>
      </c>
      <c r="S26" s="127">
        <f t="shared" si="1"/>
        <v>40000</v>
      </c>
      <c r="T26" s="127">
        <v>13843.835616438435</v>
      </c>
      <c r="U26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الشراء-الاستلام]]&lt;DATE(2018,1,1),S26-T26,0))</f>
        <v>26156.164383561565</v>
      </c>
      <c r="V26" s="167"/>
      <c r="W26" s="111"/>
      <c r="X26" s="111"/>
      <c r="Y26" s="112">
        <f>Table5101345411[[#This Row],[عدد الإضافات]]*Table5101345411[[#This Row],[سعر الحبة المضافة]]</f>
        <v>0</v>
      </c>
      <c r="Z26" s="91"/>
      <c r="AA26" s="92"/>
      <c r="AB26" s="93"/>
      <c r="AC26" s="93"/>
      <c r="AD26" s="93"/>
      <c r="AE26" s="93"/>
      <c r="AF26" s="93">
        <f>Table5101345411[[#This Row],[العدد]]*Table5101345411[[#This Row],[قيمة الشراء]]</f>
        <v>0</v>
      </c>
      <c r="AG26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6" s="187">
        <f>Table5101345411[[#This Row],[الكمية]]+Table5101345411[[#This Row],[عدد الإضافات]]-Table5101345411[[#This Row],[العدد]]</f>
        <v>1</v>
      </c>
      <c r="AI26" s="68">
        <f>Table5101345411[[#This Row],[الإجمالي]]+Table5101345411[[#This Row],[إجمالي الإضافات]]-Table5101345411[[#This Row],[إجمالي المستبعد]]</f>
        <v>40000</v>
      </c>
      <c r="AJ26" s="71">
        <v>0.15</v>
      </c>
      <c r="AK26" s="188"/>
      <c r="AL26" s="108" t="s">
        <v>61</v>
      </c>
      <c r="AM26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6000</v>
      </c>
      <c r="AN26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6" s="70">
        <f>Table5101345411[[#This Row],[اهلاك المستبعد
في 2018]]+Table5101345411[[#This Row],[مجمع إهلاك المستبعد 
01-01-2018]]</f>
        <v>0</v>
      </c>
      <c r="AP26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6" s="200"/>
      <c r="AR26" s="68">
        <f>IF(OR(Table5101345411[[#This Row],[تاريخ الشراء-الاستلام]]="",Table5101345411[[#This Row],[الإجمالي]]="",Table5101345411[[#This Row],[العمر الافتراضي]]=""),"",IF(((T26+AM26)-Table5101345411[[#This Row],[مجمع إهلاك المستبعد 
بتاريخ الأستبعاد]])&lt;=0,0,((T26+AM26)-Table5101345411[[#This Row],[مجمع إهلاك المستبعد 
بتاريخ الأستبعاد]])))</f>
        <v>19843.835616438435</v>
      </c>
      <c r="AS26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الشراء-الاستلام]]&gt;DATE(2018,12,31),0,AI26-AR26)))</f>
        <v>20156.164383561565</v>
      </c>
    </row>
    <row r="27" spans="1:45" s="141" customFormat="1" ht="83.25" customHeight="1">
      <c r="A27" s="64">
        <f>IF(B27="","",SUBTOTAL(3,$B$6:B27))</f>
        <v>22</v>
      </c>
      <c r="B27" s="65" t="s">
        <v>79</v>
      </c>
      <c r="C27" s="66" t="s">
        <v>54</v>
      </c>
      <c r="D27" s="66" t="s">
        <v>80</v>
      </c>
      <c r="E27" s="66" t="s">
        <v>158</v>
      </c>
      <c r="F27" s="66" t="s">
        <v>656</v>
      </c>
      <c r="G27" s="223" t="s">
        <v>810</v>
      </c>
      <c r="H27" s="65" t="s">
        <v>58</v>
      </c>
      <c r="I27" s="65" t="s">
        <v>58</v>
      </c>
      <c r="J27" s="65" t="s">
        <v>74</v>
      </c>
      <c r="K27" s="65" t="s">
        <v>75</v>
      </c>
      <c r="L27" s="72" t="s">
        <v>657</v>
      </c>
      <c r="M27" s="65">
        <v>42595</v>
      </c>
      <c r="N27" s="84" t="s">
        <v>82</v>
      </c>
      <c r="O27" s="152"/>
      <c r="P27" s="125">
        <v>1</v>
      </c>
      <c r="Q27" s="126"/>
      <c r="R27" s="127">
        <v>40000</v>
      </c>
      <c r="S27" s="127">
        <f t="shared" si="1"/>
        <v>40000</v>
      </c>
      <c r="T27" s="127">
        <v>13835.616438356165</v>
      </c>
      <c r="U27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الشراء-الاستلام]]&lt;DATE(2018,1,1),S27-T27,0))</f>
        <v>26164.383561643837</v>
      </c>
      <c r="V27" s="167"/>
      <c r="W27" s="111"/>
      <c r="X27" s="111"/>
      <c r="Y27" s="112">
        <f>Table5101345411[[#This Row],[عدد الإضافات]]*Table5101345411[[#This Row],[سعر الحبة المضافة]]</f>
        <v>0</v>
      </c>
      <c r="Z27" s="91"/>
      <c r="AA27" s="92"/>
      <c r="AB27" s="93"/>
      <c r="AC27" s="93"/>
      <c r="AD27" s="93"/>
      <c r="AE27" s="93"/>
      <c r="AF27" s="93">
        <f>Table5101345411[[#This Row],[العدد]]*Table5101345411[[#This Row],[قيمة الشراء]]</f>
        <v>0</v>
      </c>
      <c r="AG27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7" s="187">
        <f>Table5101345411[[#This Row],[الكمية]]+Table5101345411[[#This Row],[عدد الإضافات]]-Table5101345411[[#This Row],[العدد]]</f>
        <v>1</v>
      </c>
      <c r="AI27" s="68">
        <f>Table5101345411[[#This Row],[الإجمالي]]+Table5101345411[[#This Row],[إجمالي الإضافات]]-Table5101345411[[#This Row],[إجمالي المستبعد]]</f>
        <v>40000</v>
      </c>
      <c r="AJ27" s="71">
        <v>0.15</v>
      </c>
      <c r="AK27" s="188"/>
      <c r="AL27" s="108" t="s">
        <v>61</v>
      </c>
      <c r="AM27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6000</v>
      </c>
      <c r="AN27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7" s="70">
        <f>Table5101345411[[#This Row],[اهلاك المستبعد
في 2018]]+Table5101345411[[#This Row],[مجمع إهلاك المستبعد 
01-01-2018]]</f>
        <v>0</v>
      </c>
      <c r="AP27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7" s="200"/>
      <c r="AR27" s="68">
        <f>IF(OR(Table5101345411[[#This Row],[تاريخ الشراء-الاستلام]]="",Table5101345411[[#This Row],[الإجمالي]]="",Table5101345411[[#This Row],[العمر الافتراضي]]=""),"",IF(((T27+AM27)-Table5101345411[[#This Row],[مجمع إهلاك المستبعد 
بتاريخ الأستبعاد]])&lt;=0,0,((T27+AM27)-Table5101345411[[#This Row],[مجمع إهلاك المستبعد 
بتاريخ الأستبعاد]])))</f>
        <v>19835.616438356163</v>
      </c>
      <c r="AS27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الشراء-الاستلام]]&gt;DATE(2018,12,31),0,AI27-AR27)))</f>
        <v>20164.383561643837</v>
      </c>
    </row>
    <row r="28" spans="1:45" s="141" customFormat="1" ht="83.25" customHeight="1">
      <c r="A28" s="64">
        <f>IF(B28="","",SUBTOTAL(3,$B$6:B28))</f>
        <v>23</v>
      </c>
      <c r="B28" s="65" t="s">
        <v>79</v>
      </c>
      <c r="C28" s="66" t="s">
        <v>54</v>
      </c>
      <c r="D28" s="66" t="s">
        <v>80</v>
      </c>
      <c r="E28" s="66" t="s">
        <v>158</v>
      </c>
      <c r="F28" s="66" t="s">
        <v>661</v>
      </c>
      <c r="G28" s="223" t="s">
        <v>811</v>
      </c>
      <c r="H28" s="65" t="s">
        <v>57</v>
      </c>
      <c r="I28" s="65" t="s">
        <v>619</v>
      </c>
      <c r="J28" s="65" t="s">
        <v>109</v>
      </c>
      <c r="K28" s="65" t="s">
        <v>110</v>
      </c>
      <c r="L28" s="72" t="s">
        <v>660</v>
      </c>
      <c r="M28" s="65">
        <v>42595</v>
      </c>
      <c r="N28" s="84" t="s">
        <v>82</v>
      </c>
      <c r="O28" s="152"/>
      <c r="P28" s="125">
        <v>1</v>
      </c>
      <c r="Q28" s="126"/>
      <c r="R28" s="127">
        <v>40000</v>
      </c>
      <c r="S28" s="127">
        <f t="shared" si="1"/>
        <v>40000</v>
      </c>
      <c r="T28" s="127">
        <v>13835.616438356165</v>
      </c>
      <c r="U28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الشراء-الاستلام]]&lt;DATE(2018,1,1),S28-T28,0))</f>
        <v>26164.383561643837</v>
      </c>
      <c r="V28" s="167"/>
      <c r="W28" s="111"/>
      <c r="X28" s="111"/>
      <c r="Y28" s="112">
        <f>Table5101345411[[#This Row],[عدد الإضافات]]*Table5101345411[[#This Row],[سعر الحبة المضافة]]</f>
        <v>0</v>
      </c>
      <c r="Z28" s="91"/>
      <c r="AA28" s="92"/>
      <c r="AB28" s="93"/>
      <c r="AC28" s="93"/>
      <c r="AD28" s="93"/>
      <c r="AE28" s="93"/>
      <c r="AF28" s="93">
        <f>Table5101345411[[#This Row],[العدد]]*Table5101345411[[#This Row],[قيمة الشراء]]</f>
        <v>0</v>
      </c>
      <c r="AG28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8" s="187">
        <f>Table5101345411[[#This Row],[الكمية]]+Table5101345411[[#This Row],[عدد الإضافات]]-Table5101345411[[#This Row],[العدد]]</f>
        <v>1</v>
      </c>
      <c r="AI28" s="68">
        <f>Table5101345411[[#This Row],[الإجمالي]]+Table5101345411[[#This Row],[إجمالي الإضافات]]-Table5101345411[[#This Row],[إجمالي المستبعد]]</f>
        <v>40000</v>
      </c>
      <c r="AJ28" s="71">
        <v>0.15</v>
      </c>
      <c r="AK28" s="188"/>
      <c r="AL28" s="108" t="s">
        <v>61</v>
      </c>
      <c r="AM28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6000</v>
      </c>
      <c r="AN28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8" s="70">
        <f>Table5101345411[[#This Row],[اهلاك المستبعد
في 2018]]+Table5101345411[[#This Row],[مجمع إهلاك المستبعد 
01-01-2018]]</f>
        <v>0</v>
      </c>
      <c r="AP28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8" s="200"/>
      <c r="AR28" s="68">
        <f>IF(OR(Table5101345411[[#This Row],[تاريخ الشراء-الاستلام]]="",Table5101345411[[#This Row],[الإجمالي]]="",Table5101345411[[#This Row],[العمر الافتراضي]]=""),"",IF(((T28+AM28)-Table5101345411[[#This Row],[مجمع إهلاك المستبعد 
بتاريخ الأستبعاد]])&lt;=0,0,((T28+AM28)-Table5101345411[[#This Row],[مجمع إهلاك المستبعد 
بتاريخ الأستبعاد]])))</f>
        <v>19835.616438356163</v>
      </c>
      <c r="AS28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الشراء-الاستلام]]&gt;DATE(2018,12,31),0,AI28-AR28)))</f>
        <v>20164.383561643837</v>
      </c>
    </row>
    <row r="29" spans="1:45" s="141" customFormat="1" ht="83.25" customHeight="1">
      <c r="A29" s="64">
        <f>IF(B29="","",SUBTOTAL(3,$B$6:B29))</f>
        <v>24</v>
      </c>
      <c r="B29" s="65" t="s">
        <v>83</v>
      </c>
      <c r="C29" s="66" t="s">
        <v>54</v>
      </c>
      <c r="D29" s="65" t="s">
        <v>84</v>
      </c>
      <c r="E29" s="66" t="s">
        <v>84</v>
      </c>
      <c r="F29" s="223" t="s">
        <v>84</v>
      </c>
      <c r="G29" s="223"/>
      <c r="H29" s="65"/>
      <c r="I29" s="65"/>
      <c r="J29" s="65" t="s">
        <v>64</v>
      </c>
      <c r="K29" s="65" t="s">
        <v>86</v>
      </c>
      <c r="L29" s="72" t="s">
        <v>112</v>
      </c>
      <c r="M29" s="65">
        <v>42711.040000000001</v>
      </c>
      <c r="N29" s="84" t="s">
        <v>88</v>
      </c>
      <c r="O29" s="152"/>
      <c r="P29" s="125">
        <v>1</v>
      </c>
      <c r="Q29" s="126"/>
      <c r="R29" s="127">
        <v>160000</v>
      </c>
      <c r="S29" s="127">
        <f t="shared" si="1"/>
        <v>160000</v>
      </c>
      <c r="T29" s="127">
        <v>42625.753424657436</v>
      </c>
      <c r="U29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الشراء-الاستلام]]&lt;DATE(2018,1,1),S29-T29,0))</f>
        <v>117374.24657534256</v>
      </c>
      <c r="V29" s="167"/>
      <c r="W29" s="111"/>
      <c r="X29" s="111"/>
      <c r="Y29" s="112">
        <f>Table5101345411[[#This Row],[عدد الإضافات]]*Table5101345411[[#This Row],[سعر الحبة المضافة]]</f>
        <v>0</v>
      </c>
      <c r="Z29" s="91"/>
      <c r="AA29" s="92"/>
      <c r="AB29" s="93"/>
      <c r="AC29" s="93"/>
      <c r="AD29" s="93"/>
      <c r="AE29" s="93"/>
      <c r="AF29" s="93">
        <f>Table5101345411[[#This Row],[العدد]]*Table5101345411[[#This Row],[قيمة الشراء]]</f>
        <v>0</v>
      </c>
      <c r="AG29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9" s="187">
        <f>Table5101345411[[#This Row],[الكمية]]+Table5101345411[[#This Row],[عدد الإضافات]]-Table5101345411[[#This Row],[العدد]]</f>
        <v>1</v>
      </c>
      <c r="AI29" s="68">
        <f>Table5101345411[[#This Row],[الإجمالي]]+Table5101345411[[#This Row],[إجمالي الإضافات]]-Table5101345411[[#This Row],[إجمالي المستبعد]]</f>
        <v>160000</v>
      </c>
      <c r="AJ29" s="71">
        <v>0.15</v>
      </c>
      <c r="AK29" s="188"/>
      <c r="AL29" s="108" t="s">
        <v>61</v>
      </c>
      <c r="AM29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24000</v>
      </c>
      <c r="AN29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9" s="70">
        <f>Table5101345411[[#This Row],[اهلاك المستبعد
في 2018]]+Table5101345411[[#This Row],[مجمع إهلاك المستبعد 
01-01-2018]]</f>
        <v>0</v>
      </c>
      <c r="AP29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9" s="200"/>
      <c r="AR29" s="68">
        <f>IF(OR(Table5101345411[[#This Row],[تاريخ الشراء-الاستلام]]="",Table5101345411[[#This Row],[الإجمالي]]="",Table5101345411[[#This Row],[العمر الافتراضي]]=""),"",IF(((T29+AM29)-Table5101345411[[#This Row],[مجمع إهلاك المستبعد 
بتاريخ الأستبعاد]])&lt;=0,0,((T29+AM29)-Table5101345411[[#This Row],[مجمع إهلاك المستبعد 
بتاريخ الأستبعاد]])))</f>
        <v>66625.753424657436</v>
      </c>
      <c r="AS29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الشراء-الاستلام]]&gt;DATE(2018,12,31),0,AI29-AR29)))</f>
        <v>93374.246575342564</v>
      </c>
    </row>
    <row r="30" spans="1:45" s="141" customFormat="1" ht="83.25" customHeight="1">
      <c r="A30" s="64">
        <f>IF(B30="","",SUBTOTAL(3,$B$6:B30))</f>
        <v>25</v>
      </c>
      <c r="B30" s="65" t="s">
        <v>83</v>
      </c>
      <c r="C30" s="66" t="s">
        <v>54</v>
      </c>
      <c r="D30" s="65" t="s">
        <v>84</v>
      </c>
      <c r="E30" s="66" t="s">
        <v>84</v>
      </c>
      <c r="F30" s="223" t="s">
        <v>84</v>
      </c>
      <c r="G30" s="223"/>
      <c r="H30" s="65"/>
      <c r="I30" s="65"/>
      <c r="J30" s="65" t="s">
        <v>64</v>
      </c>
      <c r="K30" s="65" t="s">
        <v>86</v>
      </c>
      <c r="L30" s="72" t="s">
        <v>113</v>
      </c>
      <c r="M30" s="65">
        <v>42711</v>
      </c>
      <c r="N30" s="84" t="s">
        <v>88</v>
      </c>
      <c r="O30" s="152"/>
      <c r="P30" s="125">
        <v>1</v>
      </c>
      <c r="Q30" s="126"/>
      <c r="R30" s="127">
        <v>160000</v>
      </c>
      <c r="S30" s="127">
        <f t="shared" si="1"/>
        <v>160000</v>
      </c>
      <c r="T30" s="127">
        <v>42630.136986301368</v>
      </c>
      <c r="U30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الشراء-الاستلام]]&lt;DATE(2018,1,1),S30-T30,0))</f>
        <v>117369.86301369863</v>
      </c>
      <c r="V30" s="167"/>
      <c r="W30" s="111"/>
      <c r="X30" s="111"/>
      <c r="Y30" s="112">
        <f>Table5101345411[[#This Row],[عدد الإضافات]]*Table5101345411[[#This Row],[سعر الحبة المضافة]]</f>
        <v>0</v>
      </c>
      <c r="Z30" s="91"/>
      <c r="AA30" s="92"/>
      <c r="AB30" s="93"/>
      <c r="AC30" s="93"/>
      <c r="AD30" s="93"/>
      <c r="AE30" s="93"/>
      <c r="AF30" s="93">
        <f>Table5101345411[[#This Row],[العدد]]*Table5101345411[[#This Row],[قيمة الشراء]]</f>
        <v>0</v>
      </c>
      <c r="AG30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0" s="187">
        <f>Table5101345411[[#This Row],[الكمية]]+Table5101345411[[#This Row],[عدد الإضافات]]-Table5101345411[[#This Row],[العدد]]</f>
        <v>1</v>
      </c>
      <c r="AI30" s="68">
        <f>Table5101345411[[#This Row],[الإجمالي]]+Table5101345411[[#This Row],[إجمالي الإضافات]]-Table5101345411[[#This Row],[إجمالي المستبعد]]</f>
        <v>160000</v>
      </c>
      <c r="AJ30" s="71">
        <v>0.15</v>
      </c>
      <c r="AK30" s="188"/>
      <c r="AL30" s="108" t="s">
        <v>61</v>
      </c>
      <c r="AM30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24000</v>
      </c>
      <c r="AN30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0" s="70">
        <f>Table5101345411[[#This Row],[اهلاك المستبعد
في 2018]]+Table5101345411[[#This Row],[مجمع إهلاك المستبعد 
01-01-2018]]</f>
        <v>0</v>
      </c>
      <c r="AP30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0" s="200"/>
      <c r="AR30" s="68">
        <f>IF(OR(Table5101345411[[#This Row],[تاريخ الشراء-الاستلام]]="",Table5101345411[[#This Row],[الإجمالي]]="",Table5101345411[[#This Row],[العمر الافتراضي]]=""),"",IF(((T30+AM30)-Table5101345411[[#This Row],[مجمع إهلاك المستبعد 
بتاريخ الأستبعاد]])&lt;=0,0,((T30+AM30)-Table5101345411[[#This Row],[مجمع إهلاك المستبعد 
بتاريخ الأستبعاد]])))</f>
        <v>66630.136986301368</v>
      </c>
      <c r="AS30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الشراء-الاستلام]]&gt;DATE(2018,12,31),0,AI30-AR30)))</f>
        <v>93369.863013698632</v>
      </c>
    </row>
    <row r="31" spans="1:45" s="141" customFormat="1" ht="83.25" customHeight="1">
      <c r="A31" s="64">
        <f>IF(B31="","",SUBTOTAL(3,$B$6:B31))</f>
        <v>26</v>
      </c>
      <c r="B31" s="65" t="s">
        <v>114</v>
      </c>
      <c r="C31" s="66" t="s">
        <v>115</v>
      </c>
      <c r="D31" s="65" t="s">
        <v>84</v>
      </c>
      <c r="E31" s="66" t="s">
        <v>114</v>
      </c>
      <c r="F31" s="223" t="s">
        <v>114</v>
      </c>
      <c r="G31" s="223"/>
      <c r="H31" s="65"/>
      <c r="I31" s="65"/>
      <c r="J31" s="65" t="s">
        <v>64</v>
      </c>
      <c r="K31" s="65"/>
      <c r="L31" s="72" t="s">
        <v>116</v>
      </c>
      <c r="M31" s="65">
        <v>42005</v>
      </c>
      <c r="N31" s="84"/>
      <c r="O31" s="152"/>
      <c r="P31" s="125">
        <v>1</v>
      </c>
      <c r="Q31" s="126"/>
      <c r="R31" s="127">
        <v>217360</v>
      </c>
      <c r="S31" s="127">
        <f t="shared" si="1"/>
        <v>217360</v>
      </c>
      <c r="T31" s="127">
        <v>130296.89863013699</v>
      </c>
      <c r="U31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الشراء-الاستلام]]&lt;DATE(2018,1,1),S31-T31,0))</f>
        <v>87063.101369863012</v>
      </c>
      <c r="V31" s="167"/>
      <c r="W31" s="111"/>
      <c r="X31" s="111"/>
      <c r="Y31" s="112">
        <f>Table5101345411[[#This Row],[عدد الإضافات]]*Table5101345411[[#This Row],[سعر الحبة المضافة]]</f>
        <v>0</v>
      </c>
      <c r="Z31" s="91"/>
      <c r="AA31" s="92"/>
      <c r="AB31" s="93"/>
      <c r="AC31" s="93"/>
      <c r="AD31" s="93"/>
      <c r="AE31" s="93"/>
      <c r="AF31" s="93">
        <f>Table5101345411[[#This Row],[العدد]]*Table5101345411[[#This Row],[قيمة الشراء]]</f>
        <v>0</v>
      </c>
      <c r="AG31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1" s="187">
        <f>Table5101345411[[#This Row],[الكمية]]+Table5101345411[[#This Row],[عدد الإضافات]]-Table5101345411[[#This Row],[العدد]]</f>
        <v>1</v>
      </c>
      <c r="AI31" s="68">
        <f>Table5101345411[[#This Row],[الإجمالي]]+Table5101345411[[#This Row],[إجمالي الإضافات]]-Table5101345411[[#This Row],[إجمالي المستبعد]]</f>
        <v>217360</v>
      </c>
      <c r="AJ31" s="71">
        <v>0.2</v>
      </c>
      <c r="AK31" s="188"/>
      <c r="AL31" s="108" t="s">
        <v>61</v>
      </c>
      <c r="AM31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43472</v>
      </c>
      <c r="AN31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1" s="70">
        <f>Table5101345411[[#This Row],[اهلاك المستبعد
في 2018]]+Table5101345411[[#This Row],[مجمع إهلاك المستبعد 
01-01-2018]]</f>
        <v>0</v>
      </c>
      <c r="AP31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1" s="200"/>
      <c r="AR31" s="68">
        <f>IF(OR(Table5101345411[[#This Row],[تاريخ الشراء-الاستلام]]="",Table5101345411[[#This Row],[الإجمالي]]="",Table5101345411[[#This Row],[العمر الافتراضي]]=""),"",IF(((T31+AM31)-Table5101345411[[#This Row],[مجمع إهلاك المستبعد 
بتاريخ الأستبعاد]])&lt;=0,0,((T31+AM31)-Table5101345411[[#This Row],[مجمع إهلاك المستبعد 
بتاريخ الأستبعاد]])))</f>
        <v>173768.89863013697</v>
      </c>
      <c r="AS31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الشراء-الاستلام]]&gt;DATE(2018,12,31),0,AI31-AR31)))</f>
        <v>43591.101369863027</v>
      </c>
    </row>
    <row r="32" spans="1:45" s="141" customFormat="1" ht="83.25" customHeight="1">
      <c r="A32" s="118">
        <f>IF(B32="","",SUBTOTAL(3,$B$6:B32))</f>
        <v>27</v>
      </c>
      <c r="B32" s="58" t="s">
        <v>587</v>
      </c>
      <c r="C32" s="59" t="s">
        <v>588</v>
      </c>
      <c r="D32" s="65" t="s">
        <v>84</v>
      </c>
      <c r="E32" s="66" t="s">
        <v>207</v>
      </c>
      <c r="F32" s="223" t="s">
        <v>606</v>
      </c>
      <c r="G32" s="223"/>
      <c r="H32" s="58" t="s">
        <v>57</v>
      </c>
      <c r="I32" s="58" t="s">
        <v>619</v>
      </c>
      <c r="J32" s="58" t="s">
        <v>64</v>
      </c>
      <c r="K32" s="58"/>
      <c r="L32" s="221" t="s">
        <v>589</v>
      </c>
      <c r="M32" s="77">
        <v>43466</v>
      </c>
      <c r="N32" s="77" t="s">
        <v>588</v>
      </c>
      <c r="O32" s="150"/>
      <c r="P32" s="122">
        <v>1</v>
      </c>
      <c r="Q32" s="123"/>
      <c r="R32" s="130">
        <v>0</v>
      </c>
      <c r="S32" s="130">
        <f t="shared" si="1"/>
        <v>0</v>
      </c>
      <c r="T32" s="130"/>
      <c r="U32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الشراء-الاستلام]]&lt;DATE(2018,1,1),S32-T32,0))</f>
        <v>0</v>
      </c>
      <c r="V32" s="169"/>
      <c r="W32" s="116"/>
      <c r="X32" s="116"/>
      <c r="Y32" s="117">
        <f>Table5101345411[[#This Row],[عدد الإضافات]]*Table5101345411[[#This Row],[سعر الحبة المضافة]]</f>
        <v>0</v>
      </c>
      <c r="Z32" s="101"/>
      <c r="AA32" s="102"/>
      <c r="AB32" s="103"/>
      <c r="AC32" s="103"/>
      <c r="AD32" s="103"/>
      <c r="AE32" s="103"/>
      <c r="AF32" s="103">
        <f>Table5101345411[[#This Row],[العدد]]*Table5101345411[[#This Row],[قيمة الشراء]]</f>
        <v>0</v>
      </c>
      <c r="AG32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2" s="190">
        <f>Table5101345411[[#This Row],[الكمية]]+Table5101345411[[#This Row],[عدد الإضافات]]-Table5101345411[[#This Row],[العدد]]</f>
        <v>1</v>
      </c>
      <c r="AI32" s="78">
        <f>Table5101345411[[#This Row],[الإجمالي]]+Table5101345411[[#This Row],[إجمالي الإضافات]]-Table5101345411[[#This Row],[إجمالي المستبعد]]</f>
        <v>0</v>
      </c>
      <c r="AJ32" s="120">
        <v>0.15</v>
      </c>
      <c r="AK32" s="219"/>
      <c r="AL32" s="58" t="s">
        <v>61</v>
      </c>
      <c r="AM32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32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2" s="79">
        <f>Table5101345411[[#This Row],[اهلاك المستبعد
في 2018]]+Table5101345411[[#This Row],[مجمع إهلاك المستبعد 
01-01-2018]]</f>
        <v>0</v>
      </c>
      <c r="AP32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2" s="220"/>
      <c r="AR32" s="78">
        <f>IF(OR(Table5101345411[[#This Row],[تاريخ الشراء-الاستلام]]="",Table5101345411[[#This Row],[الإجمالي]]="",Table5101345411[[#This Row],[العمر الافتراضي]]=""),"",IF(((T32+AM32)-Table5101345411[[#This Row],[مجمع إهلاك المستبعد 
بتاريخ الأستبعاد]])&lt;=0,0,((T32+AM32)-Table5101345411[[#This Row],[مجمع إهلاك المستبعد 
بتاريخ الأستبعاد]])))</f>
        <v>0</v>
      </c>
      <c r="AS32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الشراء-الاستلام]]&gt;DATE(2018,12,31),0,AI32-AR32)))</f>
        <v>0</v>
      </c>
    </row>
    <row r="33" spans="1:45" s="141" customFormat="1" ht="83.25" customHeight="1">
      <c r="A33" s="118">
        <f>IF(B33="","",SUBTOTAL(3,$B$6:B33))</f>
        <v>28</v>
      </c>
      <c r="B33" s="58" t="s">
        <v>635</v>
      </c>
      <c r="C33" s="59" t="s">
        <v>588</v>
      </c>
      <c r="D33" s="65" t="s">
        <v>84</v>
      </c>
      <c r="E33" s="66" t="s">
        <v>636</v>
      </c>
      <c r="F33" s="223" t="s">
        <v>637</v>
      </c>
      <c r="G33" s="223"/>
      <c r="H33" s="58" t="s">
        <v>57</v>
      </c>
      <c r="I33" s="58" t="s">
        <v>69</v>
      </c>
      <c r="J33" s="58" t="s">
        <v>64</v>
      </c>
      <c r="K33" s="58"/>
      <c r="L33" s="221">
        <v>8277</v>
      </c>
      <c r="M33" s="77">
        <v>43466</v>
      </c>
      <c r="N33" s="77" t="s">
        <v>588</v>
      </c>
      <c r="O33" s="150"/>
      <c r="P33" s="122">
        <v>1</v>
      </c>
      <c r="Q33" s="123"/>
      <c r="R33" s="130">
        <v>0</v>
      </c>
      <c r="S33" s="130">
        <f t="shared" si="1"/>
        <v>0</v>
      </c>
      <c r="T33" s="130"/>
      <c r="U33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الشراء-الاستلام]]&lt;DATE(2018,1,1),S33-T33,0))</f>
        <v>0</v>
      </c>
      <c r="V33" s="169"/>
      <c r="W33" s="116"/>
      <c r="X33" s="116"/>
      <c r="Y33" s="117">
        <f>Table5101345411[[#This Row],[عدد الإضافات]]*Table5101345411[[#This Row],[سعر الحبة المضافة]]</f>
        <v>0</v>
      </c>
      <c r="Z33" s="101"/>
      <c r="AA33" s="102"/>
      <c r="AB33" s="103"/>
      <c r="AC33" s="103"/>
      <c r="AD33" s="103"/>
      <c r="AE33" s="103"/>
      <c r="AF33" s="103">
        <f>Table5101345411[[#This Row],[العدد]]*Table5101345411[[#This Row],[قيمة الشراء]]</f>
        <v>0</v>
      </c>
      <c r="AG33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3" s="190">
        <f>Table5101345411[[#This Row],[الكمية]]+Table5101345411[[#This Row],[عدد الإضافات]]-Table5101345411[[#This Row],[العدد]]</f>
        <v>1</v>
      </c>
      <c r="AI33" s="78">
        <f>Table5101345411[[#This Row],[الإجمالي]]+Table5101345411[[#This Row],[إجمالي الإضافات]]-Table5101345411[[#This Row],[إجمالي المستبعد]]</f>
        <v>0</v>
      </c>
      <c r="AJ33" s="120">
        <v>0.15</v>
      </c>
      <c r="AK33" s="219"/>
      <c r="AL33" s="58" t="s">
        <v>61</v>
      </c>
      <c r="AM33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33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3" s="79">
        <f>Table5101345411[[#This Row],[اهلاك المستبعد
في 2018]]+Table5101345411[[#This Row],[مجمع إهلاك المستبعد 
01-01-2018]]</f>
        <v>0</v>
      </c>
      <c r="AP33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3" s="220"/>
      <c r="AR33" s="78">
        <f>IF(OR(Table5101345411[[#This Row],[تاريخ الشراء-الاستلام]]="",Table5101345411[[#This Row],[الإجمالي]]="",Table5101345411[[#This Row],[العمر الافتراضي]]=""),"",IF(((T33+AM33)-Table5101345411[[#This Row],[مجمع إهلاك المستبعد 
بتاريخ الأستبعاد]])&lt;=0,0,((T33+AM33)-Table5101345411[[#This Row],[مجمع إهلاك المستبعد 
بتاريخ الأستبعاد]])))</f>
        <v>0</v>
      </c>
      <c r="AS33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الشراء-الاستلام]]&gt;DATE(2018,12,31),0,AI33-AR33)))</f>
        <v>0</v>
      </c>
    </row>
    <row r="34" spans="1:45" s="141" customFormat="1" ht="83.25" customHeight="1">
      <c r="A34" s="118">
        <f>IF(B34="","",SUBTOTAL(3,$B$6:B34))</f>
        <v>29</v>
      </c>
      <c r="B34" s="58" t="s">
        <v>587</v>
      </c>
      <c r="C34" s="59" t="s">
        <v>588</v>
      </c>
      <c r="D34" s="65" t="s">
        <v>84</v>
      </c>
      <c r="E34" s="66" t="s">
        <v>207</v>
      </c>
      <c r="F34" s="223" t="s">
        <v>607</v>
      </c>
      <c r="G34" s="223"/>
      <c r="H34" s="58" t="s">
        <v>57</v>
      </c>
      <c r="I34" s="58" t="s">
        <v>619</v>
      </c>
      <c r="J34" s="58" t="s">
        <v>64</v>
      </c>
      <c r="K34" s="58"/>
      <c r="L34" s="221" t="s">
        <v>590</v>
      </c>
      <c r="M34" s="77">
        <v>43466</v>
      </c>
      <c r="N34" s="77" t="s">
        <v>588</v>
      </c>
      <c r="O34" s="150"/>
      <c r="P34" s="122">
        <v>1</v>
      </c>
      <c r="Q34" s="123"/>
      <c r="R34" s="130">
        <v>0</v>
      </c>
      <c r="S34" s="130">
        <f t="shared" si="1"/>
        <v>0</v>
      </c>
      <c r="T34" s="130"/>
      <c r="U34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الشراء-الاستلام]]&lt;DATE(2018,1,1),S34-T34,0))</f>
        <v>0</v>
      </c>
      <c r="V34" s="169"/>
      <c r="W34" s="116"/>
      <c r="X34" s="116"/>
      <c r="Y34" s="117">
        <f>Table5101345411[[#This Row],[عدد الإضافات]]*Table5101345411[[#This Row],[سعر الحبة المضافة]]</f>
        <v>0</v>
      </c>
      <c r="Z34" s="101"/>
      <c r="AA34" s="102"/>
      <c r="AB34" s="103"/>
      <c r="AC34" s="103"/>
      <c r="AD34" s="103"/>
      <c r="AE34" s="103"/>
      <c r="AF34" s="103">
        <f>Table5101345411[[#This Row],[العدد]]*Table5101345411[[#This Row],[قيمة الشراء]]</f>
        <v>0</v>
      </c>
      <c r="AG34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4" s="190">
        <f>Table5101345411[[#This Row],[الكمية]]+Table5101345411[[#This Row],[عدد الإضافات]]-Table5101345411[[#This Row],[العدد]]</f>
        <v>1</v>
      </c>
      <c r="AI34" s="78">
        <f>Table5101345411[[#This Row],[الإجمالي]]+Table5101345411[[#This Row],[إجمالي الإضافات]]-Table5101345411[[#This Row],[إجمالي المستبعد]]</f>
        <v>0</v>
      </c>
      <c r="AJ34" s="120">
        <v>0.15</v>
      </c>
      <c r="AK34" s="219"/>
      <c r="AL34" s="58" t="s">
        <v>61</v>
      </c>
      <c r="AM34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34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4" s="79">
        <f>Table5101345411[[#This Row],[اهلاك المستبعد
في 2018]]+Table5101345411[[#This Row],[مجمع إهلاك المستبعد 
01-01-2018]]</f>
        <v>0</v>
      </c>
      <c r="AP34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4" s="220"/>
      <c r="AR34" s="78">
        <f>IF(OR(Table5101345411[[#This Row],[تاريخ الشراء-الاستلام]]="",Table5101345411[[#This Row],[الإجمالي]]="",Table5101345411[[#This Row],[العمر الافتراضي]]=""),"",IF(((T34+AM34)-Table5101345411[[#This Row],[مجمع إهلاك المستبعد 
بتاريخ الأستبعاد]])&lt;=0,0,((T34+AM34)-Table5101345411[[#This Row],[مجمع إهلاك المستبعد 
بتاريخ الأستبعاد]])))</f>
        <v>0</v>
      </c>
      <c r="AS34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الشراء-الاستلام]]&gt;DATE(2018,12,31),0,AI34-AR34)))</f>
        <v>0</v>
      </c>
    </row>
    <row r="35" spans="1:45" s="141" customFormat="1" ht="83.25" customHeight="1">
      <c r="A35" s="118">
        <f>IF(B35="","",SUBTOTAL(3,$B$6:B35))</f>
        <v>30</v>
      </c>
      <c r="B35" s="58" t="s">
        <v>641</v>
      </c>
      <c r="C35" s="59" t="s">
        <v>588</v>
      </c>
      <c r="D35" s="65" t="s">
        <v>84</v>
      </c>
      <c r="E35" s="59" t="s">
        <v>642</v>
      </c>
      <c r="F35" s="226" t="s">
        <v>645</v>
      </c>
      <c r="G35" s="226"/>
      <c r="H35" s="58" t="s">
        <v>57</v>
      </c>
      <c r="I35" s="58" t="s">
        <v>619</v>
      </c>
      <c r="J35" s="58" t="s">
        <v>64</v>
      </c>
      <c r="K35" s="58"/>
      <c r="L35" s="221" t="s">
        <v>646</v>
      </c>
      <c r="M35" s="77">
        <v>43466</v>
      </c>
      <c r="N35" s="77" t="s">
        <v>588</v>
      </c>
      <c r="O35" s="150"/>
      <c r="P35" s="122">
        <v>1</v>
      </c>
      <c r="Q35" s="123"/>
      <c r="R35" s="130"/>
      <c r="S35" s="130">
        <f t="shared" si="1"/>
        <v>0</v>
      </c>
      <c r="T35" s="130"/>
      <c r="U35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الشراء-الاستلام]]&lt;DATE(2018,1,1),S35-T35,0))</f>
        <v>0</v>
      </c>
      <c r="V35" s="169"/>
      <c r="W35" s="116"/>
      <c r="X35" s="116"/>
      <c r="Y35" s="117">
        <f>Table5101345411[[#This Row],[عدد الإضافات]]*Table5101345411[[#This Row],[سعر الحبة المضافة]]</f>
        <v>0</v>
      </c>
      <c r="Z35" s="101"/>
      <c r="AA35" s="102"/>
      <c r="AB35" s="103"/>
      <c r="AC35" s="103"/>
      <c r="AD35" s="103"/>
      <c r="AE35" s="103"/>
      <c r="AF35" s="103">
        <f>Table5101345411[[#This Row],[العدد]]*Table5101345411[[#This Row],[قيمة الشراء]]</f>
        <v>0</v>
      </c>
      <c r="AG35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5" s="190">
        <f>Table5101345411[[#This Row],[الكمية]]+Table5101345411[[#This Row],[عدد الإضافات]]-Table5101345411[[#This Row],[العدد]]</f>
        <v>1</v>
      </c>
      <c r="AI35" s="78">
        <f>Table5101345411[[#This Row],[الإجمالي]]+Table5101345411[[#This Row],[إجمالي الإضافات]]-Table5101345411[[#This Row],[إجمالي المستبعد]]</f>
        <v>0</v>
      </c>
      <c r="AJ35" s="120">
        <v>0.15</v>
      </c>
      <c r="AK35" s="219"/>
      <c r="AL35" s="58"/>
      <c r="AM35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35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5" s="79">
        <f>Table5101345411[[#This Row],[اهلاك المستبعد
في 2018]]+Table5101345411[[#This Row],[مجمع إهلاك المستبعد 
01-01-2018]]</f>
        <v>0</v>
      </c>
      <c r="AP35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5" s="220"/>
      <c r="AR35" s="78">
        <f>IF(OR(Table5101345411[[#This Row],[تاريخ الشراء-الاستلام]]="",Table5101345411[[#This Row],[الإجمالي]]="",Table5101345411[[#This Row],[العمر الافتراضي]]=""),"",IF(((T35+AM35)-Table5101345411[[#This Row],[مجمع إهلاك المستبعد 
بتاريخ الأستبعاد]])&lt;=0,0,((T35+AM35)-Table5101345411[[#This Row],[مجمع إهلاك المستبعد 
بتاريخ الأستبعاد]])))</f>
        <v>0</v>
      </c>
      <c r="AS35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الشراء-الاستلام]]&gt;DATE(2018,12,31),0,AI35-AR35)))</f>
        <v>0</v>
      </c>
    </row>
    <row r="36" spans="1:45" s="141" customFormat="1" ht="83.25" customHeight="1">
      <c r="A36" s="118">
        <f>IF(B36="","",SUBTOTAL(3,$B$6:B36))</f>
        <v>31</v>
      </c>
      <c r="B36" s="58" t="s">
        <v>641</v>
      </c>
      <c r="C36" s="59" t="s">
        <v>588</v>
      </c>
      <c r="D36" s="65" t="s">
        <v>84</v>
      </c>
      <c r="E36" s="59" t="s">
        <v>642</v>
      </c>
      <c r="F36" s="226" t="s">
        <v>643</v>
      </c>
      <c r="G36" s="226"/>
      <c r="H36" s="58" t="s">
        <v>57</v>
      </c>
      <c r="I36" s="58" t="s">
        <v>619</v>
      </c>
      <c r="J36" s="58" t="s">
        <v>64</v>
      </c>
      <c r="K36" s="58"/>
      <c r="L36" s="221" t="s">
        <v>644</v>
      </c>
      <c r="M36" s="77">
        <v>43466</v>
      </c>
      <c r="N36" s="77" t="s">
        <v>588</v>
      </c>
      <c r="O36" s="150"/>
      <c r="P36" s="122">
        <v>1</v>
      </c>
      <c r="Q36" s="123"/>
      <c r="R36" s="130"/>
      <c r="S36" s="130">
        <f t="shared" si="1"/>
        <v>0</v>
      </c>
      <c r="T36" s="130"/>
      <c r="U36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الشراء-الاستلام]]&lt;DATE(2018,1,1),S36-T36,0))</f>
        <v>0</v>
      </c>
      <c r="V36" s="169"/>
      <c r="W36" s="116"/>
      <c r="X36" s="116"/>
      <c r="Y36" s="117">
        <f>Table5101345411[[#This Row],[عدد الإضافات]]*Table5101345411[[#This Row],[سعر الحبة المضافة]]</f>
        <v>0</v>
      </c>
      <c r="Z36" s="101"/>
      <c r="AA36" s="102"/>
      <c r="AB36" s="103"/>
      <c r="AC36" s="103"/>
      <c r="AD36" s="103"/>
      <c r="AE36" s="103"/>
      <c r="AF36" s="103">
        <f>Table5101345411[[#This Row],[العدد]]*Table5101345411[[#This Row],[قيمة الشراء]]</f>
        <v>0</v>
      </c>
      <c r="AG36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6" s="190">
        <f>Table5101345411[[#This Row],[الكمية]]+Table5101345411[[#This Row],[عدد الإضافات]]-Table5101345411[[#This Row],[العدد]]</f>
        <v>1</v>
      </c>
      <c r="AI36" s="78">
        <f>Table5101345411[[#This Row],[الإجمالي]]+Table5101345411[[#This Row],[إجمالي الإضافات]]-Table5101345411[[#This Row],[إجمالي المستبعد]]</f>
        <v>0</v>
      </c>
      <c r="AJ36" s="120">
        <v>0.15</v>
      </c>
      <c r="AK36" s="219"/>
      <c r="AL36" s="58"/>
      <c r="AM36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36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6" s="79">
        <f>Table5101345411[[#This Row],[اهلاك المستبعد
في 2018]]+Table5101345411[[#This Row],[مجمع إهلاك المستبعد 
01-01-2018]]</f>
        <v>0</v>
      </c>
      <c r="AP36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6" s="220"/>
      <c r="AR36" s="78">
        <f>IF(OR(Table5101345411[[#This Row],[تاريخ الشراء-الاستلام]]="",Table5101345411[[#This Row],[الإجمالي]]="",Table5101345411[[#This Row],[العمر الافتراضي]]=""),"",IF(((T36+AM36)-Table5101345411[[#This Row],[مجمع إهلاك المستبعد 
بتاريخ الأستبعاد]])&lt;=0,0,((T36+AM36)-Table5101345411[[#This Row],[مجمع إهلاك المستبعد 
بتاريخ الأستبعاد]])))</f>
        <v>0</v>
      </c>
      <c r="AS36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الشراء-الاستلام]]&gt;DATE(2018,12,31),0,AI36-AR36)))</f>
        <v>0</v>
      </c>
    </row>
    <row r="37" spans="1:45" s="141" customFormat="1" ht="83.25" customHeight="1">
      <c r="A37" s="64">
        <f>IF(B37="","",SUBTOTAL(3,$B$6:B37))</f>
        <v>32</v>
      </c>
      <c r="B37" s="65" t="s">
        <v>114</v>
      </c>
      <c r="C37" s="66" t="s">
        <v>115</v>
      </c>
      <c r="D37" s="65" t="s">
        <v>84</v>
      </c>
      <c r="E37" s="66" t="s">
        <v>114</v>
      </c>
      <c r="F37" s="223" t="s">
        <v>114</v>
      </c>
      <c r="G37" s="223"/>
      <c r="H37" s="65"/>
      <c r="I37" s="65"/>
      <c r="J37" s="65" t="s">
        <v>64</v>
      </c>
      <c r="K37" s="65"/>
      <c r="L37" s="72" t="s">
        <v>117</v>
      </c>
      <c r="M37" s="65">
        <v>42005</v>
      </c>
      <c r="N37" s="84"/>
      <c r="O37" s="152"/>
      <c r="P37" s="125">
        <v>1</v>
      </c>
      <c r="Q37" s="126"/>
      <c r="R37" s="127">
        <v>217360</v>
      </c>
      <c r="S37" s="127">
        <f t="shared" si="1"/>
        <v>217360</v>
      </c>
      <c r="T37" s="127">
        <v>130296.89863013699</v>
      </c>
      <c r="U37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الشراء-الاستلام]]&lt;DATE(2018,1,1),S37-T37,0))</f>
        <v>87063.101369863012</v>
      </c>
      <c r="V37" s="167"/>
      <c r="W37" s="111"/>
      <c r="X37" s="111"/>
      <c r="Y37" s="112">
        <f>Table5101345411[[#This Row],[عدد الإضافات]]*Table5101345411[[#This Row],[سعر الحبة المضافة]]</f>
        <v>0</v>
      </c>
      <c r="Z37" s="91"/>
      <c r="AA37" s="92"/>
      <c r="AB37" s="93"/>
      <c r="AC37" s="93"/>
      <c r="AD37" s="93"/>
      <c r="AE37" s="93"/>
      <c r="AF37" s="93">
        <f>Table5101345411[[#This Row],[العدد]]*Table5101345411[[#This Row],[قيمة الشراء]]</f>
        <v>0</v>
      </c>
      <c r="AG37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7" s="187">
        <f>Table5101345411[[#This Row],[الكمية]]+Table5101345411[[#This Row],[عدد الإضافات]]-Table5101345411[[#This Row],[العدد]]</f>
        <v>1</v>
      </c>
      <c r="AI37" s="68">
        <f>Table5101345411[[#This Row],[الإجمالي]]+Table5101345411[[#This Row],[إجمالي الإضافات]]-Table5101345411[[#This Row],[إجمالي المستبعد]]</f>
        <v>217360</v>
      </c>
      <c r="AJ37" s="71">
        <v>0.2</v>
      </c>
      <c r="AK37" s="188"/>
      <c r="AL37" s="108" t="s">
        <v>61</v>
      </c>
      <c r="AM37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43472</v>
      </c>
      <c r="AN37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7" s="70">
        <f>Table5101345411[[#This Row],[اهلاك المستبعد
في 2018]]+Table5101345411[[#This Row],[مجمع إهلاك المستبعد 
01-01-2018]]</f>
        <v>0</v>
      </c>
      <c r="AP37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7" s="200"/>
      <c r="AR37" s="68">
        <f>IF(OR(Table5101345411[[#This Row],[تاريخ الشراء-الاستلام]]="",Table5101345411[[#This Row],[الإجمالي]]="",Table5101345411[[#This Row],[العمر الافتراضي]]=""),"",IF(((T37+AM37)-Table5101345411[[#This Row],[مجمع إهلاك المستبعد 
بتاريخ الأستبعاد]])&lt;=0,0,((T37+AM37)-Table5101345411[[#This Row],[مجمع إهلاك المستبعد 
بتاريخ الأستبعاد]])))</f>
        <v>173768.89863013697</v>
      </c>
      <c r="AS37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الشراء-الاستلام]]&gt;DATE(2018,12,31),0,AI37-AR37)))</f>
        <v>43591.101369863027</v>
      </c>
    </row>
    <row r="38" spans="1:45" s="141" customFormat="1" ht="83.25" customHeight="1">
      <c r="A38" s="64">
        <f>IF(B38="","",SUBTOTAL(3,$B$6:B38))</f>
        <v>33</v>
      </c>
      <c r="B38" s="65" t="s">
        <v>62</v>
      </c>
      <c r="C38" s="66" t="s">
        <v>54</v>
      </c>
      <c r="D38" s="65" t="s">
        <v>522</v>
      </c>
      <c r="E38" s="66" t="s">
        <v>523</v>
      </c>
      <c r="F38" s="223" t="s">
        <v>523</v>
      </c>
      <c r="G38" s="223"/>
      <c r="H38" s="65" t="s">
        <v>93</v>
      </c>
      <c r="I38" s="65"/>
      <c r="J38" s="65" t="s">
        <v>64</v>
      </c>
      <c r="K38" s="65"/>
      <c r="L38" s="67"/>
      <c r="M38" s="65">
        <v>42005</v>
      </c>
      <c r="N38" s="84"/>
      <c r="O38" s="152"/>
      <c r="P38" s="125">
        <v>34</v>
      </c>
      <c r="Q38" s="126"/>
      <c r="R38" s="127">
        <v>650</v>
      </c>
      <c r="S38" s="127">
        <f t="shared" si="1"/>
        <v>22100</v>
      </c>
      <c r="T38" s="127">
        <v>8833.9452054794529</v>
      </c>
      <c r="U38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الشراء-الاستلام]]&lt;DATE(2018,1,1),S38-T38,0))</f>
        <v>13266.054794520547</v>
      </c>
      <c r="V38" s="167"/>
      <c r="W38" s="111"/>
      <c r="X38" s="111"/>
      <c r="Y38" s="112">
        <f>Table5101345411[[#This Row],[عدد الإضافات]]*Table5101345411[[#This Row],[سعر الحبة المضافة]]</f>
        <v>0</v>
      </c>
      <c r="Z38" s="91"/>
      <c r="AA38" s="92"/>
      <c r="AB38" s="93"/>
      <c r="AC38" s="93"/>
      <c r="AD38" s="93"/>
      <c r="AE38" s="93"/>
      <c r="AF38" s="93">
        <f>Table5101345411[[#This Row],[العدد]]*Table5101345411[[#This Row],[قيمة الشراء]]</f>
        <v>0</v>
      </c>
      <c r="AG38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8" s="187">
        <f>Table5101345411[[#This Row],[الكمية]]+Table5101345411[[#This Row],[عدد الإضافات]]-Table5101345411[[#This Row],[العدد]]</f>
        <v>34</v>
      </c>
      <c r="AI38" s="68">
        <f>Table5101345411[[#This Row],[الإجمالي]]+Table5101345411[[#This Row],[إجمالي الإضافات]]-Table5101345411[[#This Row],[إجمالي المستبعد]]</f>
        <v>22100</v>
      </c>
      <c r="AJ38" s="69">
        <v>0.125</v>
      </c>
      <c r="AK38" s="188"/>
      <c r="AL38" s="108" t="s">
        <v>61</v>
      </c>
      <c r="AM38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2762.5</v>
      </c>
      <c r="AN38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8" s="70">
        <f>Table5101345411[[#This Row],[اهلاك المستبعد
في 2018]]+Table5101345411[[#This Row],[مجمع إهلاك المستبعد 
01-01-2018]]</f>
        <v>0</v>
      </c>
      <c r="AP38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8" s="200"/>
      <c r="AR38" s="68">
        <f>IF(OR(Table5101345411[[#This Row],[تاريخ الشراء-الاستلام]]="",Table5101345411[[#This Row],[الإجمالي]]="",Table5101345411[[#This Row],[العمر الافتراضي]]=""),"",IF(((T38+AM38)-Table5101345411[[#This Row],[مجمع إهلاك المستبعد 
بتاريخ الأستبعاد]])&lt;=0,0,((T38+AM38)-Table5101345411[[#This Row],[مجمع إهلاك المستبعد 
بتاريخ الأستبعاد]])))</f>
        <v>11596.445205479453</v>
      </c>
      <c r="AS38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الشراء-الاستلام]]&gt;DATE(2018,12,31),0,AI38-AR38)))</f>
        <v>10503.554794520547</v>
      </c>
    </row>
    <row r="39" spans="1:45" s="141" customFormat="1" ht="83.25" customHeight="1">
      <c r="A39" s="64">
        <f>IF(B39="","",SUBTOTAL(3,$B$6:B39))</f>
        <v>34</v>
      </c>
      <c r="B39" s="65" t="s">
        <v>118</v>
      </c>
      <c r="C39" s="66" t="s">
        <v>54</v>
      </c>
      <c r="D39" s="65" t="s">
        <v>522</v>
      </c>
      <c r="E39" s="66" t="s">
        <v>524</v>
      </c>
      <c r="F39" s="223" t="s">
        <v>524</v>
      </c>
      <c r="G39" s="223"/>
      <c r="H39" s="65" t="s">
        <v>93</v>
      </c>
      <c r="I39" s="65"/>
      <c r="J39" s="65" t="s">
        <v>64</v>
      </c>
      <c r="K39" s="65"/>
      <c r="L39" s="67"/>
      <c r="M39" s="65">
        <v>42005</v>
      </c>
      <c r="N39" s="84"/>
      <c r="O39" s="152"/>
      <c r="P39" s="125">
        <v>71</v>
      </c>
      <c r="Q39" s="126"/>
      <c r="R39" s="127">
        <v>800</v>
      </c>
      <c r="S39" s="127">
        <f t="shared" si="1"/>
        <v>56800</v>
      </c>
      <c r="T39" s="127">
        <v>22704.438356164384</v>
      </c>
      <c r="U39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الشراء-الاستلام]]&lt;DATE(2018,1,1),S39-T39,0))</f>
        <v>34095.561643835616</v>
      </c>
      <c r="V39" s="167"/>
      <c r="W39" s="111"/>
      <c r="X39" s="111"/>
      <c r="Y39" s="112">
        <f>Table5101345411[[#This Row],[عدد الإضافات]]*Table5101345411[[#This Row],[سعر الحبة المضافة]]</f>
        <v>0</v>
      </c>
      <c r="Z39" s="91"/>
      <c r="AA39" s="92"/>
      <c r="AB39" s="93"/>
      <c r="AC39" s="93"/>
      <c r="AD39" s="93"/>
      <c r="AE39" s="93"/>
      <c r="AF39" s="93">
        <f>Table5101345411[[#This Row],[العدد]]*Table5101345411[[#This Row],[قيمة الشراء]]</f>
        <v>0</v>
      </c>
      <c r="AG39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9" s="187">
        <f>Table5101345411[[#This Row],[الكمية]]+Table5101345411[[#This Row],[عدد الإضافات]]-Table5101345411[[#This Row],[العدد]]</f>
        <v>71</v>
      </c>
      <c r="AI39" s="68">
        <f>Table5101345411[[#This Row],[الإجمالي]]+Table5101345411[[#This Row],[إجمالي الإضافات]]-Table5101345411[[#This Row],[إجمالي المستبعد]]</f>
        <v>56800</v>
      </c>
      <c r="AJ39" s="69">
        <v>0.125</v>
      </c>
      <c r="AK39" s="188"/>
      <c r="AL39" s="108" t="s">
        <v>61</v>
      </c>
      <c r="AM39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7100</v>
      </c>
      <c r="AN39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9" s="70">
        <f>Table5101345411[[#This Row],[اهلاك المستبعد
في 2018]]+Table5101345411[[#This Row],[مجمع إهلاك المستبعد 
01-01-2018]]</f>
        <v>0</v>
      </c>
      <c r="AP39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9" s="200"/>
      <c r="AR39" s="68">
        <f>IF(OR(Table5101345411[[#This Row],[تاريخ الشراء-الاستلام]]="",Table5101345411[[#This Row],[الإجمالي]]="",Table5101345411[[#This Row],[العمر الافتراضي]]=""),"",IF(((T39+AM39)-Table5101345411[[#This Row],[مجمع إهلاك المستبعد 
بتاريخ الأستبعاد]])&lt;=0,0,((T39+AM39)-Table5101345411[[#This Row],[مجمع إهلاك المستبعد 
بتاريخ الأستبعاد]])))</f>
        <v>29804.438356164384</v>
      </c>
      <c r="AS39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الشراء-الاستلام]]&gt;DATE(2018,12,31),0,AI39-AR39)))</f>
        <v>26995.561643835616</v>
      </c>
    </row>
    <row r="40" spans="1:45" s="141" customFormat="1" ht="83.25" customHeight="1">
      <c r="A40" s="64">
        <f>IF(B40="","",SUBTOTAL(3,$B$6:B40))</f>
        <v>35</v>
      </c>
      <c r="B40" s="65" t="s">
        <v>119</v>
      </c>
      <c r="C40" s="66" t="s">
        <v>54</v>
      </c>
      <c r="D40" s="65" t="s">
        <v>522</v>
      </c>
      <c r="E40" s="66" t="s">
        <v>120</v>
      </c>
      <c r="F40" s="223" t="s">
        <v>120</v>
      </c>
      <c r="G40" s="223"/>
      <c r="H40" s="65" t="s">
        <v>93</v>
      </c>
      <c r="I40" s="65"/>
      <c r="J40" s="65" t="s">
        <v>64</v>
      </c>
      <c r="K40" s="65"/>
      <c r="L40" s="67"/>
      <c r="M40" s="65">
        <v>42005</v>
      </c>
      <c r="N40" s="84"/>
      <c r="O40" s="152"/>
      <c r="P40" s="125">
        <v>26</v>
      </c>
      <c r="Q40" s="126"/>
      <c r="R40" s="127">
        <v>1200</v>
      </c>
      <c r="S40" s="127">
        <f t="shared" si="1"/>
        <v>31200</v>
      </c>
      <c r="T40" s="127">
        <v>12471.452054794521</v>
      </c>
      <c r="U40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الشراء-الاستلام]]&lt;DATE(2018,1,1),S40-T40,0))</f>
        <v>18728.547945205479</v>
      </c>
      <c r="V40" s="167"/>
      <c r="W40" s="111"/>
      <c r="X40" s="111"/>
      <c r="Y40" s="112">
        <f>Table5101345411[[#This Row],[عدد الإضافات]]*Table5101345411[[#This Row],[سعر الحبة المضافة]]</f>
        <v>0</v>
      </c>
      <c r="Z40" s="91"/>
      <c r="AA40" s="92"/>
      <c r="AB40" s="93"/>
      <c r="AC40" s="93"/>
      <c r="AD40" s="93"/>
      <c r="AE40" s="93"/>
      <c r="AF40" s="93">
        <f>Table5101345411[[#This Row],[العدد]]*Table5101345411[[#This Row],[قيمة الشراء]]</f>
        <v>0</v>
      </c>
      <c r="AG40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0" s="187">
        <f>Table5101345411[[#This Row],[الكمية]]+Table5101345411[[#This Row],[عدد الإضافات]]-Table5101345411[[#This Row],[العدد]]</f>
        <v>26</v>
      </c>
      <c r="AI40" s="68">
        <f>Table5101345411[[#This Row],[الإجمالي]]+Table5101345411[[#This Row],[إجمالي الإضافات]]-Table5101345411[[#This Row],[إجمالي المستبعد]]</f>
        <v>31200</v>
      </c>
      <c r="AJ40" s="69">
        <v>0.125</v>
      </c>
      <c r="AK40" s="188"/>
      <c r="AL40" s="108" t="s">
        <v>61</v>
      </c>
      <c r="AM40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3900</v>
      </c>
      <c r="AN40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0" s="70">
        <f>Table5101345411[[#This Row],[اهلاك المستبعد
في 2018]]+Table5101345411[[#This Row],[مجمع إهلاك المستبعد 
01-01-2018]]</f>
        <v>0</v>
      </c>
      <c r="AP40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0" s="200"/>
      <c r="AR40" s="68">
        <f>IF(OR(Table5101345411[[#This Row],[تاريخ الشراء-الاستلام]]="",Table5101345411[[#This Row],[الإجمالي]]="",Table5101345411[[#This Row],[العمر الافتراضي]]=""),"",IF(((T40+AM40)-Table5101345411[[#This Row],[مجمع إهلاك المستبعد 
بتاريخ الأستبعاد]])&lt;=0,0,((T40+AM40)-Table5101345411[[#This Row],[مجمع إهلاك المستبعد 
بتاريخ الأستبعاد]])))</f>
        <v>16371.452054794521</v>
      </c>
      <c r="AS40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الشراء-الاستلام]]&gt;DATE(2018,12,31),0,AI40-AR40)))</f>
        <v>14828.547945205479</v>
      </c>
    </row>
    <row r="41" spans="1:45" s="141" customFormat="1" ht="83.25" customHeight="1">
      <c r="A41" s="57">
        <f>IF(B41="","",SUBTOTAL(3,$B$6:B41))</f>
        <v>36</v>
      </c>
      <c r="B41" s="58" t="s">
        <v>121</v>
      </c>
      <c r="C41" s="59" t="s">
        <v>54</v>
      </c>
      <c r="D41" s="59" t="s">
        <v>68</v>
      </c>
      <c r="E41" s="59" t="s">
        <v>796</v>
      </c>
      <c r="F41" s="226" t="s">
        <v>692</v>
      </c>
      <c r="G41" s="226" t="s">
        <v>723</v>
      </c>
      <c r="H41" s="58" t="s">
        <v>111</v>
      </c>
      <c r="I41" s="58" t="s">
        <v>69</v>
      </c>
      <c r="J41" s="58" t="s">
        <v>64</v>
      </c>
      <c r="K41" s="58"/>
      <c r="L41" s="60" t="s">
        <v>231</v>
      </c>
      <c r="M41" s="77">
        <v>42618.2</v>
      </c>
      <c r="N41" s="87" t="s">
        <v>232</v>
      </c>
      <c r="O41" s="150" t="s">
        <v>233</v>
      </c>
      <c r="P41" s="122">
        <v>1</v>
      </c>
      <c r="Q41" s="123"/>
      <c r="R41" s="130">
        <v>66000</v>
      </c>
      <c r="S41" s="130">
        <f t="shared" si="1"/>
        <v>66000</v>
      </c>
      <c r="T41" s="130">
        <f>52272.0000000003/4</f>
        <v>13068.000000000075</v>
      </c>
      <c r="U41" s="158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الشراء-الاستلام]]&lt;DATE(2018,1,1),S41-T41,0))</f>
        <v>52931.999999999927</v>
      </c>
      <c r="V41" s="169"/>
      <c r="W41" s="116"/>
      <c r="X41" s="116"/>
      <c r="Y41" s="117">
        <f>Table5101345411[[#This Row],[عدد الإضافات]]*Table5101345411[[#This Row],[سعر الحبة المضافة]]</f>
        <v>0</v>
      </c>
      <c r="Z41" s="101"/>
      <c r="AA41" s="102"/>
      <c r="AB41" s="103"/>
      <c r="AC41" s="103"/>
      <c r="AD41" s="103"/>
      <c r="AE41" s="103"/>
      <c r="AF41" s="103">
        <f>Table5101345411[[#This Row],[العدد]]*Table5101345411[[#This Row],[قيمة الشراء]]</f>
        <v>0</v>
      </c>
      <c r="AG41" s="17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1" s="190">
        <f>Table5101345411[[#This Row],[الكمية]]+Table5101345411[[#This Row],[عدد الإضافات]]-Table5101345411[[#This Row],[العدد]]</f>
        <v>1</v>
      </c>
      <c r="AI41" s="78">
        <f>Table5101345411[[#This Row],[الإجمالي]]+Table5101345411[[#This Row],[إجمالي الإضافات]]-Table5101345411[[#This Row],[إجمالي المستبعد]]</f>
        <v>66000</v>
      </c>
      <c r="AJ41" s="120">
        <v>0.15</v>
      </c>
      <c r="AK41" s="186"/>
      <c r="AL41" s="107" t="s">
        <v>61</v>
      </c>
      <c r="AM41" s="197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9900</v>
      </c>
      <c r="AN41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1" s="79">
        <f>Table5101345411[[#This Row],[اهلاك المستبعد
في 2018]]+Table5101345411[[#This Row],[مجمع إهلاك المستبعد 
01-01-2018]]</f>
        <v>0</v>
      </c>
      <c r="AP41" s="213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1" s="202"/>
      <c r="AR41" s="78">
        <f>IF(OR(Table5101345411[[#This Row],[تاريخ الشراء-الاستلام]]="",Table5101345411[[#This Row],[الإجمالي]]="",Table5101345411[[#This Row],[العمر الافتراضي]]=""),"",IF(((T41+AM41)-Table5101345411[[#This Row],[مجمع إهلاك المستبعد 
بتاريخ الأستبعاد]])&lt;=0,0,((T41+AM41)-Table5101345411[[#This Row],[مجمع إهلاك المستبعد 
بتاريخ الأستبعاد]])))</f>
        <v>22968.000000000073</v>
      </c>
      <c r="AS41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الشراء-الاستلام]]&gt;DATE(2018,12,31),0,AI41-AR41)))</f>
        <v>43031.999999999927</v>
      </c>
    </row>
    <row r="42" spans="1:45" s="141" customFormat="1" ht="83.25" customHeight="1">
      <c r="A42" s="64">
        <f>IF(B42="","",SUBTOTAL(3,$B$6:B42))</f>
        <v>37</v>
      </c>
      <c r="B42" s="65" t="s">
        <v>124</v>
      </c>
      <c r="C42" s="66" t="s">
        <v>115</v>
      </c>
      <c r="D42" s="65" t="s">
        <v>84</v>
      </c>
      <c r="E42" s="143" t="s">
        <v>610</v>
      </c>
      <c r="F42" s="225" t="s">
        <v>613</v>
      </c>
      <c r="G42" s="225"/>
      <c r="H42" s="65" t="s">
        <v>57</v>
      </c>
      <c r="I42" s="65" t="s">
        <v>69</v>
      </c>
      <c r="J42" s="65" t="s">
        <v>64</v>
      </c>
      <c r="K42" s="65" t="s">
        <v>125</v>
      </c>
      <c r="L42" s="72" t="s">
        <v>126</v>
      </c>
      <c r="M42" s="65">
        <v>42370</v>
      </c>
      <c r="N42" s="84"/>
      <c r="O42" s="154"/>
      <c r="P42" s="125">
        <v>1</v>
      </c>
      <c r="Q42" s="126"/>
      <c r="R42" s="127">
        <v>286752</v>
      </c>
      <c r="S42" s="127">
        <f t="shared" si="1"/>
        <v>286752</v>
      </c>
      <c r="T42" s="127">
        <v>86025.599999999991</v>
      </c>
      <c r="U42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الشراء-الاستلام]]&lt;DATE(2018,1,1),S42-T42,0))</f>
        <v>200726.40000000002</v>
      </c>
      <c r="V42" s="167"/>
      <c r="W42" s="111"/>
      <c r="X42" s="111"/>
      <c r="Y42" s="112">
        <f>Table5101345411[[#This Row],[عدد الإضافات]]*Table5101345411[[#This Row],[سعر الحبة المضافة]]</f>
        <v>0</v>
      </c>
      <c r="Z42" s="94"/>
      <c r="AA42" s="92"/>
      <c r="AB42" s="93"/>
      <c r="AC42" s="93"/>
      <c r="AD42" s="93"/>
      <c r="AE42" s="93"/>
      <c r="AF42" s="93">
        <f>Table5101345411[[#This Row],[العدد]]*Table5101345411[[#This Row],[قيمة الشراء]]</f>
        <v>0</v>
      </c>
      <c r="AG42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2" s="187">
        <f>Table5101345411[[#This Row],[الكمية]]+Table5101345411[[#This Row],[عدد الإضافات]]-Table5101345411[[#This Row],[العدد]]</f>
        <v>1</v>
      </c>
      <c r="AI42" s="68">
        <f>Table5101345411[[#This Row],[الإجمالي]]+Table5101345411[[#This Row],[إجمالي الإضافات]]-Table5101345411[[#This Row],[إجمالي المستبعد]]</f>
        <v>286752</v>
      </c>
      <c r="AJ42" s="71">
        <v>0.15</v>
      </c>
      <c r="AK42" s="188"/>
      <c r="AL42" s="108" t="s">
        <v>61</v>
      </c>
      <c r="AM42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43012.799999999996</v>
      </c>
      <c r="AN42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2" s="70">
        <f>Table5101345411[[#This Row],[اهلاك المستبعد
في 2018]]+Table5101345411[[#This Row],[مجمع إهلاك المستبعد 
01-01-2018]]</f>
        <v>0</v>
      </c>
      <c r="AP42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2" s="200"/>
      <c r="AR42" s="68">
        <f>IF(OR(Table5101345411[[#This Row],[تاريخ الشراء-الاستلام]]="",Table5101345411[[#This Row],[الإجمالي]]="",Table5101345411[[#This Row],[العمر الافتراضي]]=""),"",IF(((T42+AM42)-Table5101345411[[#This Row],[مجمع إهلاك المستبعد 
بتاريخ الأستبعاد]])&lt;=0,0,((T42+AM42)-Table5101345411[[#This Row],[مجمع إهلاك المستبعد 
بتاريخ الأستبعاد]])))</f>
        <v>129038.39999999999</v>
      </c>
      <c r="AS42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الشراء-الاستلام]]&gt;DATE(2018,12,31),0,AI42-AR42)))</f>
        <v>157713.60000000001</v>
      </c>
    </row>
    <row r="43" spans="1:45" s="141" customFormat="1" ht="83.25" customHeight="1">
      <c r="A43" s="64">
        <f>IF(B43="","",SUBTOTAL(3,$B$6:B43))</f>
        <v>38</v>
      </c>
      <c r="B43" s="65" t="s">
        <v>127</v>
      </c>
      <c r="C43" s="66" t="s">
        <v>115</v>
      </c>
      <c r="D43" s="65" t="s">
        <v>84</v>
      </c>
      <c r="E43" s="66" t="s">
        <v>127</v>
      </c>
      <c r="F43" s="223" t="s">
        <v>640</v>
      </c>
      <c r="G43" s="223"/>
      <c r="H43" s="65" t="s">
        <v>57</v>
      </c>
      <c r="I43" s="65" t="s">
        <v>85</v>
      </c>
      <c r="J43" s="65" t="s">
        <v>64</v>
      </c>
      <c r="K43" s="65"/>
      <c r="L43" s="72" t="s">
        <v>128</v>
      </c>
      <c r="M43" s="65">
        <v>39813</v>
      </c>
      <c r="N43" s="84"/>
      <c r="O43" s="154"/>
      <c r="P43" s="125">
        <v>1</v>
      </c>
      <c r="Q43" s="126"/>
      <c r="R43" s="127">
        <v>585741</v>
      </c>
      <c r="S43" s="127">
        <f t="shared" si="1"/>
        <v>585741</v>
      </c>
      <c r="T43" s="127">
        <v>585741</v>
      </c>
      <c r="U43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الشراء-الاستلام]]&lt;DATE(2018,1,1),S43-T43,0))</f>
        <v>0</v>
      </c>
      <c r="V43" s="167"/>
      <c r="W43" s="111"/>
      <c r="X43" s="111"/>
      <c r="Y43" s="112">
        <f>Table5101345411[[#This Row],[عدد الإضافات]]*Table5101345411[[#This Row],[سعر الحبة المضافة]]</f>
        <v>0</v>
      </c>
      <c r="Z43" s="94"/>
      <c r="AA43" s="92"/>
      <c r="AB43" s="93"/>
      <c r="AC43" s="93"/>
      <c r="AD43" s="93"/>
      <c r="AE43" s="93"/>
      <c r="AF43" s="93">
        <f>Table5101345411[[#This Row],[العدد]]*Table5101345411[[#This Row],[قيمة الشراء]]</f>
        <v>0</v>
      </c>
      <c r="AG43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3" s="187">
        <f>Table5101345411[[#This Row],[الكمية]]+Table5101345411[[#This Row],[عدد الإضافات]]-Table5101345411[[#This Row],[العدد]]</f>
        <v>1</v>
      </c>
      <c r="AI43" s="68">
        <f>Table5101345411[[#This Row],[الإجمالي]]+Table5101345411[[#This Row],[إجمالي الإضافات]]-Table5101345411[[#This Row],[إجمالي المستبعد]]</f>
        <v>585741</v>
      </c>
      <c r="AJ43" s="71">
        <v>0.15</v>
      </c>
      <c r="AK43" s="188"/>
      <c r="AL43" s="108"/>
      <c r="AM43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3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3" s="70">
        <f>Table5101345411[[#This Row],[اهلاك المستبعد
في 2018]]+Table5101345411[[#This Row],[مجمع إهلاك المستبعد 
01-01-2018]]</f>
        <v>0</v>
      </c>
      <c r="AP43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3" s="200"/>
      <c r="AR43" s="68">
        <f>IF(OR(Table5101345411[[#This Row],[تاريخ الشراء-الاستلام]]="",Table5101345411[[#This Row],[الإجمالي]]="",Table5101345411[[#This Row],[العمر الافتراضي]]=""),"",IF(((T43+AM43)-Table5101345411[[#This Row],[مجمع إهلاك المستبعد 
بتاريخ الأستبعاد]])&lt;=0,0,((T43+AM43)-Table5101345411[[#This Row],[مجمع إهلاك المستبعد 
بتاريخ الأستبعاد]])))</f>
        <v>585741</v>
      </c>
      <c r="AS43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الشراء-الاستلام]]&gt;DATE(2018,12,31),0,AI43-AR43)))</f>
        <v>0</v>
      </c>
    </row>
    <row r="44" spans="1:45" s="141" customFormat="1" ht="83.25" customHeight="1">
      <c r="A44" s="64">
        <f>IF(B44="","",SUBTOTAL(3,$B$6:B44))</f>
        <v>39</v>
      </c>
      <c r="B44" s="65" t="s">
        <v>129</v>
      </c>
      <c r="C44" s="66" t="s">
        <v>115</v>
      </c>
      <c r="D44" s="66" t="s">
        <v>80</v>
      </c>
      <c r="E44" s="65" t="s">
        <v>647</v>
      </c>
      <c r="F44" s="224" t="s">
        <v>648</v>
      </c>
      <c r="G44" s="224" t="s">
        <v>832</v>
      </c>
      <c r="H44" s="65"/>
      <c r="I44" s="65"/>
      <c r="J44" s="65" t="s">
        <v>64</v>
      </c>
      <c r="K44" s="65"/>
      <c r="L44" s="72" t="s">
        <v>130</v>
      </c>
      <c r="M44" s="65">
        <v>41707</v>
      </c>
      <c r="N44" s="84"/>
      <c r="O44" s="154"/>
      <c r="P44" s="125">
        <v>1</v>
      </c>
      <c r="Q44" s="126"/>
      <c r="R44" s="127">
        <v>48400</v>
      </c>
      <c r="S44" s="127">
        <f t="shared" si="1"/>
        <v>48400</v>
      </c>
      <c r="T44" s="127">
        <v>27687.452054794521</v>
      </c>
      <c r="U44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الشراء-الاستلام]]&lt;DATE(2018,1,1),S44-T44,0))</f>
        <v>20712.547945205479</v>
      </c>
      <c r="V44" s="167"/>
      <c r="W44" s="111"/>
      <c r="X44" s="111"/>
      <c r="Y44" s="112">
        <f>Table5101345411[[#This Row],[عدد الإضافات]]*Table5101345411[[#This Row],[سعر الحبة المضافة]]</f>
        <v>0</v>
      </c>
      <c r="Z44" s="94"/>
      <c r="AA44" s="92"/>
      <c r="AB44" s="93"/>
      <c r="AC44" s="93"/>
      <c r="AD44" s="93"/>
      <c r="AE44" s="93"/>
      <c r="AF44" s="93">
        <f>Table5101345411[[#This Row],[العدد]]*Table5101345411[[#This Row],[قيمة الشراء]]</f>
        <v>0</v>
      </c>
      <c r="AG44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4" s="187">
        <f>Table5101345411[[#This Row],[الكمية]]+Table5101345411[[#This Row],[عدد الإضافات]]-Table5101345411[[#This Row],[العدد]]</f>
        <v>1</v>
      </c>
      <c r="AI44" s="68">
        <f>Table5101345411[[#This Row],[الإجمالي]]+Table5101345411[[#This Row],[إجمالي الإضافات]]-Table5101345411[[#This Row],[إجمالي المستبعد]]</f>
        <v>48400</v>
      </c>
      <c r="AJ44" s="71">
        <v>0.15</v>
      </c>
      <c r="AK44" s="188"/>
      <c r="AL44" s="108"/>
      <c r="AM44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7260</v>
      </c>
      <c r="AN44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4" s="70">
        <f>Table5101345411[[#This Row],[اهلاك المستبعد
في 2018]]+Table5101345411[[#This Row],[مجمع إهلاك المستبعد 
01-01-2018]]</f>
        <v>0</v>
      </c>
      <c r="AP44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4" s="200"/>
      <c r="AR44" s="68">
        <f>IF(OR(Table5101345411[[#This Row],[تاريخ الشراء-الاستلام]]="",Table5101345411[[#This Row],[الإجمالي]]="",Table5101345411[[#This Row],[العمر الافتراضي]]=""),"",IF(((T44+AM44)-Table5101345411[[#This Row],[مجمع إهلاك المستبعد 
بتاريخ الأستبعاد]])&lt;=0,0,((T44+AM44)-Table5101345411[[#This Row],[مجمع إهلاك المستبعد 
بتاريخ الأستبعاد]])))</f>
        <v>34947.452054794521</v>
      </c>
      <c r="AS44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الشراء-الاستلام]]&gt;DATE(2018,12,31),0,AI44-AR44)))</f>
        <v>13452.547945205479</v>
      </c>
    </row>
    <row r="45" spans="1:45" s="141" customFormat="1" ht="83.25" customHeight="1">
      <c r="A45" s="57">
        <f>IF(B45="","",SUBTOTAL(3,$B$6:B45))</f>
        <v>40</v>
      </c>
      <c r="B45" s="58" t="s">
        <v>121</v>
      </c>
      <c r="C45" s="59" t="s">
        <v>54</v>
      </c>
      <c r="D45" s="59" t="s">
        <v>68</v>
      </c>
      <c r="E45" s="59" t="s">
        <v>796</v>
      </c>
      <c r="F45" s="226" t="s">
        <v>693</v>
      </c>
      <c r="G45" s="226" t="s">
        <v>724</v>
      </c>
      <c r="H45" s="58" t="s">
        <v>111</v>
      </c>
      <c r="I45" s="58" t="s">
        <v>69</v>
      </c>
      <c r="J45" s="58" t="s">
        <v>64</v>
      </c>
      <c r="K45" s="58"/>
      <c r="L45" s="60" t="s">
        <v>231</v>
      </c>
      <c r="M45" s="77">
        <v>42618.2</v>
      </c>
      <c r="N45" s="87" t="s">
        <v>232</v>
      </c>
      <c r="O45" s="150" t="s">
        <v>233</v>
      </c>
      <c r="P45" s="122">
        <v>1</v>
      </c>
      <c r="Q45" s="123"/>
      <c r="R45" s="130">
        <v>66000</v>
      </c>
      <c r="S45" s="130">
        <f t="shared" si="1"/>
        <v>66000</v>
      </c>
      <c r="T45" s="130">
        <f>52272.0000000003/4</f>
        <v>13068.000000000075</v>
      </c>
      <c r="U45" s="158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الشراء-الاستلام]]&lt;DATE(2018,1,1),S45-T45,0))</f>
        <v>52931.999999999927</v>
      </c>
      <c r="V45" s="169"/>
      <c r="W45" s="116"/>
      <c r="X45" s="116"/>
      <c r="Y45" s="117">
        <f>Table5101345411[[#This Row],[عدد الإضافات]]*Table5101345411[[#This Row],[سعر الحبة المضافة]]</f>
        <v>0</v>
      </c>
      <c r="Z45" s="101"/>
      <c r="AA45" s="102"/>
      <c r="AB45" s="103"/>
      <c r="AC45" s="103"/>
      <c r="AD45" s="103"/>
      <c r="AE45" s="103"/>
      <c r="AF45" s="103">
        <f>Table5101345411[[#This Row],[العدد]]*Table5101345411[[#This Row],[قيمة الشراء]]</f>
        <v>0</v>
      </c>
      <c r="AG45" s="17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5" s="190">
        <f>Table5101345411[[#This Row],[الكمية]]+Table5101345411[[#This Row],[عدد الإضافات]]-Table5101345411[[#This Row],[العدد]]</f>
        <v>1</v>
      </c>
      <c r="AI45" s="78">
        <f>Table5101345411[[#This Row],[الإجمالي]]+Table5101345411[[#This Row],[إجمالي الإضافات]]-Table5101345411[[#This Row],[إجمالي المستبعد]]</f>
        <v>66000</v>
      </c>
      <c r="AJ45" s="120">
        <v>0.15</v>
      </c>
      <c r="AK45" s="186"/>
      <c r="AL45" s="107" t="s">
        <v>61</v>
      </c>
      <c r="AM45" s="197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9900</v>
      </c>
      <c r="AN45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5" s="79">
        <f>Table5101345411[[#This Row],[اهلاك المستبعد
في 2018]]+Table5101345411[[#This Row],[مجمع إهلاك المستبعد 
01-01-2018]]</f>
        <v>0</v>
      </c>
      <c r="AP45" s="213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5" s="202"/>
      <c r="AR45" s="78">
        <f>IF(OR(Table5101345411[[#This Row],[تاريخ الشراء-الاستلام]]="",Table5101345411[[#This Row],[الإجمالي]]="",Table5101345411[[#This Row],[العمر الافتراضي]]=""),"",IF(((T45+AM45)-Table5101345411[[#This Row],[مجمع إهلاك المستبعد 
بتاريخ الأستبعاد]])&lt;=0,0,((T45+AM45)-Table5101345411[[#This Row],[مجمع إهلاك المستبعد 
بتاريخ الأستبعاد]])))</f>
        <v>22968.000000000073</v>
      </c>
      <c r="AS45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الشراء-الاستلام]]&gt;DATE(2018,12,31),0,AI45-AR45)))</f>
        <v>43031.999999999927</v>
      </c>
    </row>
    <row r="46" spans="1:45" s="141" customFormat="1" ht="83.25" customHeight="1">
      <c r="A46" s="57">
        <f>IF(B46="","",SUBTOTAL(3,$B$6:B46))</f>
        <v>41</v>
      </c>
      <c r="B46" s="58" t="s">
        <v>121</v>
      </c>
      <c r="C46" s="59" t="s">
        <v>54</v>
      </c>
      <c r="D46" s="59" t="s">
        <v>68</v>
      </c>
      <c r="E46" s="59" t="s">
        <v>796</v>
      </c>
      <c r="F46" s="226" t="s">
        <v>694</v>
      </c>
      <c r="G46" s="226" t="s">
        <v>725</v>
      </c>
      <c r="H46" s="58" t="s">
        <v>111</v>
      </c>
      <c r="I46" s="58" t="s">
        <v>69</v>
      </c>
      <c r="J46" s="58" t="s">
        <v>64</v>
      </c>
      <c r="K46" s="58"/>
      <c r="L46" s="60" t="s">
        <v>231</v>
      </c>
      <c r="M46" s="77">
        <v>42618.2</v>
      </c>
      <c r="N46" s="87" t="s">
        <v>232</v>
      </c>
      <c r="O46" s="150" t="s">
        <v>233</v>
      </c>
      <c r="P46" s="122">
        <v>1</v>
      </c>
      <c r="Q46" s="123"/>
      <c r="R46" s="130">
        <v>66000</v>
      </c>
      <c r="S46" s="130">
        <f t="shared" si="1"/>
        <v>66000</v>
      </c>
      <c r="T46" s="130">
        <f>52272.0000000003/4</f>
        <v>13068.000000000075</v>
      </c>
      <c r="U46" s="158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الشراء-الاستلام]]&lt;DATE(2018,1,1),S46-T46,0))</f>
        <v>52931.999999999927</v>
      </c>
      <c r="V46" s="169"/>
      <c r="W46" s="116"/>
      <c r="X46" s="116"/>
      <c r="Y46" s="117">
        <f>Table5101345411[[#This Row],[عدد الإضافات]]*Table5101345411[[#This Row],[سعر الحبة المضافة]]</f>
        <v>0</v>
      </c>
      <c r="Z46" s="101"/>
      <c r="AA46" s="102"/>
      <c r="AB46" s="103"/>
      <c r="AC46" s="103"/>
      <c r="AD46" s="103"/>
      <c r="AE46" s="103"/>
      <c r="AF46" s="103">
        <f>Table5101345411[[#This Row],[العدد]]*Table5101345411[[#This Row],[قيمة الشراء]]</f>
        <v>0</v>
      </c>
      <c r="AG46" s="17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6" s="190">
        <f>Table5101345411[[#This Row],[الكمية]]+Table5101345411[[#This Row],[عدد الإضافات]]-Table5101345411[[#This Row],[العدد]]</f>
        <v>1</v>
      </c>
      <c r="AI46" s="78">
        <f>Table5101345411[[#This Row],[الإجمالي]]+Table5101345411[[#This Row],[إجمالي الإضافات]]-Table5101345411[[#This Row],[إجمالي المستبعد]]</f>
        <v>66000</v>
      </c>
      <c r="AJ46" s="120">
        <v>0.15</v>
      </c>
      <c r="AK46" s="186"/>
      <c r="AL46" s="107" t="s">
        <v>61</v>
      </c>
      <c r="AM46" s="197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9900</v>
      </c>
      <c r="AN46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6" s="79">
        <f>Table5101345411[[#This Row],[اهلاك المستبعد
في 2018]]+Table5101345411[[#This Row],[مجمع إهلاك المستبعد 
01-01-2018]]</f>
        <v>0</v>
      </c>
      <c r="AP46" s="213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6" s="202"/>
      <c r="AR46" s="78">
        <f>IF(OR(Table5101345411[[#This Row],[تاريخ الشراء-الاستلام]]="",Table5101345411[[#This Row],[الإجمالي]]="",Table5101345411[[#This Row],[العمر الافتراضي]]=""),"",IF(((T46+AM46)-Table5101345411[[#This Row],[مجمع إهلاك المستبعد 
بتاريخ الأستبعاد]])&lt;=0,0,((T46+AM46)-Table5101345411[[#This Row],[مجمع إهلاك المستبعد 
بتاريخ الأستبعاد]])))</f>
        <v>22968.000000000073</v>
      </c>
      <c r="AS46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الشراء-الاستلام]]&gt;DATE(2018,12,31),0,AI46-AR46)))</f>
        <v>43031.999999999927</v>
      </c>
    </row>
    <row r="47" spans="1:45" s="141" customFormat="1" ht="83.25" customHeight="1">
      <c r="A47" s="57">
        <f>IF(B47="","",SUBTOTAL(3,$B$6:B47))</f>
        <v>42</v>
      </c>
      <c r="B47" s="58" t="s">
        <v>121</v>
      </c>
      <c r="C47" s="59" t="s">
        <v>54</v>
      </c>
      <c r="D47" s="59" t="s">
        <v>68</v>
      </c>
      <c r="E47" s="59" t="s">
        <v>796</v>
      </c>
      <c r="F47" s="226" t="s">
        <v>695</v>
      </c>
      <c r="G47" s="226" t="s">
        <v>726</v>
      </c>
      <c r="H47" s="58" t="s">
        <v>111</v>
      </c>
      <c r="I47" s="58" t="s">
        <v>69</v>
      </c>
      <c r="J47" s="58" t="s">
        <v>64</v>
      </c>
      <c r="K47" s="58"/>
      <c r="L47" s="60" t="s">
        <v>231</v>
      </c>
      <c r="M47" s="77">
        <v>42618.2</v>
      </c>
      <c r="N47" s="87" t="s">
        <v>232</v>
      </c>
      <c r="O47" s="150" t="s">
        <v>233</v>
      </c>
      <c r="P47" s="122">
        <v>1</v>
      </c>
      <c r="Q47" s="123"/>
      <c r="R47" s="130">
        <v>66000</v>
      </c>
      <c r="S47" s="130">
        <f t="shared" si="1"/>
        <v>66000</v>
      </c>
      <c r="T47" s="130">
        <f>52272.0000000003/4</f>
        <v>13068.000000000075</v>
      </c>
      <c r="U47" s="158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الشراء-الاستلام]]&lt;DATE(2018,1,1),S47-T47,0))</f>
        <v>52931.999999999927</v>
      </c>
      <c r="V47" s="169"/>
      <c r="W47" s="116"/>
      <c r="X47" s="116"/>
      <c r="Y47" s="117">
        <f>Table5101345411[[#This Row],[عدد الإضافات]]*Table5101345411[[#This Row],[سعر الحبة المضافة]]</f>
        <v>0</v>
      </c>
      <c r="Z47" s="101"/>
      <c r="AA47" s="102"/>
      <c r="AB47" s="103"/>
      <c r="AC47" s="103"/>
      <c r="AD47" s="103"/>
      <c r="AE47" s="103"/>
      <c r="AF47" s="103">
        <f>Table5101345411[[#This Row],[العدد]]*Table5101345411[[#This Row],[قيمة الشراء]]</f>
        <v>0</v>
      </c>
      <c r="AG47" s="17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7" s="190">
        <f>Table5101345411[[#This Row],[الكمية]]+Table5101345411[[#This Row],[عدد الإضافات]]-Table5101345411[[#This Row],[العدد]]</f>
        <v>1</v>
      </c>
      <c r="AI47" s="78">
        <f>Table5101345411[[#This Row],[الإجمالي]]+Table5101345411[[#This Row],[إجمالي الإضافات]]-Table5101345411[[#This Row],[إجمالي المستبعد]]</f>
        <v>66000</v>
      </c>
      <c r="AJ47" s="120">
        <v>0.15</v>
      </c>
      <c r="AK47" s="186"/>
      <c r="AL47" s="107" t="s">
        <v>61</v>
      </c>
      <c r="AM47" s="197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9900</v>
      </c>
      <c r="AN47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7" s="79">
        <f>Table5101345411[[#This Row],[اهلاك المستبعد
في 2018]]+Table5101345411[[#This Row],[مجمع إهلاك المستبعد 
01-01-2018]]</f>
        <v>0</v>
      </c>
      <c r="AP47" s="213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7" s="202"/>
      <c r="AR47" s="78">
        <f>IF(OR(Table5101345411[[#This Row],[تاريخ الشراء-الاستلام]]="",Table5101345411[[#This Row],[الإجمالي]]="",Table5101345411[[#This Row],[العمر الافتراضي]]=""),"",IF(((T47+AM47)-Table5101345411[[#This Row],[مجمع إهلاك المستبعد 
بتاريخ الأستبعاد]])&lt;=0,0,((T47+AM47)-Table5101345411[[#This Row],[مجمع إهلاك المستبعد 
بتاريخ الأستبعاد]])))</f>
        <v>22968.000000000073</v>
      </c>
      <c r="AS47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الشراء-الاستلام]]&gt;DATE(2018,12,31),0,AI47-AR47)))</f>
        <v>43031.999999999927</v>
      </c>
    </row>
    <row r="48" spans="1:45" s="141" customFormat="1" ht="83.25" customHeight="1">
      <c r="A48" s="57">
        <f>IF(B48="","",SUBTOTAL(3,$B$6:B48))</f>
        <v>43</v>
      </c>
      <c r="B48" s="58" t="s">
        <v>121</v>
      </c>
      <c r="C48" s="59" t="s">
        <v>54</v>
      </c>
      <c r="D48" s="59" t="s">
        <v>68</v>
      </c>
      <c r="E48" s="59" t="s">
        <v>795</v>
      </c>
      <c r="F48" s="226" t="s">
        <v>777</v>
      </c>
      <c r="G48" s="226" t="s">
        <v>759</v>
      </c>
      <c r="H48" s="65" t="s">
        <v>57</v>
      </c>
      <c r="I48" s="65" t="s">
        <v>69</v>
      </c>
      <c r="J48" s="65" t="s">
        <v>64</v>
      </c>
      <c r="K48" s="58"/>
      <c r="L48" s="60"/>
      <c r="M48" s="77">
        <v>43040</v>
      </c>
      <c r="N48" s="87" t="s">
        <v>243</v>
      </c>
      <c r="O48" s="159" t="s">
        <v>245</v>
      </c>
      <c r="P48" s="122">
        <v>1</v>
      </c>
      <c r="Q48" s="123"/>
      <c r="R48" s="130">
        <f>48500+3250</f>
        <v>51750</v>
      </c>
      <c r="S48" s="130">
        <f t="shared" si="1"/>
        <v>51750</v>
      </c>
      <c r="T48" s="130">
        <v>1276.027397260274</v>
      </c>
      <c r="U48" s="158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الشراء-الاستلام]]&lt;DATE(2018,1,1),S48-T48,0))</f>
        <v>50473.972602739726</v>
      </c>
      <c r="V48" s="169"/>
      <c r="W48" s="116"/>
      <c r="X48" s="116"/>
      <c r="Y48" s="117">
        <f>Table5101345411[[#This Row],[عدد الإضافات]]*Table5101345411[[#This Row],[سعر الحبة المضافة]]</f>
        <v>0</v>
      </c>
      <c r="Z48" s="101"/>
      <c r="AA48" s="102"/>
      <c r="AB48" s="103"/>
      <c r="AC48" s="103"/>
      <c r="AD48" s="103"/>
      <c r="AE48" s="103"/>
      <c r="AF48" s="103">
        <f>Table5101345411[[#This Row],[العدد]]*Table5101345411[[#This Row],[قيمة الشراء]]</f>
        <v>0</v>
      </c>
      <c r="AG48" s="17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8" s="190">
        <f>Table5101345411[[#This Row],[الكمية]]+Table5101345411[[#This Row],[عدد الإضافات]]-Table5101345411[[#This Row],[العدد]]</f>
        <v>1</v>
      </c>
      <c r="AI48" s="78">
        <f>Table5101345411[[#This Row],[الإجمالي]]+Table5101345411[[#This Row],[إجمالي الإضافات]]-Table5101345411[[#This Row],[إجمالي المستبعد]]</f>
        <v>51750</v>
      </c>
      <c r="AJ48" s="120">
        <v>0.15</v>
      </c>
      <c r="AK48" s="186"/>
      <c r="AL48" s="107" t="s">
        <v>61</v>
      </c>
      <c r="AM48" s="197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7762.5</v>
      </c>
      <c r="AN48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8" s="79">
        <f>Table5101345411[[#This Row],[اهلاك المستبعد
في 2018]]+Table5101345411[[#This Row],[مجمع إهلاك المستبعد 
01-01-2018]]</f>
        <v>0</v>
      </c>
      <c r="AP48" s="213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8" s="202"/>
      <c r="AR48" s="78">
        <f>IF(OR(Table5101345411[[#This Row],[تاريخ الشراء-الاستلام]]="",Table5101345411[[#This Row],[الإجمالي]]="",Table5101345411[[#This Row],[العمر الافتراضي]]=""),"",IF(((T48+AM48)-Table5101345411[[#This Row],[مجمع إهلاك المستبعد 
بتاريخ الأستبعاد]])&lt;=0,0,((T48+AM48)-Table5101345411[[#This Row],[مجمع إهلاك المستبعد 
بتاريخ الأستبعاد]])))</f>
        <v>9038.5273972602736</v>
      </c>
      <c r="AS48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الشراء-الاستلام]]&gt;DATE(2018,12,31),0,AI48-AR48)))</f>
        <v>42711.472602739726</v>
      </c>
    </row>
    <row r="49" spans="1:45" s="141" customFormat="1" ht="83.25" customHeight="1">
      <c r="A49" s="64">
        <f>IF(B49="","",SUBTOTAL(3,$B$6:B49))</f>
        <v>44</v>
      </c>
      <c r="B49" s="65" t="s">
        <v>121</v>
      </c>
      <c r="C49" s="66" t="s">
        <v>389</v>
      </c>
      <c r="D49" s="65" t="s">
        <v>68</v>
      </c>
      <c r="E49" s="59" t="s">
        <v>795</v>
      </c>
      <c r="F49" s="226" t="s">
        <v>778</v>
      </c>
      <c r="G49" s="226" t="s">
        <v>760</v>
      </c>
      <c r="H49" s="65" t="s">
        <v>57</v>
      </c>
      <c r="I49" s="65" t="s">
        <v>69</v>
      </c>
      <c r="J49" s="65" t="s">
        <v>64</v>
      </c>
      <c r="K49" s="65"/>
      <c r="L49" s="67"/>
      <c r="M49" s="73">
        <v>43465</v>
      </c>
      <c r="N49" s="227" t="s">
        <v>690</v>
      </c>
      <c r="O49" s="152" t="s">
        <v>691</v>
      </c>
      <c r="P49" s="125"/>
      <c r="Q49" s="126"/>
      <c r="R49" s="129"/>
      <c r="S49" s="128">
        <f t="shared" si="1"/>
        <v>0</v>
      </c>
      <c r="T49" s="129"/>
      <c r="U49" s="15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الشراء-الاستلام]]&lt;DATE(2018,1,1),S49-T49,0))</f>
        <v>0</v>
      </c>
      <c r="V49" s="168">
        <v>1</v>
      </c>
      <c r="W49" s="126">
        <v>6201664</v>
      </c>
      <c r="X49" s="114">
        <v>70494</v>
      </c>
      <c r="Y49" s="115">
        <f>Table5101345411[[#This Row],[عدد الإضافات]]*Table5101345411[[#This Row],[سعر الحبة المضافة]]</f>
        <v>70494</v>
      </c>
      <c r="Z49" s="98"/>
      <c r="AA49" s="99"/>
      <c r="AB49" s="100"/>
      <c r="AC49" s="100"/>
      <c r="AD49" s="100"/>
      <c r="AE49" s="100"/>
      <c r="AF49" s="100">
        <f>Table5101345411[[#This Row],[العدد]]*Table5101345411[[#This Row],[قيمة الشراء]]</f>
        <v>0</v>
      </c>
      <c r="AG49" s="177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9" s="189">
        <f>Table5101345411[[#This Row],[الكمية]]+Table5101345411[[#This Row],[عدد الإضافات]]-Table5101345411[[#This Row],[العدد]]</f>
        <v>1</v>
      </c>
      <c r="AI49" s="74">
        <f>Table5101345411[[#This Row],[الإجمالي]]+Table5101345411[[#This Row],[إجمالي الإضافات]]-Table5101345411[[#This Row],[إجمالي المستبعد]]</f>
        <v>70494</v>
      </c>
      <c r="AJ49" s="71">
        <v>0.15</v>
      </c>
      <c r="AK49" s="188"/>
      <c r="AL49" s="108"/>
      <c r="AM49" s="196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9" s="210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9" s="75">
        <f>Table5101345411[[#This Row],[اهلاك المستبعد
في 2018]]+Table5101345411[[#This Row],[مجمع إهلاك المستبعد 
01-01-2018]]</f>
        <v>0</v>
      </c>
      <c r="AP49" s="211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9" s="201"/>
      <c r="AR49" s="74">
        <f>IF(OR(Table5101345411[[#This Row],[تاريخ الشراء-الاستلام]]="",Table5101345411[[#This Row],[الإجمالي]]="",Table5101345411[[#This Row],[العمر الافتراضي]]=""),"",IF(((T49+AM49)-Table5101345411[[#This Row],[مجمع إهلاك المستبعد 
بتاريخ الأستبعاد]])&lt;=0,0,((T49+AM49)-Table5101345411[[#This Row],[مجمع إهلاك المستبعد 
بتاريخ الأستبعاد]])))</f>
        <v>0</v>
      </c>
      <c r="AS49" s="135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الشراء-الاستلام]]&gt;DATE(2018,12,31),0,AI49-AR49)))</f>
        <v>70494</v>
      </c>
    </row>
    <row r="50" spans="1:45" s="141" customFormat="1" ht="83.25" customHeight="1">
      <c r="A50" s="64">
        <f>IF(B50="","",SUBTOTAL(3,$B$6:B50))</f>
        <v>45</v>
      </c>
      <c r="B50" s="65" t="s">
        <v>121</v>
      </c>
      <c r="C50" s="66" t="s">
        <v>54</v>
      </c>
      <c r="D50" s="65" t="s">
        <v>68</v>
      </c>
      <c r="E50" s="59" t="s">
        <v>796</v>
      </c>
      <c r="F50" s="226" t="s">
        <v>696</v>
      </c>
      <c r="G50" s="226" t="s">
        <v>727</v>
      </c>
      <c r="H50" s="65" t="s">
        <v>154</v>
      </c>
      <c r="I50" s="58" t="s">
        <v>69</v>
      </c>
      <c r="J50" s="65" t="s">
        <v>64</v>
      </c>
      <c r="K50" s="65"/>
      <c r="L50" s="67"/>
      <c r="M50" s="65">
        <v>42714</v>
      </c>
      <c r="N50" s="84" t="s">
        <v>122</v>
      </c>
      <c r="O50" s="154" t="s">
        <v>123</v>
      </c>
      <c r="P50" s="125">
        <v>1</v>
      </c>
      <c r="Q50" s="126"/>
      <c r="R50" s="127">
        <v>66000</v>
      </c>
      <c r="S50" s="127">
        <f t="shared" si="1"/>
        <v>66000</v>
      </c>
      <c r="T50" s="127">
        <f>31408.7671232877/3</f>
        <v>10469.5890410959</v>
      </c>
      <c r="U50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الشراء-الاستلام]]&lt;DATE(2018,1,1),S50-T50,0))</f>
        <v>55530.410958904104</v>
      </c>
      <c r="V50" s="167"/>
      <c r="W50" s="111"/>
      <c r="X50" s="111"/>
      <c r="Y50" s="112">
        <f>Table5101345411[[#This Row],[عدد الإضافات]]*Table5101345411[[#This Row],[سعر الحبة المضافة]]</f>
        <v>0</v>
      </c>
      <c r="Z50" s="94"/>
      <c r="AA50" s="92"/>
      <c r="AB50" s="93"/>
      <c r="AC50" s="93"/>
      <c r="AD50" s="93"/>
      <c r="AE50" s="93"/>
      <c r="AF50" s="93">
        <f>Table5101345411[[#This Row],[العدد]]*Table5101345411[[#This Row],[قيمة الشراء]]</f>
        <v>0</v>
      </c>
      <c r="AG50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50" s="187">
        <f>Table5101345411[[#This Row],[الكمية]]+Table5101345411[[#This Row],[عدد الإضافات]]-Table5101345411[[#This Row],[العدد]]</f>
        <v>1</v>
      </c>
      <c r="AI50" s="68">
        <f>Table5101345411[[#This Row],[الإجمالي]]+Table5101345411[[#This Row],[إجمالي الإضافات]]-Table5101345411[[#This Row],[إجمالي المستبعد]]</f>
        <v>66000</v>
      </c>
      <c r="AJ50" s="71">
        <v>0.15</v>
      </c>
      <c r="AK50" s="188"/>
      <c r="AL50" s="108" t="s">
        <v>61</v>
      </c>
      <c r="AM50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9900</v>
      </c>
      <c r="AN50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50" s="70">
        <f>Table5101345411[[#This Row],[اهلاك المستبعد
في 2018]]+Table5101345411[[#This Row],[مجمع إهلاك المستبعد 
01-01-2018]]</f>
        <v>0</v>
      </c>
      <c r="AP50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50" s="200"/>
      <c r="AR50" s="68">
        <f>IF(OR(Table5101345411[[#This Row],[تاريخ الشراء-الاستلام]]="",Table5101345411[[#This Row],[الإجمالي]]="",Table5101345411[[#This Row],[العمر الافتراضي]]=""),"",IF(((T50+AM50)-Table5101345411[[#This Row],[مجمع إهلاك المستبعد 
بتاريخ الأستبعاد]])&lt;=0,0,((T50+AM50)-Table5101345411[[#This Row],[مجمع إهلاك المستبعد 
بتاريخ الأستبعاد]])))</f>
        <v>20369.5890410959</v>
      </c>
      <c r="AS50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الشراء-الاستلام]]&gt;DATE(2018,12,31),0,AI50-AR50)))</f>
        <v>45630.410958904104</v>
      </c>
    </row>
    <row r="51" spans="1:45" s="141" customFormat="1" ht="83.25" customHeight="1">
      <c r="A51" s="64">
        <f>IF(B51="","",SUBTOTAL(3,$B$6:B51))</f>
        <v>46</v>
      </c>
      <c r="B51" s="65" t="s">
        <v>121</v>
      </c>
      <c r="C51" s="66" t="s">
        <v>54</v>
      </c>
      <c r="D51" s="65" t="s">
        <v>68</v>
      </c>
      <c r="E51" s="59" t="s">
        <v>796</v>
      </c>
      <c r="F51" s="226" t="s">
        <v>697</v>
      </c>
      <c r="G51" s="226" t="s">
        <v>728</v>
      </c>
      <c r="H51" s="58" t="s">
        <v>111</v>
      </c>
      <c r="I51" s="58" t="s">
        <v>69</v>
      </c>
      <c r="J51" s="65" t="s">
        <v>64</v>
      </c>
      <c r="K51" s="65"/>
      <c r="L51" s="67"/>
      <c r="M51" s="65">
        <v>42714</v>
      </c>
      <c r="N51" s="84" t="s">
        <v>122</v>
      </c>
      <c r="O51" s="154" t="s">
        <v>123</v>
      </c>
      <c r="P51" s="125">
        <v>1</v>
      </c>
      <c r="Q51" s="126"/>
      <c r="R51" s="127">
        <v>66000</v>
      </c>
      <c r="S51" s="127">
        <f t="shared" si="1"/>
        <v>66000</v>
      </c>
      <c r="T51" s="127">
        <f>31408.7671232877/3</f>
        <v>10469.5890410959</v>
      </c>
      <c r="U51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الشراء-الاستلام]]&lt;DATE(2018,1,1),S51-T51,0))</f>
        <v>55530.410958904104</v>
      </c>
      <c r="V51" s="167"/>
      <c r="W51" s="111"/>
      <c r="X51" s="111"/>
      <c r="Y51" s="112">
        <f>Table5101345411[[#This Row],[عدد الإضافات]]*Table5101345411[[#This Row],[سعر الحبة المضافة]]</f>
        <v>0</v>
      </c>
      <c r="Z51" s="94"/>
      <c r="AA51" s="92"/>
      <c r="AB51" s="93"/>
      <c r="AC51" s="93"/>
      <c r="AD51" s="93"/>
      <c r="AE51" s="93"/>
      <c r="AF51" s="93">
        <f>Table5101345411[[#This Row],[العدد]]*Table5101345411[[#This Row],[قيمة الشراء]]</f>
        <v>0</v>
      </c>
      <c r="AG51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51" s="187">
        <f>Table5101345411[[#This Row],[الكمية]]+Table5101345411[[#This Row],[عدد الإضافات]]-Table5101345411[[#This Row],[العدد]]</f>
        <v>1</v>
      </c>
      <c r="AI51" s="68">
        <f>Table5101345411[[#This Row],[الإجمالي]]+Table5101345411[[#This Row],[إجمالي الإضافات]]-Table5101345411[[#This Row],[إجمالي المستبعد]]</f>
        <v>66000</v>
      </c>
      <c r="AJ51" s="71">
        <v>0.15</v>
      </c>
      <c r="AK51" s="188"/>
      <c r="AL51" s="108" t="s">
        <v>61</v>
      </c>
      <c r="AM51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9900</v>
      </c>
      <c r="AN51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51" s="70">
        <f>Table5101345411[[#This Row],[اهلاك المستبعد
في 2018]]+Table5101345411[[#This Row],[مجمع إهلاك المستبعد 
01-01-2018]]</f>
        <v>0</v>
      </c>
      <c r="AP51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51" s="200"/>
      <c r="AR51" s="68">
        <f>IF(OR(Table5101345411[[#This Row],[تاريخ الشراء-الاستلام]]="",Table5101345411[[#This Row],[الإجمالي]]="",Table5101345411[[#This Row],[العمر الافتراضي]]=""),"",IF(((T51+AM51)-Table5101345411[[#This Row],[مجمع إهلاك المستبعد 
بتاريخ الأستبعاد]])&lt;=0,0,((T51+AM51)-Table5101345411[[#This Row],[مجمع إهلاك المستبعد 
بتاريخ الأستبعاد]])))</f>
        <v>20369.5890410959</v>
      </c>
      <c r="AS51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الشراء-الاستلام]]&gt;DATE(2018,12,31),0,AI51-AR51)))</f>
        <v>45630.410958904104</v>
      </c>
    </row>
    <row r="52" spans="1:45" s="141" customFormat="1" ht="83.25" customHeight="1">
      <c r="A52" s="64">
        <f>IF(B52="","",SUBTOTAL(3,$B$6:B52))</f>
        <v>47</v>
      </c>
      <c r="B52" s="65" t="s">
        <v>121</v>
      </c>
      <c r="C52" s="66" t="s">
        <v>54</v>
      </c>
      <c r="D52" s="65" t="s">
        <v>68</v>
      </c>
      <c r="E52" s="59" t="s">
        <v>796</v>
      </c>
      <c r="F52" s="226" t="s">
        <v>698</v>
      </c>
      <c r="G52" s="226" t="s">
        <v>729</v>
      </c>
      <c r="H52" s="58" t="s">
        <v>111</v>
      </c>
      <c r="I52" s="58" t="s">
        <v>69</v>
      </c>
      <c r="J52" s="65" t="s">
        <v>64</v>
      </c>
      <c r="K52" s="65"/>
      <c r="L52" s="67"/>
      <c r="M52" s="65">
        <v>42714</v>
      </c>
      <c r="N52" s="84" t="s">
        <v>122</v>
      </c>
      <c r="O52" s="154" t="s">
        <v>123</v>
      </c>
      <c r="P52" s="125">
        <v>1</v>
      </c>
      <c r="Q52" s="126"/>
      <c r="R52" s="127">
        <v>66000</v>
      </c>
      <c r="S52" s="127">
        <f t="shared" si="1"/>
        <v>66000</v>
      </c>
      <c r="T52" s="127">
        <f>31408.7671232877/3</f>
        <v>10469.5890410959</v>
      </c>
      <c r="U52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الشراء-الاستلام]]&lt;DATE(2018,1,1),S52-T52,0))</f>
        <v>55530.410958904104</v>
      </c>
      <c r="V52" s="167"/>
      <c r="W52" s="111"/>
      <c r="X52" s="111"/>
      <c r="Y52" s="112">
        <f>Table5101345411[[#This Row],[عدد الإضافات]]*Table5101345411[[#This Row],[سعر الحبة المضافة]]</f>
        <v>0</v>
      </c>
      <c r="Z52" s="94"/>
      <c r="AA52" s="92"/>
      <c r="AB52" s="93"/>
      <c r="AC52" s="93"/>
      <c r="AD52" s="93"/>
      <c r="AE52" s="93"/>
      <c r="AF52" s="93">
        <f>Table5101345411[[#This Row],[العدد]]*Table5101345411[[#This Row],[قيمة الشراء]]</f>
        <v>0</v>
      </c>
      <c r="AG52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52" s="187">
        <f>Table5101345411[[#This Row],[الكمية]]+Table5101345411[[#This Row],[عدد الإضافات]]-Table5101345411[[#This Row],[العدد]]</f>
        <v>1</v>
      </c>
      <c r="AI52" s="68">
        <f>Table5101345411[[#This Row],[الإجمالي]]+Table5101345411[[#This Row],[إجمالي الإضافات]]-Table5101345411[[#This Row],[إجمالي المستبعد]]</f>
        <v>66000</v>
      </c>
      <c r="AJ52" s="71">
        <v>0.15</v>
      </c>
      <c r="AK52" s="188"/>
      <c r="AL52" s="108" t="s">
        <v>61</v>
      </c>
      <c r="AM52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9900</v>
      </c>
      <c r="AN52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52" s="70">
        <f>Table5101345411[[#This Row],[اهلاك المستبعد
في 2018]]+Table5101345411[[#This Row],[مجمع إهلاك المستبعد 
01-01-2018]]</f>
        <v>0</v>
      </c>
      <c r="AP52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52" s="200"/>
      <c r="AR52" s="68">
        <f>IF(OR(Table5101345411[[#This Row],[تاريخ الشراء-الاستلام]]="",Table5101345411[[#This Row],[الإجمالي]]="",Table5101345411[[#This Row],[العمر الافتراضي]]=""),"",IF(((T52+AM52)-Table5101345411[[#This Row],[مجمع إهلاك المستبعد 
بتاريخ الأستبعاد]])&lt;=0,0,((T52+AM52)-Table5101345411[[#This Row],[مجمع إهلاك المستبعد 
بتاريخ الأستبعاد]])))</f>
        <v>20369.5890410959</v>
      </c>
      <c r="AS52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الشراء-الاستلام]]&gt;DATE(2018,12,31),0,AI52-AR52)))</f>
        <v>45630.410958904104</v>
      </c>
    </row>
    <row r="53" spans="1:45" s="141" customFormat="1" ht="83.25" customHeight="1">
      <c r="A53" s="64">
        <f>IF(B53="","",SUBTOTAL(3,$B$6:B53))</f>
        <v>48</v>
      </c>
      <c r="B53" s="65" t="s">
        <v>121</v>
      </c>
      <c r="C53" s="66" t="s">
        <v>54</v>
      </c>
      <c r="D53" s="65" t="s">
        <v>68</v>
      </c>
      <c r="E53" s="59" t="s">
        <v>796</v>
      </c>
      <c r="F53" s="226" t="s">
        <v>699</v>
      </c>
      <c r="G53" s="226" t="s">
        <v>730</v>
      </c>
      <c r="H53" s="58" t="s">
        <v>111</v>
      </c>
      <c r="I53" s="58" t="s">
        <v>69</v>
      </c>
      <c r="J53" s="65" t="s">
        <v>64</v>
      </c>
      <c r="K53" s="65"/>
      <c r="L53" s="67"/>
      <c r="M53" s="65">
        <v>42663</v>
      </c>
      <c r="N53" s="84" t="s">
        <v>131</v>
      </c>
      <c r="O53" s="154" t="s">
        <v>123</v>
      </c>
      <c r="P53" s="125">
        <v>1</v>
      </c>
      <c r="Q53" s="126"/>
      <c r="R53" s="127">
        <v>66000</v>
      </c>
      <c r="S53" s="127">
        <f t="shared" si="1"/>
        <v>66000</v>
      </c>
      <c r="T53" s="127">
        <f>35558.6301369863/3</f>
        <v>11852.876712328767</v>
      </c>
      <c r="U53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الشراء-الاستلام]]&lt;DATE(2018,1,1),S53-T53,0))</f>
        <v>54147.123287671231</v>
      </c>
      <c r="V53" s="167"/>
      <c r="W53" s="111"/>
      <c r="X53" s="111"/>
      <c r="Y53" s="112">
        <f>Table5101345411[[#This Row],[عدد الإضافات]]*Table5101345411[[#This Row],[سعر الحبة المضافة]]</f>
        <v>0</v>
      </c>
      <c r="Z53" s="94"/>
      <c r="AA53" s="92"/>
      <c r="AB53" s="93"/>
      <c r="AC53" s="93"/>
      <c r="AD53" s="93"/>
      <c r="AE53" s="93"/>
      <c r="AF53" s="93">
        <f>Table5101345411[[#This Row],[العدد]]*Table5101345411[[#This Row],[قيمة الشراء]]</f>
        <v>0</v>
      </c>
      <c r="AG53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53" s="187">
        <f>Table5101345411[[#This Row],[الكمية]]+Table5101345411[[#This Row],[عدد الإضافات]]-Table5101345411[[#This Row],[العدد]]</f>
        <v>1</v>
      </c>
      <c r="AI53" s="68">
        <f>Table5101345411[[#This Row],[الإجمالي]]+Table5101345411[[#This Row],[إجمالي الإضافات]]-Table5101345411[[#This Row],[إجمالي المستبعد]]</f>
        <v>66000</v>
      </c>
      <c r="AJ53" s="71">
        <v>0.15</v>
      </c>
      <c r="AK53" s="188"/>
      <c r="AL53" s="108" t="s">
        <v>61</v>
      </c>
      <c r="AM53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9900</v>
      </c>
      <c r="AN53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53" s="70">
        <f>Table5101345411[[#This Row],[اهلاك المستبعد
في 2018]]+Table5101345411[[#This Row],[مجمع إهلاك المستبعد 
01-01-2018]]</f>
        <v>0</v>
      </c>
      <c r="AP53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53" s="200"/>
      <c r="AR53" s="68">
        <f>IF(OR(Table5101345411[[#This Row],[تاريخ الشراء-الاستلام]]="",Table5101345411[[#This Row],[الإجمالي]]="",Table5101345411[[#This Row],[العمر الافتراضي]]=""),"",IF(((T53+AM53)-Table5101345411[[#This Row],[مجمع إهلاك المستبعد 
بتاريخ الأستبعاد]])&lt;=0,0,((T53+AM53)-Table5101345411[[#This Row],[مجمع إهلاك المستبعد 
بتاريخ الأستبعاد]])))</f>
        <v>21752.876712328769</v>
      </c>
      <c r="AS53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الشراء-الاستلام]]&gt;DATE(2018,12,31),0,AI53-AR53)))</f>
        <v>44247.123287671231</v>
      </c>
    </row>
    <row r="54" spans="1:45" s="141" customFormat="1" ht="83.25" customHeight="1">
      <c r="A54" s="64">
        <f>IF(B54="","",SUBTOTAL(3,$B$6:B54))</f>
        <v>49</v>
      </c>
      <c r="B54" s="65" t="s">
        <v>121</v>
      </c>
      <c r="C54" s="66" t="s">
        <v>54</v>
      </c>
      <c r="D54" s="65" t="s">
        <v>68</v>
      </c>
      <c r="E54" s="59" t="s">
        <v>796</v>
      </c>
      <c r="F54" s="226" t="s">
        <v>700</v>
      </c>
      <c r="G54" s="226" t="s">
        <v>731</v>
      </c>
      <c r="H54" s="58" t="s">
        <v>111</v>
      </c>
      <c r="I54" s="58" t="s">
        <v>69</v>
      </c>
      <c r="J54" s="65" t="s">
        <v>64</v>
      </c>
      <c r="K54" s="65"/>
      <c r="L54" s="67"/>
      <c r="M54" s="65">
        <v>42663</v>
      </c>
      <c r="N54" s="84" t="s">
        <v>131</v>
      </c>
      <c r="O54" s="154" t="s">
        <v>123</v>
      </c>
      <c r="P54" s="125">
        <v>1</v>
      </c>
      <c r="Q54" s="126"/>
      <c r="R54" s="127">
        <v>66000</v>
      </c>
      <c r="S54" s="127">
        <f t="shared" si="1"/>
        <v>66000</v>
      </c>
      <c r="T54" s="127">
        <f>35558.6301369863/3</f>
        <v>11852.876712328767</v>
      </c>
      <c r="U54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الشراء-الاستلام]]&lt;DATE(2018,1,1),S54-T54,0))</f>
        <v>54147.123287671231</v>
      </c>
      <c r="V54" s="167"/>
      <c r="W54" s="111"/>
      <c r="X54" s="111"/>
      <c r="Y54" s="112">
        <f>Table5101345411[[#This Row],[عدد الإضافات]]*Table5101345411[[#This Row],[سعر الحبة المضافة]]</f>
        <v>0</v>
      </c>
      <c r="Z54" s="94"/>
      <c r="AA54" s="92"/>
      <c r="AB54" s="93"/>
      <c r="AC54" s="93"/>
      <c r="AD54" s="93"/>
      <c r="AE54" s="93"/>
      <c r="AF54" s="93">
        <f>Table5101345411[[#This Row],[العدد]]*Table5101345411[[#This Row],[قيمة الشراء]]</f>
        <v>0</v>
      </c>
      <c r="AG54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54" s="187">
        <f>Table5101345411[[#This Row],[الكمية]]+Table5101345411[[#This Row],[عدد الإضافات]]-Table5101345411[[#This Row],[العدد]]</f>
        <v>1</v>
      </c>
      <c r="AI54" s="68">
        <f>Table5101345411[[#This Row],[الإجمالي]]+Table5101345411[[#This Row],[إجمالي الإضافات]]-Table5101345411[[#This Row],[إجمالي المستبعد]]</f>
        <v>66000</v>
      </c>
      <c r="AJ54" s="71">
        <v>0.15</v>
      </c>
      <c r="AK54" s="188"/>
      <c r="AL54" s="108" t="s">
        <v>61</v>
      </c>
      <c r="AM54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9900</v>
      </c>
      <c r="AN54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54" s="70">
        <f>Table5101345411[[#This Row],[اهلاك المستبعد
في 2018]]+Table5101345411[[#This Row],[مجمع إهلاك المستبعد 
01-01-2018]]</f>
        <v>0</v>
      </c>
      <c r="AP54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54" s="200"/>
      <c r="AR54" s="68">
        <f>IF(OR(Table5101345411[[#This Row],[تاريخ الشراء-الاستلام]]="",Table5101345411[[#This Row],[الإجمالي]]="",Table5101345411[[#This Row],[العمر الافتراضي]]=""),"",IF(((T54+AM54)-Table5101345411[[#This Row],[مجمع إهلاك المستبعد 
بتاريخ الأستبعاد]])&lt;=0,0,((T54+AM54)-Table5101345411[[#This Row],[مجمع إهلاك المستبعد 
بتاريخ الأستبعاد]])))</f>
        <v>21752.876712328769</v>
      </c>
      <c r="AS54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الشراء-الاستلام]]&gt;DATE(2018,12,31),0,AI54-AR54)))</f>
        <v>44247.123287671231</v>
      </c>
    </row>
    <row r="55" spans="1:45" s="141" customFormat="1" ht="83.25" customHeight="1">
      <c r="A55" s="64">
        <f>IF(B55="","",SUBTOTAL(3,$B$6:B55))</f>
        <v>50</v>
      </c>
      <c r="B55" s="65" t="s">
        <v>121</v>
      </c>
      <c r="C55" s="66" t="s">
        <v>54</v>
      </c>
      <c r="D55" s="65" t="s">
        <v>68</v>
      </c>
      <c r="E55" s="59" t="s">
        <v>796</v>
      </c>
      <c r="F55" s="226" t="s">
        <v>701</v>
      </c>
      <c r="G55" s="226" t="s">
        <v>732</v>
      </c>
      <c r="H55" s="58" t="s">
        <v>111</v>
      </c>
      <c r="I55" s="58" t="s">
        <v>69</v>
      </c>
      <c r="J55" s="65" t="s">
        <v>64</v>
      </c>
      <c r="K55" s="65"/>
      <c r="L55" s="67"/>
      <c r="M55" s="65">
        <v>42663</v>
      </c>
      <c r="N55" s="84" t="s">
        <v>131</v>
      </c>
      <c r="O55" s="154" t="s">
        <v>123</v>
      </c>
      <c r="P55" s="125">
        <v>1</v>
      </c>
      <c r="Q55" s="126"/>
      <c r="R55" s="127">
        <v>66000</v>
      </c>
      <c r="S55" s="127">
        <f t="shared" si="1"/>
        <v>66000</v>
      </c>
      <c r="T55" s="127">
        <f>35558.6301369863/3</f>
        <v>11852.876712328767</v>
      </c>
      <c r="U55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الشراء-الاستلام]]&lt;DATE(2018,1,1),S55-T55,0))</f>
        <v>54147.123287671231</v>
      </c>
      <c r="V55" s="167"/>
      <c r="W55" s="111"/>
      <c r="X55" s="111"/>
      <c r="Y55" s="112">
        <f>Table5101345411[[#This Row],[عدد الإضافات]]*Table5101345411[[#This Row],[سعر الحبة المضافة]]</f>
        <v>0</v>
      </c>
      <c r="Z55" s="94"/>
      <c r="AA55" s="92"/>
      <c r="AB55" s="93"/>
      <c r="AC55" s="93"/>
      <c r="AD55" s="93"/>
      <c r="AE55" s="93"/>
      <c r="AF55" s="93">
        <f>Table5101345411[[#This Row],[العدد]]*Table5101345411[[#This Row],[قيمة الشراء]]</f>
        <v>0</v>
      </c>
      <c r="AG55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55" s="187">
        <f>Table5101345411[[#This Row],[الكمية]]+Table5101345411[[#This Row],[عدد الإضافات]]-Table5101345411[[#This Row],[العدد]]</f>
        <v>1</v>
      </c>
      <c r="AI55" s="68">
        <f>Table5101345411[[#This Row],[الإجمالي]]+Table5101345411[[#This Row],[إجمالي الإضافات]]-Table5101345411[[#This Row],[إجمالي المستبعد]]</f>
        <v>66000</v>
      </c>
      <c r="AJ55" s="71">
        <v>0.15</v>
      </c>
      <c r="AK55" s="188"/>
      <c r="AL55" s="108" t="s">
        <v>61</v>
      </c>
      <c r="AM55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9900</v>
      </c>
      <c r="AN55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55" s="70">
        <f>Table5101345411[[#This Row],[اهلاك المستبعد
في 2018]]+Table5101345411[[#This Row],[مجمع إهلاك المستبعد 
01-01-2018]]</f>
        <v>0</v>
      </c>
      <c r="AP55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55" s="200"/>
      <c r="AR55" s="68">
        <f>IF(OR(Table5101345411[[#This Row],[تاريخ الشراء-الاستلام]]="",Table5101345411[[#This Row],[الإجمالي]]="",Table5101345411[[#This Row],[العمر الافتراضي]]=""),"",IF(((T55+AM55)-Table5101345411[[#This Row],[مجمع إهلاك المستبعد 
بتاريخ الأستبعاد]])&lt;=0,0,((T55+AM55)-Table5101345411[[#This Row],[مجمع إهلاك المستبعد 
بتاريخ الأستبعاد]])))</f>
        <v>21752.876712328769</v>
      </c>
      <c r="AS55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الشراء-الاستلام]]&gt;DATE(2018,12,31),0,AI55-AR55)))</f>
        <v>44247.123287671231</v>
      </c>
    </row>
    <row r="56" spans="1:45" s="141" customFormat="1" ht="83.25" customHeight="1">
      <c r="A56" s="64">
        <f>IF(B56="","",SUBTOTAL(3,$B$6:B56))</f>
        <v>51</v>
      </c>
      <c r="B56" s="65" t="s">
        <v>121</v>
      </c>
      <c r="C56" s="66" t="s">
        <v>54</v>
      </c>
      <c r="D56" s="65" t="s">
        <v>68</v>
      </c>
      <c r="E56" s="59" t="s">
        <v>796</v>
      </c>
      <c r="F56" s="226" t="s">
        <v>702</v>
      </c>
      <c r="G56" s="226" t="s">
        <v>733</v>
      </c>
      <c r="H56" s="65" t="s">
        <v>111</v>
      </c>
      <c r="I56" s="58" t="s">
        <v>69</v>
      </c>
      <c r="J56" s="65" t="s">
        <v>64</v>
      </c>
      <c r="K56" s="65"/>
      <c r="L56" s="67"/>
      <c r="M56" s="65">
        <v>42694</v>
      </c>
      <c r="N56" s="84" t="s">
        <v>131</v>
      </c>
      <c r="O56" s="155" t="s">
        <v>132</v>
      </c>
      <c r="P56" s="125">
        <v>1</v>
      </c>
      <c r="Q56" s="126"/>
      <c r="R56" s="127">
        <v>66000</v>
      </c>
      <c r="S56" s="127">
        <f t="shared" si="1"/>
        <v>66000</v>
      </c>
      <c r="T56" s="127">
        <f>44048.2191780821/4</f>
        <v>11012.054794520525</v>
      </c>
      <c r="U56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الشراء-الاستلام]]&lt;DATE(2018,1,1),S56-T56,0))</f>
        <v>54987.945205479475</v>
      </c>
      <c r="V56" s="167"/>
      <c r="W56" s="111"/>
      <c r="X56" s="111"/>
      <c r="Y56" s="112">
        <f>Table5101345411[[#This Row],[عدد الإضافات]]*Table5101345411[[#This Row],[سعر الحبة المضافة]]</f>
        <v>0</v>
      </c>
      <c r="Z56" s="94"/>
      <c r="AA56" s="92"/>
      <c r="AB56" s="93"/>
      <c r="AC56" s="93"/>
      <c r="AD56" s="93"/>
      <c r="AE56" s="93"/>
      <c r="AF56" s="93">
        <f>Table5101345411[[#This Row],[العدد]]*Table5101345411[[#This Row],[قيمة الشراء]]</f>
        <v>0</v>
      </c>
      <c r="AG56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56" s="187">
        <f>Table5101345411[[#This Row],[الكمية]]+Table5101345411[[#This Row],[عدد الإضافات]]-Table5101345411[[#This Row],[العدد]]</f>
        <v>1</v>
      </c>
      <c r="AI56" s="68">
        <f>Table5101345411[[#This Row],[الإجمالي]]+Table5101345411[[#This Row],[إجمالي الإضافات]]-Table5101345411[[#This Row],[إجمالي المستبعد]]</f>
        <v>66000</v>
      </c>
      <c r="AJ56" s="71">
        <v>0.15</v>
      </c>
      <c r="AK56" s="188"/>
      <c r="AL56" s="108" t="s">
        <v>61</v>
      </c>
      <c r="AM56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9900</v>
      </c>
      <c r="AN56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56" s="70">
        <f>Table5101345411[[#This Row],[اهلاك المستبعد
في 2018]]+Table5101345411[[#This Row],[مجمع إهلاك المستبعد 
01-01-2018]]</f>
        <v>0</v>
      </c>
      <c r="AP56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56" s="200"/>
      <c r="AR56" s="68">
        <f>IF(OR(Table5101345411[[#This Row],[تاريخ الشراء-الاستلام]]="",Table5101345411[[#This Row],[الإجمالي]]="",Table5101345411[[#This Row],[العمر الافتراضي]]=""),"",IF(((T56+AM56)-Table5101345411[[#This Row],[مجمع إهلاك المستبعد 
بتاريخ الأستبعاد]])&lt;=0,0,((T56+AM56)-Table5101345411[[#This Row],[مجمع إهلاك المستبعد 
بتاريخ الأستبعاد]])))</f>
        <v>20912.054794520525</v>
      </c>
      <c r="AS56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الشراء-الاستلام]]&gt;DATE(2018,12,31),0,AI56-AR56)))</f>
        <v>45087.945205479475</v>
      </c>
    </row>
    <row r="57" spans="1:45" s="141" customFormat="1" ht="83.25" customHeight="1">
      <c r="A57" s="64">
        <f>IF(B57="","",SUBTOTAL(3,$B$6:B57))</f>
        <v>52</v>
      </c>
      <c r="B57" s="65" t="s">
        <v>121</v>
      </c>
      <c r="C57" s="66" t="s">
        <v>54</v>
      </c>
      <c r="D57" s="65" t="s">
        <v>68</v>
      </c>
      <c r="E57" s="59" t="s">
        <v>796</v>
      </c>
      <c r="F57" s="226" t="s">
        <v>703</v>
      </c>
      <c r="G57" s="226" t="s">
        <v>734</v>
      </c>
      <c r="H57" s="65" t="s">
        <v>111</v>
      </c>
      <c r="I57" s="58" t="s">
        <v>69</v>
      </c>
      <c r="J57" s="65" t="s">
        <v>64</v>
      </c>
      <c r="K57" s="65"/>
      <c r="L57" s="67"/>
      <c r="M57" s="65">
        <v>42694</v>
      </c>
      <c r="N57" s="84" t="s">
        <v>131</v>
      </c>
      <c r="O57" s="155" t="s">
        <v>132</v>
      </c>
      <c r="P57" s="125">
        <v>1</v>
      </c>
      <c r="Q57" s="126"/>
      <c r="R57" s="127">
        <v>66000</v>
      </c>
      <c r="S57" s="127">
        <f t="shared" si="1"/>
        <v>66000</v>
      </c>
      <c r="T57" s="127">
        <f>44048.2191780821/4</f>
        <v>11012.054794520525</v>
      </c>
      <c r="U57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الشراء-الاستلام]]&lt;DATE(2018,1,1),S57-T57,0))</f>
        <v>54987.945205479475</v>
      </c>
      <c r="V57" s="167"/>
      <c r="W57" s="111"/>
      <c r="X57" s="111"/>
      <c r="Y57" s="112">
        <f>Table5101345411[[#This Row],[عدد الإضافات]]*Table5101345411[[#This Row],[سعر الحبة المضافة]]</f>
        <v>0</v>
      </c>
      <c r="Z57" s="94"/>
      <c r="AA57" s="92"/>
      <c r="AB57" s="93"/>
      <c r="AC57" s="93"/>
      <c r="AD57" s="93"/>
      <c r="AE57" s="93"/>
      <c r="AF57" s="93">
        <f>Table5101345411[[#This Row],[العدد]]*Table5101345411[[#This Row],[قيمة الشراء]]</f>
        <v>0</v>
      </c>
      <c r="AG57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57" s="187">
        <f>Table5101345411[[#This Row],[الكمية]]+Table5101345411[[#This Row],[عدد الإضافات]]-Table5101345411[[#This Row],[العدد]]</f>
        <v>1</v>
      </c>
      <c r="AI57" s="68">
        <f>Table5101345411[[#This Row],[الإجمالي]]+Table5101345411[[#This Row],[إجمالي الإضافات]]-Table5101345411[[#This Row],[إجمالي المستبعد]]</f>
        <v>66000</v>
      </c>
      <c r="AJ57" s="71">
        <v>0.15</v>
      </c>
      <c r="AK57" s="188"/>
      <c r="AL57" s="108" t="s">
        <v>61</v>
      </c>
      <c r="AM57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9900</v>
      </c>
      <c r="AN57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57" s="70">
        <f>Table5101345411[[#This Row],[اهلاك المستبعد
في 2018]]+Table5101345411[[#This Row],[مجمع إهلاك المستبعد 
01-01-2018]]</f>
        <v>0</v>
      </c>
      <c r="AP57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57" s="200"/>
      <c r="AR57" s="68">
        <f>IF(OR(Table5101345411[[#This Row],[تاريخ الشراء-الاستلام]]="",Table5101345411[[#This Row],[الإجمالي]]="",Table5101345411[[#This Row],[العمر الافتراضي]]=""),"",IF(((T57+AM57)-Table5101345411[[#This Row],[مجمع إهلاك المستبعد 
بتاريخ الأستبعاد]])&lt;=0,0,((T57+AM57)-Table5101345411[[#This Row],[مجمع إهلاك المستبعد 
بتاريخ الأستبعاد]])))</f>
        <v>20912.054794520525</v>
      </c>
      <c r="AS57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الشراء-الاستلام]]&gt;DATE(2018,12,31),0,AI57-AR57)))</f>
        <v>45087.945205479475</v>
      </c>
    </row>
    <row r="58" spans="1:45" s="141" customFormat="1" ht="83.25" customHeight="1">
      <c r="A58" s="64">
        <f>IF(B58="","",SUBTOTAL(3,$B$6:B58))</f>
        <v>53</v>
      </c>
      <c r="B58" s="65" t="s">
        <v>121</v>
      </c>
      <c r="C58" s="66" t="s">
        <v>54</v>
      </c>
      <c r="D58" s="65" t="s">
        <v>68</v>
      </c>
      <c r="E58" s="59" t="s">
        <v>796</v>
      </c>
      <c r="F58" s="226" t="s">
        <v>704</v>
      </c>
      <c r="G58" s="226" t="s">
        <v>735</v>
      </c>
      <c r="H58" s="65" t="s">
        <v>57</v>
      </c>
      <c r="I58" s="58" t="s">
        <v>69</v>
      </c>
      <c r="J58" s="65" t="s">
        <v>64</v>
      </c>
      <c r="K58" s="65"/>
      <c r="L58" s="67"/>
      <c r="M58" s="65">
        <v>42694</v>
      </c>
      <c r="N58" s="84" t="s">
        <v>131</v>
      </c>
      <c r="O58" s="155" t="s">
        <v>132</v>
      </c>
      <c r="P58" s="125">
        <v>1</v>
      </c>
      <c r="Q58" s="126"/>
      <c r="R58" s="127">
        <v>66000</v>
      </c>
      <c r="S58" s="127">
        <f t="shared" si="1"/>
        <v>66000</v>
      </c>
      <c r="T58" s="127">
        <f>44048.2191780821/4</f>
        <v>11012.054794520525</v>
      </c>
      <c r="U58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الشراء-الاستلام]]&lt;DATE(2018,1,1),S58-T58,0))</f>
        <v>54987.945205479475</v>
      </c>
      <c r="V58" s="167"/>
      <c r="W58" s="111"/>
      <c r="X58" s="111"/>
      <c r="Y58" s="112">
        <f>Table5101345411[[#This Row],[عدد الإضافات]]*Table5101345411[[#This Row],[سعر الحبة المضافة]]</f>
        <v>0</v>
      </c>
      <c r="Z58" s="94"/>
      <c r="AA58" s="92"/>
      <c r="AB58" s="93"/>
      <c r="AC58" s="93"/>
      <c r="AD58" s="93"/>
      <c r="AE58" s="93"/>
      <c r="AF58" s="93">
        <f>Table5101345411[[#This Row],[العدد]]*Table5101345411[[#This Row],[قيمة الشراء]]</f>
        <v>0</v>
      </c>
      <c r="AG58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58" s="187">
        <f>Table5101345411[[#This Row],[الكمية]]+Table5101345411[[#This Row],[عدد الإضافات]]-Table5101345411[[#This Row],[العدد]]</f>
        <v>1</v>
      </c>
      <c r="AI58" s="68">
        <f>Table5101345411[[#This Row],[الإجمالي]]+Table5101345411[[#This Row],[إجمالي الإضافات]]-Table5101345411[[#This Row],[إجمالي المستبعد]]</f>
        <v>66000</v>
      </c>
      <c r="AJ58" s="71">
        <v>0.15</v>
      </c>
      <c r="AK58" s="188"/>
      <c r="AL58" s="108" t="s">
        <v>61</v>
      </c>
      <c r="AM58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9900</v>
      </c>
      <c r="AN58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58" s="70">
        <f>Table5101345411[[#This Row],[اهلاك المستبعد
في 2018]]+Table5101345411[[#This Row],[مجمع إهلاك المستبعد 
01-01-2018]]</f>
        <v>0</v>
      </c>
      <c r="AP58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58" s="200"/>
      <c r="AR58" s="68">
        <f>IF(OR(Table5101345411[[#This Row],[تاريخ الشراء-الاستلام]]="",Table5101345411[[#This Row],[الإجمالي]]="",Table5101345411[[#This Row],[العمر الافتراضي]]=""),"",IF(((T58+AM58)-Table5101345411[[#This Row],[مجمع إهلاك المستبعد 
بتاريخ الأستبعاد]])&lt;=0,0,((T58+AM58)-Table5101345411[[#This Row],[مجمع إهلاك المستبعد 
بتاريخ الأستبعاد]])))</f>
        <v>20912.054794520525</v>
      </c>
      <c r="AS58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الشراء-الاستلام]]&gt;DATE(2018,12,31),0,AI58-AR58)))</f>
        <v>45087.945205479475</v>
      </c>
    </row>
    <row r="59" spans="1:45" s="141" customFormat="1" ht="83.25" customHeight="1">
      <c r="A59" s="64">
        <f>IF(B59="","",SUBTOTAL(3,$B$6:B59))</f>
        <v>54</v>
      </c>
      <c r="B59" s="65" t="s">
        <v>121</v>
      </c>
      <c r="C59" s="66" t="s">
        <v>54</v>
      </c>
      <c r="D59" s="65" t="s">
        <v>68</v>
      </c>
      <c r="E59" s="59" t="s">
        <v>796</v>
      </c>
      <c r="F59" s="226" t="s">
        <v>705</v>
      </c>
      <c r="G59" s="226" t="s">
        <v>736</v>
      </c>
      <c r="H59" s="65" t="s">
        <v>57</v>
      </c>
      <c r="I59" s="58" t="s">
        <v>69</v>
      </c>
      <c r="J59" s="65" t="s">
        <v>64</v>
      </c>
      <c r="K59" s="65"/>
      <c r="L59" s="67"/>
      <c r="M59" s="65">
        <v>42694</v>
      </c>
      <c r="N59" s="84" t="s">
        <v>131</v>
      </c>
      <c r="O59" s="155" t="s">
        <v>132</v>
      </c>
      <c r="P59" s="125">
        <v>1</v>
      </c>
      <c r="Q59" s="126"/>
      <c r="R59" s="127">
        <v>66000</v>
      </c>
      <c r="S59" s="127">
        <f t="shared" si="1"/>
        <v>66000</v>
      </c>
      <c r="T59" s="127">
        <f>44048.2191780821/4</f>
        <v>11012.054794520525</v>
      </c>
      <c r="U59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الشراء-الاستلام]]&lt;DATE(2018,1,1),S59-T59,0))</f>
        <v>54987.945205479475</v>
      </c>
      <c r="V59" s="167"/>
      <c r="W59" s="111"/>
      <c r="X59" s="111"/>
      <c r="Y59" s="112">
        <f>Table5101345411[[#This Row],[عدد الإضافات]]*Table5101345411[[#This Row],[سعر الحبة المضافة]]</f>
        <v>0</v>
      </c>
      <c r="Z59" s="94"/>
      <c r="AA59" s="92"/>
      <c r="AB59" s="93"/>
      <c r="AC59" s="93"/>
      <c r="AD59" s="93"/>
      <c r="AE59" s="93"/>
      <c r="AF59" s="93">
        <f>Table5101345411[[#This Row],[العدد]]*Table5101345411[[#This Row],[قيمة الشراء]]</f>
        <v>0</v>
      </c>
      <c r="AG59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59" s="187">
        <f>Table5101345411[[#This Row],[الكمية]]+Table5101345411[[#This Row],[عدد الإضافات]]-Table5101345411[[#This Row],[العدد]]</f>
        <v>1</v>
      </c>
      <c r="AI59" s="68">
        <f>Table5101345411[[#This Row],[الإجمالي]]+Table5101345411[[#This Row],[إجمالي الإضافات]]-Table5101345411[[#This Row],[إجمالي المستبعد]]</f>
        <v>66000</v>
      </c>
      <c r="AJ59" s="71">
        <v>0.15</v>
      </c>
      <c r="AK59" s="188"/>
      <c r="AL59" s="108" t="s">
        <v>61</v>
      </c>
      <c r="AM59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9900</v>
      </c>
      <c r="AN59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59" s="70">
        <f>Table5101345411[[#This Row],[اهلاك المستبعد
في 2018]]+Table5101345411[[#This Row],[مجمع إهلاك المستبعد 
01-01-2018]]</f>
        <v>0</v>
      </c>
      <c r="AP59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59" s="200"/>
      <c r="AR59" s="68">
        <f>IF(OR(Table5101345411[[#This Row],[تاريخ الشراء-الاستلام]]="",Table5101345411[[#This Row],[الإجمالي]]="",Table5101345411[[#This Row],[العمر الافتراضي]]=""),"",IF(((T59+AM59)-Table5101345411[[#This Row],[مجمع إهلاك المستبعد 
بتاريخ الأستبعاد]])&lt;=0,0,((T59+AM59)-Table5101345411[[#This Row],[مجمع إهلاك المستبعد 
بتاريخ الأستبعاد]])))</f>
        <v>20912.054794520525</v>
      </c>
      <c r="AS59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الشراء-الاستلام]]&gt;DATE(2018,12,31),0,AI59-AR59)))</f>
        <v>45087.945205479475</v>
      </c>
    </row>
    <row r="60" spans="1:45" s="141" customFormat="1" ht="83.25" customHeight="1">
      <c r="A60" s="64">
        <f>IF(B60="","",SUBTOTAL(3,$B$6:B60))</f>
        <v>55</v>
      </c>
      <c r="B60" s="65" t="s">
        <v>121</v>
      </c>
      <c r="C60" s="66" t="s">
        <v>54</v>
      </c>
      <c r="D60" s="65" t="s">
        <v>68</v>
      </c>
      <c r="E60" s="65" t="s">
        <v>797</v>
      </c>
      <c r="F60" s="226" t="s">
        <v>756</v>
      </c>
      <c r="G60" s="226" t="s">
        <v>753</v>
      </c>
      <c r="H60" s="65" t="s">
        <v>57</v>
      </c>
      <c r="I60" s="65" t="s">
        <v>69</v>
      </c>
      <c r="J60" s="65" t="s">
        <v>64</v>
      </c>
      <c r="K60" s="65"/>
      <c r="L60" s="67"/>
      <c r="M60" s="65">
        <v>42542</v>
      </c>
      <c r="N60" s="84" t="s">
        <v>115</v>
      </c>
      <c r="O60" s="154" t="s">
        <v>133</v>
      </c>
      <c r="P60" s="125">
        <v>1</v>
      </c>
      <c r="Q60" s="126"/>
      <c r="R60" s="127">
        <v>80000</v>
      </c>
      <c r="S60" s="127">
        <f t="shared" si="1"/>
        <v>80000</v>
      </c>
      <c r="T60" s="127">
        <f>55035.6164383562/3</f>
        <v>18345.205479452066</v>
      </c>
      <c r="U60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الشراء-الاستلام]]&lt;DATE(2018,1,1),S60-T60,0))</f>
        <v>61654.794520547934</v>
      </c>
      <c r="V60" s="167"/>
      <c r="W60" s="111"/>
      <c r="X60" s="111"/>
      <c r="Y60" s="112">
        <f>Table5101345411[[#This Row],[عدد الإضافات]]*Table5101345411[[#This Row],[سعر الحبة المضافة]]</f>
        <v>0</v>
      </c>
      <c r="Z60" s="94"/>
      <c r="AA60" s="92"/>
      <c r="AB60" s="93"/>
      <c r="AC60" s="93"/>
      <c r="AD60" s="93"/>
      <c r="AE60" s="93"/>
      <c r="AF60" s="93">
        <f>Table5101345411[[#This Row],[العدد]]*Table5101345411[[#This Row],[قيمة الشراء]]</f>
        <v>0</v>
      </c>
      <c r="AG60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60" s="187">
        <f>Table5101345411[[#This Row],[الكمية]]+Table5101345411[[#This Row],[عدد الإضافات]]-Table5101345411[[#This Row],[العدد]]</f>
        <v>1</v>
      </c>
      <c r="AI60" s="68">
        <f>Table5101345411[[#This Row],[الإجمالي]]+Table5101345411[[#This Row],[إجمالي الإضافات]]-Table5101345411[[#This Row],[إجمالي المستبعد]]</f>
        <v>80000</v>
      </c>
      <c r="AJ60" s="71">
        <v>0.15</v>
      </c>
      <c r="AK60" s="188"/>
      <c r="AL60" s="108" t="s">
        <v>61</v>
      </c>
      <c r="AM60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12000</v>
      </c>
      <c r="AN60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60" s="70">
        <f>Table5101345411[[#This Row],[اهلاك المستبعد
في 2018]]+Table5101345411[[#This Row],[مجمع إهلاك المستبعد 
01-01-2018]]</f>
        <v>0</v>
      </c>
      <c r="AP60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60" s="200"/>
      <c r="AR60" s="68">
        <f>IF(OR(Table5101345411[[#This Row],[تاريخ الشراء-الاستلام]]="",Table5101345411[[#This Row],[الإجمالي]]="",Table5101345411[[#This Row],[العمر الافتراضي]]=""),"",IF(((T60+AM60)-Table5101345411[[#This Row],[مجمع إهلاك المستبعد 
بتاريخ الأستبعاد]])&lt;=0,0,((T60+AM60)-Table5101345411[[#This Row],[مجمع إهلاك المستبعد 
بتاريخ الأستبعاد]])))</f>
        <v>30345.205479452066</v>
      </c>
      <c r="AS60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الشراء-الاستلام]]&gt;DATE(2018,12,31),0,AI60-AR60)))</f>
        <v>49654.794520547934</v>
      </c>
    </row>
    <row r="61" spans="1:45" s="141" customFormat="1" ht="83.25" customHeight="1">
      <c r="A61" s="64">
        <f>IF(B61="","",SUBTOTAL(3,$B$6:B61))</f>
        <v>56</v>
      </c>
      <c r="B61" s="65" t="s">
        <v>121</v>
      </c>
      <c r="C61" s="66" t="s">
        <v>54</v>
      </c>
      <c r="D61" s="65" t="s">
        <v>68</v>
      </c>
      <c r="E61" s="65" t="s">
        <v>797</v>
      </c>
      <c r="F61" s="226" t="s">
        <v>757</v>
      </c>
      <c r="G61" s="226" t="s">
        <v>754</v>
      </c>
      <c r="H61" s="65" t="s">
        <v>57</v>
      </c>
      <c r="I61" s="65" t="s">
        <v>69</v>
      </c>
      <c r="J61" s="65" t="s">
        <v>64</v>
      </c>
      <c r="K61" s="65"/>
      <c r="L61" s="67"/>
      <c r="M61" s="65">
        <v>42542</v>
      </c>
      <c r="N61" s="84" t="s">
        <v>115</v>
      </c>
      <c r="O61" s="154" t="s">
        <v>133</v>
      </c>
      <c r="P61" s="125">
        <v>1</v>
      </c>
      <c r="Q61" s="126"/>
      <c r="R61" s="127">
        <v>80000</v>
      </c>
      <c r="S61" s="127">
        <f t="shared" si="1"/>
        <v>80000</v>
      </c>
      <c r="T61" s="127">
        <f>55035.6164383562/3</f>
        <v>18345.205479452066</v>
      </c>
      <c r="U61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الشراء-الاستلام]]&lt;DATE(2018,1,1),S61-T61,0))</f>
        <v>61654.794520547934</v>
      </c>
      <c r="V61" s="167"/>
      <c r="W61" s="111"/>
      <c r="X61" s="111"/>
      <c r="Y61" s="112">
        <f>Table5101345411[[#This Row],[عدد الإضافات]]*Table5101345411[[#This Row],[سعر الحبة المضافة]]</f>
        <v>0</v>
      </c>
      <c r="Z61" s="94"/>
      <c r="AA61" s="92"/>
      <c r="AB61" s="93"/>
      <c r="AC61" s="93"/>
      <c r="AD61" s="93"/>
      <c r="AE61" s="93"/>
      <c r="AF61" s="93">
        <f>Table5101345411[[#This Row],[العدد]]*Table5101345411[[#This Row],[قيمة الشراء]]</f>
        <v>0</v>
      </c>
      <c r="AG61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61" s="187">
        <f>Table5101345411[[#This Row],[الكمية]]+Table5101345411[[#This Row],[عدد الإضافات]]-Table5101345411[[#This Row],[العدد]]</f>
        <v>1</v>
      </c>
      <c r="AI61" s="68">
        <f>Table5101345411[[#This Row],[الإجمالي]]+Table5101345411[[#This Row],[إجمالي الإضافات]]-Table5101345411[[#This Row],[إجمالي المستبعد]]</f>
        <v>80000</v>
      </c>
      <c r="AJ61" s="71">
        <v>0.15</v>
      </c>
      <c r="AK61" s="188"/>
      <c r="AL61" s="108" t="s">
        <v>61</v>
      </c>
      <c r="AM61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12000</v>
      </c>
      <c r="AN61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61" s="70">
        <f>Table5101345411[[#This Row],[اهلاك المستبعد
في 2018]]+Table5101345411[[#This Row],[مجمع إهلاك المستبعد 
01-01-2018]]</f>
        <v>0</v>
      </c>
      <c r="AP61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61" s="200"/>
      <c r="AR61" s="68">
        <f>IF(OR(Table5101345411[[#This Row],[تاريخ الشراء-الاستلام]]="",Table5101345411[[#This Row],[الإجمالي]]="",Table5101345411[[#This Row],[العمر الافتراضي]]=""),"",IF(((T61+AM61)-Table5101345411[[#This Row],[مجمع إهلاك المستبعد 
بتاريخ الأستبعاد]])&lt;=0,0,((T61+AM61)-Table5101345411[[#This Row],[مجمع إهلاك المستبعد 
بتاريخ الأستبعاد]])))</f>
        <v>30345.205479452066</v>
      </c>
      <c r="AS61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الشراء-الاستلام]]&gt;DATE(2018,12,31),0,AI61-AR61)))</f>
        <v>49654.794520547934</v>
      </c>
    </row>
    <row r="62" spans="1:45" s="141" customFormat="1" ht="83.25" customHeight="1">
      <c r="A62" s="64">
        <f>IF(B62="","",SUBTOTAL(3,$B$6:B62))</f>
        <v>57</v>
      </c>
      <c r="B62" s="65" t="s">
        <v>121</v>
      </c>
      <c r="C62" s="66" t="s">
        <v>54</v>
      </c>
      <c r="D62" s="65" t="s">
        <v>68</v>
      </c>
      <c r="E62" s="65" t="s">
        <v>797</v>
      </c>
      <c r="F62" s="226" t="s">
        <v>758</v>
      </c>
      <c r="G62" s="226" t="s">
        <v>755</v>
      </c>
      <c r="H62" s="65" t="s">
        <v>57</v>
      </c>
      <c r="I62" s="65" t="s">
        <v>69</v>
      </c>
      <c r="J62" s="65" t="s">
        <v>64</v>
      </c>
      <c r="K62" s="65"/>
      <c r="L62" s="67"/>
      <c r="M62" s="65">
        <v>42542</v>
      </c>
      <c r="N62" s="84" t="s">
        <v>115</v>
      </c>
      <c r="O62" s="154" t="s">
        <v>133</v>
      </c>
      <c r="P62" s="125">
        <v>1</v>
      </c>
      <c r="Q62" s="126"/>
      <c r="R62" s="127">
        <v>80000</v>
      </c>
      <c r="S62" s="127">
        <f t="shared" si="1"/>
        <v>80000</v>
      </c>
      <c r="T62" s="127">
        <f>55035.6164383562/3</f>
        <v>18345.205479452066</v>
      </c>
      <c r="U62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الشراء-الاستلام]]&lt;DATE(2018,1,1),S62-T62,0))</f>
        <v>61654.794520547934</v>
      </c>
      <c r="V62" s="167"/>
      <c r="W62" s="111"/>
      <c r="X62" s="111"/>
      <c r="Y62" s="112">
        <f>Table5101345411[[#This Row],[عدد الإضافات]]*Table5101345411[[#This Row],[سعر الحبة المضافة]]</f>
        <v>0</v>
      </c>
      <c r="Z62" s="94"/>
      <c r="AA62" s="92"/>
      <c r="AB62" s="93"/>
      <c r="AC62" s="93"/>
      <c r="AD62" s="93"/>
      <c r="AE62" s="93"/>
      <c r="AF62" s="93">
        <f>Table5101345411[[#This Row],[العدد]]*Table5101345411[[#This Row],[قيمة الشراء]]</f>
        <v>0</v>
      </c>
      <c r="AG62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62" s="187">
        <f>Table5101345411[[#This Row],[الكمية]]+Table5101345411[[#This Row],[عدد الإضافات]]-Table5101345411[[#This Row],[العدد]]</f>
        <v>1</v>
      </c>
      <c r="AI62" s="68">
        <f>Table5101345411[[#This Row],[الإجمالي]]+Table5101345411[[#This Row],[إجمالي الإضافات]]-Table5101345411[[#This Row],[إجمالي المستبعد]]</f>
        <v>80000</v>
      </c>
      <c r="AJ62" s="71">
        <v>0.15</v>
      </c>
      <c r="AK62" s="188"/>
      <c r="AL62" s="108" t="s">
        <v>61</v>
      </c>
      <c r="AM62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12000</v>
      </c>
      <c r="AN62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62" s="70">
        <f>Table5101345411[[#This Row],[اهلاك المستبعد
في 2018]]+Table5101345411[[#This Row],[مجمع إهلاك المستبعد 
01-01-2018]]</f>
        <v>0</v>
      </c>
      <c r="AP62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62" s="200"/>
      <c r="AR62" s="68">
        <f>IF(OR(Table5101345411[[#This Row],[تاريخ الشراء-الاستلام]]="",Table5101345411[[#This Row],[الإجمالي]]="",Table5101345411[[#This Row],[العمر الافتراضي]]=""),"",IF(((T62+AM62)-Table5101345411[[#This Row],[مجمع إهلاك المستبعد 
بتاريخ الأستبعاد]])&lt;=0,0,((T62+AM62)-Table5101345411[[#This Row],[مجمع إهلاك المستبعد 
بتاريخ الأستبعاد]])))</f>
        <v>30345.205479452066</v>
      </c>
      <c r="AS62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الشراء-الاستلام]]&gt;DATE(2018,12,31),0,AI62-AR62)))</f>
        <v>49654.794520547934</v>
      </c>
    </row>
    <row r="63" spans="1:45" s="141" customFormat="1" ht="83.25" customHeight="1">
      <c r="A63" s="64">
        <f>IF(B63="","",SUBTOTAL(3,$B$6:B63))</f>
        <v>58</v>
      </c>
      <c r="B63" s="65" t="s">
        <v>121</v>
      </c>
      <c r="C63" s="66" t="s">
        <v>54</v>
      </c>
      <c r="D63" s="65" t="s">
        <v>68</v>
      </c>
      <c r="E63" s="59" t="s">
        <v>796</v>
      </c>
      <c r="F63" s="226" t="s">
        <v>706</v>
      </c>
      <c r="G63" s="226" t="s">
        <v>737</v>
      </c>
      <c r="H63" s="65" t="s">
        <v>57</v>
      </c>
      <c r="I63" s="58" t="s">
        <v>69</v>
      </c>
      <c r="J63" s="65" t="s">
        <v>64</v>
      </c>
      <c r="K63" s="65"/>
      <c r="L63" s="67"/>
      <c r="M63" s="65">
        <v>42607</v>
      </c>
      <c r="N63" s="85" t="s">
        <v>134</v>
      </c>
      <c r="O63" s="154" t="s">
        <v>135</v>
      </c>
      <c r="P63" s="125">
        <v>1</v>
      </c>
      <c r="Q63" s="126"/>
      <c r="R63" s="127">
        <v>66000</v>
      </c>
      <c r="S63" s="127">
        <f t="shared" si="1"/>
        <v>66000</v>
      </c>
      <c r="T63" s="127">
        <f>53487.1232876712/4</f>
        <v>13371.7808219178</v>
      </c>
      <c r="U63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الشراء-الاستلام]]&lt;DATE(2018,1,1),S63-T63,0))</f>
        <v>52628.219178082203</v>
      </c>
      <c r="V63" s="167"/>
      <c r="W63" s="111"/>
      <c r="X63" s="111"/>
      <c r="Y63" s="112">
        <f>Table5101345411[[#This Row],[عدد الإضافات]]*Table5101345411[[#This Row],[سعر الحبة المضافة]]</f>
        <v>0</v>
      </c>
      <c r="Z63" s="94"/>
      <c r="AA63" s="92"/>
      <c r="AB63" s="93"/>
      <c r="AC63" s="93"/>
      <c r="AD63" s="93"/>
      <c r="AE63" s="93"/>
      <c r="AF63" s="93">
        <f>Table5101345411[[#This Row],[العدد]]*Table5101345411[[#This Row],[قيمة الشراء]]</f>
        <v>0</v>
      </c>
      <c r="AG63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63" s="187">
        <f>Table5101345411[[#This Row],[الكمية]]+Table5101345411[[#This Row],[عدد الإضافات]]-Table5101345411[[#This Row],[العدد]]</f>
        <v>1</v>
      </c>
      <c r="AI63" s="68">
        <f>Table5101345411[[#This Row],[الإجمالي]]+Table5101345411[[#This Row],[إجمالي الإضافات]]-Table5101345411[[#This Row],[إجمالي المستبعد]]</f>
        <v>66000</v>
      </c>
      <c r="AJ63" s="71">
        <v>0.15</v>
      </c>
      <c r="AK63" s="188"/>
      <c r="AL63" s="108" t="s">
        <v>61</v>
      </c>
      <c r="AM63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9900</v>
      </c>
      <c r="AN63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63" s="70">
        <f>Table5101345411[[#This Row],[اهلاك المستبعد
في 2018]]+Table5101345411[[#This Row],[مجمع إهلاك المستبعد 
01-01-2018]]</f>
        <v>0</v>
      </c>
      <c r="AP63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63" s="200"/>
      <c r="AR63" s="68">
        <f>IF(OR(Table5101345411[[#This Row],[تاريخ الشراء-الاستلام]]="",Table5101345411[[#This Row],[الإجمالي]]="",Table5101345411[[#This Row],[العمر الافتراضي]]=""),"",IF(((T63+AM63)-Table5101345411[[#This Row],[مجمع إهلاك المستبعد 
بتاريخ الأستبعاد]])&lt;=0,0,((T63+AM63)-Table5101345411[[#This Row],[مجمع إهلاك المستبعد 
بتاريخ الأستبعاد]])))</f>
        <v>23271.7808219178</v>
      </c>
      <c r="AS63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الشراء-الاستلام]]&gt;DATE(2018,12,31),0,AI63-AR63)))</f>
        <v>42728.219178082203</v>
      </c>
    </row>
    <row r="64" spans="1:45" s="141" customFormat="1" ht="83.25" customHeight="1">
      <c r="A64" s="64">
        <f>IF(B64="","",SUBTOTAL(3,$B$6:B64))</f>
        <v>59</v>
      </c>
      <c r="B64" s="65" t="s">
        <v>121</v>
      </c>
      <c r="C64" s="66" t="s">
        <v>54</v>
      </c>
      <c r="D64" s="65" t="s">
        <v>68</v>
      </c>
      <c r="E64" s="59" t="s">
        <v>796</v>
      </c>
      <c r="F64" s="226" t="s">
        <v>707</v>
      </c>
      <c r="G64" s="226" t="s">
        <v>738</v>
      </c>
      <c r="H64" s="65" t="s">
        <v>57</v>
      </c>
      <c r="I64" s="58" t="s">
        <v>69</v>
      </c>
      <c r="J64" s="65" t="s">
        <v>64</v>
      </c>
      <c r="K64" s="65"/>
      <c r="L64" s="67"/>
      <c r="M64" s="65">
        <v>42607</v>
      </c>
      <c r="N64" s="85" t="s">
        <v>134</v>
      </c>
      <c r="O64" s="154" t="s">
        <v>135</v>
      </c>
      <c r="P64" s="125">
        <v>1</v>
      </c>
      <c r="Q64" s="126"/>
      <c r="R64" s="127">
        <v>66000</v>
      </c>
      <c r="S64" s="127">
        <f t="shared" si="1"/>
        <v>66000</v>
      </c>
      <c r="T64" s="127">
        <f>53487.1232876712/4</f>
        <v>13371.7808219178</v>
      </c>
      <c r="U64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الشراء-الاستلام]]&lt;DATE(2018,1,1),S64-T64,0))</f>
        <v>52628.219178082203</v>
      </c>
      <c r="V64" s="167"/>
      <c r="W64" s="111"/>
      <c r="X64" s="111"/>
      <c r="Y64" s="112">
        <f>Table5101345411[[#This Row],[عدد الإضافات]]*Table5101345411[[#This Row],[سعر الحبة المضافة]]</f>
        <v>0</v>
      </c>
      <c r="Z64" s="94"/>
      <c r="AA64" s="92"/>
      <c r="AB64" s="93"/>
      <c r="AC64" s="93"/>
      <c r="AD64" s="93"/>
      <c r="AE64" s="93"/>
      <c r="AF64" s="93">
        <f>Table5101345411[[#This Row],[العدد]]*Table5101345411[[#This Row],[قيمة الشراء]]</f>
        <v>0</v>
      </c>
      <c r="AG64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64" s="187">
        <f>Table5101345411[[#This Row],[الكمية]]+Table5101345411[[#This Row],[عدد الإضافات]]-Table5101345411[[#This Row],[العدد]]</f>
        <v>1</v>
      </c>
      <c r="AI64" s="68">
        <f>Table5101345411[[#This Row],[الإجمالي]]+Table5101345411[[#This Row],[إجمالي الإضافات]]-Table5101345411[[#This Row],[إجمالي المستبعد]]</f>
        <v>66000</v>
      </c>
      <c r="AJ64" s="71">
        <v>0.15</v>
      </c>
      <c r="AK64" s="188"/>
      <c r="AL64" s="108" t="s">
        <v>61</v>
      </c>
      <c r="AM64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9900</v>
      </c>
      <c r="AN64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64" s="70">
        <f>Table5101345411[[#This Row],[اهلاك المستبعد
في 2018]]+Table5101345411[[#This Row],[مجمع إهلاك المستبعد 
01-01-2018]]</f>
        <v>0</v>
      </c>
      <c r="AP64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64" s="200"/>
      <c r="AR64" s="68">
        <f>IF(OR(Table5101345411[[#This Row],[تاريخ الشراء-الاستلام]]="",Table5101345411[[#This Row],[الإجمالي]]="",Table5101345411[[#This Row],[العمر الافتراضي]]=""),"",IF(((T64+AM64)-Table5101345411[[#This Row],[مجمع إهلاك المستبعد 
بتاريخ الأستبعاد]])&lt;=0,0,((T64+AM64)-Table5101345411[[#This Row],[مجمع إهلاك المستبعد 
بتاريخ الأستبعاد]])))</f>
        <v>23271.7808219178</v>
      </c>
      <c r="AS64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الشراء-الاستلام]]&gt;DATE(2018,12,31),0,AI64-AR64)))</f>
        <v>42728.219178082203</v>
      </c>
    </row>
    <row r="65" spans="1:45" s="141" customFormat="1" ht="83.25" customHeight="1">
      <c r="A65" s="228">
        <f>IF(B65="","",SUBTOTAL(3,$B$6:B65))</f>
        <v>60</v>
      </c>
      <c r="B65" s="65" t="s">
        <v>121</v>
      </c>
      <c r="C65" s="66" t="s">
        <v>54</v>
      </c>
      <c r="D65" s="65" t="s">
        <v>68</v>
      </c>
      <c r="E65" s="59" t="s">
        <v>796</v>
      </c>
      <c r="F65" s="226" t="s">
        <v>708</v>
      </c>
      <c r="G65" s="226" t="s">
        <v>739</v>
      </c>
      <c r="H65" s="65" t="s">
        <v>57</v>
      </c>
      <c r="I65" s="58" t="s">
        <v>69</v>
      </c>
      <c r="J65" s="65" t="s">
        <v>64</v>
      </c>
      <c r="K65" s="65"/>
      <c r="L65" s="67"/>
      <c r="M65" s="65">
        <v>42607</v>
      </c>
      <c r="N65" s="229" t="s">
        <v>134</v>
      </c>
      <c r="O65" s="154" t="s">
        <v>135</v>
      </c>
      <c r="P65" s="125">
        <v>1</v>
      </c>
      <c r="Q65" s="126"/>
      <c r="R65" s="127">
        <v>66000</v>
      </c>
      <c r="S65" s="127">
        <f t="shared" si="1"/>
        <v>66000</v>
      </c>
      <c r="T65" s="127">
        <f>53487.1232876712/4</f>
        <v>13371.7808219178</v>
      </c>
      <c r="U65" s="230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الشراء-الاستلام]]&lt;DATE(2018,1,1),S65-T65,0))</f>
        <v>52628.219178082203</v>
      </c>
      <c r="V65" s="167"/>
      <c r="W65" s="111"/>
      <c r="X65" s="111"/>
      <c r="Y65" s="112">
        <f>Table5101345411[[#This Row],[عدد الإضافات]]*Table5101345411[[#This Row],[سعر الحبة المضافة]]</f>
        <v>0</v>
      </c>
      <c r="Z65" s="94"/>
      <c r="AA65" s="92"/>
      <c r="AB65" s="93"/>
      <c r="AC65" s="93"/>
      <c r="AD65" s="93"/>
      <c r="AE65" s="93"/>
      <c r="AF65" s="93">
        <f>Table5101345411[[#This Row],[العدد]]*Table5101345411[[#This Row],[قيمة الشراء]]</f>
        <v>0</v>
      </c>
      <c r="AG65" s="231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65" s="187">
        <f>Table5101345411[[#This Row],[الكمية]]+Table5101345411[[#This Row],[عدد الإضافات]]-Table5101345411[[#This Row],[العدد]]</f>
        <v>1</v>
      </c>
      <c r="AI65" s="68">
        <f>Table5101345411[[#This Row],[الإجمالي]]+Table5101345411[[#This Row],[إجمالي الإضافات]]-Table5101345411[[#This Row],[إجمالي المستبعد]]</f>
        <v>66000</v>
      </c>
      <c r="AJ65" s="71">
        <v>0.15</v>
      </c>
      <c r="AK65" s="232"/>
      <c r="AL65" s="65" t="s">
        <v>61</v>
      </c>
      <c r="AM65" s="70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9900</v>
      </c>
      <c r="AN65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65" s="70">
        <f>Table5101345411[[#This Row],[اهلاك المستبعد
في 2018]]+Table5101345411[[#This Row],[مجمع إهلاك المستبعد 
01-01-2018]]</f>
        <v>0</v>
      </c>
      <c r="AP65" s="70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65" s="233"/>
      <c r="AR65" s="68">
        <f>IF(OR(Table5101345411[[#This Row],[تاريخ الشراء-الاستلام]]="",Table5101345411[[#This Row],[الإجمالي]]="",Table5101345411[[#This Row],[العمر الافتراضي]]=""),"",IF(((T65+AM65)-Table5101345411[[#This Row],[مجمع إهلاك المستبعد 
بتاريخ الأستبعاد]])&lt;=0,0,((T65+AM65)-Table5101345411[[#This Row],[مجمع إهلاك المستبعد 
بتاريخ الأستبعاد]])))</f>
        <v>23271.7808219178</v>
      </c>
      <c r="AS65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الشراء-الاستلام]]&gt;DATE(2018,12,31),0,AI65-AR65)))</f>
        <v>42728.219178082203</v>
      </c>
    </row>
    <row r="66" spans="1:45" s="141" customFormat="1" ht="83.25" customHeight="1">
      <c r="A66" s="118">
        <f>IF(B66="","",SUBTOTAL(3,$B$6:B66))</f>
        <v>61</v>
      </c>
      <c r="B66" s="58" t="s">
        <v>137</v>
      </c>
      <c r="C66" s="59" t="s">
        <v>54</v>
      </c>
      <c r="D66" s="59" t="s">
        <v>84</v>
      </c>
      <c r="E66" s="59" t="s">
        <v>610</v>
      </c>
      <c r="F66" s="226" t="s">
        <v>614</v>
      </c>
      <c r="G66" s="226"/>
      <c r="H66" s="58" t="s">
        <v>57</v>
      </c>
      <c r="I66" s="58" t="s">
        <v>69</v>
      </c>
      <c r="J66" s="58" t="s">
        <v>64</v>
      </c>
      <c r="K66" s="58" t="s">
        <v>86</v>
      </c>
      <c r="L66" s="60" t="s">
        <v>138</v>
      </c>
      <c r="M66" s="77">
        <v>42579</v>
      </c>
      <c r="N66" s="77" t="s">
        <v>139</v>
      </c>
      <c r="O66" s="150"/>
      <c r="P66" s="122">
        <v>1</v>
      </c>
      <c r="Q66" s="123"/>
      <c r="R66" s="130">
        <v>250000</v>
      </c>
      <c r="S66" s="130">
        <f t="shared" si="1"/>
        <v>250000</v>
      </c>
      <c r="T66" s="130">
        <v>89212.328767123283</v>
      </c>
      <c r="U66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الشراء-الاستلام]]&lt;DATE(2018,1,1),S66-T66,0))</f>
        <v>160787.67123287672</v>
      </c>
      <c r="V66" s="169"/>
      <c r="W66" s="116"/>
      <c r="X66" s="116"/>
      <c r="Y66" s="117">
        <f>Table5101345411[[#This Row],[عدد الإضافات]]*Table5101345411[[#This Row],[سعر الحبة المضافة]]</f>
        <v>0</v>
      </c>
      <c r="Z66" s="101"/>
      <c r="AA66" s="102"/>
      <c r="AB66" s="103"/>
      <c r="AC66" s="103"/>
      <c r="AD66" s="103"/>
      <c r="AE66" s="103"/>
      <c r="AF66" s="103">
        <f>Table5101345411[[#This Row],[العدد]]*Table5101345411[[#This Row],[قيمة الشراء]]</f>
        <v>0</v>
      </c>
      <c r="AG66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66" s="190">
        <f>Table5101345411[[#This Row],[الكمية]]+Table5101345411[[#This Row],[عدد الإضافات]]-Table5101345411[[#This Row],[العدد]]</f>
        <v>1</v>
      </c>
      <c r="AI66" s="78">
        <f>Table5101345411[[#This Row],[الإجمالي]]+Table5101345411[[#This Row],[إجمالي الإضافات]]-Table5101345411[[#This Row],[إجمالي المستبعد]]</f>
        <v>250000</v>
      </c>
      <c r="AJ66" s="120">
        <v>0.15</v>
      </c>
      <c r="AK66" s="219"/>
      <c r="AL66" s="58" t="s">
        <v>61</v>
      </c>
      <c r="AM66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37500</v>
      </c>
      <c r="AN66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66" s="79">
        <f>Table5101345411[[#This Row],[اهلاك المستبعد
في 2018]]+Table5101345411[[#This Row],[مجمع إهلاك المستبعد 
01-01-2018]]</f>
        <v>0</v>
      </c>
      <c r="AP66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66" s="220"/>
      <c r="AR66" s="78">
        <f>IF(OR(Table5101345411[[#This Row],[تاريخ الشراء-الاستلام]]="",Table5101345411[[#This Row],[الإجمالي]]="",Table5101345411[[#This Row],[العمر الافتراضي]]=""),"",IF(((T66+AM66)-Table5101345411[[#This Row],[مجمع إهلاك المستبعد 
بتاريخ الأستبعاد]])&lt;=0,0,((T66+AM66)-Table5101345411[[#This Row],[مجمع إهلاك المستبعد 
بتاريخ الأستبعاد]])))</f>
        <v>126712.32876712328</v>
      </c>
      <c r="AS66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الشراء-الاستلام]]&gt;DATE(2018,12,31),0,AI66-AR66)))</f>
        <v>123287.67123287672</v>
      </c>
    </row>
    <row r="67" spans="1:45" s="141" customFormat="1" ht="83.25" customHeight="1">
      <c r="A67" s="118">
        <f>IF(B67="","",SUBTOTAL(3,$B$6:B67))</f>
        <v>62</v>
      </c>
      <c r="B67" s="58" t="s">
        <v>137</v>
      </c>
      <c r="C67" s="59" t="s">
        <v>54</v>
      </c>
      <c r="D67" s="59" t="s">
        <v>84</v>
      </c>
      <c r="E67" s="59" t="s">
        <v>610</v>
      </c>
      <c r="F67" s="226" t="s">
        <v>615</v>
      </c>
      <c r="G67" s="226"/>
      <c r="H67" s="58" t="s">
        <v>57</v>
      </c>
      <c r="I67" s="58" t="s">
        <v>69</v>
      </c>
      <c r="J67" s="58" t="s">
        <v>64</v>
      </c>
      <c r="K67" s="58" t="s">
        <v>86</v>
      </c>
      <c r="L67" s="60" t="s">
        <v>140</v>
      </c>
      <c r="M67" s="77">
        <v>42580</v>
      </c>
      <c r="N67" s="77" t="s">
        <v>139</v>
      </c>
      <c r="O67" s="150"/>
      <c r="P67" s="122">
        <v>1</v>
      </c>
      <c r="Q67" s="123"/>
      <c r="R67" s="130">
        <v>250000</v>
      </c>
      <c r="S67" s="130">
        <f t="shared" si="1"/>
        <v>250000</v>
      </c>
      <c r="T67" s="130">
        <v>89041.095890410958</v>
      </c>
      <c r="U67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الشراء-الاستلام]]&lt;DATE(2018,1,1),S67-T67,0))</f>
        <v>160958.90410958906</v>
      </c>
      <c r="V67" s="169"/>
      <c r="W67" s="116"/>
      <c r="X67" s="116"/>
      <c r="Y67" s="117">
        <f>Table5101345411[[#This Row],[عدد الإضافات]]*Table5101345411[[#This Row],[سعر الحبة المضافة]]</f>
        <v>0</v>
      </c>
      <c r="Z67" s="101"/>
      <c r="AA67" s="102"/>
      <c r="AB67" s="103"/>
      <c r="AC67" s="103"/>
      <c r="AD67" s="103"/>
      <c r="AE67" s="103"/>
      <c r="AF67" s="103">
        <f>Table5101345411[[#This Row],[العدد]]*Table5101345411[[#This Row],[قيمة الشراء]]</f>
        <v>0</v>
      </c>
      <c r="AG67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67" s="190">
        <f>Table5101345411[[#This Row],[الكمية]]+Table5101345411[[#This Row],[عدد الإضافات]]-Table5101345411[[#This Row],[العدد]]</f>
        <v>1</v>
      </c>
      <c r="AI67" s="78">
        <f>Table5101345411[[#This Row],[الإجمالي]]+Table5101345411[[#This Row],[إجمالي الإضافات]]-Table5101345411[[#This Row],[إجمالي المستبعد]]</f>
        <v>250000</v>
      </c>
      <c r="AJ67" s="120">
        <v>0.15</v>
      </c>
      <c r="AK67" s="219"/>
      <c r="AL67" s="58" t="s">
        <v>61</v>
      </c>
      <c r="AM67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37500</v>
      </c>
      <c r="AN67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67" s="79">
        <f>Table5101345411[[#This Row],[اهلاك المستبعد
في 2018]]+Table5101345411[[#This Row],[مجمع إهلاك المستبعد 
01-01-2018]]</f>
        <v>0</v>
      </c>
      <c r="AP67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67" s="220"/>
      <c r="AR67" s="78">
        <f>IF(OR(Table5101345411[[#This Row],[تاريخ الشراء-الاستلام]]="",Table5101345411[[#This Row],[الإجمالي]]="",Table5101345411[[#This Row],[العمر الافتراضي]]=""),"",IF(((T67+AM67)-Table5101345411[[#This Row],[مجمع إهلاك المستبعد 
بتاريخ الأستبعاد]])&lt;=0,0,((T67+AM67)-Table5101345411[[#This Row],[مجمع إهلاك المستبعد 
بتاريخ الأستبعاد]])))</f>
        <v>126541.09589041096</v>
      </c>
      <c r="AS67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الشراء-الاستلام]]&gt;DATE(2018,12,31),0,AI67-AR67)))</f>
        <v>123458.90410958904</v>
      </c>
    </row>
    <row r="68" spans="1:45" s="141" customFormat="1" ht="83.25" customHeight="1">
      <c r="A68" s="118">
        <f>IF(B68="","",SUBTOTAL(3,$B$6:B68))</f>
        <v>63</v>
      </c>
      <c r="B68" s="58" t="s">
        <v>137</v>
      </c>
      <c r="C68" s="59" t="s">
        <v>54</v>
      </c>
      <c r="D68" s="59" t="s">
        <v>84</v>
      </c>
      <c r="E68" s="59" t="s">
        <v>84</v>
      </c>
      <c r="F68" s="226" t="s">
        <v>84</v>
      </c>
      <c r="G68" s="226"/>
      <c r="H68" s="58"/>
      <c r="I68" s="58"/>
      <c r="J68" s="58" t="s">
        <v>64</v>
      </c>
      <c r="K68" s="58" t="s">
        <v>86</v>
      </c>
      <c r="L68" s="60" t="s">
        <v>141</v>
      </c>
      <c r="M68" s="77">
        <v>42580</v>
      </c>
      <c r="N68" s="77" t="s">
        <v>139</v>
      </c>
      <c r="O68" s="150"/>
      <c r="P68" s="122">
        <v>1</v>
      </c>
      <c r="Q68" s="123"/>
      <c r="R68" s="130">
        <v>250000</v>
      </c>
      <c r="S68" s="130">
        <f t="shared" si="1"/>
        <v>250000</v>
      </c>
      <c r="T68" s="130">
        <v>89041.095890410958</v>
      </c>
      <c r="U68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الشراء-الاستلام]]&lt;DATE(2018,1,1),S68-T68,0))</f>
        <v>160958.90410958906</v>
      </c>
      <c r="V68" s="169"/>
      <c r="W68" s="116"/>
      <c r="X68" s="116"/>
      <c r="Y68" s="117">
        <f>Table5101345411[[#This Row],[عدد الإضافات]]*Table5101345411[[#This Row],[سعر الحبة المضافة]]</f>
        <v>0</v>
      </c>
      <c r="Z68" s="101"/>
      <c r="AA68" s="102"/>
      <c r="AB68" s="103"/>
      <c r="AC68" s="103"/>
      <c r="AD68" s="103"/>
      <c r="AE68" s="103"/>
      <c r="AF68" s="103">
        <f>Table5101345411[[#This Row],[العدد]]*Table5101345411[[#This Row],[قيمة الشراء]]</f>
        <v>0</v>
      </c>
      <c r="AG68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68" s="190">
        <f>Table5101345411[[#This Row],[الكمية]]+Table5101345411[[#This Row],[عدد الإضافات]]-Table5101345411[[#This Row],[العدد]]</f>
        <v>1</v>
      </c>
      <c r="AI68" s="78">
        <f>Table5101345411[[#This Row],[الإجمالي]]+Table5101345411[[#This Row],[إجمالي الإضافات]]-Table5101345411[[#This Row],[إجمالي المستبعد]]</f>
        <v>250000</v>
      </c>
      <c r="AJ68" s="120">
        <v>0.15</v>
      </c>
      <c r="AK68" s="219"/>
      <c r="AL68" s="58" t="s">
        <v>61</v>
      </c>
      <c r="AM68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37500</v>
      </c>
      <c r="AN68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68" s="79">
        <f>Table5101345411[[#This Row],[اهلاك المستبعد
في 2018]]+Table5101345411[[#This Row],[مجمع إهلاك المستبعد 
01-01-2018]]</f>
        <v>0</v>
      </c>
      <c r="AP68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68" s="220"/>
      <c r="AR68" s="78">
        <f>IF(OR(Table5101345411[[#This Row],[تاريخ الشراء-الاستلام]]="",Table5101345411[[#This Row],[الإجمالي]]="",Table5101345411[[#This Row],[العمر الافتراضي]]=""),"",IF(((T68+AM68)-Table5101345411[[#This Row],[مجمع إهلاك المستبعد 
بتاريخ الأستبعاد]])&lt;=0,0,((T68+AM68)-Table5101345411[[#This Row],[مجمع إهلاك المستبعد 
بتاريخ الأستبعاد]])))</f>
        <v>126541.09589041096</v>
      </c>
      <c r="AS68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الشراء-الاستلام]]&gt;DATE(2018,12,31),0,AI68-AR68)))</f>
        <v>123458.90410958904</v>
      </c>
    </row>
    <row r="69" spans="1:45" s="141" customFormat="1" ht="83.25" customHeight="1">
      <c r="A69" s="118">
        <f>IF(B69="","",SUBTOTAL(3,$B$6:B69))</f>
        <v>64</v>
      </c>
      <c r="B69" s="58" t="s">
        <v>118</v>
      </c>
      <c r="C69" s="59" t="s">
        <v>54</v>
      </c>
      <c r="D69" s="59" t="s">
        <v>522</v>
      </c>
      <c r="E69" s="59" t="s">
        <v>524</v>
      </c>
      <c r="F69" s="226" t="s">
        <v>524</v>
      </c>
      <c r="G69" s="226"/>
      <c r="H69" s="58" t="s">
        <v>57</v>
      </c>
      <c r="I69" s="58" t="s">
        <v>85</v>
      </c>
      <c r="J69" s="58" t="s">
        <v>64</v>
      </c>
      <c r="K69" s="58"/>
      <c r="L69" s="60"/>
      <c r="M69" s="77">
        <v>42551</v>
      </c>
      <c r="N69" s="77" t="s">
        <v>142</v>
      </c>
      <c r="O69" s="150"/>
      <c r="P69" s="122">
        <v>43</v>
      </c>
      <c r="Q69" s="123"/>
      <c r="R69" s="130">
        <v>595.4</v>
      </c>
      <c r="S69" s="130">
        <f t="shared" si="1"/>
        <v>25602.2</v>
      </c>
      <c r="T69" s="130">
        <v>5776.2771780821913</v>
      </c>
      <c r="U69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الشراء-الاستلام]]&lt;DATE(2018,1,1),S69-T69,0))</f>
        <v>19825.922821917811</v>
      </c>
      <c r="V69" s="169"/>
      <c r="W69" s="116"/>
      <c r="X69" s="116"/>
      <c r="Y69" s="117">
        <f>Table5101345411[[#This Row],[عدد الإضافات]]*Table5101345411[[#This Row],[سعر الحبة المضافة]]</f>
        <v>0</v>
      </c>
      <c r="Z69" s="101"/>
      <c r="AA69" s="102"/>
      <c r="AB69" s="103"/>
      <c r="AC69" s="103"/>
      <c r="AD69" s="103"/>
      <c r="AE69" s="103"/>
      <c r="AF69" s="103">
        <f>Table5101345411[[#This Row],[العدد]]*Table5101345411[[#This Row],[قيمة الشراء]]</f>
        <v>0</v>
      </c>
      <c r="AG69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69" s="190">
        <f>Table5101345411[[#This Row],[الكمية]]+Table5101345411[[#This Row],[عدد الإضافات]]-Table5101345411[[#This Row],[العدد]]</f>
        <v>43</v>
      </c>
      <c r="AI69" s="78">
        <f>Table5101345411[[#This Row],[الإجمالي]]+Table5101345411[[#This Row],[إجمالي الإضافات]]-Table5101345411[[#This Row],[إجمالي المستبعد]]</f>
        <v>25602.2</v>
      </c>
      <c r="AJ69" s="62">
        <v>0.125</v>
      </c>
      <c r="AK69" s="219"/>
      <c r="AL69" s="58" t="s">
        <v>61</v>
      </c>
      <c r="AM69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3200.2750000000001</v>
      </c>
      <c r="AN69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69" s="79">
        <f>Table5101345411[[#This Row],[اهلاك المستبعد
في 2018]]+Table5101345411[[#This Row],[مجمع إهلاك المستبعد 
01-01-2018]]</f>
        <v>0</v>
      </c>
      <c r="AP69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69" s="220"/>
      <c r="AR69" s="78">
        <f>IF(OR(Table5101345411[[#This Row],[تاريخ الشراء-الاستلام]]="",Table5101345411[[#This Row],[الإجمالي]]="",Table5101345411[[#This Row],[العمر الافتراضي]]=""),"",IF(((T69+AM69)-Table5101345411[[#This Row],[مجمع إهلاك المستبعد 
بتاريخ الأستبعاد]])&lt;=0,0,((T69+AM69)-Table5101345411[[#This Row],[مجمع إهلاك المستبعد 
بتاريخ الأستبعاد]])))</f>
        <v>8976.5521780821909</v>
      </c>
      <c r="AS69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الشراء-الاستلام]]&gt;DATE(2018,12,31),0,AI69-AR69)))</f>
        <v>16625.64782191781</v>
      </c>
    </row>
    <row r="70" spans="1:45" s="141" customFormat="1" ht="83.25" customHeight="1">
      <c r="A70" s="118">
        <f>IF(B70="","",SUBTOTAL(3,$B$6:B70))</f>
        <v>65</v>
      </c>
      <c r="B70" s="58" t="s">
        <v>143</v>
      </c>
      <c r="C70" s="59" t="s">
        <v>54</v>
      </c>
      <c r="D70" s="59" t="s">
        <v>522</v>
      </c>
      <c r="E70" s="59" t="s">
        <v>120</v>
      </c>
      <c r="F70" s="226" t="s">
        <v>120</v>
      </c>
      <c r="G70" s="226"/>
      <c r="H70" s="58" t="s">
        <v>57</v>
      </c>
      <c r="I70" s="58" t="s">
        <v>85</v>
      </c>
      <c r="J70" s="58" t="s">
        <v>64</v>
      </c>
      <c r="K70" s="58"/>
      <c r="L70" s="60"/>
      <c r="M70" s="77">
        <v>42371</v>
      </c>
      <c r="N70" s="77" t="s">
        <v>142</v>
      </c>
      <c r="O70" s="150"/>
      <c r="P70" s="122">
        <v>75</v>
      </c>
      <c r="Q70" s="123"/>
      <c r="R70" s="130">
        <v>1600</v>
      </c>
      <c r="S70" s="130">
        <f t="shared" si="1"/>
        <v>120000</v>
      </c>
      <c r="T70" s="130">
        <v>35950.684931506854</v>
      </c>
      <c r="U70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الشراء-الاستلام]]&lt;DATE(2018,1,1),S70-T70,0))</f>
        <v>84049.315068493146</v>
      </c>
      <c r="V70" s="169"/>
      <c r="W70" s="116"/>
      <c r="X70" s="116"/>
      <c r="Y70" s="117">
        <f>Table5101345411[[#This Row],[عدد الإضافات]]*Table5101345411[[#This Row],[سعر الحبة المضافة]]</f>
        <v>0</v>
      </c>
      <c r="Z70" s="101"/>
      <c r="AA70" s="102"/>
      <c r="AB70" s="103"/>
      <c r="AC70" s="103"/>
      <c r="AD70" s="103"/>
      <c r="AE70" s="103"/>
      <c r="AF70" s="103">
        <f>Table5101345411[[#This Row],[العدد]]*Table5101345411[[#This Row],[قيمة الشراء]]</f>
        <v>0</v>
      </c>
      <c r="AG70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70" s="190">
        <f>Table5101345411[[#This Row],[الكمية]]+Table5101345411[[#This Row],[عدد الإضافات]]-Table5101345411[[#This Row],[العدد]]</f>
        <v>75</v>
      </c>
      <c r="AI70" s="78">
        <f>Table5101345411[[#This Row],[الإجمالي]]+Table5101345411[[#This Row],[إجمالي الإضافات]]-Table5101345411[[#This Row],[إجمالي المستبعد]]</f>
        <v>120000</v>
      </c>
      <c r="AJ70" s="62">
        <v>0.125</v>
      </c>
      <c r="AK70" s="219"/>
      <c r="AL70" s="58" t="s">
        <v>61</v>
      </c>
      <c r="AM70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15000</v>
      </c>
      <c r="AN70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70" s="79">
        <f>Table5101345411[[#This Row],[اهلاك المستبعد
في 2018]]+Table5101345411[[#This Row],[مجمع إهلاك المستبعد 
01-01-2018]]</f>
        <v>0</v>
      </c>
      <c r="AP70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70" s="220"/>
      <c r="AR70" s="78">
        <f>IF(OR(Table5101345411[[#This Row],[تاريخ الشراء-الاستلام]]="",Table5101345411[[#This Row],[الإجمالي]]="",Table5101345411[[#This Row],[العمر الافتراضي]]=""),"",IF(((T70+AM70)-Table5101345411[[#This Row],[مجمع إهلاك المستبعد 
بتاريخ الأستبعاد]])&lt;=0,0,((T70+AM70)-Table5101345411[[#This Row],[مجمع إهلاك المستبعد 
بتاريخ الأستبعاد]])))</f>
        <v>50950.684931506854</v>
      </c>
      <c r="AS70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الشراء-الاستلام]]&gt;DATE(2018,12,31),0,AI70-AR70)))</f>
        <v>69049.315068493146</v>
      </c>
    </row>
    <row r="71" spans="1:45" s="141" customFormat="1" ht="83.25" customHeight="1">
      <c r="A71" s="118">
        <f>IF(B71="","",SUBTOTAL(3,$B$6:B71))</f>
        <v>66</v>
      </c>
      <c r="B71" s="58" t="s">
        <v>144</v>
      </c>
      <c r="C71" s="59" t="s">
        <v>54</v>
      </c>
      <c r="D71" s="59" t="s">
        <v>522</v>
      </c>
      <c r="E71" s="59" t="s">
        <v>145</v>
      </c>
      <c r="F71" s="226" t="s">
        <v>145</v>
      </c>
      <c r="G71" s="226"/>
      <c r="H71" s="58" t="s">
        <v>57</v>
      </c>
      <c r="I71" s="58" t="s">
        <v>69</v>
      </c>
      <c r="J71" s="58" t="s">
        <v>64</v>
      </c>
      <c r="K71" s="58"/>
      <c r="L71" s="60" t="s">
        <v>146</v>
      </c>
      <c r="M71" s="77">
        <v>42612</v>
      </c>
      <c r="N71" s="77" t="s">
        <v>142</v>
      </c>
      <c r="O71" s="150"/>
      <c r="P71" s="122">
        <v>5</v>
      </c>
      <c r="Q71" s="123"/>
      <c r="R71" s="130">
        <v>23000</v>
      </c>
      <c r="S71" s="130">
        <f t="shared" si="1"/>
        <v>115000</v>
      </c>
      <c r="T71" s="130">
        <v>23063.013698630137</v>
      </c>
      <c r="U71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الشراء-الاستلام]]&lt;DATE(2018,1,1),S71-T71,0))</f>
        <v>91936.986301369863</v>
      </c>
      <c r="V71" s="169"/>
      <c r="W71" s="116"/>
      <c r="X71" s="116"/>
      <c r="Y71" s="117">
        <f>Table5101345411[[#This Row],[عدد الإضافات]]*Table5101345411[[#This Row],[سعر الحبة المضافة]]</f>
        <v>0</v>
      </c>
      <c r="Z71" s="101"/>
      <c r="AA71" s="102"/>
      <c r="AB71" s="103"/>
      <c r="AC71" s="103"/>
      <c r="AD71" s="103"/>
      <c r="AE71" s="103"/>
      <c r="AF71" s="103">
        <f>Table5101345411[[#This Row],[العدد]]*Table5101345411[[#This Row],[قيمة الشراء]]</f>
        <v>0</v>
      </c>
      <c r="AG71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71" s="190">
        <f>Table5101345411[[#This Row],[الكمية]]+Table5101345411[[#This Row],[عدد الإضافات]]-Table5101345411[[#This Row],[العدد]]</f>
        <v>5</v>
      </c>
      <c r="AI71" s="78">
        <f>Table5101345411[[#This Row],[الإجمالي]]+Table5101345411[[#This Row],[إجمالي الإضافات]]-Table5101345411[[#This Row],[إجمالي المستبعد]]</f>
        <v>115000</v>
      </c>
      <c r="AJ71" s="62">
        <v>0.125</v>
      </c>
      <c r="AK71" s="219"/>
      <c r="AL71" s="58" t="s">
        <v>61</v>
      </c>
      <c r="AM71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14375</v>
      </c>
      <c r="AN71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71" s="79">
        <f>Table5101345411[[#This Row],[اهلاك المستبعد
في 2018]]+Table5101345411[[#This Row],[مجمع إهلاك المستبعد 
01-01-2018]]</f>
        <v>0</v>
      </c>
      <c r="AP71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71" s="220"/>
      <c r="AR71" s="78">
        <f>IF(OR(Table5101345411[[#This Row],[تاريخ الشراء-الاستلام]]="",Table5101345411[[#This Row],[الإجمالي]]="",Table5101345411[[#This Row],[العمر الافتراضي]]=""),"",IF(((T71+AM71)-Table5101345411[[#This Row],[مجمع إهلاك المستبعد 
بتاريخ الأستبعاد]])&lt;=0,0,((T71+AM71)-Table5101345411[[#This Row],[مجمع إهلاك المستبعد 
بتاريخ الأستبعاد]])))</f>
        <v>37438.013698630137</v>
      </c>
      <c r="AS71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الشراء-الاستلام]]&gt;DATE(2018,12,31),0,AI71-AR71)))</f>
        <v>77561.986301369863</v>
      </c>
    </row>
    <row r="72" spans="1:45" s="141" customFormat="1" ht="83.25" customHeight="1">
      <c r="A72" s="118">
        <f>IF(B72="","",SUBTOTAL(3,$B$6:B72))</f>
        <v>67</v>
      </c>
      <c r="B72" s="58" t="s">
        <v>147</v>
      </c>
      <c r="C72" s="59" t="s">
        <v>54</v>
      </c>
      <c r="D72" s="59" t="s">
        <v>522</v>
      </c>
      <c r="E72" s="59" t="s">
        <v>145</v>
      </c>
      <c r="F72" s="226" t="s">
        <v>145</v>
      </c>
      <c r="G72" s="226"/>
      <c r="H72" s="58" t="s">
        <v>57</v>
      </c>
      <c r="I72" s="58" t="s">
        <v>69</v>
      </c>
      <c r="J72" s="58" t="s">
        <v>64</v>
      </c>
      <c r="K72" s="58"/>
      <c r="L72" s="60"/>
      <c r="M72" s="77">
        <v>42522</v>
      </c>
      <c r="N72" s="77" t="s">
        <v>142</v>
      </c>
      <c r="O72" s="150"/>
      <c r="P72" s="122">
        <v>3</v>
      </c>
      <c r="Q72" s="123"/>
      <c r="R72" s="130">
        <v>12000</v>
      </c>
      <c r="S72" s="130">
        <f t="shared" ref="S72:S135" si="2">R72*P72</f>
        <v>36000</v>
      </c>
      <c r="T72" s="130">
        <v>8551.232876712329</v>
      </c>
      <c r="U72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الشراء-الاستلام]]&lt;DATE(2018,1,1),S72-T72,0))</f>
        <v>27448.767123287671</v>
      </c>
      <c r="V72" s="169"/>
      <c r="W72" s="116"/>
      <c r="X72" s="116"/>
      <c r="Y72" s="117">
        <f>Table5101345411[[#This Row],[عدد الإضافات]]*Table5101345411[[#This Row],[سعر الحبة المضافة]]</f>
        <v>0</v>
      </c>
      <c r="Z72" s="101"/>
      <c r="AA72" s="102"/>
      <c r="AB72" s="103"/>
      <c r="AC72" s="103"/>
      <c r="AD72" s="103"/>
      <c r="AE72" s="103"/>
      <c r="AF72" s="103">
        <f>Table5101345411[[#This Row],[العدد]]*Table5101345411[[#This Row],[قيمة الشراء]]</f>
        <v>0</v>
      </c>
      <c r="AG72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72" s="190">
        <f>Table5101345411[[#This Row],[الكمية]]+Table5101345411[[#This Row],[عدد الإضافات]]-Table5101345411[[#This Row],[العدد]]</f>
        <v>3</v>
      </c>
      <c r="AI72" s="78">
        <f>Table5101345411[[#This Row],[الإجمالي]]+Table5101345411[[#This Row],[إجمالي الإضافات]]-Table5101345411[[#This Row],[إجمالي المستبعد]]</f>
        <v>36000</v>
      </c>
      <c r="AJ72" s="62">
        <v>0.125</v>
      </c>
      <c r="AK72" s="219"/>
      <c r="AL72" s="58" t="s">
        <v>61</v>
      </c>
      <c r="AM72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4500</v>
      </c>
      <c r="AN72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72" s="79">
        <f>Table5101345411[[#This Row],[اهلاك المستبعد
في 2018]]+Table5101345411[[#This Row],[مجمع إهلاك المستبعد 
01-01-2018]]</f>
        <v>0</v>
      </c>
      <c r="AP72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72" s="220"/>
      <c r="AR72" s="78">
        <f>IF(OR(Table5101345411[[#This Row],[تاريخ الشراء-الاستلام]]="",Table5101345411[[#This Row],[الإجمالي]]="",Table5101345411[[#This Row],[العمر الافتراضي]]=""),"",IF(((T72+AM72)-Table5101345411[[#This Row],[مجمع إهلاك المستبعد 
بتاريخ الأستبعاد]])&lt;=0,0,((T72+AM72)-Table5101345411[[#This Row],[مجمع إهلاك المستبعد 
بتاريخ الأستبعاد]])))</f>
        <v>13051.232876712329</v>
      </c>
      <c r="AS72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الشراء-الاستلام]]&gt;DATE(2018,12,31),0,AI72-AR72)))</f>
        <v>22948.767123287671</v>
      </c>
    </row>
    <row r="73" spans="1:45" s="141" customFormat="1" ht="83.25" customHeight="1">
      <c r="A73" s="118">
        <f>IF(B73="","",SUBTOTAL(3,$B$6:B73))</f>
        <v>68</v>
      </c>
      <c r="B73" s="58" t="s">
        <v>62</v>
      </c>
      <c r="C73" s="59" t="s">
        <v>54</v>
      </c>
      <c r="D73" s="59" t="s">
        <v>522</v>
      </c>
      <c r="E73" s="59" t="s">
        <v>523</v>
      </c>
      <c r="F73" s="226" t="s">
        <v>523</v>
      </c>
      <c r="G73" s="226"/>
      <c r="H73" s="58" t="s">
        <v>57</v>
      </c>
      <c r="I73" s="58" t="s">
        <v>85</v>
      </c>
      <c r="J73" s="58" t="s">
        <v>64</v>
      </c>
      <c r="K73" s="58"/>
      <c r="L73" s="60"/>
      <c r="M73" s="77">
        <v>42461</v>
      </c>
      <c r="N73" s="77" t="s">
        <v>142</v>
      </c>
      <c r="O73" s="150"/>
      <c r="P73" s="122">
        <v>15</v>
      </c>
      <c r="Q73" s="123"/>
      <c r="R73" s="130">
        <v>850</v>
      </c>
      <c r="S73" s="130">
        <f t="shared" si="2"/>
        <v>12750</v>
      </c>
      <c r="T73" s="130">
        <v>3348.1849315068494</v>
      </c>
      <c r="U73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الشراء-الاستلام]]&lt;DATE(2018,1,1),S73-T73,0))</f>
        <v>9401.8150684931497</v>
      </c>
      <c r="V73" s="169"/>
      <c r="W73" s="116"/>
      <c r="X73" s="116"/>
      <c r="Y73" s="117">
        <f>Table5101345411[[#This Row],[عدد الإضافات]]*Table5101345411[[#This Row],[سعر الحبة المضافة]]</f>
        <v>0</v>
      </c>
      <c r="Z73" s="101"/>
      <c r="AA73" s="102"/>
      <c r="AB73" s="103"/>
      <c r="AC73" s="103"/>
      <c r="AD73" s="103"/>
      <c r="AE73" s="103"/>
      <c r="AF73" s="103">
        <f>Table5101345411[[#This Row],[العدد]]*Table5101345411[[#This Row],[قيمة الشراء]]</f>
        <v>0</v>
      </c>
      <c r="AG73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73" s="190">
        <f>Table5101345411[[#This Row],[الكمية]]+Table5101345411[[#This Row],[عدد الإضافات]]-Table5101345411[[#This Row],[العدد]]</f>
        <v>15</v>
      </c>
      <c r="AI73" s="78">
        <f>Table5101345411[[#This Row],[الإجمالي]]+Table5101345411[[#This Row],[إجمالي الإضافات]]-Table5101345411[[#This Row],[إجمالي المستبعد]]</f>
        <v>12750</v>
      </c>
      <c r="AJ73" s="62">
        <v>0.125</v>
      </c>
      <c r="AK73" s="219"/>
      <c r="AL73" s="58" t="s">
        <v>61</v>
      </c>
      <c r="AM73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1593.75</v>
      </c>
      <c r="AN73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73" s="79">
        <f>Table5101345411[[#This Row],[اهلاك المستبعد
في 2018]]+Table5101345411[[#This Row],[مجمع إهلاك المستبعد 
01-01-2018]]</f>
        <v>0</v>
      </c>
      <c r="AP73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73" s="220"/>
      <c r="AR73" s="78">
        <f>IF(OR(Table5101345411[[#This Row],[تاريخ الشراء-الاستلام]]="",Table5101345411[[#This Row],[الإجمالي]]="",Table5101345411[[#This Row],[العمر الافتراضي]]=""),"",IF(((T73+AM73)-Table5101345411[[#This Row],[مجمع إهلاك المستبعد 
بتاريخ الأستبعاد]])&lt;=0,0,((T73+AM73)-Table5101345411[[#This Row],[مجمع إهلاك المستبعد 
بتاريخ الأستبعاد]])))</f>
        <v>4941.9349315068494</v>
      </c>
      <c r="AS73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الشراء-الاستلام]]&gt;DATE(2018,12,31),0,AI73-AR73)))</f>
        <v>7808.0650684931506</v>
      </c>
    </row>
    <row r="74" spans="1:45" s="141" customFormat="1" ht="83.25" customHeight="1">
      <c r="A74" s="118">
        <f>IF(B74="","",SUBTOTAL(3,$B$6:B74))</f>
        <v>69</v>
      </c>
      <c r="B74" s="58" t="s">
        <v>148</v>
      </c>
      <c r="C74" s="59" t="s">
        <v>54</v>
      </c>
      <c r="D74" s="59" t="s">
        <v>522</v>
      </c>
      <c r="E74" s="59" t="s">
        <v>524</v>
      </c>
      <c r="F74" s="226" t="s">
        <v>524</v>
      </c>
      <c r="G74" s="226"/>
      <c r="H74" s="58" t="s">
        <v>57</v>
      </c>
      <c r="I74" s="58" t="s">
        <v>85</v>
      </c>
      <c r="J74" s="58" t="s">
        <v>64</v>
      </c>
      <c r="K74" s="58"/>
      <c r="L74" s="60"/>
      <c r="M74" s="77">
        <v>42461</v>
      </c>
      <c r="N74" s="77" t="s">
        <v>142</v>
      </c>
      <c r="O74" s="150"/>
      <c r="P74" s="122">
        <v>4</v>
      </c>
      <c r="Q74" s="123"/>
      <c r="R74" s="130">
        <v>1225</v>
      </c>
      <c r="S74" s="130">
        <f t="shared" si="2"/>
        <v>4900</v>
      </c>
      <c r="T74" s="130">
        <v>1286.7534246575342</v>
      </c>
      <c r="U74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الشراء-الاستلام]]&lt;DATE(2018,1,1),S74-T74,0))</f>
        <v>3613.2465753424658</v>
      </c>
      <c r="V74" s="169"/>
      <c r="W74" s="116"/>
      <c r="X74" s="116"/>
      <c r="Y74" s="117">
        <f>Table5101345411[[#This Row],[عدد الإضافات]]*Table5101345411[[#This Row],[سعر الحبة المضافة]]</f>
        <v>0</v>
      </c>
      <c r="Z74" s="101"/>
      <c r="AA74" s="102"/>
      <c r="AB74" s="103"/>
      <c r="AC74" s="103"/>
      <c r="AD74" s="103"/>
      <c r="AE74" s="103"/>
      <c r="AF74" s="103">
        <f>Table5101345411[[#This Row],[العدد]]*Table5101345411[[#This Row],[قيمة الشراء]]</f>
        <v>0</v>
      </c>
      <c r="AG74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74" s="190">
        <f>Table5101345411[[#This Row],[الكمية]]+Table5101345411[[#This Row],[عدد الإضافات]]-Table5101345411[[#This Row],[العدد]]</f>
        <v>4</v>
      </c>
      <c r="AI74" s="78">
        <f>Table5101345411[[#This Row],[الإجمالي]]+Table5101345411[[#This Row],[إجمالي الإضافات]]-Table5101345411[[#This Row],[إجمالي المستبعد]]</f>
        <v>4900</v>
      </c>
      <c r="AJ74" s="62">
        <v>0.125</v>
      </c>
      <c r="AK74" s="219"/>
      <c r="AL74" s="58" t="s">
        <v>61</v>
      </c>
      <c r="AM74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612.5</v>
      </c>
      <c r="AN74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74" s="79">
        <f>Table5101345411[[#This Row],[اهلاك المستبعد
في 2018]]+Table5101345411[[#This Row],[مجمع إهلاك المستبعد 
01-01-2018]]</f>
        <v>0</v>
      </c>
      <c r="AP74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74" s="220"/>
      <c r="AR74" s="78">
        <f>IF(OR(Table5101345411[[#This Row],[تاريخ الشراء-الاستلام]]="",Table5101345411[[#This Row],[الإجمالي]]="",Table5101345411[[#This Row],[العمر الافتراضي]]=""),"",IF(((T74+AM74)-Table5101345411[[#This Row],[مجمع إهلاك المستبعد 
بتاريخ الأستبعاد]])&lt;=0,0,((T74+AM74)-Table5101345411[[#This Row],[مجمع إهلاك المستبعد 
بتاريخ الأستبعاد]])))</f>
        <v>1899.2534246575342</v>
      </c>
      <c r="AS74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الشراء-الاستلام]]&gt;DATE(2018,12,31),0,AI74-AR74)))</f>
        <v>3000.7465753424658</v>
      </c>
    </row>
    <row r="75" spans="1:45" s="141" customFormat="1" ht="83.25" customHeight="1">
      <c r="A75" s="118">
        <f>IF(B75="","",SUBTOTAL(3,$B$6:B75))</f>
        <v>70</v>
      </c>
      <c r="B75" s="58" t="s">
        <v>149</v>
      </c>
      <c r="C75" s="59" t="s">
        <v>54</v>
      </c>
      <c r="D75" s="59" t="s">
        <v>522</v>
      </c>
      <c r="E75" s="59" t="s">
        <v>120</v>
      </c>
      <c r="F75" s="226" t="s">
        <v>120</v>
      </c>
      <c r="G75" s="226"/>
      <c r="H75" s="58" t="s">
        <v>57</v>
      </c>
      <c r="I75" s="58" t="s">
        <v>85</v>
      </c>
      <c r="J75" s="58" t="s">
        <v>64</v>
      </c>
      <c r="K75" s="58"/>
      <c r="L75" s="60"/>
      <c r="M75" s="77">
        <v>42461</v>
      </c>
      <c r="N75" s="77" t="s">
        <v>142</v>
      </c>
      <c r="O75" s="150"/>
      <c r="P75" s="122">
        <v>9</v>
      </c>
      <c r="Q75" s="123"/>
      <c r="R75" s="130">
        <v>1800</v>
      </c>
      <c r="S75" s="130">
        <f t="shared" si="2"/>
        <v>16200</v>
      </c>
      <c r="T75" s="130">
        <v>4254.1643835616433</v>
      </c>
      <c r="U75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الشراء-الاستلام]]&lt;DATE(2018,1,1),S75-T75,0))</f>
        <v>11945.835616438357</v>
      </c>
      <c r="V75" s="169"/>
      <c r="W75" s="116"/>
      <c r="X75" s="116"/>
      <c r="Y75" s="117">
        <f>Table5101345411[[#This Row],[عدد الإضافات]]*Table5101345411[[#This Row],[سعر الحبة المضافة]]</f>
        <v>0</v>
      </c>
      <c r="Z75" s="101"/>
      <c r="AA75" s="102"/>
      <c r="AB75" s="103"/>
      <c r="AC75" s="103"/>
      <c r="AD75" s="103"/>
      <c r="AE75" s="103"/>
      <c r="AF75" s="103">
        <f>Table5101345411[[#This Row],[العدد]]*Table5101345411[[#This Row],[قيمة الشراء]]</f>
        <v>0</v>
      </c>
      <c r="AG75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75" s="190">
        <f>Table5101345411[[#This Row],[الكمية]]+Table5101345411[[#This Row],[عدد الإضافات]]-Table5101345411[[#This Row],[العدد]]</f>
        <v>9</v>
      </c>
      <c r="AI75" s="78">
        <f>Table5101345411[[#This Row],[الإجمالي]]+Table5101345411[[#This Row],[إجمالي الإضافات]]-Table5101345411[[#This Row],[إجمالي المستبعد]]</f>
        <v>16200</v>
      </c>
      <c r="AJ75" s="62">
        <v>0.125</v>
      </c>
      <c r="AK75" s="219"/>
      <c r="AL75" s="58" t="s">
        <v>61</v>
      </c>
      <c r="AM75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2025</v>
      </c>
      <c r="AN75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75" s="79">
        <f>Table5101345411[[#This Row],[اهلاك المستبعد
في 2018]]+Table5101345411[[#This Row],[مجمع إهلاك المستبعد 
01-01-2018]]</f>
        <v>0</v>
      </c>
      <c r="AP75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75" s="220"/>
      <c r="AR75" s="78">
        <f>IF(OR(Table5101345411[[#This Row],[تاريخ الشراء-الاستلام]]="",Table5101345411[[#This Row],[الإجمالي]]="",Table5101345411[[#This Row],[العمر الافتراضي]]=""),"",IF(((T75+AM75)-Table5101345411[[#This Row],[مجمع إهلاك المستبعد 
بتاريخ الأستبعاد]])&lt;=0,0,((T75+AM75)-Table5101345411[[#This Row],[مجمع إهلاك المستبعد 
بتاريخ الأستبعاد]])))</f>
        <v>6279.1643835616433</v>
      </c>
      <c r="AS75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الشراء-الاستلام]]&gt;DATE(2018,12,31),0,AI75-AR75)))</f>
        <v>9920.8356164383567</v>
      </c>
    </row>
    <row r="76" spans="1:45" s="141" customFormat="1" ht="83.25" customHeight="1">
      <c r="A76" s="118">
        <f>IF(B76="","",SUBTOTAL(3,$B$6:B76))</f>
        <v>71</v>
      </c>
      <c r="B76" s="58" t="s">
        <v>150</v>
      </c>
      <c r="C76" s="59" t="s">
        <v>54</v>
      </c>
      <c r="D76" s="59" t="s">
        <v>522</v>
      </c>
      <c r="E76" s="59" t="s">
        <v>120</v>
      </c>
      <c r="F76" s="226" t="s">
        <v>120</v>
      </c>
      <c r="G76" s="226"/>
      <c r="H76" s="58" t="s">
        <v>57</v>
      </c>
      <c r="I76" s="58" t="s">
        <v>85</v>
      </c>
      <c r="J76" s="58" t="s">
        <v>64</v>
      </c>
      <c r="K76" s="58"/>
      <c r="L76" s="60"/>
      <c r="M76" s="77">
        <v>42461</v>
      </c>
      <c r="N76" s="77" t="s">
        <v>142</v>
      </c>
      <c r="O76" s="150"/>
      <c r="P76" s="122">
        <v>6</v>
      </c>
      <c r="Q76" s="123"/>
      <c r="R76" s="130">
        <v>733</v>
      </c>
      <c r="S76" s="130">
        <f t="shared" si="2"/>
        <v>4398</v>
      </c>
      <c r="T76" s="130">
        <v>1154.9268493150685</v>
      </c>
      <c r="U76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الشراء-الاستلام]]&lt;DATE(2018,1,1),S76-T76,0))</f>
        <v>3243.0731506849315</v>
      </c>
      <c r="V76" s="169"/>
      <c r="W76" s="116"/>
      <c r="X76" s="116"/>
      <c r="Y76" s="117">
        <f>Table5101345411[[#This Row],[عدد الإضافات]]*Table5101345411[[#This Row],[سعر الحبة المضافة]]</f>
        <v>0</v>
      </c>
      <c r="Z76" s="101"/>
      <c r="AA76" s="102"/>
      <c r="AB76" s="103"/>
      <c r="AC76" s="103"/>
      <c r="AD76" s="103"/>
      <c r="AE76" s="103"/>
      <c r="AF76" s="103">
        <f>Table5101345411[[#This Row],[العدد]]*Table5101345411[[#This Row],[قيمة الشراء]]</f>
        <v>0</v>
      </c>
      <c r="AG76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76" s="190">
        <f>Table5101345411[[#This Row],[الكمية]]+Table5101345411[[#This Row],[عدد الإضافات]]-Table5101345411[[#This Row],[العدد]]</f>
        <v>6</v>
      </c>
      <c r="AI76" s="78">
        <f>Table5101345411[[#This Row],[الإجمالي]]+Table5101345411[[#This Row],[إجمالي الإضافات]]-Table5101345411[[#This Row],[إجمالي المستبعد]]</f>
        <v>4398</v>
      </c>
      <c r="AJ76" s="62">
        <v>0.125</v>
      </c>
      <c r="AK76" s="219"/>
      <c r="AL76" s="58" t="s">
        <v>61</v>
      </c>
      <c r="AM76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549.75</v>
      </c>
      <c r="AN76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76" s="79">
        <f>Table5101345411[[#This Row],[اهلاك المستبعد
في 2018]]+Table5101345411[[#This Row],[مجمع إهلاك المستبعد 
01-01-2018]]</f>
        <v>0</v>
      </c>
      <c r="AP76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76" s="220"/>
      <c r="AR76" s="78">
        <f>IF(OR(Table5101345411[[#This Row],[تاريخ الشراء-الاستلام]]="",Table5101345411[[#This Row],[الإجمالي]]="",Table5101345411[[#This Row],[العمر الافتراضي]]=""),"",IF(((T76+AM76)-Table5101345411[[#This Row],[مجمع إهلاك المستبعد 
بتاريخ الأستبعاد]])&lt;=0,0,((T76+AM76)-Table5101345411[[#This Row],[مجمع إهلاك المستبعد 
بتاريخ الأستبعاد]])))</f>
        <v>1704.6768493150685</v>
      </c>
      <c r="AS76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الشراء-الاستلام]]&gt;DATE(2018,12,31),0,AI76-AR76)))</f>
        <v>2693.3231506849315</v>
      </c>
    </row>
    <row r="77" spans="1:45" s="141" customFormat="1" ht="83.25" customHeight="1">
      <c r="A77" s="118">
        <f>IF(B77="","",SUBTOTAL(3,$B$6:B77))</f>
        <v>72</v>
      </c>
      <c r="B77" s="58" t="s">
        <v>151</v>
      </c>
      <c r="C77" s="59" t="s">
        <v>54</v>
      </c>
      <c r="D77" s="59" t="s">
        <v>522</v>
      </c>
      <c r="E77" s="59" t="s">
        <v>524</v>
      </c>
      <c r="F77" s="226" t="s">
        <v>524</v>
      </c>
      <c r="G77" s="226"/>
      <c r="H77" s="58" t="s">
        <v>57</v>
      </c>
      <c r="I77" s="58" t="s">
        <v>85</v>
      </c>
      <c r="J77" s="58" t="s">
        <v>64</v>
      </c>
      <c r="K77" s="58"/>
      <c r="L77" s="60"/>
      <c r="M77" s="77">
        <v>42461</v>
      </c>
      <c r="N77" s="77" t="s">
        <v>142</v>
      </c>
      <c r="O77" s="150"/>
      <c r="P77" s="122">
        <v>5</v>
      </c>
      <c r="Q77" s="123"/>
      <c r="R77" s="130">
        <v>400</v>
      </c>
      <c r="S77" s="130">
        <f t="shared" si="2"/>
        <v>2000</v>
      </c>
      <c r="T77" s="130">
        <v>525.20547945205476</v>
      </c>
      <c r="U77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الشراء-الاستلام]]&lt;DATE(2018,1,1),S77-T77,0))</f>
        <v>1474.7945205479452</v>
      </c>
      <c r="V77" s="169"/>
      <c r="W77" s="116"/>
      <c r="X77" s="116"/>
      <c r="Y77" s="117">
        <f>Table5101345411[[#This Row],[عدد الإضافات]]*Table5101345411[[#This Row],[سعر الحبة المضافة]]</f>
        <v>0</v>
      </c>
      <c r="Z77" s="101"/>
      <c r="AA77" s="102"/>
      <c r="AB77" s="103"/>
      <c r="AC77" s="103"/>
      <c r="AD77" s="103"/>
      <c r="AE77" s="103"/>
      <c r="AF77" s="103">
        <f>Table5101345411[[#This Row],[العدد]]*Table5101345411[[#This Row],[قيمة الشراء]]</f>
        <v>0</v>
      </c>
      <c r="AG77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77" s="190">
        <f>Table5101345411[[#This Row],[الكمية]]+Table5101345411[[#This Row],[عدد الإضافات]]-Table5101345411[[#This Row],[العدد]]</f>
        <v>5</v>
      </c>
      <c r="AI77" s="78">
        <f>Table5101345411[[#This Row],[الإجمالي]]+Table5101345411[[#This Row],[إجمالي الإضافات]]-Table5101345411[[#This Row],[إجمالي المستبعد]]</f>
        <v>2000</v>
      </c>
      <c r="AJ77" s="62">
        <v>0.125</v>
      </c>
      <c r="AK77" s="219"/>
      <c r="AL77" s="58" t="s">
        <v>61</v>
      </c>
      <c r="AM77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250</v>
      </c>
      <c r="AN77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77" s="79">
        <f>Table5101345411[[#This Row],[اهلاك المستبعد
في 2018]]+Table5101345411[[#This Row],[مجمع إهلاك المستبعد 
01-01-2018]]</f>
        <v>0</v>
      </c>
      <c r="AP77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77" s="220"/>
      <c r="AR77" s="78">
        <f>IF(OR(Table5101345411[[#This Row],[تاريخ الشراء-الاستلام]]="",Table5101345411[[#This Row],[الإجمالي]]="",Table5101345411[[#This Row],[العمر الافتراضي]]=""),"",IF(((T77+AM77)-Table5101345411[[#This Row],[مجمع إهلاك المستبعد 
بتاريخ الأستبعاد]])&lt;=0,0,((T77+AM77)-Table5101345411[[#This Row],[مجمع إهلاك المستبعد 
بتاريخ الأستبعاد]])))</f>
        <v>775.20547945205476</v>
      </c>
      <c r="AS77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الشراء-الاستلام]]&gt;DATE(2018,12,31),0,AI77-AR77)))</f>
        <v>1224.7945205479452</v>
      </c>
    </row>
    <row r="78" spans="1:45" s="141" customFormat="1" ht="83.25" customHeight="1">
      <c r="A78" s="118">
        <f>IF(B78="","",SUBTOTAL(3,$B$6:B78))</f>
        <v>73</v>
      </c>
      <c r="B78" s="58" t="s">
        <v>62</v>
      </c>
      <c r="C78" s="59" t="s">
        <v>152</v>
      </c>
      <c r="D78" s="59" t="s">
        <v>522</v>
      </c>
      <c r="E78" s="59" t="s">
        <v>523</v>
      </c>
      <c r="F78" s="226" t="s">
        <v>523</v>
      </c>
      <c r="G78" s="226"/>
      <c r="H78" s="58" t="s">
        <v>153</v>
      </c>
      <c r="I78" s="58"/>
      <c r="J78" s="58" t="s">
        <v>64</v>
      </c>
      <c r="K78" s="58"/>
      <c r="L78" s="60"/>
      <c r="M78" s="77">
        <v>42464</v>
      </c>
      <c r="N78" s="77" t="s">
        <v>65</v>
      </c>
      <c r="O78" s="150"/>
      <c r="P78" s="122">
        <v>50</v>
      </c>
      <c r="Q78" s="123"/>
      <c r="R78" s="130">
        <v>700</v>
      </c>
      <c r="S78" s="130">
        <f t="shared" si="2"/>
        <v>35000</v>
      </c>
      <c r="T78" s="130">
        <v>6098.6301369863013</v>
      </c>
      <c r="U78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الشراء-الاستلام]]&lt;DATE(2018,1,1),S78-T78,0))</f>
        <v>28901.369863013701</v>
      </c>
      <c r="V78" s="169"/>
      <c r="W78" s="116"/>
      <c r="X78" s="116"/>
      <c r="Y78" s="117">
        <f>Table5101345411[[#This Row],[عدد الإضافات]]*Table5101345411[[#This Row],[سعر الحبة المضافة]]</f>
        <v>0</v>
      </c>
      <c r="Z78" s="101"/>
      <c r="AA78" s="102"/>
      <c r="AB78" s="103"/>
      <c r="AC78" s="103"/>
      <c r="AD78" s="103"/>
      <c r="AE78" s="103"/>
      <c r="AF78" s="103">
        <f>Table5101345411[[#This Row],[العدد]]*Table5101345411[[#This Row],[قيمة الشراء]]</f>
        <v>0</v>
      </c>
      <c r="AG78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78" s="190">
        <f>Table5101345411[[#This Row],[الكمية]]+Table5101345411[[#This Row],[عدد الإضافات]]-Table5101345411[[#This Row],[العدد]]</f>
        <v>50</v>
      </c>
      <c r="AI78" s="78">
        <f>Table5101345411[[#This Row],[الإجمالي]]+Table5101345411[[#This Row],[إجمالي الإضافات]]-Table5101345411[[#This Row],[إجمالي المستبعد]]</f>
        <v>35000</v>
      </c>
      <c r="AJ78" s="120">
        <v>0.1</v>
      </c>
      <c r="AK78" s="219"/>
      <c r="AL78" s="58" t="s">
        <v>61</v>
      </c>
      <c r="AM78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3500</v>
      </c>
      <c r="AN78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78" s="79">
        <f>Table5101345411[[#This Row],[اهلاك المستبعد
في 2018]]+Table5101345411[[#This Row],[مجمع إهلاك المستبعد 
01-01-2018]]</f>
        <v>0</v>
      </c>
      <c r="AP78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78" s="220"/>
      <c r="AR78" s="78">
        <f>IF(OR(Table5101345411[[#This Row],[تاريخ الشراء-الاستلام]]="",Table5101345411[[#This Row],[الإجمالي]]="",Table5101345411[[#This Row],[العمر الافتراضي]]=""),"",IF(((T78+AM78)-Table5101345411[[#This Row],[مجمع إهلاك المستبعد 
بتاريخ الأستبعاد]])&lt;=0,0,((T78+AM78)-Table5101345411[[#This Row],[مجمع إهلاك المستبعد 
بتاريخ الأستبعاد]])))</f>
        <v>9598.6301369863013</v>
      </c>
      <c r="AS78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الشراء-الاستلام]]&gt;DATE(2018,12,31),0,AI78-AR78)))</f>
        <v>25401.369863013701</v>
      </c>
    </row>
    <row r="79" spans="1:45" s="141" customFormat="1" ht="83.25" customHeight="1">
      <c r="A79" s="118">
        <f>IF(B79="","",SUBTOTAL(3,$B$6:B79))</f>
        <v>74</v>
      </c>
      <c r="B79" s="58" t="s">
        <v>62</v>
      </c>
      <c r="C79" s="59" t="s">
        <v>54</v>
      </c>
      <c r="D79" s="59" t="s">
        <v>522</v>
      </c>
      <c r="E79" s="59" t="s">
        <v>523</v>
      </c>
      <c r="F79" s="226" t="s">
        <v>523</v>
      </c>
      <c r="G79" s="226"/>
      <c r="H79" s="58" t="s">
        <v>154</v>
      </c>
      <c r="I79" s="58"/>
      <c r="J79" s="58" t="s">
        <v>64</v>
      </c>
      <c r="K79" s="58"/>
      <c r="L79" s="60"/>
      <c r="M79" s="77">
        <v>41491.999000000003</v>
      </c>
      <c r="N79" s="77"/>
      <c r="O79" s="150"/>
      <c r="P79" s="122">
        <f>156-30</f>
        <v>126</v>
      </c>
      <c r="Q79" s="123"/>
      <c r="R79" s="130">
        <v>692.07</v>
      </c>
      <c r="S79" s="130">
        <f t="shared" si="2"/>
        <v>87200.82</v>
      </c>
      <c r="T79" s="130">
        <v>47502.311547945123</v>
      </c>
      <c r="U79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الشراء-الاستلام]]&lt;DATE(2018,1,1),S79-T79,0))</f>
        <v>39698.508452054884</v>
      </c>
      <c r="V79" s="169"/>
      <c r="W79" s="116"/>
      <c r="X79" s="116"/>
      <c r="Y79" s="117">
        <f>Table5101345411[[#This Row],[عدد الإضافات]]*Table5101345411[[#This Row],[سعر الحبة المضافة]]</f>
        <v>0</v>
      </c>
      <c r="Z79" s="101"/>
      <c r="AA79" s="102"/>
      <c r="AB79" s="103"/>
      <c r="AC79" s="103"/>
      <c r="AD79" s="103"/>
      <c r="AE79" s="103"/>
      <c r="AF79" s="103">
        <f>Table5101345411[[#This Row],[العدد]]*Table5101345411[[#This Row],[قيمة الشراء]]</f>
        <v>0</v>
      </c>
      <c r="AG79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79" s="190">
        <f>Table5101345411[[#This Row],[الكمية]]+Table5101345411[[#This Row],[عدد الإضافات]]-Table5101345411[[#This Row],[العدد]]</f>
        <v>126</v>
      </c>
      <c r="AI79" s="78">
        <f>Table5101345411[[#This Row],[الإجمالي]]+Table5101345411[[#This Row],[إجمالي الإضافات]]-Table5101345411[[#This Row],[إجمالي المستبعد]]</f>
        <v>87200.82</v>
      </c>
      <c r="AJ79" s="62">
        <v>0.125</v>
      </c>
      <c r="AK79" s="219"/>
      <c r="AL79" s="58" t="s">
        <v>61</v>
      </c>
      <c r="AM79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10900.102500000001</v>
      </c>
      <c r="AN79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79" s="79">
        <f>Table5101345411[[#This Row],[اهلاك المستبعد
في 2018]]+Table5101345411[[#This Row],[مجمع إهلاك المستبعد 
01-01-2018]]</f>
        <v>0</v>
      </c>
      <c r="AP79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79" s="220"/>
      <c r="AR79" s="78">
        <f>IF(OR(Table5101345411[[#This Row],[تاريخ الشراء-الاستلام]]="",Table5101345411[[#This Row],[الإجمالي]]="",Table5101345411[[#This Row],[العمر الافتراضي]]=""),"",IF(((T79+AM79)-Table5101345411[[#This Row],[مجمع إهلاك المستبعد 
بتاريخ الأستبعاد]])&lt;=0,0,((T79+AM79)-Table5101345411[[#This Row],[مجمع إهلاك المستبعد 
بتاريخ الأستبعاد]])))</f>
        <v>58402.414047945123</v>
      </c>
      <c r="AS79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الشراء-الاستلام]]&gt;DATE(2018,12,31),0,AI79-AR79)))</f>
        <v>28798.405952054884</v>
      </c>
    </row>
    <row r="80" spans="1:45" s="141" customFormat="1" ht="83.25" customHeight="1">
      <c r="A80" s="118">
        <f>IF(B80="","",SUBTOTAL(3,$B$6:B80))</f>
        <v>75</v>
      </c>
      <c r="B80" s="58" t="s">
        <v>155</v>
      </c>
      <c r="C80" s="59" t="s">
        <v>54</v>
      </c>
      <c r="D80" s="59" t="s">
        <v>522</v>
      </c>
      <c r="E80" s="59" t="s">
        <v>523</v>
      </c>
      <c r="F80" s="226" t="s">
        <v>523</v>
      </c>
      <c r="G80" s="226"/>
      <c r="H80" s="58" t="s">
        <v>111</v>
      </c>
      <c r="I80" s="58"/>
      <c r="J80" s="58" t="s">
        <v>64</v>
      </c>
      <c r="K80" s="58"/>
      <c r="L80" s="60"/>
      <c r="M80" s="77">
        <v>42614</v>
      </c>
      <c r="N80" s="77" t="s">
        <v>65</v>
      </c>
      <c r="O80" s="150"/>
      <c r="P80" s="122">
        <v>100</v>
      </c>
      <c r="Q80" s="123">
        <v>10223</v>
      </c>
      <c r="R80" s="130">
        <v>700</v>
      </c>
      <c r="S80" s="130">
        <f t="shared" si="2"/>
        <v>70000</v>
      </c>
      <c r="T80" s="130">
        <v>13980.821917808218</v>
      </c>
      <c r="U80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الشراء-الاستلام]]&lt;DATE(2018,1,1),S80-T80,0))</f>
        <v>56019.178082191778</v>
      </c>
      <c r="V80" s="169"/>
      <c r="W80" s="116"/>
      <c r="X80" s="116"/>
      <c r="Y80" s="117">
        <f>Table5101345411[[#This Row],[عدد الإضافات]]*Table5101345411[[#This Row],[سعر الحبة المضافة]]</f>
        <v>0</v>
      </c>
      <c r="Z80" s="101"/>
      <c r="AA80" s="102"/>
      <c r="AB80" s="103"/>
      <c r="AC80" s="103"/>
      <c r="AD80" s="103"/>
      <c r="AE80" s="103"/>
      <c r="AF80" s="103">
        <f>Table5101345411[[#This Row],[العدد]]*Table5101345411[[#This Row],[قيمة الشراء]]</f>
        <v>0</v>
      </c>
      <c r="AG80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80" s="190">
        <f>Table5101345411[[#This Row],[الكمية]]+Table5101345411[[#This Row],[عدد الإضافات]]-Table5101345411[[#This Row],[العدد]]</f>
        <v>100</v>
      </c>
      <c r="AI80" s="78">
        <f>Table5101345411[[#This Row],[الإجمالي]]+Table5101345411[[#This Row],[إجمالي الإضافات]]-Table5101345411[[#This Row],[إجمالي المستبعد]]</f>
        <v>70000</v>
      </c>
      <c r="AJ80" s="62">
        <v>0.125</v>
      </c>
      <c r="AK80" s="219"/>
      <c r="AL80" s="58" t="s">
        <v>61</v>
      </c>
      <c r="AM80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8750</v>
      </c>
      <c r="AN80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80" s="79">
        <f>Table5101345411[[#This Row],[اهلاك المستبعد
في 2018]]+Table5101345411[[#This Row],[مجمع إهلاك المستبعد 
01-01-2018]]</f>
        <v>0</v>
      </c>
      <c r="AP80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80" s="220"/>
      <c r="AR80" s="78">
        <f>IF(OR(Table5101345411[[#This Row],[تاريخ الشراء-الاستلام]]="",Table5101345411[[#This Row],[الإجمالي]]="",Table5101345411[[#This Row],[العمر الافتراضي]]=""),"",IF(((T80+AM80)-Table5101345411[[#This Row],[مجمع إهلاك المستبعد 
بتاريخ الأستبعاد]])&lt;=0,0,((T80+AM80)-Table5101345411[[#This Row],[مجمع إهلاك المستبعد 
بتاريخ الأستبعاد]])))</f>
        <v>22730.821917808218</v>
      </c>
      <c r="AS80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الشراء-الاستلام]]&gt;DATE(2018,12,31),0,AI80-AR80)))</f>
        <v>47269.178082191778</v>
      </c>
    </row>
    <row r="81" spans="1:45" s="141" customFormat="1" ht="83.25" customHeight="1">
      <c r="A81" s="118">
        <f>IF(B81="","",SUBTOTAL(3,$B$6:B81))</f>
        <v>76</v>
      </c>
      <c r="B81" s="58" t="s">
        <v>155</v>
      </c>
      <c r="C81" s="59" t="s">
        <v>54</v>
      </c>
      <c r="D81" s="59" t="s">
        <v>522</v>
      </c>
      <c r="E81" s="59" t="s">
        <v>523</v>
      </c>
      <c r="F81" s="226" t="s">
        <v>523</v>
      </c>
      <c r="G81" s="226"/>
      <c r="H81" s="58" t="s">
        <v>153</v>
      </c>
      <c r="I81" s="58"/>
      <c r="J81" s="58" t="s">
        <v>64</v>
      </c>
      <c r="K81" s="58"/>
      <c r="L81" s="60"/>
      <c r="M81" s="77">
        <v>42614</v>
      </c>
      <c r="N81" s="77" t="s">
        <v>65</v>
      </c>
      <c r="O81" s="150"/>
      <c r="P81" s="122">
        <v>50</v>
      </c>
      <c r="Q81" s="123">
        <v>10157</v>
      </c>
      <c r="R81" s="130">
        <v>700</v>
      </c>
      <c r="S81" s="130">
        <f t="shared" si="2"/>
        <v>35000</v>
      </c>
      <c r="T81" s="130">
        <v>6990.4109589041091</v>
      </c>
      <c r="U81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الشراء-الاستلام]]&lt;DATE(2018,1,1),S81-T81,0))</f>
        <v>28009.589041095889</v>
      </c>
      <c r="V81" s="169"/>
      <c r="W81" s="116"/>
      <c r="X81" s="116"/>
      <c r="Y81" s="117">
        <f>Table5101345411[[#This Row],[عدد الإضافات]]*Table5101345411[[#This Row],[سعر الحبة المضافة]]</f>
        <v>0</v>
      </c>
      <c r="Z81" s="101"/>
      <c r="AA81" s="102"/>
      <c r="AB81" s="103"/>
      <c r="AC81" s="103"/>
      <c r="AD81" s="103"/>
      <c r="AE81" s="103"/>
      <c r="AF81" s="103">
        <f>Table5101345411[[#This Row],[العدد]]*Table5101345411[[#This Row],[قيمة الشراء]]</f>
        <v>0</v>
      </c>
      <c r="AG81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81" s="190">
        <f>Table5101345411[[#This Row],[الكمية]]+Table5101345411[[#This Row],[عدد الإضافات]]-Table5101345411[[#This Row],[العدد]]</f>
        <v>50</v>
      </c>
      <c r="AI81" s="78">
        <f>Table5101345411[[#This Row],[الإجمالي]]+Table5101345411[[#This Row],[إجمالي الإضافات]]-Table5101345411[[#This Row],[إجمالي المستبعد]]</f>
        <v>35000</v>
      </c>
      <c r="AJ81" s="62">
        <v>0.125</v>
      </c>
      <c r="AK81" s="219"/>
      <c r="AL81" s="58" t="s">
        <v>61</v>
      </c>
      <c r="AM81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4375</v>
      </c>
      <c r="AN81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81" s="79">
        <f>Table5101345411[[#This Row],[اهلاك المستبعد
في 2018]]+Table5101345411[[#This Row],[مجمع إهلاك المستبعد 
01-01-2018]]</f>
        <v>0</v>
      </c>
      <c r="AP81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81" s="220"/>
      <c r="AR81" s="78">
        <f>IF(OR(Table5101345411[[#This Row],[تاريخ الشراء-الاستلام]]="",Table5101345411[[#This Row],[الإجمالي]]="",Table5101345411[[#This Row],[العمر الافتراضي]]=""),"",IF(((T81+AM81)-Table5101345411[[#This Row],[مجمع إهلاك المستبعد 
بتاريخ الأستبعاد]])&lt;=0,0,((T81+AM81)-Table5101345411[[#This Row],[مجمع إهلاك المستبعد 
بتاريخ الأستبعاد]])))</f>
        <v>11365.410958904109</v>
      </c>
      <c r="AS81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الشراء-الاستلام]]&gt;DATE(2018,12,31),0,AI81-AR81)))</f>
        <v>23634.589041095889</v>
      </c>
    </row>
    <row r="82" spans="1:45" s="141" customFormat="1" ht="83.25" customHeight="1">
      <c r="A82" s="64">
        <f>IF(B82="","",SUBTOTAL(3,$B$6:B82))</f>
        <v>77</v>
      </c>
      <c r="B82" s="65" t="s">
        <v>67</v>
      </c>
      <c r="C82" s="66" t="s">
        <v>54</v>
      </c>
      <c r="D82" s="65" t="s">
        <v>68</v>
      </c>
      <c r="E82" s="65" t="s">
        <v>544</v>
      </c>
      <c r="F82" s="224" t="s">
        <v>544</v>
      </c>
      <c r="G82" s="224"/>
      <c r="H82" s="65" t="s">
        <v>57</v>
      </c>
      <c r="I82" s="65" t="s">
        <v>69</v>
      </c>
      <c r="J82" s="65" t="s">
        <v>64</v>
      </c>
      <c r="K82" s="65"/>
      <c r="L82" s="67" t="s">
        <v>70</v>
      </c>
      <c r="M82" s="65">
        <v>42711</v>
      </c>
      <c r="N82" s="84" t="s">
        <v>71</v>
      </c>
      <c r="O82" s="154" t="s">
        <v>72</v>
      </c>
      <c r="P82" s="125">
        <v>1</v>
      </c>
      <c r="Q82" s="126"/>
      <c r="R82" s="127">
        <v>971.25</v>
      </c>
      <c r="S82" s="127">
        <f t="shared" si="2"/>
        <v>971.25</v>
      </c>
      <c r="T82" s="127">
        <f>828.090410958904/4</f>
        <v>207.02260273972601</v>
      </c>
      <c r="U82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الشراء-الاستلام]]&lt;DATE(2018,1,1),S82-T82,0))</f>
        <v>764.22739726027396</v>
      </c>
      <c r="V82" s="167"/>
      <c r="W82" s="111"/>
      <c r="X82" s="111"/>
      <c r="Y82" s="112">
        <f>Table5101345411[[#This Row],[عدد الإضافات]]*Table5101345411[[#This Row],[سعر الحبة المضافة]]</f>
        <v>0</v>
      </c>
      <c r="Z82" s="94"/>
      <c r="AA82" s="92"/>
      <c r="AB82" s="93"/>
      <c r="AC82" s="93"/>
      <c r="AD82" s="93"/>
      <c r="AE82" s="93"/>
      <c r="AF82" s="93">
        <f>Table5101345411[[#This Row],[العدد]]*Table5101345411[[#This Row],[قيمة الشراء]]</f>
        <v>0</v>
      </c>
      <c r="AG82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82" s="187">
        <f>Table5101345411[[#This Row],[الكمية]]+Table5101345411[[#This Row],[عدد الإضافات]]-Table5101345411[[#This Row],[العدد]]</f>
        <v>1</v>
      </c>
      <c r="AI82" s="68">
        <f>Table5101345411[[#This Row],[الإجمالي]]+Table5101345411[[#This Row],[إجمالي الإضافات]]-Table5101345411[[#This Row],[إجمالي المستبعد]]</f>
        <v>971.25</v>
      </c>
      <c r="AJ82" s="71">
        <v>0.15</v>
      </c>
      <c r="AK82" s="188"/>
      <c r="AL82" s="108" t="s">
        <v>61</v>
      </c>
      <c r="AM82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145.6875</v>
      </c>
      <c r="AN82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82" s="70">
        <f>Table5101345411[[#This Row],[اهلاك المستبعد
في 2018]]+Table5101345411[[#This Row],[مجمع إهلاك المستبعد 
01-01-2018]]</f>
        <v>0</v>
      </c>
      <c r="AP82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82" s="200"/>
      <c r="AR82" s="68">
        <f>IF(OR(Table5101345411[[#This Row],[تاريخ الشراء-الاستلام]]="",Table5101345411[[#This Row],[الإجمالي]]="",Table5101345411[[#This Row],[العمر الافتراضي]]=""),"",IF(((T82+AM82)-Table5101345411[[#This Row],[مجمع إهلاك المستبعد 
بتاريخ الأستبعاد]])&lt;=0,0,((T82+AM82)-Table5101345411[[#This Row],[مجمع إهلاك المستبعد 
بتاريخ الأستبعاد]])))</f>
        <v>352.71010273972604</v>
      </c>
      <c r="AS82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الشراء-الاستلام]]&gt;DATE(2018,12,31),0,AI82-AR82)))</f>
        <v>618.53989726027396</v>
      </c>
    </row>
    <row r="83" spans="1:45" s="141" customFormat="1" ht="83.25" customHeight="1">
      <c r="A83" s="64">
        <f>IF(B83="","",SUBTOTAL(3,$B$6:B83))</f>
        <v>78</v>
      </c>
      <c r="B83" s="65" t="s">
        <v>67</v>
      </c>
      <c r="C83" s="66" t="s">
        <v>54</v>
      </c>
      <c r="D83" s="65" t="s">
        <v>68</v>
      </c>
      <c r="E83" s="65" t="s">
        <v>544</v>
      </c>
      <c r="F83" s="224" t="s">
        <v>544</v>
      </c>
      <c r="G83" s="224"/>
      <c r="H83" s="65" t="s">
        <v>57</v>
      </c>
      <c r="I83" s="65" t="s">
        <v>69</v>
      </c>
      <c r="J83" s="65" t="s">
        <v>64</v>
      </c>
      <c r="K83" s="65"/>
      <c r="L83" s="67" t="s">
        <v>70</v>
      </c>
      <c r="M83" s="65">
        <v>42711</v>
      </c>
      <c r="N83" s="84" t="s">
        <v>71</v>
      </c>
      <c r="O83" s="154" t="s">
        <v>72</v>
      </c>
      <c r="P83" s="125">
        <v>1</v>
      </c>
      <c r="Q83" s="126"/>
      <c r="R83" s="127">
        <v>971.25</v>
      </c>
      <c r="S83" s="127">
        <f t="shared" si="2"/>
        <v>971.25</v>
      </c>
      <c r="T83" s="127">
        <f>828.090410958904/4</f>
        <v>207.02260273972601</v>
      </c>
      <c r="U83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الشراء-الاستلام]]&lt;DATE(2018,1,1),S83-T83,0))</f>
        <v>764.22739726027396</v>
      </c>
      <c r="V83" s="167"/>
      <c r="W83" s="111"/>
      <c r="X83" s="111"/>
      <c r="Y83" s="112">
        <f>Table5101345411[[#This Row],[عدد الإضافات]]*Table5101345411[[#This Row],[سعر الحبة المضافة]]</f>
        <v>0</v>
      </c>
      <c r="Z83" s="94"/>
      <c r="AA83" s="92"/>
      <c r="AB83" s="93"/>
      <c r="AC83" s="93"/>
      <c r="AD83" s="93"/>
      <c r="AE83" s="93"/>
      <c r="AF83" s="93">
        <f>Table5101345411[[#This Row],[العدد]]*Table5101345411[[#This Row],[قيمة الشراء]]</f>
        <v>0</v>
      </c>
      <c r="AG83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83" s="187">
        <f>Table5101345411[[#This Row],[الكمية]]+Table5101345411[[#This Row],[عدد الإضافات]]-Table5101345411[[#This Row],[العدد]]</f>
        <v>1</v>
      </c>
      <c r="AI83" s="68">
        <f>Table5101345411[[#This Row],[الإجمالي]]+Table5101345411[[#This Row],[إجمالي الإضافات]]-Table5101345411[[#This Row],[إجمالي المستبعد]]</f>
        <v>971.25</v>
      </c>
      <c r="AJ83" s="71">
        <v>0.15</v>
      </c>
      <c r="AK83" s="188"/>
      <c r="AL83" s="108" t="s">
        <v>61</v>
      </c>
      <c r="AM83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145.6875</v>
      </c>
      <c r="AN83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83" s="70">
        <f>Table5101345411[[#This Row],[اهلاك المستبعد
في 2018]]+Table5101345411[[#This Row],[مجمع إهلاك المستبعد 
01-01-2018]]</f>
        <v>0</v>
      </c>
      <c r="AP83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83" s="200"/>
      <c r="AR83" s="68">
        <f>IF(OR(Table5101345411[[#This Row],[تاريخ الشراء-الاستلام]]="",Table5101345411[[#This Row],[الإجمالي]]="",Table5101345411[[#This Row],[العمر الافتراضي]]=""),"",IF(((T83+AM83)-Table5101345411[[#This Row],[مجمع إهلاك المستبعد 
بتاريخ الأستبعاد]])&lt;=0,0,((T83+AM83)-Table5101345411[[#This Row],[مجمع إهلاك المستبعد 
بتاريخ الأستبعاد]])))</f>
        <v>352.71010273972604</v>
      </c>
      <c r="AS83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الشراء-الاستلام]]&gt;DATE(2018,12,31),0,AI83-AR83)))</f>
        <v>618.53989726027396</v>
      </c>
    </row>
    <row r="84" spans="1:45" s="141" customFormat="1" ht="83.25" customHeight="1">
      <c r="A84" s="64">
        <f>IF(B84="","",SUBTOTAL(3,$B$6:B84))</f>
        <v>79</v>
      </c>
      <c r="B84" s="65" t="s">
        <v>67</v>
      </c>
      <c r="C84" s="66" t="s">
        <v>54</v>
      </c>
      <c r="D84" s="65" t="s">
        <v>68</v>
      </c>
      <c r="E84" s="65" t="s">
        <v>544</v>
      </c>
      <c r="F84" s="224" t="s">
        <v>544</v>
      </c>
      <c r="G84" s="224"/>
      <c r="H84" s="65" t="s">
        <v>57</v>
      </c>
      <c r="I84" s="65" t="s">
        <v>69</v>
      </c>
      <c r="J84" s="65" t="s">
        <v>64</v>
      </c>
      <c r="K84" s="65"/>
      <c r="L84" s="67" t="s">
        <v>70</v>
      </c>
      <c r="M84" s="65">
        <v>42711</v>
      </c>
      <c r="N84" s="84" t="s">
        <v>71</v>
      </c>
      <c r="O84" s="154" t="s">
        <v>72</v>
      </c>
      <c r="P84" s="125">
        <v>1</v>
      </c>
      <c r="Q84" s="126"/>
      <c r="R84" s="127">
        <v>971.25</v>
      </c>
      <c r="S84" s="127">
        <f t="shared" si="2"/>
        <v>971.25</v>
      </c>
      <c r="T84" s="127">
        <f>828.090410958904/4</f>
        <v>207.02260273972601</v>
      </c>
      <c r="U84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الشراء-الاستلام]]&lt;DATE(2018,1,1),S84-T84,0))</f>
        <v>764.22739726027396</v>
      </c>
      <c r="V84" s="167"/>
      <c r="W84" s="111"/>
      <c r="X84" s="111"/>
      <c r="Y84" s="112">
        <f>Table5101345411[[#This Row],[عدد الإضافات]]*Table5101345411[[#This Row],[سعر الحبة المضافة]]</f>
        <v>0</v>
      </c>
      <c r="Z84" s="94"/>
      <c r="AA84" s="92"/>
      <c r="AB84" s="93"/>
      <c r="AC84" s="93"/>
      <c r="AD84" s="93"/>
      <c r="AE84" s="93"/>
      <c r="AF84" s="93">
        <f>Table5101345411[[#This Row],[العدد]]*Table5101345411[[#This Row],[قيمة الشراء]]</f>
        <v>0</v>
      </c>
      <c r="AG84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84" s="187">
        <f>Table5101345411[[#This Row],[الكمية]]+Table5101345411[[#This Row],[عدد الإضافات]]-Table5101345411[[#This Row],[العدد]]</f>
        <v>1</v>
      </c>
      <c r="AI84" s="68">
        <f>Table5101345411[[#This Row],[الإجمالي]]+Table5101345411[[#This Row],[إجمالي الإضافات]]-Table5101345411[[#This Row],[إجمالي المستبعد]]</f>
        <v>971.25</v>
      </c>
      <c r="AJ84" s="71">
        <v>0.15</v>
      </c>
      <c r="AK84" s="188"/>
      <c r="AL84" s="108" t="s">
        <v>61</v>
      </c>
      <c r="AM84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145.6875</v>
      </c>
      <c r="AN84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84" s="70">
        <f>Table5101345411[[#This Row],[اهلاك المستبعد
في 2018]]+Table5101345411[[#This Row],[مجمع إهلاك المستبعد 
01-01-2018]]</f>
        <v>0</v>
      </c>
      <c r="AP84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84" s="200"/>
      <c r="AR84" s="68">
        <f>IF(OR(Table5101345411[[#This Row],[تاريخ الشراء-الاستلام]]="",Table5101345411[[#This Row],[الإجمالي]]="",Table5101345411[[#This Row],[العمر الافتراضي]]=""),"",IF(((T84+AM84)-Table5101345411[[#This Row],[مجمع إهلاك المستبعد 
بتاريخ الأستبعاد]])&lt;=0,0,((T84+AM84)-Table5101345411[[#This Row],[مجمع إهلاك المستبعد 
بتاريخ الأستبعاد]])))</f>
        <v>352.71010273972604</v>
      </c>
      <c r="AS84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الشراء-الاستلام]]&gt;DATE(2018,12,31),0,AI84-AR84)))</f>
        <v>618.53989726027396</v>
      </c>
    </row>
    <row r="85" spans="1:45" s="141" customFormat="1" ht="83.25" customHeight="1">
      <c r="A85" s="118">
        <f>IF(B85="","",SUBTOTAL(3,$B$6:B85))</f>
        <v>80</v>
      </c>
      <c r="B85" s="58" t="s">
        <v>67</v>
      </c>
      <c r="C85" s="59" t="s">
        <v>54</v>
      </c>
      <c r="D85" s="59" t="s">
        <v>68</v>
      </c>
      <c r="E85" s="59" t="s">
        <v>544</v>
      </c>
      <c r="F85" s="226" t="s">
        <v>544</v>
      </c>
      <c r="G85" s="226"/>
      <c r="H85" s="65" t="s">
        <v>57</v>
      </c>
      <c r="I85" s="58" t="s">
        <v>69</v>
      </c>
      <c r="J85" s="65" t="s">
        <v>64</v>
      </c>
      <c r="K85" s="58"/>
      <c r="L85" s="60" t="s">
        <v>227</v>
      </c>
      <c r="M85" s="77">
        <v>42676</v>
      </c>
      <c r="N85" s="77"/>
      <c r="O85" s="150" t="s">
        <v>228</v>
      </c>
      <c r="P85" s="122">
        <v>1</v>
      </c>
      <c r="Q85" s="123"/>
      <c r="R85" s="130">
        <v>800</v>
      </c>
      <c r="S85" s="130">
        <f t="shared" si="2"/>
        <v>800</v>
      </c>
      <c r="T85" s="130">
        <f>371.72602739726/2</f>
        <v>185.86301369863</v>
      </c>
      <c r="U85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الشراء-الاستلام]]&lt;DATE(2018,1,1),S85-T85,0))</f>
        <v>614.13698630137003</v>
      </c>
      <c r="V85" s="169"/>
      <c r="W85" s="116"/>
      <c r="X85" s="116"/>
      <c r="Y85" s="117">
        <f>Table5101345411[[#This Row],[عدد الإضافات]]*Table5101345411[[#This Row],[سعر الحبة المضافة]]</f>
        <v>0</v>
      </c>
      <c r="Z85" s="101"/>
      <c r="AA85" s="102"/>
      <c r="AB85" s="103"/>
      <c r="AC85" s="103"/>
      <c r="AD85" s="103"/>
      <c r="AE85" s="103"/>
      <c r="AF85" s="103">
        <f>Table5101345411[[#This Row],[العدد]]*Table5101345411[[#This Row],[قيمة الشراء]]</f>
        <v>0</v>
      </c>
      <c r="AG85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85" s="190">
        <f>Table5101345411[[#This Row],[الكمية]]+Table5101345411[[#This Row],[عدد الإضافات]]-Table5101345411[[#This Row],[العدد]]</f>
        <v>1</v>
      </c>
      <c r="AI85" s="78">
        <f>Table5101345411[[#This Row],[الإجمالي]]+Table5101345411[[#This Row],[إجمالي الإضافات]]-Table5101345411[[#This Row],[إجمالي المستبعد]]</f>
        <v>800</v>
      </c>
      <c r="AJ85" s="120">
        <v>0.15</v>
      </c>
      <c r="AK85" s="219"/>
      <c r="AL85" s="58" t="s">
        <v>61</v>
      </c>
      <c r="AM85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120</v>
      </c>
      <c r="AN85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85" s="79">
        <f>Table5101345411[[#This Row],[اهلاك المستبعد
في 2018]]+Table5101345411[[#This Row],[مجمع إهلاك المستبعد 
01-01-2018]]</f>
        <v>0</v>
      </c>
      <c r="AP85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85" s="220"/>
      <c r="AR85" s="78">
        <f>IF(OR(Table5101345411[[#This Row],[تاريخ الشراء-الاستلام]]="",Table5101345411[[#This Row],[الإجمالي]]="",Table5101345411[[#This Row],[العمر الافتراضي]]=""),"",IF(((T85+AM85)-Table5101345411[[#This Row],[مجمع إهلاك المستبعد 
بتاريخ الأستبعاد]])&lt;=0,0,((T85+AM85)-Table5101345411[[#This Row],[مجمع إهلاك المستبعد 
بتاريخ الأستبعاد]])))</f>
        <v>305.86301369862997</v>
      </c>
      <c r="AS85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الشراء-الاستلام]]&gt;DATE(2018,12,31),0,AI85-AR85)))</f>
        <v>494.13698630137003</v>
      </c>
    </row>
    <row r="86" spans="1:45" s="141" customFormat="1" ht="83.25" customHeight="1">
      <c r="A86" s="118">
        <f>IF(B86="","",SUBTOTAL(3,$B$6:B86))</f>
        <v>81</v>
      </c>
      <c r="B86" s="58" t="s">
        <v>62</v>
      </c>
      <c r="C86" s="59" t="s">
        <v>54</v>
      </c>
      <c r="D86" s="59" t="s">
        <v>522</v>
      </c>
      <c r="E86" s="59" t="s">
        <v>523</v>
      </c>
      <c r="F86" s="226" t="s">
        <v>523</v>
      </c>
      <c r="G86" s="226"/>
      <c r="H86" s="58" t="s">
        <v>57</v>
      </c>
      <c r="I86" s="58" t="s">
        <v>85</v>
      </c>
      <c r="J86" s="58" t="s">
        <v>64</v>
      </c>
      <c r="K86" s="58"/>
      <c r="L86" s="60"/>
      <c r="M86" s="77">
        <v>42735</v>
      </c>
      <c r="N86" s="77" t="s">
        <v>65</v>
      </c>
      <c r="O86" s="150"/>
      <c r="P86" s="122">
        <v>5</v>
      </c>
      <c r="Q86" s="123">
        <v>10297</v>
      </c>
      <c r="R86" s="130">
        <v>700</v>
      </c>
      <c r="S86" s="130">
        <f t="shared" si="2"/>
        <v>3500</v>
      </c>
      <c r="T86" s="130">
        <v>525</v>
      </c>
      <c r="U86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الشراء-الاستلام]]&lt;DATE(2018,1,1),S86-T86,0))</f>
        <v>2975</v>
      </c>
      <c r="V86" s="169"/>
      <c r="W86" s="116"/>
      <c r="X86" s="116"/>
      <c r="Y86" s="117">
        <f>Table5101345411[[#This Row],[عدد الإضافات]]*Table5101345411[[#This Row],[سعر الحبة المضافة]]</f>
        <v>0</v>
      </c>
      <c r="Z86" s="101"/>
      <c r="AA86" s="102"/>
      <c r="AB86" s="103"/>
      <c r="AC86" s="103"/>
      <c r="AD86" s="103"/>
      <c r="AE86" s="103"/>
      <c r="AF86" s="103">
        <f>Table5101345411[[#This Row],[العدد]]*Table5101345411[[#This Row],[قيمة الشراء]]</f>
        <v>0</v>
      </c>
      <c r="AG86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86" s="190">
        <f>Table5101345411[[#This Row],[الكمية]]+Table5101345411[[#This Row],[عدد الإضافات]]-Table5101345411[[#This Row],[العدد]]</f>
        <v>5</v>
      </c>
      <c r="AI86" s="78">
        <f>Table5101345411[[#This Row],[الإجمالي]]+Table5101345411[[#This Row],[إجمالي الإضافات]]-Table5101345411[[#This Row],[إجمالي المستبعد]]</f>
        <v>3500</v>
      </c>
      <c r="AJ86" s="62">
        <v>0.125</v>
      </c>
      <c r="AK86" s="219"/>
      <c r="AL86" s="58" t="s">
        <v>61</v>
      </c>
      <c r="AM86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437.5</v>
      </c>
      <c r="AN86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86" s="79">
        <f>Table5101345411[[#This Row],[اهلاك المستبعد
في 2018]]+Table5101345411[[#This Row],[مجمع إهلاك المستبعد 
01-01-2018]]</f>
        <v>0</v>
      </c>
      <c r="AP86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86" s="220"/>
      <c r="AR86" s="78">
        <f>IF(OR(Table5101345411[[#This Row],[تاريخ الشراء-الاستلام]]="",Table5101345411[[#This Row],[الإجمالي]]="",Table5101345411[[#This Row],[العمر الافتراضي]]=""),"",IF(((T86+AM86)-Table5101345411[[#This Row],[مجمع إهلاك المستبعد 
بتاريخ الأستبعاد]])&lt;=0,0,((T86+AM86)-Table5101345411[[#This Row],[مجمع إهلاك المستبعد 
بتاريخ الأستبعاد]])))</f>
        <v>962.5</v>
      </c>
      <c r="AS86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الشراء-الاستلام]]&gt;DATE(2018,12,31),0,AI86-AR86)))</f>
        <v>2537.5</v>
      </c>
    </row>
    <row r="87" spans="1:45" s="141" customFormat="1" ht="83.25" customHeight="1">
      <c r="A87" s="118">
        <f>IF(B87="","",SUBTOTAL(3,$B$6:B87))</f>
        <v>82</v>
      </c>
      <c r="B87" s="58" t="s">
        <v>671</v>
      </c>
      <c r="C87" s="59" t="s">
        <v>115</v>
      </c>
      <c r="D87" s="59" t="s">
        <v>80</v>
      </c>
      <c r="E87" s="59" t="s">
        <v>671</v>
      </c>
      <c r="F87" s="226" t="s">
        <v>672</v>
      </c>
      <c r="G87" s="226" t="s">
        <v>831</v>
      </c>
      <c r="H87" s="58" t="s">
        <v>57</v>
      </c>
      <c r="I87" s="58" t="s">
        <v>69</v>
      </c>
      <c r="J87" s="58" t="s">
        <v>64</v>
      </c>
      <c r="K87" s="58"/>
      <c r="L87" s="60" t="s">
        <v>673</v>
      </c>
      <c r="M87" s="77"/>
      <c r="N87" s="77"/>
      <c r="O87" s="150"/>
      <c r="P87" s="122">
        <v>1</v>
      </c>
      <c r="Q87" s="123"/>
      <c r="R87" s="130">
        <v>0</v>
      </c>
      <c r="S87" s="130">
        <f t="shared" si="2"/>
        <v>0</v>
      </c>
      <c r="T87" s="130"/>
      <c r="U87" s="217" t="str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الشراء-الاستلام]]&lt;DATE(2018,1,1),S87-T87,0))</f>
        <v/>
      </c>
      <c r="V87" s="169"/>
      <c r="W87" s="116"/>
      <c r="X87" s="116"/>
      <c r="Y87" s="117">
        <f>Table5101345411[[#This Row],[عدد الإضافات]]*Table5101345411[[#This Row],[سعر الحبة المضافة]]</f>
        <v>0</v>
      </c>
      <c r="Z87" s="101"/>
      <c r="AA87" s="102"/>
      <c r="AB87" s="103"/>
      <c r="AC87" s="103"/>
      <c r="AD87" s="103"/>
      <c r="AE87" s="103"/>
      <c r="AF87" s="103">
        <f>Table5101345411[[#This Row],[العدد]]*Table5101345411[[#This Row],[قيمة الشراء]]</f>
        <v>0</v>
      </c>
      <c r="AG87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87" s="190">
        <f>Table5101345411[[#This Row],[الكمية]]+Table5101345411[[#This Row],[عدد الإضافات]]-Table5101345411[[#This Row],[العدد]]</f>
        <v>1</v>
      </c>
      <c r="AI87" s="78">
        <f>Table5101345411[[#This Row],[الإجمالي]]+Table5101345411[[#This Row],[إجمالي الإضافات]]-Table5101345411[[#This Row],[إجمالي المستبعد]]</f>
        <v>0</v>
      </c>
      <c r="AJ87" s="62">
        <v>0.2</v>
      </c>
      <c r="AK87" s="219"/>
      <c r="AL87" s="58"/>
      <c r="AM87" s="79" t="e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#VALUE!</v>
      </c>
      <c r="AN87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87" s="79">
        <f>Table5101345411[[#This Row],[اهلاك المستبعد
في 2018]]+Table5101345411[[#This Row],[مجمع إهلاك المستبعد 
01-01-2018]]</f>
        <v>0</v>
      </c>
      <c r="AP87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87" s="220"/>
      <c r="AR87" s="78" t="str">
        <f>IF(OR(Table5101345411[[#This Row],[تاريخ الشراء-الاستلام]]="",Table5101345411[[#This Row],[الإجمالي]]="",Table5101345411[[#This Row],[العمر الافتراضي]]=""),"",IF(((T87+AM87)-Table5101345411[[#This Row],[مجمع إهلاك المستبعد 
بتاريخ الأستبعاد]])&lt;=0,0,((T87+AM87)-Table5101345411[[#This Row],[مجمع إهلاك المستبعد 
بتاريخ الأستبعاد]])))</f>
        <v/>
      </c>
      <c r="AS87" s="119" t="str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الشراء-الاستلام]]&gt;DATE(2018,12,31),0,AI87-AR87)))</f>
        <v/>
      </c>
    </row>
    <row r="88" spans="1:45" s="141" customFormat="1" ht="83.25" customHeight="1">
      <c r="A88" s="118">
        <f>IF(B88="","",SUBTOTAL(3,$B$6:B88))</f>
        <v>83</v>
      </c>
      <c r="B88" s="58" t="s">
        <v>158</v>
      </c>
      <c r="C88" s="59" t="s">
        <v>115</v>
      </c>
      <c r="D88" s="59" t="s">
        <v>80</v>
      </c>
      <c r="E88" s="59" t="s">
        <v>158</v>
      </c>
      <c r="F88" s="226" t="s">
        <v>668</v>
      </c>
      <c r="G88" s="223" t="s">
        <v>816</v>
      </c>
      <c r="H88" s="58" t="s">
        <v>57</v>
      </c>
      <c r="I88" s="58" t="s">
        <v>69</v>
      </c>
      <c r="J88" s="58" t="s">
        <v>64</v>
      </c>
      <c r="K88" s="58" t="s">
        <v>798</v>
      </c>
      <c r="L88" s="60" t="s">
        <v>159</v>
      </c>
      <c r="M88" s="77">
        <v>41562</v>
      </c>
      <c r="N88" s="77" t="s">
        <v>160</v>
      </c>
      <c r="O88" s="150"/>
      <c r="P88" s="122">
        <v>1</v>
      </c>
      <c r="Q88" s="123"/>
      <c r="R88" s="130">
        <v>40500</v>
      </c>
      <c r="S88" s="130">
        <f t="shared" si="2"/>
        <v>40500</v>
      </c>
      <c r="T88" s="130">
        <v>40500</v>
      </c>
      <c r="U88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الشراء-الاستلام]]&lt;DATE(2018,1,1),S88-T88,0))</f>
        <v>0</v>
      </c>
      <c r="V88" s="169"/>
      <c r="W88" s="116"/>
      <c r="X88" s="116"/>
      <c r="Y88" s="117">
        <f>Table5101345411[[#This Row],[عدد الإضافات]]*Table5101345411[[#This Row],[سعر الحبة المضافة]]</f>
        <v>0</v>
      </c>
      <c r="Z88" s="101"/>
      <c r="AA88" s="102"/>
      <c r="AB88" s="103"/>
      <c r="AC88" s="103"/>
      <c r="AD88" s="103"/>
      <c r="AE88" s="103"/>
      <c r="AF88" s="103">
        <f>Table5101345411[[#This Row],[العدد]]*Table5101345411[[#This Row],[قيمة الشراء]]</f>
        <v>0</v>
      </c>
      <c r="AG88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88" s="190">
        <f>Table5101345411[[#This Row],[الكمية]]+Table5101345411[[#This Row],[عدد الإضافات]]-Table5101345411[[#This Row],[العدد]]</f>
        <v>1</v>
      </c>
      <c r="AI88" s="78">
        <f>Table5101345411[[#This Row],[الإجمالي]]+Table5101345411[[#This Row],[إجمالي الإضافات]]-Table5101345411[[#This Row],[إجمالي المستبعد]]</f>
        <v>40500</v>
      </c>
      <c r="AJ88" s="120">
        <v>0.2</v>
      </c>
      <c r="AK88" s="219"/>
      <c r="AL88" s="58" t="s">
        <v>61</v>
      </c>
      <c r="AM88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88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88" s="79">
        <f>Table5101345411[[#This Row],[اهلاك المستبعد
في 2018]]+Table5101345411[[#This Row],[مجمع إهلاك المستبعد 
01-01-2018]]</f>
        <v>0</v>
      </c>
      <c r="AP88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88" s="220"/>
      <c r="AR88" s="78">
        <f>IF(OR(Table5101345411[[#This Row],[تاريخ الشراء-الاستلام]]="",Table5101345411[[#This Row],[الإجمالي]]="",Table5101345411[[#This Row],[العمر الافتراضي]]=""),"",IF(((T88+AM88)-Table5101345411[[#This Row],[مجمع إهلاك المستبعد 
بتاريخ الأستبعاد]])&lt;=0,0,((T88+AM88)-Table5101345411[[#This Row],[مجمع إهلاك المستبعد 
بتاريخ الأستبعاد]])))</f>
        <v>40500</v>
      </c>
      <c r="AS88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الشراء-الاستلام]]&gt;DATE(2018,12,31),0,AI88-AR88)))</f>
        <v>0</v>
      </c>
    </row>
    <row r="89" spans="1:45" s="141" customFormat="1" ht="83.25" customHeight="1">
      <c r="A89" s="118">
        <f>IF(B89="","",SUBTOTAL(3,$B$6:B89))</f>
        <v>84</v>
      </c>
      <c r="B89" s="58" t="s">
        <v>161</v>
      </c>
      <c r="C89" s="59" t="s">
        <v>115</v>
      </c>
      <c r="D89" s="59" t="s">
        <v>84</v>
      </c>
      <c r="E89" s="59"/>
      <c r="F89" s="226">
        <v>0</v>
      </c>
      <c r="G89" s="226"/>
      <c r="H89" s="58"/>
      <c r="I89" s="58"/>
      <c r="J89" s="58" t="s">
        <v>64</v>
      </c>
      <c r="K89" s="58"/>
      <c r="L89" s="60" t="s">
        <v>162</v>
      </c>
      <c r="M89" s="77">
        <v>39995</v>
      </c>
      <c r="N89" s="77"/>
      <c r="O89" s="150"/>
      <c r="P89" s="122">
        <v>1</v>
      </c>
      <c r="Q89" s="123"/>
      <c r="R89" s="130">
        <v>307357</v>
      </c>
      <c r="S89" s="130">
        <f t="shared" si="2"/>
        <v>307357</v>
      </c>
      <c r="T89" s="130">
        <v>307357</v>
      </c>
      <c r="U89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الشراء-الاستلام]]&lt;DATE(2018,1,1),S89-T89,0))</f>
        <v>0</v>
      </c>
      <c r="V89" s="169"/>
      <c r="W89" s="116"/>
      <c r="X89" s="116"/>
      <c r="Y89" s="117">
        <f>Table5101345411[[#This Row],[عدد الإضافات]]*Table5101345411[[#This Row],[سعر الحبة المضافة]]</f>
        <v>0</v>
      </c>
      <c r="Z89" s="101"/>
      <c r="AA89" s="102"/>
      <c r="AB89" s="103"/>
      <c r="AC89" s="103"/>
      <c r="AD89" s="103"/>
      <c r="AE89" s="103"/>
      <c r="AF89" s="103">
        <f>Table5101345411[[#This Row],[العدد]]*Table5101345411[[#This Row],[قيمة الشراء]]</f>
        <v>0</v>
      </c>
      <c r="AG89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89" s="190">
        <f>Table5101345411[[#This Row],[الكمية]]+Table5101345411[[#This Row],[عدد الإضافات]]-Table5101345411[[#This Row],[العدد]]</f>
        <v>1</v>
      </c>
      <c r="AI89" s="78">
        <f>Table5101345411[[#This Row],[الإجمالي]]+Table5101345411[[#This Row],[إجمالي الإضافات]]-Table5101345411[[#This Row],[إجمالي المستبعد]]</f>
        <v>307357</v>
      </c>
      <c r="AJ89" s="120">
        <v>0.2</v>
      </c>
      <c r="AK89" s="219"/>
      <c r="AL89" s="58" t="s">
        <v>61</v>
      </c>
      <c r="AM89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89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89" s="79">
        <f>Table5101345411[[#This Row],[اهلاك المستبعد
في 2018]]+Table5101345411[[#This Row],[مجمع إهلاك المستبعد 
01-01-2018]]</f>
        <v>0</v>
      </c>
      <c r="AP89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89" s="220"/>
      <c r="AR89" s="78">
        <f>IF(OR(Table5101345411[[#This Row],[تاريخ الشراء-الاستلام]]="",Table5101345411[[#This Row],[الإجمالي]]="",Table5101345411[[#This Row],[العمر الافتراضي]]=""),"",IF(((T89+AM89)-Table5101345411[[#This Row],[مجمع إهلاك المستبعد 
بتاريخ الأستبعاد]])&lt;=0,0,((T89+AM89)-Table5101345411[[#This Row],[مجمع إهلاك المستبعد 
بتاريخ الأستبعاد]])))</f>
        <v>307357</v>
      </c>
      <c r="AS89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الشراء-الاستلام]]&gt;DATE(2018,12,31),0,AI89-AR89)))</f>
        <v>0</v>
      </c>
    </row>
    <row r="90" spans="1:45" s="141" customFormat="1" ht="83.25" customHeight="1">
      <c r="A90" s="118">
        <f>IF(B90="","",SUBTOTAL(3,$B$6:B90))</f>
        <v>85</v>
      </c>
      <c r="B90" s="58" t="s">
        <v>83</v>
      </c>
      <c r="C90" s="59" t="s">
        <v>115</v>
      </c>
      <c r="D90" s="59" t="s">
        <v>84</v>
      </c>
      <c r="E90" s="59"/>
      <c r="F90" s="226">
        <v>0</v>
      </c>
      <c r="G90" s="226"/>
      <c r="H90" s="58"/>
      <c r="I90" s="58"/>
      <c r="J90" s="58" t="s">
        <v>64</v>
      </c>
      <c r="K90" s="58"/>
      <c r="L90" s="60" t="s">
        <v>163</v>
      </c>
      <c r="M90" s="77">
        <v>40269</v>
      </c>
      <c r="N90" s="77"/>
      <c r="O90" s="150"/>
      <c r="P90" s="122">
        <v>1</v>
      </c>
      <c r="Q90" s="123"/>
      <c r="R90" s="130">
        <v>212550</v>
      </c>
      <c r="S90" s="130">
        <f t="shared" si="2"/>
        <v>212550</v>
      </c>
      <c r="T90" s="130">
        <v>212550</v>
      </c>
      <c r="U90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الشراء-الاستلام]]&lt;DATE(2018,1,1),S90-T90,0))</f>
        <v>0</v>
      </c>
      <c r="V90" s="169"/>
      <c r="W90" s="116"/>
      <c r="X90" s="116"/>
      <c r="Y90" s="117">
        <f>Table5101345411[[#This Row],[عدد الإضافات]]*Table5101345411[[#This Row],[سعر الحبة المضافة]]</f>
        <v>0</v>
      </c>
      <c r="Z90" s="101"/>
      <c r="AA90" s="102"/>
      <c r="AB90" s="103"/>
      <c r="AC90" s="103"/>
      <c r="AD90" s="103"/>
      <c r="AE90" s="103"/>
      <c r="AF90" s="103">
        <f>Table5101345411[[#This Row],[العدد]]*Table5101345411[[#This Row],[قيمة الشراء]]</f>
        <v>0</v>
      </c>
      <c r="AG90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90" s="190">
        <f>Table5101345411[[#This Row],[الكمية]]+Table5101345411[[#This Row],[عدد الإضافات]]-Table5101345411[[#This Row],[العدد]]</f>
        <v>1</v>
      </c>
      <c r="AI90" s="78">
        <f>Table5101345411[[#This Row],[الإجمالي]]+Table5101345411[[#This Row],[إجمالي الإضافات]]-Table5101345411[[#This Row],[إجمالي المستبعد]]</f>
        <v>212550</v>
      </c>
      <c r="AJ90" s="120">
        <v>0.2</v>
      </c>
      <c r="AK90" s="219"/>
      <c r="AL90" s="58" t="s">
        <v>61</v>
      </c>
      <c r="AM90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90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90" s="79">
        <f>Table5101345411[[#This Row],[اهلاك المستبعد
في 2018]]+Table5101345411[[#This Row],[مجمع إهلاك المستبعد 
01-01-2018]]</f>
        <v>0</v>
      </c>
      <c r="AP90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90" s="220"/>
      <c r="AR90" s="78">
        <f>IF(OR(Table5101345411[[#This Row],[تاريخ الشراء-الاستلام]]="",Table5101345411[[#This Row],[الإجمالي]]="",Table5101345411[[#This Row],[العمر الافتراضي]]=""),"",IF(((T90+AM90)-Table5101345411[[#This Row],[مجمع إهلاك المستبعد 
بتاريخ الأستبعاد]])&lt;=0,0,((T90+AM90)-Table5101345411[[#This Row],[مجمع إهلاك المستبعد 
بتاريخ الأستبعاد]])))</f>
        <v>212550</v>
      </c>
      <c r="AS90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الشراء-الاستلام]]&gt;DATE(2018,12,31),0,AI90-AR90)))</f>
        <v>0</v>
      </c>
    </row>
    <row r="91" spans="1:45" s="141" customFormat="1" ht="83.25" customHeight="1">
      <c r="A91" s="118">
        <f>IF(B91="","",SUBTOTAL(3,$B$6:B91))</f>
        <v>86</v>
      </c>
      <c r="B91" s="58" t="s">
        <v>161</v>
      </c>
      <c r="C91" s="59" t="s">
        <v>115</v>
      </c>
      <c r="D91" s="59" t="s">
        <v>84</v>
      </c>
      <c r="E91" s="59"/>
      <c r="F91" s="226">
        <v>0</v>
      </c>
      <c r="G91" s="226"/>
      <c r="H91" s="58"/>
      <c r="I91" s="58"/>
      <c r="J91" s="58" t="s">
        <v>64</v>
      </c>
      <c r="K91" s="58"/>
      <c r="L91" s="60" t="s">
        <v>163</v>
      </c>
      <c r="M91" s="77">
        <v>40298</v>
      </c>
      <c r="N91" s="77"/>
      <c r="O91" s="150"/>
      <c r="P91" s="122">
        <v>1</v>
      </c>
      <c r="Q91" s="123"/>
      <c r="R91" s="130">
        <v>82000</v>
      </c>
      <c r="S91" s="130">
        <f t="shared" si="2"/>
        <v>82000</v>
      </c>
      <c r="T91" s="130">
        <v>82000</v>
      </c>
      <c r="U91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الشراء-الاستلام]]&lt;DATE(2018,1,1),S91-T91,0))</f>
        <v>0</v>
      </c>
      <c r="V91" s="169"/>
      <c r="W91" s="116"/>
      <c r="X91" s="116"/>
      <c r="Y91" s="117">
        <f>Table5101345411[[#This Row],[عدد الإضافات]]*Table5101345411[[#This Row],[سعر الحبة المضافة]]</f>
        <v>0</v>
      </c>
      <c r="Z91" s="101"/>
      <c r="AA91" s="102"/>
      <c r="AB91" s="103"/>
      <c r="AC91" s="103"/>
      <c r="AD91" s="103"/>
      <c r="AE91" s="103"/>
      <c r="AF91" s="103">
        <f>Table5101345411[[#This Row],[العدد]]*Table5101345411[[#This Row],[قيمة الشراء]]</f>
        <v>0</v>
      </c>
      <c r="AG91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91" s="190">
        <f>Table5101345411[[#This Row],[الكمية]]+Table5101345411[[#This Row],[عدد الإضافات]]-Table5101345411[[#This Row],[العدد]]</f>
        <v>1</v>
      </c>
      <c r="AI91" s="78">
        <f>Table5101345411[[#This Row],[الإجمالي]]+Table5101345411[[#This Row],[إجمالي الإضافات]]-Table5101345411[[#This Row],[إجمالي المستبعد]]</f>
        <v>82000</v>
      </c>
      <c r="AJ91" s="120">
        <v>0.2</v>
      </c>
      <c r="AK91" s="219"/>
      <c r="AL91" s="58" t="s">
        <v>61</v>
      </c>
      <c r="AM91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91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91" s="79">
        <f>Table5101345411[[#This Row],[اهلاك المستبعد
في 2018]]+Table5101345411[[#This Row],[مجمع إهلاك المستبعد 
01-01-2018]]</f>
        <v>0</v>
      </c>
      <c r="AP91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91" s="220"/>
      <c r="AR91" s="78">
        <f>IF(OR(Table5101345411[[#This Row],[تاريخ الشراء-الاستلام]]="",Table5101345411[[#This Row],[الإجمالي]]="",Table5101345411[[#This Row],[العمر الافتراضي]]=""),"",IF(((T91+AM91)-Table5101345411[[#This Row],[مجمع إهلاك المستبعد 
بتاريخ الأستبعاد]])&lt;=0,0,((T91+AM91)-Table5101345411[[#This Row],[مجمع إهلاك المستبعد 
بتاريخ الأستبعاد]])))</f>
        <v>82000</v>
      </c>
      <c r="AS91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الشراء-الاستلام]]&gt;DATE(2018,12,31),0,AI91-AR91)))</f>
        <v>0</v>
      </c>
    </row>
    <row r="92" spans="1:45" s="141" customFormat="1" ht="83.25" customHeight="1">
      <c r="A92" s="118">
        <f>IF(B92="","",SUBTOTAL(3,$B$6:B92))</f>
        <v>87</v>
      </c>
      <c r="B92" s="58" t="s">
        <v>83</v>
      </c>
      <c r="C92" s="59" t="s">
        <v>115</v>
      </c>
      <c r="D92" s="59" t="s">
        <v>84</v>
      </c>
      <c r="E92" s="59"/>
      <c r="F92" s="226">
        <v>0</v>
      </c>
      <c r="G92" s="226"/>
      <c r="H92" s="58"/>
      <c r="I92" s="58"/>
      <c r="J92" s="58" t="s">
        <v>64</v>
      </c>
      <c r="K92" s="58"/>
      <c r="L92" s="60" t="s">
        <v>164</v>
      </c>
      <c r="M92" s="77">
        <v>40269</v>
      </c>
      <c r="N92" s="77"/>
      <c r="O92" s="150"/>
      <c r="P92" s="122">
        <v>1</v>
      </c>
      <c r="Q92" s="123"/>
      <c r="R92" s="130">
        <v>212550</v>
      </c>
      <c r="S92" s="130">
        <f t="shared" si="2"/>
        <v>212550</v>
      </c>
      <c r="T92" s="130">
        <v>212550</v>
      </c>
      <c r="U92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الشراء-الاستلام]]&lt;DATE(2018,1,1),S92-T92,0))</f>
        <v>0</v>
      </c>
      <c r="V92" s="169"/>
      <c r="W92" s="116"/>
      <c r="X92" s="116"/>
      <c r="Y92" s="117">
        <f>Table5101345411[[#This Row],[عدد الإضافات]]*Table5101345411[[#This Row],[سعر الحبة المضافة]]</f>
        <v>0</v>
      </c>
      <c r="Z92" s="101"/>
      <c r="AA92" s="102"/>
      <c r="AB92" s="103"/>
      <c r="AC92" s="103"/>
      <c r="AD92" s="103"/>
      <c r="AE92" s="103"/>
      <c r="AF92" s="103">
        <f>Table5101345411[[#This Row],[العدد]]*Table5101345411[[#This Row],[قيمة الشراء]]</f>
        <v>0</v>
      </c>
      <c r="AG92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92" s="190">
        <f>Table5101345411[[#This Row],[الكمية]]+Table5101345411[[#This Row],[عدد الإضافات]]-Table5101345411[[#This Row],[العدد]]</f>
        <v>1</v>
      </c>
      <c r="AI92" s="78">
        <f>Table5101345411[[#This Row],[الإجمالي]]+Table5101345411[[#This Row],[إجمالي الإضافات]]-Table5101345411[[#This Row],[إجمالي المستبعد]]</f>
        <v>212550</v>
      </c>
      <c r="AJ92" s="120">
        <v>0.2</v>
      </c>
      <c r="AK92" s="219"/>
      <c r="AL92" s="58" t="s">
        <v>61</v>
      </c>
      <c r="AM92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92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92" s="79">
        <f>Table5101345411[[#This Row],[اهلاك المستبعد
في 2018]]+Table5101345411[[#This Row],[مجمع إهلاك المستبعد 
01-01-2018]]</f>
        <v>0</v>
      </c>
      <c r="AP92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92" s="220"/>
      <c r="AR92" s="78">
        <f>IF(OR(Table5101345411[[#This Row],[تاريخ الشراء-الاستلام]]="",Table5101345411[[#This Row],[الإجمالي]]="",Table5101345411[[#This Row],[العمر الافتراضي]]=""),"",IF(((T92+AM92)-Table5101345411[[#This Row],[مجمع إهلاك المستبعد 
بتاريخ الأستبعاد]])&lt;=0,0,((T92+AM92)-Table5101345411[[#This Row],[مجمع إهلاك المستبعد 
بتاريخ الأستبعاد]])))</f>
        <v>212550</v>
      </c>
      <c r="AS92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الشراء-الاستلام]]&gt;DATE(2018,12,31),0,AI92-AR92)))</f>
        <v>0</v>
      </c>
    </row>
    <row r="93" spans="1:45" s="141" customFormat="1" ht="83.25" customHeight="1">
      <c r="A93" s="118">
        <f>IF(B93="","",SUBTOTAL(3,$B$6:B93))</f>
        <v>88</v>
      </c>
      <c r="B93" s="58" t="s">
        <v>161</v>
      </c>
      <c r="C93" s="59" t="s">
        <v>115</v>
      </c>
      <c r="D93" s="59" t="s">
        <v>84</v>
      </c>
      <c r="E93" s="59"/>
      <c r="F93" s="226">
        <v>0</v>
      </c>
      <c r="G93" s="226"/>
      <c r="H93" s="58"/>
      <c r="I93" s="58"/>
      <c r="J93" s="58" t="s">
        <v>64</v>
      </c>
      <c r="K93" s="58"/>
      <c r="L93" s="60" t="s">
        <v>164</v>
      </c>
      <c r="M93" s="77">
        <v>40298</v>
      </c>
      <c r="N93" s="77"/>
      <c r="O93" s="150"/>
      <c r="P93" s="122">
        <v>1</v>
      </c>
      <c r="Q93" s="123"/>
      <c r="R93" s="130">
        <v>82000</v>
      </c>
      <c r="S93" s="130">
        <f t="shared" si="2"/>
        <v>82000</v>
      </c>
      <c r="T93" s="130">
        <v>82000</v>
      </c>
      <c r="U93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الشراء-الاستلام]]&lt;DATE(2018,1,1),S93-T93,0))</f>
        <v>0</v>
      </c>
      <c r="V93" s="169"/>
      <c r="W93" s="116"/>
      <c r="X93" s="116"/>
      <c r="Y93" s="117">
        <f>Table5101345411[[#This Row],[عدد الإضافات]]*Table5101345411[[#This Row],[سعر الحبة المضافة]]</f>
        <v>0</v>
      </c>
      <c r="Z93" s="101"/>
      <c r="AA93" s="102"/>
      <c r="AB93" s="103"/>
      <c r="AC93" s="103"/>
      <c r="AD93" s="103"/>
      <c r="AE93" s="103"/>
      <c r="AF93" s="103">
        <f>Table5101345411[[#This Row],[العدد]]*Table5101345411[[#This Row],[قيمة الشراء]]</f>
        <v>0</v>
      </c>
      <c r="AG93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93" s="190">
        <f>Table5101345411[[#This Row],[الكمية]]+Table5101345411[[#This Row],[عدد الإضافات]]-Table5101345411[[#This Row],[العدد]]</f>
        <v>1</v>
      </c>
      <c r="AI93" s="78">
        <f>Table5101345411[[#This Row],[الإجمالي]]+Table5101345411[[#This Row],[إجمالي الإضافات]]-Table5101345411[[#This Row],[إجمالي المستبعد]]</f>
        <v>82000</v>
      </c>
      <c r="AJ93" s="120">
        <v>0.2</v>
      </c>
      <c r="AK93" s="219"/>
      <c r="AL93" s="58" t="s">
        <v>61</v>
      </c>
      <c r="AM93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93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93" s="79">
        <f>Table5101345411[[#This Row],[اهلاك المستبعد
في 2018]]+Table5101345411[[#This Row],[مجمع إهلاك المستبعد 
01-01-2018]]</f>
        <v>0</v>
      </c>
      <c r="AP93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93" s="220"/>
      <c r="AR93" s="78">
        <f>IF(OR(Table5101345411[[#This Row],[تاريخ الشراء-الاستلام]]="",Table5101345411[[#This Row],[الإجمالي]]="",Table5101345411[[#This Row],[العمر الافتراضي]]=""),"",IF(((T93+AM93)-Table5101345411[[#This Row],[مجمع إهلاك المستبعد 
بتاريخ الأستبعاد]])&lt;=0,0,((T93+AM93)-Table5101345411[[#This Row],[مجمع إهلاك المستبعد 
بتاريخ الأستبعاد]])))</f>
        <v>82000</v>
      </c>
      <c r="AS93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الشراء-الاستلام]]&gt;DATE(2018,12,31),0,AI93-AR93)))</f>
        <v>0</v>
      </c>
    </row>
    <row r="94" spans="1:45" s="141" customFormat="1" ht="83.25" customHeight="1">
      <c r="A94" s="118">
        <f>IF(B94="","",SUBTOTAL(3,$B$6:B94))</f>
        <v>89</v>
      </c>
      <c r="B94" s="58" t="s">
        <v>165</v>
      </c>
      <c r="C94" s="59" t="s">
        <v>115</v>
      </c>
      <c r="D94" s="59" t="s">
        <v>84</v>
      </c>
      <c r="E94" s="59"/>
      <c r="F94" s="226">
        <v>0</v>
      </c>
      <c r="G94" s="226"/>
      <c r="H94" s="58"/>
      <c r="I94" s="58" t="s">
        <v>166</v>
      </c>
      <c r="J94" s="58" t="s">
        <v>64</v>
      </c>
      <c r="K94" s="58"/>
      <c r="L94" s="60" t="s">
        <v>167</v>
      </c>
      <c r="M94" s="77">
        <v>40797</v>
      </c>
      <c r="N94" s="77"/>
      <c r="O94" s="150"/>
      <c r="P94" s="122">
        <v>1</v>
      </c>
      <c r="Q94" s="123"/>
      <c r="R94" s="130">
        <v>267763</v>
      </c>
      <c r="S94" s="130">
        <f t="shared" si="2"/>
        <v>267763</v>
      </c>
      <c r="T94" s="130">
        <v>253311.13397260272</v>
      </c>
      <c r="U94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الشراء-الاستلام]]&lt;DATE(2018,1,1),S94-T94,0))</f>
        <v>14451.866027397278</v>
      </c>
      <c r="V94" s="169"/>
      <c r="W94" s="116"/>
      <c r="X94" s="116"/>
      <c r="Y94" s="117">
        <f>Table5101345411[[#This Row],[عدد الإضافات]]*Table5101345411[[#This Row],[سعر الحبة المضافة]]</f>
        <v>0</v>
      </c>
      <c r="Z94" s="101"/>
      <c r="AA94" s="102"/>
      <c r="AB94" s="103"/>
      <c r="AC94" s="103"/>
      <c r="AD94" s="103"/>
      <c r="AE94" s="103"/>
      <c r="AF94" s="103">
        <f>Table5101345411[[#This Row],[العدد]]*Table5101345411[[#This Row],[قيمة الشراء]]</f>
        <v>0</v>
      </c>
      <c r="AG94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94" s="190">
        <f>Table5101345411[[#This Row],[الكمية]]+Table5101345411[[#This Row],[عدد الإضافات]]-Table5101345411[[#This Row],[العدد]]</f>
        <v>1</v>
      </c>
      <c r="AI94" s="78">
        <f>Table5101345411[[#This Row],[الإجمالي]]+Table5101345411[[#This Row],[إجمالي الإضافات]]-Table5101345411[[#This Row],[إجمالي المستبعد]]</f>
        <v>267763</v>
      </c>
      <c r="AJ94" s="120">
        <v>0.15</v>
      </c>
      <c r="AK94" s="219"/>
      <c r="AL94" s="58" t="s">
        <v>61</v>
      </c>
      <c r="AM94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14451.866027397278</v>
      </c>
      <c r="AN94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94" s="79">
        <f>Table5101345411[[#This Row],[اهلاك المستبعد
في 2018]]+Table5101345411[[#This Row],[مجمع إهلاك المستبعد 
01-01-2018]]</f>
        <v>0</v>
      </c>
      <c r="AP94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94" s="220"/>
      <c r="AR94" s="78">
        <f>IF(OR(Table5101345411[[#This Row],[تاريخ الشراء-الاستلام]]="",Table5101345411[[#This Row],[الإجمالي]]="",Table5101345411[[#This Row],[العمر الافتراضي]]=""),"",IF(((T94+AM94)-Table5101345411[[#This Row],[مجمع إهلاك المستبعد 
بتاريخ الأستبعاد]])&lt;=0,0,((T94+AM94)-Table5101345411[[#This Row],[مجمع إهلاك المستبعد 
بتاريخ الأستبعاد]])))</f>
        <v>267763</v>
      </c>
      <c r="AS94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الشراء-الاستلام]]&gt;DATE(2018,12,31),0,AI94-AR94)))</f>
        <v>0</v>
      </c>
    </row>
    <row r="95" spans="1:45" s="141" customFormat="1" ht="83.25" customHeight="1">
      <c r="A95" s="118">
        <f>IF(B95="","",SUBTOTAL(3,$B$6:B95))</f>
        <v>90</v>
      </c>
      <c r="B95" s="58" t="s">
        <v>168</v>
      </c>
      <c r="C95" s="59" t="s">
        <v>115</v>
      </c>
      <c r="D95" s="59" t="s">
        <v>84</v>
      </c>
      <c r="E95" s="59"/>
      <c r="F95" s="226">
        <v>0</v>
      </c>
      <c r="G95" s="226"/>
      <c r="H95" s="58"/>
      <c r="I95" s="58" t="s">
        <v>166</v>
      </c>
      <c r="J95" s="58" t="s">
        <v>64</v>
      </c>
      <c r="K95" s="58"/>
      <c r="L95" s="60" t="s">
        <v>167</v>
      </c>
      <c r="M95" s="77">
        <v>41028</v>
      </c>
      <c r="N95" s="77"/>
      <c r="O95" s="150"/>
      <c r="P95" s="122">
        <v>1</v>
      </c>
      <c r="Q95" s="123"/>
      <c r="R95" s="130">
        <v>79269</v>
      </c>
      <c r="S95" s="130">
        <f t="shared" si="2"/>
        <v>79269</v>
      </c>
      <c r="T95" s="130">
        <v>67465.520136986292</v>
      </c>
      <c r="U95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الشراء-الاستلام]]&lt;DATE(2018,1,1),S95-T95,0))</f>
        <v>11803.479863013708</v>
      </c>
      <c r="V95" s="169"/>
      <c r="W95" s="116"/>
      <c r="X95" s="116"/>
      <c r="Y95" s="117">
        <f>Table5101345411[[#This Row],[عدد الإضافات]]*Table5101345411[[#This Row],[سعر الحبة المضافة]]</f>
        <v>0</v>
      </c>
      <c r="Z95" s="101"/>
      <c r="AA95" s="102"/>
      <c r="AB95" s="103"/>
      <c r="AC95" s="103"/>
      <c r="AD95" s="103"/>
      <c r="AE95" s="103"/>
      <c r="AF95" s="103">
        <f>Table5101345411[[#This Row],[العدد]]*Table5101345411[[#This Row],[قيمة الشراء]]</f>
        <v>0</v>
      </c>
      <c r="AG95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95" s="190">
        <f>Table5101345411[[#This Row],[الكمية]]+Table5101345411[[#This Row],[عدد الإضافات]]-Table5101345411[[#This Row],[العدد]]</f>
        <v>1</v>
      </c>
      <c r="AI95" s="78">
        <f>Table5101345411[[#This Row],[الإجمالي]]+Table5101345411[[#This Row],[إجمالي الإضافات]]-Table5101345411[[#This Row],[إجمالي المستبعد]]</f>
        <v>79269</v>
      </c>
      <c r="AJ95" s="120">
        <v>0.15</v>
      </c>
      <c r="AK95" s="219"/>
      <c r="AL95" s="58" t="s">
        <v>61</v>
      </c>
      <c r="AM95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11803.479863013708</v>
      </c>
      <c r="AN95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95" s="79">
        <f>Table5101345411[[#This Row],[اهلاك المستبعد
في 2018]]+Table5101345411[[#This Row],[مجمع إهلاك المستبعد 
01-01-2018]]</f>
        <v>0</v>
      </c>
      <c r="AP95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95" s="220"/>
      <c r="AR95" s="78">
        <f>IF(OR(Table5101345411[[#This Row],[تاريخ الشراء-الاستلام]]="",Table5101345411[[#This Row],[الإجمالي]]="",Table5101345411[[#This Row],[العمر الافتراضي]]=""),"",IF(((T95+AM95)-Table5101345411[[#This Row],[مجمع إهلاك المستبعد 
بتاريخ الأستبعاد]])&lt;=0,0,((T95+AM95)-Table5101345411[[#This Row],[مجمع إهلاك المستبعد 
بتاريخ الأستبعاد]])))</f>
        <v>79269</v>
      </c>
      <c r="AS95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الشراء-الاستلام]]&gt;DATE(2018,12,31),0,AI95-AR95)))</f>
        <v>0</v>
      </c>
    </row>
    <row r="96" spans="1:45" s="141" customFormat="1" ht="83.25" customHeight="1">
      <c r="A96" s="118">
        <f>IF(B96="","",SUBTOTAL(3,$B$6:B96))</f>
        <v>91</v>
      </c>
      <c r="B96" s="58" t="s">
        <v>169</v>
      </c>
      <c r="C96" s="59" t="s">
        <v>115</v>
      </c>
      <c r="D96" s="59" t="s">
        <v>84</v>
      </c>
      <c r="E96" s="59"/>
      <c r="F96" s="226">
        <v>0</v>
      </c>
      <c r="G96" s="226"/>
      <c r="H96" s="58"/>
      <c r="I96" s="58" t="s">
        <v>166</v>
      </c>
      <c r="J96" s="58" t="s">
        <v>64</v>
      </c>
      <c r="K96" s="58"/>
      <c r="L96" s="60" t="s">
        <v>167</v>
      </c>
      <c r="M96" s="77">
        <v>40806</v>
      </c>
      <c r="N96" s="77"/>
      <c r="O96" s="150"/>
      <c r="P96" s="122">
        <v>1</v>
      </c>
      <c r="Q96" s="123"/>
      <c r="R96" s="130">
        <v>1500</v>
      </c>
      <c r="S96" s="130">
        <f t="shared" si="2"/>
        <v>1500</v>
      </c>
      <c r="T96" s="130">
        <v>1413.4931506849314</v>
      </c>
      <c r="U96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الشراء-الاستلام]]&lt;DATE(2018,1,1),S96-T96,0))</f>
        <v>86.506849315068621</v>
      </c>
      <c r="V96" s="169"/>
      <c r="W96" s="116"/>
      <c r="X96" s="116"/>
      <c r="Y96" s="117">
        <f>Table5101345411[[#This Row],[عدد الإضافات]]*Table5101345411[[#This Row],[سعر الحبة المضافة]]</f>
        <v>0</v>
      </c>
      <c r="Z96" s="101"/>
      <c r="AA96" s="102"/>
      <c r="AB96" s="103"/>
      <c r="AC96" s="103"/>
      <c r="AD96" s="103"/>
      <c r="AE96" s="103"/>
      <c r="AF96" s="103">
        <f>Table5101345411[[#This Row],[العدد]]*Table5101345411[[#This Row],[قيمة الشراء]]</f>
        <v>0</v>
      </c>
      <c r="AG96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96" s="190">
        <f>Table5101345411[[#This Row],[الكمية]]+Table5101345411[[#This Row],[عدد الإضافات]]-Table5101345411[[#This Row],[العدد]]</f>
        <v>1</v>
      </c>
      <c r="AI96" s="78">
        <f>Table5101345411[[#This Row],[الإجمالي]]+Table5101345411[[#This Row],[إجمالي الإضافات]]-Table5101345411[[#This Row],[إجمالي المستبعد]]</f>
        <v>1500</v>
      </c>
      <c r="AJ96" s="120">
        <v>0.15</v>
      </c>
      <c r="AK96" s="219"/>
      <c r="AL96" s="58" t="s">
        <v>61</v>
      </c>
      <c r="AM96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86.506849315068621</v>
      </c>
      <c r="AN96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96" s="79">
        <f>Table5101345411[[#This Row],[اهلاك المستبعد
في 2018]]+Table5101345411[[#This Row],[مجمع إهلاك المستبعد 
01-01-2018]]</f>
        <v>0</v>
      </c>
      <c r="AP96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96" s="220"/>
      <c r="AR96" s="78">
        <f>IF(OR(Table5101345411[[#This Row],[تاريخ الشراء-الاستلام]]="",Table5101345411[[#This Row],[الإجمالي]]="",Table5101345411[[#This Row],[العمر الافتراضي]]=""),"",IF(((T96+AM96)-Table5101345411[[#This Row],[مجمع إهلاك المستبعد 
بتاريخ الأستبعاد]])&lt;=0,0,((T96+AM96)-Table5101345411[[#This Row],[مجمع إهلاك المستبعد 
بتاريخ الأستبعاد]])))</f>
        <v>1500</v>
      </c>
      <c r="AS96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الشراء-الاستلام]]&gt;DATE(2018,12,31),0,AI96-AR96)))</f>
        <v>0</v>
      </c>
    </row>
    <row r="97" spans="1:45" s="141" customFormat="1" ht="83.25" customHeight="1">
      <c r="A97" s="118">
        <f>IF(B97="","",SUBTOTAL(3,$B$6:B97))</f>
        <v>92</v>
      </c>
      <c r="B97" s="58" t="s">
        <v>168</v>
      </c>
      <c r="C97" s="59" t="s">
        <v>115</v>
      </c>
      <c r="D97" s="59" t="s">
        <v>84</v>
      </c>
      <c r="E97" s="59"/>
      <c r="F97" s="226">
        <v>0</v>
      </c>
      <c r="G97" s="226"/>
      <c r="H97" s="58"/>
      <c r="I97" s="58"/>
      <c r="J97" s="58" t="s">
        <v>64</v>
      </c>
      <c r="K97" s="58"/>
      <c r="L97" s="60" t="s">
        <v>170</v>
      </c>
      <c r="M97" s="77">
        <v>40756</v>
      </c>
      <c r="N97" s="77"/>
      <c r="O97" s="150"/>
      <c r="P97" s="122">
        <v>1</v>
      </c>
      <c r="Q97" s="123"/>
      <c r="R97" s="130">
        <v>305000</v>
      </c>
      <c r="S97" s="130">
        <f t="shared" si="2"/>
        <v>305000</v>
      </c>
      <c r="T97" s="130">
        <v>293677.39726027392</v>
      </c>
      <c r="U97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الشراء-الاستلام]]&lt;DATE(2018,1,1),S97-T97,0))</f>
        <v>11322.602739726077</v>
      </c>
      <c r="V97" s="169"/>
      <c r="W97" s="116"/>
      <c r="X97" s="116"/>
      <c r="Y97" s="117">
        <f>Table5101345411[[#This Row],[عدد الإضافات]]*Table5101345411[[#This Row],[سعر الحبة المضافة]]</f>
        <v>0</v>
      </c>
      <c r="Z97" s="101"/>
      <c r="AA97" s="102"/>
      <c r="AB97" s="103"/>
      <c r="AC97" s="103"/>
      <c r="AD97" s="103"/>
      <c r="AE97" s="103"/>
      <c r="AF97" s="103">
        <f>Table5101345411[[#This Row],[العدد]]*Table5101345411[[#This Row],[قيمة الشراء]]</f>
        <v>0</v>
      </c>
      <c r="AG97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97" s="190">
        <f>Table5101345411[[#This Row],[الكمية]]+Table5101345411[[#This Row],[عدد الإضافات]]-Table5101345411[[#This Row],[العدد]]</f>
        <v>1</v>
      </c>
      <c r="AI97" s="78">
        <f>Table5101345411[[#This Row],[الإجمالي]]+Table5101345411[[#This Row],[إجمالي الإضافات]]-Table5101345411[[#This Row],[إجمالي المستبعد]]</f>
        <v>305000</v>
      </c>
      <c r="AJ97" s="120">
        <v>0.15</v>
      </c>
      <c r="AK97" s="219"/>
      <c r="AL97" s="58" t="s">
        <v>61</v>
      </c>
      <c r="AM97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11322.602739726077</v>
      </c>
      <c r="AN97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97" s="79">
        <f>Table5101345411[[#This Row],[اهلاك المستبعد
في 2018]]+Table5101345411[[#This Row],[مجمع إهلاك المستبعد 
01-01-2018]]</f>
        <v>0</v>
      </c>
      <c r="AP97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97" s="220"/>
      <c r="AR97" s="78">
        <f>IF(OR(Table5101345411[[#This Row],[تاريخ الشراء-الاستلام]]="",Table5101345411[[#This Row],[الإجمالي]]="",Table5101345411[[#This Row],[العمر الافتراضي]]=""),"",IF(((T97+AM97)-Table5101345411[[#This Row],[مجمع إهلاك المستبعد 
بتاريخ الأستبعاد]])&lt;=0,0,((T97+AM97)-Table5101345411[[#This Row],[مجمع إهلاك المستبعد 
بتاريخ الأستبعاد]])))</f>
        <v>305000</v>
      </c>
      <c r="AS97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الشراء-الاستلام]]&gt;DATE(2018,12,31),0,AI97-AR97)))</f>
        <v>0</v>
      </c>
    </row>
    <row r="98" spans="1:45" s="141" customFormat="1" ht="83.25" customHeight="1">
      <c r="A98" s="118">
        <f>IF(B98="","",SUBTOTAL(3,$B$6:B98))</f>
        <v>93</v>
      </c>
      <c r="B98" s="58" t="s">
        <v>83</v>
      </c>
      <c r="C98" s="59" t="s">
        <v>115</v>
      </c>
      <c r="D98" s="59" t="s">
        <v>84</v>
      </c>
      <c r="E98" s="59"/>
      <c r="F98" s="226">
        <v>0</v>
      </c>
      <c r="G98" s="226"/>
      <c r="H98" s="58"/>
      <c r="I98" s="58" t="s">
        <v>85</v>
      </c>
      <c r="J98" s="58" t="s">
        <v>64</v>
      </c>
      <c r="K98" s="58"/>
      <c r="L98" s="60" t="s">
        <v>171</v>
      </c>
      <c r="M98" s="77">
        <v>40904</v>
      </c>
      <c r="N98" s="77"/>
      <c r="O98" s="150"/>
      <c r="P98" s="122">
        <v>1</v>
      </c>
      <c r="Q98" s="123"/>
      <c r="R98" s="130">
        <v>243070</v>
      </c>
      <c r="S98" s="130">
        <f t="shared" si="2"/>
        <v>243070</v>
      </c>
      <c r="T98" s="130">
        <v>219262.45890410958</v>
      </c>
      <c r="U98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الشراء-الاستلام]]&lt;DATE(2018,1,1),S98-T98,0))</f>
        <v>23807.541095890425</v>
      </c>
      <c r="V98" s="169"/>
      <c r="W98" s="116"/>
      <c r="X98" s="116"/>
      <c r="Y98" s="117">
        <f>Table5101345411[[#This Row],[عدد الإضافات]]*Table5101345411[[#This Row],[سعر الحبة المضافة]]</f>
        <v>0</v>
      </c>
      <c r="Z98" s="101"/>
      <c r="AA98" s="102"/>
      <c r="AB98" s="103"/>
      <c r="AC98" s="103"/>
      <c r="AD98" s="103"/>
      <c r="AE98" s="103"/>
      <c r="AF98" s="103">
        <f>Table5101345411[[#This Row],[العدد]]*Table5101345411[[#This Row],[قيمة الشراء]]</f>
        <v>0</v>
      </c>
      <c r="AG98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98" s="190">
        <f>Table5101345411[[#This Row],[الكمية]]+Table5101345411[[#This Row],[عدد الإضافات]]-Table5101345411[[#This Row],[العدد]]</f>
        <v>1</v>
      </c>
      <c r="AI98" s="78">
        <f>Table5101345411[[#This Row],[الإجمالي]]+Table5101345411[[#This Row],[إجمالي الإضافات]]-Table5101345411[[#This Row],[إجمالي المستبعد]]</f>
        <v>243070</v>
      </c>
      <c r="AJ98" s="120">
        <v>0.15</v>
      </c>
      <c r="AK98" s="219"/>
      <c r="AL98" s="58" t="s">
        <v>61</v>
      </c>
      <c r="AM98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23807.541095890425</v>
      </c>
      <c r="AN98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98" s="79">
        <f>Table5101345411[[#This Row],[اهلاك المستبعد
في 2018]]+Table5101345411[[#This Row],[مجمع إهلاك المستبعد 
01-01-2018]]</f>
        <v>0</v>
      </c>
      <c r="AP98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98" s="220"/>
      <c r="AR98" s="78">
        <f>IF(OR(Table5101345411[[#This Row],[تاريخ الشراء-الاستلام]]="",Table5101345411[[#This Row],[الإجمالي]]="",Table5101345411[[#This Row],[العمر الافتراضي]]=""),"",IF(((T98+AM98)-Table5101345411[[#This Row],[مجمع إهلاك المستبعد 
بتاريخ الأستبعاد]])&lt;=0,0,((T98+AM98)-Table5101345411[[#This Row],[مجمع إهلاك المستبعد 
بتاريخ الأستبعاد]])))</f>
        <v>243070</v>
      </c>
      <c r="AS98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الشراء-الاستلام]]&gt;DATE(2018,12,31),0,AI98-AR98)))</f>
        <v>0</v>
      </c>
    </row>
    <row r="99" spans="1:45" s="141" customFormat="1" ht="83.25" customHeight="1">
      <c r="A99" s="118">
        <f>IF(B99="","",SUBTOTAL(3,$B$6:B99))</f>
        <v>94</v>
      </c>
      <c r="B99" s="58" t="s">
        <v>172</v>
      </c>
      <c r="C99" s="59" t="s">
        <v>115</v>
      </c>
      <c r="D99" s="59" t="s">
        <v>84</v>
      </c>
      <c r="E99" s="59"/>
      <c r="F99" s="226">
        <v>0</v>
      </c>
      <c r="G99" s="226"/>
      <c r="H99" s="58"/>
      <c r="I99" s="58" t="s">
        <v>85</v>
      </c>
      <c r="J99" s="58" t="s">
        <v>64</v>
      </c>
      <c r="K99" s="58"/>
      <c r="L99" s="60" t="s">
        <v>171</v>
      </c>
      <c r="M99" s="77">
        <v>40904</v>
      </c>
      <c r="N99" s="77"/>
      <c r="O99" s="150"/>
      <c r="P99" s="122">
        <v>1</v>
      </c>
      <c r="Q99" s="123"/>
      <c r="R99" s="130">
        <v>93000</v>
      </c>
      <c r="S99" s="130">
        <f t="shared" si="2"/>
        <v>93000</v>
      </c>
      <c r="T99" s="130">
        <v>83891.095890410958</v>
      </c>
      <c r="U99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الشراء-الاستلام]]&lt;DATE(2018,1,1),S99-T99,0))</f>
        <v>9108.9041095890425</v>
      </c>
      <c r="V99" s="169"/>
      <c r="W99" s="116"/>
      <c r="X99" s="116"/>
      <c r="Y99" s="117">
        <f>Table5101345411[[#This Row],[عدد الإضافات]]*Table5101345411[[#This Row],[سعر الحبة المضافة]]</f>
        <v>0</v>
      </c>
      <c r="Z99" s="101"/>
      <c r="AA99" s="102"/>
      <c r="AB99" s="103"/>
      <c r="AC99" s="103"/>
      <c r="AD99" s="103"/>
      <c r="AE99" s="103"/>
      <c r="AF99" s="103">
        <f>Table5101345411[[#This Row],[العدد]]*Table5101345411[[#This Row],[قيمة الشراء]]</f>
        <v>0</v>
      </c>
      <c r="AG99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99" s="190">
        <f>Table5101345411[[#This Row],[الكمية]]+Table5101345411[[#This Row],[عدد الإضافات]]-Table5101345411[[#This Row],[العدد]]</f>
        <v>1</v>
      </c>
      <c r="AI99" s="78">
        <f>Table5101345411[[#This Row],[الإجمالي]]+Table5101345411[[#This Row],[إجمالي الإضافات]]-Table5101345411[[#This Row],[إجمالي المستبعد]]</f>
        <v>93000</v>
      </c>
      <c r="AJ99" s="120">
        <v>0.15</v>
      </c>
      <c r="AK99" s="219"/>
      <c r="AL99" s="58" t="s">
        <v>61</v>
      </c>
      <c r="AM99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9108.9041095890425</v>
      </c>
      <c r="AN99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99" s="79">
        <f>Table5101345411[[#This Row],[اهلاك المستبعد
في 2018]]+Table5101345411[[#This Row],[مجمع إهلاك المستبعد 
01-01-2018]]</f>
        <v>0</v>
      </c>
      <c r="AP99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99" s="220"/>
      <c r="AR99" s="78">
        <f>IF(OR(Table5101345411[[#This Row],[تاريخ الشراء-الاستلام]]="",Table5101345411[[#This Row],[الإجمالي]]="",Table5101345411[[#This Row],[العمر الافتراضي]]=""),"",IF(((T99+AM99)-Table5101345411[[#This Row],[مجمع إهلاك المستبعد 
بتاريخ الأستبعاد]])&lt;=0,0,((T99+AM99)-Table5101345411[[#This Row],[مجمع إهلاك المستبعد 
بتاريخ الأستبعاد]])))</f>
        <v>93000</v>
      </c>
      <c r="AS99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الشراء-الاستلام]]&gt;DATE(2018,12,31),0,AI99-AR99)))</f>
        <v>0</v>
      </c>
    </row>
    <row r="100" spans="1:45" s="141" customFormat="1" ht="83.25" customHeight="1">
      <c r="A100" s="118">
        <f>IF(B100="","",SUBTOTAL(3,$B$6:B100))</f>
        <v>95</v>
      </c>
      <c r="B100" s="58" t="s">
        <v>83</v>
      </c>
      <c r="C100" s="59" t="s">
        <v>115</v>
      </c>
      <c r="D100" s="59" t="s">
        <v>84</v>
      </c>
      <c r="E100" s="59"/>
      <c r="F100" s="226">
        <v>0</v>
      </c>
      <c r="G100" s="226"/>
      <c r="H100" s="58"/>
      <c r="I100" s="58"/>
      <c r="J100" s="58" t="s">
        <v>64</v>
      </c>
      <c r="K100" s="58"/>
      <c r="L100" s="60" t="s">
        <v>173</v>
      </c>
      <c r="M100" s="77">
        <v>41091</v>
      </c>
      <c r="N100" s="77"/>
      <c r="O100" s="150"/>
      <c r="P100" s="122">
        <v>1</v>
      </c>
      <c r="Q100" s="123"/>
      <c r="R100" s="130">
        <v>245826</v>
      </c>
      <c r="S100" s="130">
        <f t="shared" si="2"/>
        <v>245826</v>
      </c>
      <c r="T100" s="130">
        <v>202856.96219178083</v>
      </c>
      <c r="U100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الشراء-الاستلام]]&lt;DATE(2018,1,1),S100-T100,0))</f>
        <v>42969.037808219175</v>
      </c>
      <c r="V100" s="169"/>
      <c r="W100" s="116"/>
      <c r="X100" s="116"/>
      <c r="Y100" s="117">
        <f>Table5101345411[[#This Row],[عدد الإضافات]]*Table5101345411[[#This Row],[سعر الحبة المضافة]]</f>
        <v>0</v>
      </c>
      <c r="Z100" s="101"/>
      <c r="AA100" s="102"/>
      <c r="AB100" s="103"/>
      <c r="AC100" s="103"/>
      <c r="AD100" s="103"/>
      <c r="AE100" s="103"/>
      <c r="AF100" s="103">
        <f>Table5101345411[[#This Row],[العدد]]*Table5101345411[[#This Row],[قيمة الشراء]]</f>
        <v>0</v>
      </c>
      <c r="AG100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00" s="190">
        <f>Table5101345411[[#This Row],[الكمية]]+Table5101345411[[#This Row],[عدد الإضافات]]-Table5101345411[[#This Row],[العدد]]</f>
        <v>1</v>
      </c>
      <c r="AI100" s="78">
        <f>Table5101345411[[#This Row],[الإجمالي]]+Table5101345411[[#This Row],[إجمالي الإضافات]]-Table5101345411[[#This Row],[إجمالي المستبعد]]</f>
        <v>245826</v>
      </c>
      <c r="AJ100" s="120">
        <v>0.15</v>
      </c>
      <c r="AK100" s="219"/>
      <c r="AL100" s="58" t="s">
        <v>61</v>
      </c>
      <c r="AM100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36873.9</v>
      </c>
      <c r="AN100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00" s="79">
        <f>Table5101345411[[#This Row],[اهلاك المستبعد
في 2018]]+Table5101345411[[#This Row],[مجمع إهلاك المستبعد 
01-01-2018]]</f>
        <v>0</v>
      </c>
      <c r="AP100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00" s="220"/>
      <c r="AR100" s="78">
        <f>IF(OR(Table5101345411[[#This Row],[تاريخ الشراء-الاستلام]]="",Table5101345411[[#This Row],[الإجمالي]]="",Table5101345411[[#This Row],[العمر الافتراضي]]=""),"",IF(((T100+AM100)-Table5101345411[[#This Row],[مجمع إهلاك المستبعد 
بتاريخ الأستبعاد]])&lt;=0,0,((T100+AM100)-Table5101345411[[#This Row],[مجمع إهلاك المستبعد 
بتاريخ الأستبعاد]])))</f>
        <v>239730.86219178082</v>
      </c>
      <c r="AS100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الشراء-الاستلام]]&gt;DATE(2018,12,31),0,AI100-AR100)))</f>
        <v>6095.1378082191804</v>
      </c>
    </row>
    <row r="101" spans="1:45" s="141" customFormat="1" ht="83.25" customHeight="1">
      <c r="A101" s="118">
        <f>IF(B101="","",SUBTOTAL(3,$B$6:B101))</f>
        <v>96</v>
      </c>
      <c r="B101" s="58" t="s">
        <v>172</v>
      </c>
      <c r="C101" s="59" t="s">
        <v>115</v>
      </c>
      <c r="D101" s="59" t="s">
        <v>84</v>
      </c>
      <c r="E101" s="59"/>
      <c r="F101" s="226">
        <v>0</v>
      </c>
      <c r="G101" s="226"/>
      <c r="H101" s="58"/>
      <c r="I101" s="58"/>
      <c r="J101" s="58" t="s">
        <v>64</v>
      </c>
      <c r="K101" s="58"/>
      <c r="L101" s="60" t="s">
        <v>173</v>
      </c>
      <c r="M101" s="77">
        <v>41265</v>
      </c>
      <c r="N101" s="77"/>
      <c r="O101" s="150"/>
      <c r="P101" s="122">
        <v>1</v>
      </c>
      <c r="Q101" s="123"/>
      <c r="R101" s="130">
        <v>93000</v>
      </c>
      <c r="S101" s="130">
        <f t="shared" si="2"/>
        <v>93000</v>
      </c>
      <c r="T101" s="130">
        <v>70093.972602739726</v>
      </c>
      <c r="U101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الشراء-الاستلام]]&lt;DATE(2018,1,1),S101-T101,0))</f>
        <v>22906.027397260274</v>
      </c>
      <c r="V101" s="169"/>
      <c r="W101" s="116"/>
      <c r="X101" s="116"/>
      <c r="Y101" s="117">
        <f>Table5101345411[[#This Row],[عدد الإضافات]]*Table5101345411[[#This Row],[سعر الحبة المضافة]]</f>
        <v>0</v>
      </c>
      <c r="Z101" s="101"/>
      <c r="AA101" s="102"/>
      <c r="AB101" s="103"/>
      <c r="AC101" s="103"/>
      <c r="AD101" s="103"/>
      <c r="AE101" s="103"/>
      <c r="AF101" s="103">
        <f>Table5101345411[[#This Row],[العدد]]*Table5101345411[[#This Row],[قيمة الشراء]]</f>
        <v>0</v>
      </c>
      <c r="AG101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01" s="190">
        <f>Table5101345411[[#This Row],[الكمية]]+Table5101345411[[#This Row],[عدد الإضافات]]-Table5101345411[[#This Row],[العدد]]</f>
        <v>1</v>
      </c>
      <c r="AI101" s="78">
        <f>Table5101345411[[#This Row],[الإجمالي]]+Table5101345411[[#This Row],[إجمالي الإضافات]]-Table5101345411[[#This Row],[إجمالي المستبعد]]</f>
        <v>93000</v>
      </c>
      <c r="AJ101" s="120">
        <v>0.15</v>
      </c>
      <c r="AK101" s="219"/>
      <c r="AL101" s="58" t="s">
        <v>61</v>
      </c>
      <c r="AM101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13950</v>
      </c>
      <c r="AN101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01" s="79">
        <f>Table5101345411[[#This Row],[اهلاك المستبعد
في 2018]]+Table5101345411[[#This Row],[مجمع إهلاك المستبعد 
01-01-2018]]</f>
        <v>0</v>
      </c>
      <c r="AP101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01" s="220"/>
      <c r="AR101" s="78">
        <f>IF(OR(Table5101345411[[#This Row],[تاريخ الشراء-الاستلام]]="",Table5101345411[[#This Row],[الإجمالي]]="",Table5101345411[[#This Row],[العمر الافتراضي]]=""),"",IF(((T101+AM101)-Table5101345411[[#This Row],[مجمع إهلاك المستبعد 
بتاريخ الأستبعاد]])&lt;=0,0,((T101+AM101)-Table5101345411[[#This Row],[مجمع إهلاك المستبعد 
بتاريخ الأستبعاد]])))</f>
        <v>84043.972602739726</v>
      </c>
      <c r="AS101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الشراء-الاستلام]]&gt;DATE(2018,12,31),0,AI101-AR101)))</f>
        <v>8956.0273972602736</v>
      </c>
    </row>
    <row r="102" spans="1:45" s="141" customFormat="1" ht="83.25" customHeight="1">
      <c r="A102" s="118">
        <f>IF(B102="","",SUBTOTAL(3,$B$6:B102))</f>
        <v>97</v>
      </c>
      <c r="B102" s="58" t="s">
        <v>83</v>
      </c>
      <c r="C102" s="59" t="s">
        <v>115</v>
      </c>
      <c r="D102" s="59" t="s">
        <v>84</v>
      </c>
      <c r="E102" s="59" t="s">
        <v>636</v>
      </c>
      <c r="F102" s="226" t="s">
        <v>638</v>
      </c>
      <c r="G102" s="226"/>
      <c r="H102" s="58"/>
      <c r="I102" s="58" t="s">
        <v>85</v>
      </c>
      <c r="J102" s="58" t="s">
        <v>64</v>
      </c>
      <c r="K102" s="58"/>
      <c r="L102" s="60" t="s">
        <v>174</v>
      </c>
      <c r="M102" s="77">
        <v>41091</v>
      </c>
      <c r="N102" s="77"/>
      <c r="O102" s="150"/>
      <c r="P102" s="122">
        <v>1</v>
      </c>
      <c r="Q102" s="123"/>
      <c r="R102" s="130">
        <v>245826</v>
      </c>
      <c r="S102" s="130">
        <f t="shared" si="2"/>
        <v>245826</v>
      </c>
      <c r="T102" s="130">
        <v>202856.96219178083</v>
      </c>
      <c r="U102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الشراء-الاستلام]]&lt;DATE(2018,1,1),S102-T102,0))</f>
        <v>42969.037808219175</v>
      </c>
      <c r="V102" s="169"/>
      <c r="W102" s="116"/>
      <c r="X102" s="116"/>
      <c r="Y102" s="117">
        <f>Table5101345411[[#This Row],[عدد الإضافات]]*Table5101345411[[#This Row],[سعر الحبة المضافة]]</f>
        <v>0</v>
      </c>
      <c r="Z102" s="101"/>
      <c r="AA102" s="102"/>
      <c r="AB102" s="103"/>
      <c r="AC102" s="103"/>
      <c r="AD102" s="103"/>
      <c r="AE102" s="103"/>
      <c r="AF102" s="103">
        <f>Table5101345411[[#This Row],[العدد]]*Table5101345411[[#This Row],[قيمة الشراء]]</f>
        <v>0</v>
      </c>
      <c r="AG102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02" s="190">
        <f>Table5101345411[[#This Row],[الكمية]]+Table5101345411[[#This Row],[عدد الإضافات]]-Table5101345411[[#This Row],[العدد]]</f>
        <v>1</v>
      </c>
      <c r="AI102" s="78">
        <f>Table5101345411[[#This Row],[الإجمالي]]+Table5101345411[[#This Row],[إجمالي الإضافات]]-Table5101345411[[#This Row],[إجمالي المستبعد]]</f>
        <v>245826</v>
      </c>
      <c r="AJ102" s="120">
        <v>0.15</v>
      </c>
      <c r="AK102" s="219"/>
      <c r="AL102" s="58" t="s">
        <v>61</v>
      </c>
      <c r="AM102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36873.9</v>
      </c>
      <c r="AN102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02" s="79">
        <f>Table5101345411[[#This Row],[اهلاك المستبعد
في 2018]]+Table5101345411[[#This Row],[مجمع إهلاك المستبعد 
01-01-2018]]</f>
        <v>0</v>
      </c>
      <c r="AP102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02" s="220"/>
      <c r="AR102" s="78">
        <f>IF(OR(Table5101345411[[#This Row],[تاريخ الشراء-الاستلام]]="",Table5101345411[[#This Row],[الإجمالي]]="",Table5101345411[[#This Row],[العمر الافتراضي]]=""),"",IF(((T102+AM102)-Table5101345411[[#This Row],[مجمع إهلاك المستبعد 
بتاريخ الأستبعاد]])&lt;=0,0,((T102+AM102)-Table5101345411[[#This Row],[مجمع إهلاك المستبعد 
بتاريخ الأستبعاد]])))</f>
        <v>239730.86219178082</v>
      </c>
      <c r="AS102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الشراء-الاستلام]]&gt;DATE(2018,12,31),0,AI102-AR102)))</f>
        <v>6095.1378082191804</v>
      </c>
    </row>
    <row r="103" spans="1:45" s="141" customFormat="1" ht="83.25" customHeight="1">
      <c r="A103" s="118">
        <f>IF(B103="","",SUBTOTAL(3,$B$6:B103))</f>
        <v>98</v>
      </c>
      <c r="B103" s="58" t="s">
        <v>172</v>
      </c>
      <c r="C103" s="59" t="s">
        <v>115</v>
      </c>
      <c r="D103" s="59" t="s">
        <v>84</v>
      </c>
      <c r="E103" s="59" t="s">
        <v>636</v>
      </c>
      <c r="F103" s="226" t="s">
        <v>638</v>
      </c>
      <c r="G103" s="226"/>
      <c r="H103" s="58"/>
      <c r="I103" s="58" t="s">
        <v>85</v>
      </c>
      <c r="J103" s="58" t="s">
        <v>64</v>
      </c>
      <c r="K103" s="58"/>
      <c r="L103" s="60" t="s">
        <v>174</v>
      </c>
      <c r="M103" s="77">
        <v>41265</v>
      </c>
      <c r="N103" s="77"/>
      <c r="O103" s="150"/>
      <c r="P103" s="122">
        <v>1</v>
      </c>
      <c r="Q103" s="123"/>
      <c r="R103" s="130">
        <v>93000</v>
      </c>
      <c r="S103" s="130">
        <f t="shared" si="2"/>
        <v>93000</v>
      </c>
      <c r="T103" s="130">
        <v>70093.972602739726</v>
      </c>
      <c r="U103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الشراء-الاستلام]]&lt;DATE(2018,1,1),S103-T103,0))</f>
        <v>22906.027397260274</v>
      </c>
      <c r="V103" s="169"/>
      <c r="W103" s="116"/>
      <c r="X103" s="116"/>
      <c r="Y103" s="117">
        <f>Table5101345411[[#This Row],[عدد الإضافات]]*Table5101345411[[#This Row],[سعر الحبة المضافة]]</f>
        <v>0</v>
      </c>
      <c r="Z103" s="101"/>
      <c r="AA103" s="102"/>
      <c r="AB103" s="103"/>
      <c r="AC103" s="103"/>
      <c r="AD103" s="103"/>
      <c r="AE103" s="103"/>
      <c r="AF103" s="103">
        <f>Table5101345411[[#This Row],[العدد]]*Table5101345411[[#This Row],[قيمة الشراء]]</f>
        <v>0</v>
      </c>
      <c r="AG103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03" s="190">
        <f>Table5101345411[[#This Row],[الكمية]]+Table5101345411[[#This Row],[عدد الإضافات]]-Table5101345411[[#This Row],[العدد]]</f>
        <v>1</v>
      </c>
      <c r="AI103" s="78">
        <f>Table5101345411[[#This Row],[الإجمالي]]+Table5101345411[[#This Row],[إجمالي الإضافات]]-Table5101345411[[#This Row],[إجمالي المستبعد]]</f>
        <v>93000</v>
      </c>
      <c r="AJ103" s="120">
        <v>0.15</v>
      </c>
      <c r="AK103" s="219"/>
      <c r="AL103" s="58" t="s">
        <v>61</v>
      </c>
      <c r="AM103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13950</v>
      </c>
      <c r="AN103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03" s="79">
        <f>Table5101345411[[#This Row],[اهلاك المستبعد
في 2018]]+Table5101345411[[#This Row],[مجمع إهلاك المستبعد 
01-01-2018]]</f>
        <v>0</v>
      </c>
      <c r="AP103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03" s="220"/>
      <c r="AR103" s="78">
        <f>IF(OR(Table5101345411[[#This Row],[تاريخ الشراء-الاستلام]]="",Table5101345411[[#This Row],[الإجمالي]]="",Table5101345411[[#This Row],[العمر الافتراضي]]=""),"",IF(((T103+AM103)-Table5101345411[[#This Row],[مجمع إهلاك المستبعد 
بتاريخ الأستبعاد]])&lt;=0,0,((T103+AM103)-Table5101345411[[#This Row],[مجمع إهلاك المستبعد 
بتاريخ الأستبعاد]])))</f>
        <v>84043.972602739726</v>
      </c>
      <c r="AS103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الشراء-الاستلام]]&gt;DATE(2018,12,31),0,AI103-AR103)))</f>
        <v>8956.0273972602736</v>
      </c>
    </row>
    <row r="104" spans="1:45" s="141" customFormat="1" ht="83.25" customHeight="1">
      <c r="A104" s="118">
        <f>IF(B104="","",SUBTOTAL(3,$B$6:B104))</f>
        <v>99</v>
      </c>
      <c r="B104" s="58" t="s">
        <v>83</v>
      </c>
      <c r="C104" s="59" t="s">
        <v>115</v>
      </c>
      <c r="D104" s="59" t="s">
        <v>84</v>
      </c>
      <c r="E104" s="59"/>
      <c r="F104" s="226">
        <v>0</v>
      </c>
      <c r="G104" s="226"/>
      <c r="H104" s="58"/>
      <c r="I104" s="58" t="s">
        <v>85</v>
      </c>
      <c r="J104" s="58" t="s">
        <v>64</v>
      </c>
      <c r="K104" s="58"/>
      <c r="L104" s="60" t="s">
        <v>175</v>
      </c>
      <c r="M104" s="77">
        <v>41091</v>
      </c>
      <c r="N104" s="77"/>
      <c r="O104" s="150"/>
      <c r="P104" s="122">
        <v>1</v>
      </c>
      <c r="Q104" s="123"/>
      <c r="R104" s="130">
        <v>245826</v>
      </c>
      <c r="S104" s="130">
        <f t="shared" si="2"/>
        <v>245826</v>
      </c>
      <c r="T104" s="130">
        <v>202856.96219178083</v>
      </c>
      <c r="U104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الشراء-الاستلام]]&lt;DATE(2018,1,1),S104-T104,0))</f>
        <v>42969.037808219175</v>
      </c>
      <c r="V104" s="169"/>
      <c r="W104" s="116"/>
      <c r="X104" s="116"/>
      <c r="Y104" s="117">
        <f>Table5101345411[[#This Row],[عدد الإضافات]]*Table5101345411[[#This Row],[سعر الحبة المضافة]]</f>
        <v>0</v>
      </c>
      <c r="Z104" s="101"/>
      <c r="AA104" s="102"/>
      <c r="AB104" s="103"/>
      <c r="AC104" s="103"/>
      <c r="AD104" s="103"/>
      <c r="AE104" s="103"/>
      <c r="AF104" s="103">
        <f>Table5101345411[[#This Row],[العدد]]*Table5101345411[[#This Row],[قيمة الشراء]]</f>
        <v>0</v>
      </c>
      <c r="AG104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04" s="190">
        <f>Table5101345411[[#This Row],[الكمية]]+Table5101345411[[#This Row],[عدد الإضافات]]-Table5101345411[[#This Row],[العدد]]</f>
        <v>1</v>
      </c>
      <c r="AI104" s="78">
        <f>Table5101345411[[#This Row],[الإجمالي]]+Table5101345411[[#This Row],[إجمالي الإضافات]]-Table5101345411[[#This Row],[إجمالي المستبعد]]</f>
        <v>245826</v>
      </c>
      <c r="AJ104" s="120">
        <v>0.15</v>
      </c>
      <c r="AK104" s="219"/>
      <c r="AL104" s="58" t="s">
        <v>61</v>
      </c>
      <c r="AM104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36873.9</v>
      </c>
      <c r="AN104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04" s="79">
        <f>Table5101345411[[#This Row],[اهلاك المستبعد
في 2018]]+Table5101345411[[#This Row],[مجمع إهلاك المستبعد 
01-01-2018]]</f>
        <v>0</v>
      </c>
      <c r="AP104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04" s="220"/>
      <c r="AR104" s="78">
        <f>IF(OR(Table5101345411[[#This Row],[تاريخ الشراء-الاستلام]]="",Table5101345411[[#This Row],[الإجمالي]]="",Table5101345411[[#This Row],[العمر الافتراضي]]=""),"",IF(((T104+AM104)-Table5101345411[[#This Row],[مجمع إهلاك المستبعد 
بتاريخ الأستبعاد]])&lt;=0,0,((T104+AM104)-Table5101345411[[#This Row],[مجمع إهلاك المستبعد 
بتاريخ الأستبعاد]])))</f>
        <v>239730.86219178082</v>
      </c>
      <c r="AS104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الشراء-الاستلام]]&gt;DATE(2018,12,31),0,AI104-AR104)))</f>
        <v>6095.1378082191804</v>
      </c>
    </row>
    <row r="105" spans="1:45" s="141" customFormat="1" ht="83.25" customHeight="1">
      <c r="A105" s="118">
        <f>IF(B105="","",SUBTOTAL(3,$B$6:B105))</f>
        <v>100</v>
      </c>
      <c r="B105" s="58" t="s">
        <v>172</v>
      </c>
      <c r="C105" s="59" t="s">
        <v>115</v>
      </c>
      <c r="D105" s="59" t="s">
        <v>84</v>
      </c>
      <c r="E105" s="59"/>
      <c r="F105" s="226">
        <v>0</v>
      </c>
      <c r="G105" s="226"/>
      <c r="H105" s="58"/>
      <c r="I105" s="58" t="s">
        <v>85</v>
      </c>
      <c r="J105" s="58" t="s">
        <v>64</v>
      </c>
      <c r="K105" s="58"/>
      <c r="L105" s="60" t="s">
        <v>175</v>
      </c>
      <c r="M105" s="77">
        <v>41265</v>
      </c>
      <c r="N105" s="77"/>
      <c r="O105" s="150"/>
      <c r="P105" s="122">
        <v>1</v>
      </c>
      <c r="Q105" s="123"/>
      <c r="R105" s="130">
        <v>93000</v>
      </c>
      <c r="S105" s="130">
        <f t="shared" si="2"/>
        <v>93000</v>
      </c>
      <c r="T105" s="130">
        <v>70093.972602739726</v>
      </c>
      <c r="U105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الشراء-الاستلام]]&lt;DATE(2018,1,1),S105-T105,0))</f>
        <v>22906.027397260274</v>
      </c>
      <c r="V105" s="169"/>
      <c r="W105" s="116"/>
      <c r="X105" s="116"/>
      <c r="Y105" s="117">
        <f>Table5101345411[[#This Row],[عدد الإضافات]]*Table5101345411[[#This Row],[سعر الحبة المضافة]]</f>
        <v>0</v>
      </c>
      <c r="Z105" s="101"/>
      <c r="AA105" s="102"/>
      <c r="AB105" s="103"/>
      <c r="AC105" s="103"/>
      <c r="AD105" s="103"/>
      <c r="AE105" s="103"/>
      <c r="AF105" s="103">
        <f>Table5101345411[[#This Row],[العدد]]*Table5101345411[[#This Row],[قيمة الشراء]]</f>
        <v>0</v>
      </c>
      <c r="AG105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05" s="190">
        <f>Table5101345411[[#This Row],[الكمية]]+Table5101345411[[#This Row],[عدد الإضافات]]-Table5101345411[[#This Row],[العدد]]</f>
        <v>1</v>
      </c>
      <c r="AI105" s="78">
        <f>Table5101345411[[#This Row],[الإجمالي]]+Table5101345411[[#This Row],[إجمالي الإضافات]]-Table5101345411[[#This Row],[إجمالي المستبعد]]</f>
        <v>93000</v>
      </c>
      <c r="AJ105" s="120">
        <v>0.15</v>
      </c>
      <c r="AK105" s="219"/>
      <c r="AL105" s="58" t="s">
        <v>61</v>
      </c>
      <c r="AM105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13950</v>
      </c>
      <c r="AN105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05" s="79">
        <f>Table5101345411[[#This Row],[اهلاك المستبعد
في 2018]]+Table5101345411[[#This Row],[مجمع إهلاك المستبعد 
01-01-2018]]</f>
        <v>0</v>
      </c>
      <c r="AP105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05" s="220"/>
      <c r="AR105" s="78">
        <f>IF(OR(Table5101345411[[#This Row],[تاريخ الشراء-الاستلام]]="",Table5101345411[[#This Row],[الإجمالي]]="",Table5101345411[[#This Row],[العمر الافتراضي]]=""),"",IF(((T105+AM105)-Table5101345411[[#This Row],[مجمع إهلاك المستبعد 
بتاريخ الأستبعاد]])&lt;=0,0,((T105+AM105)-Table5101345411[[#This Row],[مجمع إهلاك المستبعد 
بتاريخ الأستبعاد]])))</f>
        <v>84043.972602739726</v>
      </c>
      <c r="AS105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الشراء-الاستلام]]&gt;DATE(2018,12,31),0,AI105-AR105)))</f>
        <v>8956.0273972602736</v>
      </c>
    </row>
    <row r="106" spans="1:45" s="141" customFormat="1" ht="83.25" customHeight="1">
      <c r="A106" s="118">
        <f>IF(B106="","",SUBTOTAL(3,$B$6:B106))</f>
        <v>101</v>
      </c>
      <c r="B106" s="58" t="s">
        <v>83</v>
      </c>
      <c r="C106" s="59" t="s">
        <v>115</v>
      </c>
      <c r="D106" s="59" t="s">
        <v>84</v>
      </c>
      <c r="E106" s="59"/>
      <c r="F106" s="226">
        <v>0</v>
      </c>
      <c r="G106" s="226"/>
      <c r="H106" s="58"/>
      <c r="I106" s="58"/>
      <c r="J106" s="58" t="s">
        <v>64</v>
      </c>
      <c r="K106" s="58"/>
      <c r="L106" s="60" t="s">
        <v>176</v>
      </c>
      <c r="M106" s="77">
        <v>41091</v>
      </c>
      <c r="N106" s="77"/>
      <c r="O106" s="150"/>
      <c r="P106" s="122">
        <v>1</v>
      </c>
      <c r="Q106" s="123"/>
      <c r="R106" s="130">
        <v>245825</v>
      </c>
      <c r="S106" s="130">
        <f t="shared" si="2"/>
        <v>245825</v>
      </c>
      <c r="T106" s="130">
        <v>202856.13698630134</v>
      </c>
      <c r="U106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الشراء-الاستلام]]&lt;DATE(2018,1,1),S106-T106,0))</f>
        <v>42968.863013698661</v>
      </c>
      <c r="V106" s="169"/>
      <c r="W106" s="116"/>
      <c r="X106" s="116"/>
      <c r="Y106" s="117">
        <f>Table5101345411[[#This Row],[عدد الإضافات]]*Table5101345411[[#This Row],[سعر الحبة المضافة]]</f>
        <v>0</v>
      </c>
      <c r="Z106" s="101"/>
      <c r="AA106" s="102"/>
      <c r="AB106" s="103"/>
      <c r="AC106" s="103"/>
      <c r="AD106" s="103"/>
      <c r="AE106" s="103"/>
      <c r="AF106" s="103">
        <f>Table5101345411[[#This Row],[العدد]]*Table5101345411[[#This Row],[قيمة الشراء]]</f>
        <v>0</v>
      </c>
      <c r="AG106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06" s="190">
        <f>Table5101345411[[#This Row],[الكمية]]+Table5101345411[[#This Row],[عدد الإضافات]]-Table5101345411[[#This Row],[العدد]]</f>
        <v>1</v>
      </c>
      <c r="AI106" s="78">
        <f>Table5101345411[[#This Row],[الإجمالي]]+Table5101345411[[#This Row],[إجمالي الإضافات]]-Table5101345411[[#This Row],[إجمالي المستبعد]]</f>
        <v>245825</v>
      </c>
      <c r="AJ106" s="120">
        <v>0.15</v>
      </c>
      <c r="AK106" s="219"/>
      <c r="AL106" s="58" t="s">
        <v>61</v>
      </c>
      <c r="AM106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36873.75</v>
      </c>
      <c r="AN106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06" s="79">
        <f>Table5101345411[[#This Row],[اهلاك المستبعد
في 2018]]+Table5101345411[[#This Row],[مجمع إهلاك المستبعد 
01-01-2018]]</f>
        <v>0</v>
      </c>
      <c r="AP106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06" s="220"/>
      <c r="AR106" s="78">
        <f>IF(OR(Table5101345411[[#This Row],[تاريخ الشراء-الاستلام]]="",Table5101345411[[#This Row],[الإجمالي]]="",Table5101345411[[#This Row],[العمر الافتراضي]]=""),"",IF(((T106+AM106)-Table5101345411[[#This Row],[مجمع إهلاك المستبعد 
بتاريخ الأستبعاد]])&lt;=0,0,((T106+AM106)-Table5101345411[[#This Row],[مجمع إهلاك المستبعد 
بتاريخ الأستبعاد]])))</f>
        <v>239729.88698630134</v>
      </c>
      <c r="AS106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الشراء-الاستلام]]&gt;DATE(2018,12,31),0,AI106-AR106)))</f>
        <v>6095.1130136986612</v>
      </c>
    </row>
    <row r="107" spans="1:45" s="141" customFormat="1" ht="83.25" customHeight="1">
      <c r="A107" s="118">
        <f>IF(B107="","",SUBTOTAL(3,$B$6:B107))</f>
        <v>102</v>
      </c>
      <c r="B107" s="58" t="s">
        <v>172</v>
      </c>
      <c r="C107" s="59" t="s">
        <v>115</v>
      </c>
      <c r="D107" s="59" t="s">
        <v>84</v>
      </c>
      <c r="E107" s="59"/>
      <c r="F107" s="226">
        <v>0</v>
      </c>
      <c r="G107" s="226"/>
      <c r="H107" s="58"/>
      <c r="I107" s="58"/>
      <c r="J107" s="58" t="s">
        <v>64</v>
      </c>
      <c r="K107" s="58"/>
      <c r="L107" s="60" t="s">
        <v>176</v>
      </c>
      <c r="M107" s="77">
        <v>41265</v>
      </c>
      <c r="N107" s="77"/>
      <c r="O107" s="150"/>
      <c r="P107" s="122">
        <v>1</v>
      </c>
      <c r="Q107" s="123"/>
      <c r="R107" s="130">
        <v>93000</v>
      </c>
      <c r="S107" s="130">
        <f t="shared" si="2"/>
        <v>93000</v>
      </c>
      <c r="T107" s="130">
        <v>70093.972602739726</v>
      </c>
      <c r="U107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الشراء-الاستلام]]&lt;DATE(2018,1,1),S107-T107,0))</f>
        <v>22906.027397260274</v>
      </c>
      <c r="V107" s="169"/>
      <c r="W107" s="116"/>
      <c r="X107" s="116"/>
      <c r="Y107" s="117">
        <f>Table5101345411[[#This Row],[عدد الإضافات]]*Table5101345411[[#This Row],[سعر الحبة المضافة]]</f>
        <v>0</v>
      </c>
      <c r="Z107" s="101"/>
      <c r="AA107" s="102"/>
      <c r="AB107" s="103"/>
      <c r="AC107" s="103"/>
      <c r="AD107" s="103"/>
      <c r="AE107" s="103"/>
      <c r="AF107" s="103">
        <f>Table5101345411[[#This Row],[العدد]]*Table5101345411[[#This Row],[قيمة الشراء]]</f>
        <v>0</v>
      </c>
      <c r="AG107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07" s="190">
        <f>Table5101345411[[#This Row],[الكمية]]+Table5101345411[[#This Row],[عدد الإضافات]]-Table5101345411[[#This Row],[العدد]]</f>
        <v>1</v>
      </c>
      <c r="AI107" s="78">
        <f>Table5101345411[[#This Row],[الإجمالي]]+Table5101345411[[#This Row],[إجمالي الإضافات]]-Table5101345411[[#This Row],[إجمالي المستبعد]]</f>
        <v>93000</v>
      </c>
      <c r="AJ107" s="120">
        <v>0.15</v>
      </c>
      <c r="AK107" s="219"/>
      <c r="AL107" s="58" t="s">
        <v>61</v>
      </c>
      <c r="AM107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13950</v>
      </c>
      <c r="AN107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07" s="79">
        <f>Table5101345411[[#This Row],[اهلاك المستبعد
في 2018]]+Table5101345411[[#This Row],[مجمع إهلاك المستبعد 
01-01-2018]]</f>
        <v>0</v>
      </c>
      <c r="AP107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07" s="220"/>
      <c r="AR107" s="78">
        <f>IF(OR(Table5101345411[[#This Row],[تاريخ الشراء-الاستلام]]="",Table5101345411[[#This Row],[الإجمالي]]="",Table5101345411[[#This Row],[العمر الافتراضي]]=""),"",IF(((T107+AM107)-Table5101345411[[#This Row],[مجمع إهلاك المستبعد 
بتاريخ الأستبعاد]])&lt;=0,0,((T107+AM107)-Table5101345411[[#This Row],[مجمع إهلاك المستبعد 
بتاريخ الأستبعاد]])))</f>
        <v>84043.972602739726</v>
      </c>
      <c r="AS107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الشراء-الاستلام]]&gt;DATE(2018,12,31),0,AI107-AR107)))</f>
        <v>8956.0273972602736</v>
      </c>
    </row>
    <row r="108" spans="1:45" s="141" customFormat="1" ht="83.25" customHeight="1">
      <c r="A108" s="118">
        <f>IF(B108="","",SUBTOTAL(3,$B$6:B108))</f>
        <v>103</v>
      </c>
      <c r="B108" s="58" t="s">
        <v>83</v>
      </c>
      <c r="C108" s="59" t="s">
        <v>115</v>
      </c>
      <c r="D108" s="59" t="s">
        <v>84</v>
      </c>
      <c r="E108" s="59"/>
      <c r="F108" s="226">
        <v>0</v>
      </c>
      <c r="G108" s="226"/>
      <c r="H108" s="58"/>
      <c r="I108" s="58"/>
      <c r="J108" s="58" t="s">
        <v>64</v>
      </c>
      <c r="K108" s="58"/>
      <c r="L108" s="60" t="s">
        <v>177</v>
      </c>
      <c r="M108" s="77">
        <v>41091</v>
      </c>
      <c r="N108" s="77"/>
      <c r="O108" s="150"/>
      <c r="P108" s="122">
        <v>1</v>
      </c>
      <c r="Q108" s="123"/>
      <c r="R108" s="130">
        <v>245825</v>
      </c>
      <c r="S108" s="130">
        <f t="shared" si="2"/>
        <v>245825</v>
      </c>
      <c r="T108" s="130">
        <v>202856.13698630134</v>
      </c>
      <c r="U108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الشراء-الاستلام]]&lt;DATE(2018,1,1),S108-T108,0))</f>
        <v>42968.863013698661</v>
      </c>
      <c r="V108" s="169"/>
      <c r="W108" s="116"/>
      <c r="X108" s="116"/>
      <c r="Y108" s="117">
        <f>Table5101345411[[#This Row],[عدد الإضافات]]*Table5101345411[[#This Row],[سعر الحبة المضافة]]</f>
        <v>0</v>
      </c>
      <c r="Z108" s="101"/>
      <c r="AA108" s="102"/>
      <c r="AB108" s="103"/>
      <c r="AC108" s="103"/>
      <c r="AD108" s="103"/>
      <c r="AE108" s="103"/>
      <c r="AF108" s="103">
        <f>Table5101345411[[#This Row],[العدد]]*Table5101345411[[#This Row],[قيمة الشراء]]</f>
        <v>0</v>
      </c>
      <c r="AG108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08" s="190">
        <f>Table5101345411[[#This Row],[الكمية]]+Table5101345411[[#This Row],[عدد الإضافات]]-Table5101345411[[#This Row],[العدد]]</f>
        <v>1</v>
      </c>
      <c r="AI108" s="78">
        <f>Table5101345411[[#This Row],[الإجمالي]]+Table5101345411[[#This Row],[إجمالي الإضافات]]-Table5101345411[[#This Row],[إجمالي المستبعد]]</f>
        <v>245825</v>
      </c>
      <c r="AJ108" s="120">
        <v>0.15</v>
      </c>
      <c r="AK108" s="219"/>
      <c r="AL108" s="58" t="s">
        <v>61</v>
      </c>
      <c r="AM108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36873.75</v>
      </c>
      <c r="AN108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08" s="79">
        <f>Table5101345411[[#This Row],[اهلاك المستبعد
في 2018]]+Table5101345411[[#This Row],[مجمع إهلاك المستبعد 
01-01-2018]]</f>
        <v>0</v>
      </c>
      <c r="AP108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08" s="220"/>
      <c r="AR108" s="78">
        <f>IF(OR(Table5101345411[[#This Row],[تاريخ الشراء-الاستلام]]="",Table5101345411[[#This Row],[الإجمالي]]="",Table5101345411[[#This Row],[العمر الافتراضي]]=""),"",IF(((T108+AM108)-Table5101345411[[#This Row],[مجمع إهلاك المستبعد 
بتاريخ الأستبعاد]])&lt;=0,0,((T108+AM108)-Table5101345411[[#This Row],[مجمع إهلاك المستبعد 
بتاريخ الأستبعاد]])))</f>
        <v>239729.88698630134</v>
      </c>
      <c r="AS108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الشراء-الاستلام]]&gt;DATE(2018,12,31),0,AI108-AR108)))</f>
        <v>6095.1130136986612</v>
      </c>
    </row>
    <row r="109" spans="1:45" s="141" customFormat="1" ht="83.25" customHeight="1">
      <c r="A109" s="118">
        <f>IF(B109="","",SUBTOTAL(3,$B$6:B109))</f>
        <v>104</v>
      </c>
      <c r="B109" s="58" t="s">
        <v>172</v>
      </c>
      <c r="C109" s="59" t="s">
        <v>115</v>
      </c>
      <c r="D109" s="59" t="s">
        <v>84</v>
      </c>
      <c r="E109" s="59"/>
      <c r="F109" s="226">
        <v>0</v>
      </c>
      <c r="G109" s="226"/>
      <c r="H109" s="58"/>
      <c r="I109" s="58"/>
      <c r="J109" s="58" t="s">
        <v>64</v>
      </c>
      <c r="K109" s="58"/>
      <c r="L109" s="60" t="s">
        <v>177</v>
      </c>
      <c r="M109" s="77">
        <v>41265</v>
      </c>
      <c r="N109" s="77"/>
      <c r="O109" s="150"/>
      <c r="P109" s="122">
        <v>1</v>
      </c>
      <c r="Q109" s="123"/>
      <c r="R109" s="130">
        <v>93000</v>
      </c>
      <c r="S109" s="130">
        <f t="shared" si="2"/>
        <v>93000</v>
      </c>
      <c r="T109" s="130">
        <v>70093.972602739726</v>
      </c>
      <c r="U109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الشراء-الاستلام]]&lt;DATE(2018,1,1),S109-T109,0))</f>
        <v>22906.027397260274</v>
      </c>
      <c r="V109" s="169"/>
      <c r="W109" s="116"/>
      <c r="X109" s="116"/>
      <c r="Y109" s="117">
        <f>Table5101345411[[#This Row],[عدد الإضافات]]*Table5101345411[[#This Row],[سعر الحبة المضافة]]</f>
        <v>0</v>
      </c>
      <c r="Z109" s="101"/>
      <c r="AA109" s="102"/>
      <c r="AB109" s="103"/>
      <c r="AC109" s="103"/>
      <c r="AD109" s="103"/>
      <c r="AE109" s="103"/>
      <c r="AF109" s="103">
        <f>Table5101345411[[#This Row],[العدد]]*Table5101345411[[#This Row],[قيمة الشراء]]</f>
        <v>0</v>
      </c>
      <c r="AG109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09" s="190">
        <f>Table5101345411[[#This Row],[الكمية]]+Table5101345411[[#This Row],[عدد الإضافات]]-Table5101345411[[#This Row],[العدد]]</f>
        <v>1</v>
      </c>
      <c r="AI109" s="78">
        <f>Table5101345411[[#This Row],[الإجمالي]]+Table5101345411[[#This Row],[إجمالي الإضافات]]-Table5101345411[[#This Row],[إجمالي المستبعد]]</f>
        <v>93000</v>
      </c>
      <c r="AJ109" s="120">
        <v>0.15</v>
      </c>
      <c r="AK109" s="219"/>
      <c r="AL109" s="58" t="s">
        <v>61</v>
      </c>
      <c r="AM109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13950</v>
      </c>
      <c r="AN109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09" s="79">
        <f>Table5101345411[[#This Row],[اهلاك المستبعد
في 2018]]+Table5101345411[[#This Row],[مجمع إهلاك المستبعد 
01-01-2018]]</f>
        <v>0</v>
      </c>
      <c r="AP109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09" s="220"/>
      <c r="AR109" s="78">
        <f>IF(OR(Table5101345411[[#This Row],[تاريخ الشراء-الاستلام]]="",Table5101345411[[#This Row],[الإجمالي]]="",Table5101345411[[#This Row],[العمر الافتراضي]]=""),"",IF(((T109+AM109)-Table5101345411[[#This Row],[مجمع إهلاك المستبعد 
بتاريخ الأستبعاد]])&lt;=0,0,((T109+AM109)-Table5101345411[[#This Row],[مجمع إهلاك المستبعد 
بتاريخ الأستبعاد]])))</f>
        <v>84043.972602739726</v>
      </c>
      <c r="AS109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الشراء-الاستلام]]&gt;DATE(2018,12,31),0,AI109-AR109)))</f>
        <v>8956.0273972602736</v>
      </c>
    </row>
    <row r="110" spans="1:45" s="141" customFormat="1" ht="83.25" customHeight="1">
      <c r="A110" s="118">
        <f>IF(B110="","",SUBTOTAL(3,$B$6:B110))</f>
        <v>105</v>
      </c>
      <c r="B110" s="58" t="s">
        <v>83</v>
      </c>
      <c r="C110" s="59" t="s">
        <v>115</v>
      </c>
      <c r="D110" s="59" t="s">
        <v>84</v>
      </c>
      <c r="E110" s="59"/>
      <c r="F110" s="226">
        <v>0</v>
      </c>
      <c r="G110" s="226"/>
      <c r="H110" s="58"/>
      <c r="I110" s="58" t="s">
        <v>166</v>
      </c>
      <c r="J110" s="58" t="s">
        <v>64</v>
      </c>
      <c r="K110" s="58"/>
      <c r="L110" s="60" t="s">
        <v>178</v>
      </c>
      <c r="M110" s="77">
        <v>41091</v>
      </c>
      <c r="N110" s="77"/>
      <c r="O110" s="150"/>
      <c r="P110" s="122">
        <v>1</v>
      </c>
      <c r="Q110" s="123"/>
      <c r="R110" s="130">
        <v>245825</v>
      </c>
      <c r="S110" s="130">
        <f t="shared" si="2"/>
        <v>245825</v>
      </c>
      <c r="T110" s="130">
        <v>202856.13698630134</v>
      </c>
      <c r="U110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الشراء-الاستلام]]&lt;DATE(2018,1,1),S110-T110,0))</f>
        <v>42968.863013698661</v>
      </c>
      <c r="V110" s="169"/>
      <c r="W110" s="116"/>
      <c r="X110" s="116"/>
      <c r="Y110" s="117">
        <f>Table5101345411[[#This Row],[عدد الإضافات]]*Table5101345411[[#This Row],[سعر الحبة المضافة]]</f>
        <v>0</v>
      </c>
      <c r="Z110" s="101"/>
      <c r="AA110" s="102"/>
      <c r="AB110" s="103"/>
      <c r="AC110" s="103"/>
      <c r="AD110" s="103"/>
      <c r="AE110" s="103"/>
      <c r="AF110" s="103">
        <f>Table5101345411[[#This Row],[العدد]]*Table5101345411[[#This Row],[قيمة الشراء]]</f>
        <v>0</v>
      </c>
      <c r="AG110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10" s="190">
        <f>Table5101345411[[#This Row],[الكمية]]+Table5101345411[[#This Row],[عدد الإضافات]]-Table5101345411[[#This Row],[العدد]]</f>
        <v>1</v>
      </c>
      <c r="AI110" s="78">
        <f>Table5101345411[[#This Row],[الإجمالي]]+Table5101345411[[#This Row],[إجمالي الإضافات]]-Table5101345411[[#This Row],[إجمالي المستبعد]]</f>
        <v>245825</v>
      </c>
      <c r="AJ110" s="120">
        <v>0.15</v>
      </c>
      <c r="AK110" s="219"/>
      <c r="AL110" s="58" t="s">
        <v>61</v>
      </c>
      <c r="AM110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36873.75</v>
      </c>
      <c r="AN110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10" s="79">
        <f>Table5101345411[[#This Row],[اهلاك المستبعد
في 2018]]+Table5101345411[[#This Row],[مجمع إهلاك المستبعد 
01-01-2018]]</f>
        <v>0</v>
      </c>
      <c r="AP110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10" s="220"/>
      <c r="AR110" s="78">
        <f>IF(OR(Table5101345411[[#This Row],[تاريخ الشراء-الاستلام]]="",Table5101345411[[#This Row],[الإجمالي]]="",Table5101345411[[#This Row],[العمر الافتراضي]]=""),"",IF(((T110+AM110)-Table5101345411[[#This Row],[مجمع إهلاك المستبعد 
بتاريخ الأستبعاد]])&lt;=0,0,((T110+AM110)-Table5101345411[[#This Row],[مجمع إهلاك المستبعد 
بتاريخ الأستبعاد]])))</f>
        <v>239729.88698630134</v>
      </c>
      <c r="AS110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الشراء-الاستلام]]&gt;DATE(2018,12,31),0,AI110-AR110)))</f>
        <v>6095.1130136986612</v>
      </c>
    </row>
    <row r="111" spans="1:45" s="141" customFormat="1" ht="83.25" customHeight="1">
      <c r="A111" s="118">
        <f>IF(B111="","",SUBTOTAL(3,$B$6:B111))</f>
        <v>106</v>
      </c>
      <c r="B111" s="58" t="s">
        <v>172</v>
      </c>
      <c r="C111" s="59" t="s">
        <v>115</v>
      </c>
      <c r="D111" s="59" t="s">
        <v>84</v>
      </c>
      <c r="E111" s="59"/>
      <c r="F111" s="226">
        <v>0</v>
      </c>
      <c r="G111" s="226"/>
      <c r="H111" s="58"/>
      <c r="I111" s="58" t="s">
        <v>166</v>
      </c>
      <c r="J111" s="58" t="s">
        <v>64</v>
      </c>
      <c r="K111" s="58"/>
      <c r="L111" s="60" t="s">
        <v>178</v>
      </c>
      <c r="M111" s="77">
        <v>41265</v>
      </c>
      <c r="N111" s="77"/>
      <c r="O111" s="150"/>
      <c r="P111" s="122">
        <v>1</v>
      </c>
      <c r="Q111" s="123"/>
      <c r="R111" s="130">
        <v>93000</v>
      </c>
      <c r="S111" s="130">
        <f t="shared" si="2"/>
        <v>93000</v>
      </c>
      <c r="T111" s="130">
        <v>70093.972602739726</v>
      </c>
      <c r="U111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الشراء-الاستلام]]&lt;DATE(2018,1,1),S111-T111,0))</f>
        <v>22906.027397260274</v>
      </c>
      <c r="V111" s="169"/>
      <c r="W111" s="116"/>
      <c r="X111" s="116"/>
      <c r="Y111" s="117">
        <f>Table5101345411[[#This Row],[عدد الإضافات]]*Table5101345411[[#This Row],[سعر الحبة المضافة]]</f>
        <v>0</v>
      </c>
      <c r="Z111" s="101"/>
      <c r="AA111" s="102"/>
      <c r="AB111" s="103"/>
      <c r="AC111" s="103"/>
      <c r="AD111" s="103"/>
      <c r="AE111" s="103"/>
      <c r="AF111" s="103">
        <f>Table5101345411[[#This Row],[العدد]]*Table5101345411[[#This Row],[قيمة الشراء]]</f>
        <v>0</v>
      </c>
      <c r="AG111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11" s="190">
        <f>Table5101345411[[#This Row],[الكمية]]+Table5101345411[[#This Row],[عدد الإضافات]]-Table5101345411[[#This Row],[العدد]]</f>
        <v>1</v>
      </c>
      <c r="AI111" s="78">
        <f>Table5101345411[[#This Row],[الإجمالي]]+Table5101345411[[#This Row],[إجمالي الإضافات]]-Table5101345411[[#This Row],[إجمالي المستبعد]]</f>
        <v>93000</v>
      </c>
      <c r="AJ111" s="120">
        <v>0.15</v>
      </c>
      <c r="AK111" s="219"/>
      <c r="AL111" s="58" t="s">
        <v>61</v>
      </c>
      <c r="AM111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13950</v>
      </c>
      <c r="AN111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11" s="79">
        <f>Table5101345411[[#This Row],[اهلاك المستبعد
في 2018]]+Table5101345411[[#This Row],[مجمع إهلاك المستبعد 
01-01-2018]]</f>
        <v>0</v>
      </c>
      <c r="AP111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11" s="220"/>
      <c r="AR111" s="78">
        <f>IF(OR(Table5101345411[[#This Row],[تاريخ الشراء-الاستلام]]="",Table5101345411[[#This Row],[الإجمالي]]="",Table5101345411[[#This Row],[العمر الافتراضي]]=""),"",IF(((T111+AM111)-Table5101345411[[#This Row],[مجمع إهلاك المستبعد 
بتاريخ الأستبعاد]])&lt;=0,0,((T111+AM111)-Table5101345411[[#This Row],[مجمع إهلاك المستبعد 
بتاريخ الأستبعاد]])))</f>
        <v>84043.972602739726</v>
      </c>
      <c r="AS111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الشراء-الاستلام]]&gt;DATE(2018,12,31),0,AI111-AR111)))</f>
        <v>8956.0273972602736</v>
      </c>
    </row>
    <row r="112" spans="1:45" s="141" customFormat="1" ht="83.25" customHeight="1">
      <c r="A112" s="118">
        <f>IF(B112="","",SUBTOTAL(3,$B$6:B112))</f>
        <v>107</v>
      </c>
      <c r="B112" s="58" t="s">
        <v>83</v>
      </c>
      <c r="C112" s="59" t="s">
        <v>115</v>
      </c>
      <c r="D112" s="59" t="s">
        <v>84</v>
      </c>
      <c r="E112" s="59"/>
      <c r="F112" s="226">
        <v>0</v>
      </c>
      <c r="G112" s="226"/>
      <c r="H112" s="58"/>
      <c r="I112" s="58" t="s">
        <v>85</v>
      </c>
      <c r="J112" s="58" t="s">
        <v>64</v>
      </c>
      <c r="K112" s="58"/>
      <c r="L112" s="60" t="s">
        <v>179</v>
      </c>
      <c r="M112" s="77">
        <v>41091</v>
      </c>
      <c r="N112" s="77"/>
      <c r="O112" s="150"/>
      <c r="P112" s="122">
        <v>1</v>
      </c>
      <c r="Q112" s="123"/>
      <c r="R112" s="130">
        <v>245825</v>
      </c>
      <c r="S112" s="130">
        <f t="shared" si="2"/>
        <v>245825</v>
      </c>
      <c r="T112" s="130">
        <v>202856.13698630134</v>
      </c>
      <c r="U112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الشراء-الاستلام]]&lt;DATE(2018,1,1),S112-T112,0))</f>
        <v>42968.863013698661</v>
      </c>
      <c r="V112" s="169"/>
      <c r="W112" s="116"/>
      <c r="X112" s="116"/>
      <c r="Y112" s="117">
        <f>Table5101345411[[#This Row],[عدد الإضافات]]*Table5101345411[[#This Row],[سعر الحبة المضافة]]</f>
        <v>0</v>
      </c>
      <c r="Z112" s="101"/>
      <c r="AA112" s="102"/>
      <c r="AB112" s="103"/>
      <c r="AC112" s="103"/>
      <c r="AD112" s="103"/>
      <c r="AE112" s="103"/>
      <c r="AF112" s="103">
        <f>Table5101345411[[#This Row],[العدد]]*Table5101345411[[#This Row],[قيمة الشراء]]</f>
        <v>0</v>
      </c>
      <c r="AG112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12" s="190">
        <f>Table5101345411[[#This Row],[الكمية]]+Table5101345411[[#This Row],[عدد الإضافات]]-Table5101345411[[#This Row],[العدد]]</f>
        <v>1</v>
      </c>
      <c r="AI112" s="78">
        <f>Table5101345411[[#This Row],[الإجمالي]]+Table5101345411[[#This Row],[إجمالي الإضافات]]-Table5101345411[[#This Row],[إجمالي المستبعد]]</f>
        <v>245825</v>
      </c>
      <c r="AJ112" s="120">
        <v>0.15</v>
      </c>
      <c r="AK112" s="219"/>
      <c r="AL112" s="58" t="s">
        <v>61</v>
      </c>
      <c r="AM112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36873.75</v>
      </c>
      <c r="AN112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12" s="79">
        <f>Table5101345411[[#This Row],[اهلاك المستبعد
في 2018]]+Table5101345411[[#This Row],[مجمع إهلاك المستبعد 
01-01-2018]]</f>
        <v>0</v>
      </c>
      <c r="AP112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12" s="220"/>
      <c r="AR112" s="78">
        <f>IF(OR(Table5101345411[[#This Row],[تاريخ الشراء-الاستلام]]="",Table5101345411[[#This Row],[الإجمالي]]="",Table5101345411[[#This Row],[العمر الافتراضي]]=""),"",IF(((T112+AM112)-Table5101345411[[#This Row],[مجمع إهلاك المستبعد 
بتاريخ الأستبعاد]])&lt;=0,0,((T112+AM112)-Table5101345411[[#This Row],[مجمع إهلاك المستبعد 
بتاريخ الأستبعاد]])))</f>
        <v>239729.88698630134</v>
      </c>
      <c r="AS112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الشراء-الاستلام]]&gt;DATE(2018,12,31),0,AI112-AR112)))</f>
        <v>6095.1130136986612</v>
      </c>
    </row>
    <row r="113" spans="1:45" s="141" customFormat="1" ht="83.25" customHeight="1">
      <c r="A113" s="118">
        <f>IF(B113="","",SUBTOTAL(3,$B$6:B113))</f>
        <v>108</v>
      </c>
      <c r="B113" s="58" t="s">
        <v>172</v>
      </c>
      <c r="C113" s="59" t="s">
        <v>115</v>
      </c>
      <c r="D113" s="59" t="s">
        <v>84</v>
      </c>
      <c r="E113" s="59"/>
      <c r="F113" s="226">
        <v>0</v>
      </c>
      <c r="G113" s="226"/>
      <c r="H113" s="58"/>
      <c r="I113" s="58" t="s">
        <v>85</v>
      </c>
      <c r="J113" s="58" t="s">
        <v>64</v>
      </c>
      <c r="K113" s="58"/>
      <c r="L113" s="60" t="s">
        <v>179</v>
      </c>
      <c r="M113" s="77">
        <v>41265</v>
      </c>
      <c r="N113" s="77"/>
      <c r="O113" s="150"/>
      <c r="P113" s="122">
        <v>1</v>
      </c>
      <c r="Q113" s="123"/>
      <c r="R113" s="130">
        <v>93000</v>
      </c>
      <c r="S113" s="130">
        <f t="shared" si="2"/>
        <v>93000</v>
      </c>
      <c r="T113" s="130">
        <v>70093.972602739726</v>
      </c>
      <c r="U113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الشراء-الاستلام]]&lt;DATE(2018,1,1),S113-T113,0))</f>
        <v>22906.027397260274</v>
      </c>
      <c r="V113" s="169"/>
      <c r="W113" s="116"/>
      <c r="X113" s="116"/>
      <c r="Y113" s="117">
        <f>Table5101345411[[#This Row],[عدد الإضافات]]*Table5101345411[[#This Row],[سعر الحبة المضافة]]</f>
        <v>0</v>
      </c>
      <c r="Z113" s="101"/>
      <c r="AA113" s="102"/>
      <c r="AB113" s="103"/>
      <c r="AC113" s="103"/>
      <c r="AD113" s="103"/>
      <c r="AE113" s="103"/>
      <c r="AF113" s="103">
        <f>Table5101345411[[#This Row],[العدد]]*Table5101345411[[#This Row],[قيمة الشراء]]</f>
        <v>0</v>
      </c>
      <c r="AG113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13" s="190">
        <f>Table5101345411[[#This Row],[الكمية]]+Table5101345411[[#This Row],[عدد الإضافات]]-Table5101345411[[#This Row],[العدد]]</f>
        <v>1</v>
      </c>
      <c r="AI113" s="78">
        <f>Table5101345411[[#This Row],[الإجمالي]]+Table5101345411[[#This Row],[إجمالي الإضافات]]-Table5101345411[[#This Row],[إجمالي المستبعد]]</f>
        <v>93000</v>
      </c>
      <c r="AJ113" s="120">
        <v>0.15</v>
      </c>
      <c r="AK113" s="219"/>
      <c r="AL113" s="58" t="s">
        <v>61</v>
      </c>
      <c r="AM113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13950</v>
      </c>
      <c r="AN113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13" s="79">
        <f>Table5101345411[[#This Row],[اهلاك المستبعد
في 2018]]+Table5101345411[[#This Row],[مجمع إهلاك المستبعد 
01-01-2018]]</f>
        <v>0</v>
      </c>
      <c r="AP113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13" s="220"/>
      <c r="AR113" s="78">
        <f>IF(OR(Table5101345411[[#This Row],[تاريخ الشراء-الاستلام]]="",Table5101345411[[#This Row],[الإجمالي]]="",Table5101345411[[#This Row],[العمر الافتراضي]]=""),"",IF(((T113+AM113)-Table5101345411[[#This Row],[مجمع إهلاك المستبعد 
بتاريخ الأستبعاد]])&lt;=0,0,((T113+AM113)-Table5101345411[[#This Row],[مجمع إهلاك المستبعد 
بتاريخ الأستبعاد]])))</f>
        <v>84043.972602739726</v>
      </c>
      <c r="AS113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الشراء-الاستلام]]&gt;DATE(2018,12,31),0,AI113-AR113)))</f>
        <v>8956.0273972602736</v>
      </c>
    </row>
    <row r="114" spans="1:45" s="141" customFormat="1" ht="83.25" customHeight="1">
      <c r="A114" s="118">
        <f>IF(B114="","",SUBTOTAL(3,$B$6:B114))</f>
        <v>109</v>
      </c>
      <c r="B114" s="58" t="s">
        <v>83</v>
      </c>
      <c r="C114" s="59" t="s">
        <v>115</v>
      </c>
      <c r="D114" s="59" t="s">
        <v>84</v>
      </c>
      <c r="E114" s="59"/>
      <c r="F114" s="226">
        <v>0</v>
      </c>
      <c r="G114" s="226"/>
      <c r="H114" s="58"/>
      <c r="I114" s="58" t="s">
        <v>166</v>
      </c>
      <c r="J114" s="58" t="s">
        <v>64</v>
      </c>
      <c r="K114" s="58"/>
      <c r="L114" s="60" t="s">
        <v>180</v>
      </c>
      <c r="M114" s="77">
        <v>41260</v>
      </c>
      <c r="N114" s="77"/>
      <c r="O114" s="150"/>
      <c r="P114" s="122">
        <v>1</v>
      </c>
      <c r="Q114" s="123"/>
      <c r="R114" s="130">
        <v>319410</v>
      </c>
      <c r="S114" s="130">
        <f t="shared" si="2"/>
        <v>319410</v>
      </c>
      <c r="T114" s="130">
        <v>241395.201369863</v>
      </c>
      <c r="U114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الشراء-الاستلام]]&lt;DATE(2018,1,1),S114-T114,0))</f>
        <v>78014.798630136997</v>
      </c>
      <c r="V114" s="169"/>
      <c r="W114" s="116"/>
      <c r="X114" s="116"/>
      <c r="Y114" s="117">
        <f>Table5101345411[[#This Row],[عدد الإضافات]]*Table5101345411[[#This Row],[سعر الحبة المضافة]]</f>
        <v>0</v>
      </c>
      <c r="Z114" s="101"/>
      <c r="AA114" s="102"/>
      <c r="AB114" s="103"/>
      <c r="AC114" s="103"/>
      <c r="AD114" s="103"/>
      <c r="AE114" s="103"/>
      <c r="AF114" s="103">
        <f>Table5101345411[[#This Row],[العدد]]*Table5101345411[[#This Row],[قيمة الشراء]]</f>
        <v>0</v>
      </c>
      <c r="AG114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14" s="190">
        <f>Table5101345411[[#This Row],[الكمية]]+Table5101345411[[#This Row],[عدد الإضافات]]-Table5101345411[[#This Row],[العدد]]</f>
        <v>1</v>
      </c>
      <c r="AI114" s="78">
        <f>Table5101345411[[#This Row],[الإجمالي]]+Table5101345411[[#This Row],[إجمالي الإضافات]]-Table5101345411[[#This Row],[إجمالي المستبعد]]</f>
        <v>319410</v>
      </c>
      <c r="AJ114" s="120">
        <v>0.15</v>
      </c>
      <c r="AK114" s="219"/>
      <c r="AL114" s="58" t="s">
        <v>61</v>
      </c>
      <c r="AM114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47911.5</v>
      </c>
      <c r="AN114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14" s="79">
        <f>Table5101345411[[#This Row],[اهلاك المستبعد
في 2018]]+Table5101345411[[#This Row],[مجمع إهلاك المستبعد 
01-01-2018]]</f>
        <v>0</v>
      </c>
      <c r="AP114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14" s="220"/>
      <c r="AR114" s="78">
        <f>IF(OR(Table5101345411[[#This Row],[تاريخ الشراء-الاستلام]]="",Table5101345411[[#This Row],[الإجمالي]]="",Table5101345411[[#This Row],[العمر الافتراضي]]=""),"",IF(((T114+AM114)-Table5101345411[[#This Row],[مجمع إهلاك المستبعد 
بتاريخ الأستبعاد]])&lt;=0,0,((T114+AM114)-Table5101345411[[#This Row],[مجمع إهلاك المستبعد 
بتاريخ الأستبعاد]])))</f>
        <v>289306.701369863</v>
      </c>
      <c r="AS114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الشراء-الاستلام]]&gt;DATE(2018,12,31),0,AI114-AR114)))</f>
        <v>30103.298630136997</v>
      </c>
    </row>
    <row r="115" spans="1:45" s="141" customFormat="1" ht="83.25" customHeight="1">
      <c r="A115" s="118">
        <f>IF(B115="","",SUBTOTAL(3,$B$6:B115))</f>
        <v>110</v>
      </c>
      <c r="B115" s="58" t="s">
        <v>172</v>
      </c>
      <c r="C115" s="59" t="s">
        <v>115</v>
      </c>
      <c r="D115" s="59" t="s">
        <v>84</v>
      </c>
      <c r="E115" s="59"/>
      <c r="F115" s="226">
        <v>0</v>
      </c>
      <c r="G115" s="226"/>
      <c r="H115" s="58"/>
      <c r="I115" s="58" t="s">
        <v>166</v>
      </c>
      <c r="J115" s="58" t="s">
        <v>64</v>
      </c>
      <c r="K115" s="58"/>
      <c r="L115" s="60" t="s">
        <v>180</v>
      </c>
      <c r="M115" s="77">
        <v>41265</v>
      </c>
      <c r="N115" s="77"/>
      <c r="O115" s="150"/>
      <c r="P115" s="122">
        <v>1</v>
      </c>
      <c r="Q115" s="123"/>
      <c r="R115" s="130">
        <v>93000</v>
      </c>
      <c r="S115" s="130">
        <f t="shared" si="2"/>
        <v>93000</v>
      </c>
      <c r="T115" s="130">
        <v>70093.972602739726</v>
      </c>
      <c r="U115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الشراء-الاستلام]]&lt;DATE(2018,1,1),S115-T115,0))</f>
        <v>22906.027397260274</v>
      </c>
      <c r="V115" s="169"/>
      <c r="W115" s="116"/>
      <c r="X115" s="116"/>
      <c r="Y115" s="117">
        <f>Table5101345411[[#This Row],[عدد الإضافات]]*Table5101345411[[#This Row],[سعر الحبة المضافة]]</f>
        <v>0</v>
      </c>
      <c r="Z115" s="101"/>
      <c r="AA115" s="102"/>
      <c r="AB115" s="103"/>
      <c r="AC115" s="103"/>
      <c r="AD115" s="103"/>
      <c r="AE115" s="103"/>
      <c r="AF115" s="103">
        <f>Table5101345411[[#This Row],[العدد]]*Table5101345411[[#This Row],[قيمة الشراء]]</f>
        <v>0</v>
      </c>
      <c r="AG115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15" s="190">
        <f>Table5101345411[[#This Row],[الكمية]]+Table5101345411[[#This Row],[عدد الإضافات]]-Table5101345411[[#This Row],[العدد]]</f>
        <v>1</v>
      </c>
      <c r="AI115" s="78">
        <f>Table5101345411[[#This Row],[الإجمالي]]+Table5101345411[[#This Row],[إجمالي الإضافات]]-Table5101345411[[#This Row],[إجمالي المستبعد]]</f>
        <v>93000</v>
      </c>
      <c r="AJ115" s="120">
        <v>0.15</v>
      </c>
      <c r="AK115" s="219"/>
      <c r="AL115" s="58" t="s">
        <v>61</v>
      </c>
      <c r="AM115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13950</v>
      </c>
      <c r="AN115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15" s="79">
        <f>Table5101345411[[#This Row],[اهلاك المستبعد
في 2018]]+Table5101345411[[#This Row],[مجمع إهلاك المستبعد 
01-01-2018]]</f>
        <v>0</v>
      </c>
      <c r="AP115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15" s="220"/>
      <c r="AR115" s="78">
        <f>IF(OR(Table5101345411[[#This Row],[تاريخ الشراء-الاستلام]]="",Table5101345411[[#This Row],[الإجمالي]]="",Table5101345411[[#This Row],[العمر الافتراضي]]=""),"",IF(((T115+AM115)-Table5101345411[[#This Row],[مجمع إهلاك المستبعد 
بتاريخ الأستبعاد]])&lt;=0,0,((T115+AM115)-Table5101345411[[#This Row],[مجمع إهلاك المستبعد 
بتاريخ الأستبعاد]])))</f>
        <v>84043.972602739726</v>
      </c>
      <c r="AS115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الشراء-الاستلام]]&gt;DATE(2018,12,31),0,AI115-AR115)))</f>
        <v>8956.0273972602736</v>
      </c>
    </row>
    <row r="116" spans="1:45" s="141" customFormat="1" ht="83.25" customHeight="1">
      <c r="A116" s="118">
        <f>IF(B116="","",SUBTOTAL(3,$B$6:B116))</f>
        <v>111</v>
      </c>
      <c r="B116" s="58" t="s">
        <v>181</v>
      </c>
      <c r="C116" s="59" t="s">
        <v>115</v>
      </c>
      <c r="D116" s="59" t="s">
        <v>84</v>
      </c>
      <c r="E116" s="59" t="s">
        <v>207</v>
      </c>
      <c r="F116" s="226" t="s">
        <v>593</v>
      </c>
      <c r="G116" s="226"/>
      <c r="H116" s="58" t="s">
        <v>57</v>
      </c>
      <c r="I116" s="58" t="s">
        <v>619</v>
      </c>
      <c r="J116" s="58" t="s">
        <v>64</v>
      </c>
      <c r="K116" s="58"/>
      <c r="L116" s="60" t="s">
        <v>182</v>
      </c>
      <c r="M116" s="77">
        <v>42370</v>
      </c>
      <c r="N116" s="77"/>
      <c r="O116" s="150"/>
      <c r="P116" s="122">
        <v>1</v>
      </c>
      <c r="Q116" s="123"/>
      <c r="R116" s="130">
        <v>189471</v>
      </c>
      <c r="S116" s="130">
        <f t="shared" si="2"/>
        <v>189471</v>
      </c>
      <c r="T116" s="130">
        <v>56841.299999999996</v>
      </c>
      <c r="U116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الشراء-الاستلام]]&lt;DATE(2018,1,1),S116-T116,0))</f>
        <v>132629.70000000001</v>
      </c>
      <c r="V116" s="169"/>
      <c r="W116" s="116"/>
      <c r="X116" s="116"/>
      <c r="Y116" s="117">
        <f>Table5101345411[[#This Row],[عدد الإضافات]]*Table5101345411[[#This Row],[سعر الحبة المضافة]]</f>
        <v>0</v>
      </c>
      <c r="Z116" s="101"/>
      <c r="AA116" s="102"/>
      <c r="AB116" s="103"/>
      <c r="AC116" s="103"/>
      <c r="AD116" s="103"/>
      <c r="AE116" s="103"/>
      <c r="AF116" s="103">
        <f>Table5101345411[[#This Row],[العدد]]*Table5101345411[[#This Row],[قيمة الشراء]]</f>
        <v>0</v>
      </c>
      <c r="AG116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16" s="190">
        <f>Table5101345411[[#This Row],[الكمية]]+Table5101345411[[#This Row],[عدد الإضافات]]-Table5101345411[[#This Row],[العدد]]</f>
        <v>1</v>
      </c>
      <c r="AI116" s="78">
        <f>Table5101345411[[#This Row],[الإجمالي]]+Table5101345411[[#This Row],[إجمالي الإضافات]]-Table5101345411[[#This Row],[إجمالي المستبعد]]</f>
        <v>189471</v>
      </c>
      <c r="AJ116" s="120">
        <v>0.15</v>
      </c>
      <c r="AK116" s="219"/>
      <c r="AL116" s="58" t="s">
        <v>61</v>
      </c>
      <c r="AM116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28420.649999999998</v>
      </c>
      <c r="AN116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16" s="79">
        <f>Table5101345411[[#This Row],[اهلاك المستبعد
في 2018]]+Table5101345411[[#This Row],[مجمع إهلاك المستبعد 
01-01-2018]]</f>
        <v>0</v>
      </c>
      <c r="AP116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16" s="220"/>
      <c r="AR116" s="78">
        <f>IF(OR(Table5101345411[[#This Row],[تاريخ الشراء-الاستلام]]="",Table5101345411[[#This Row],[الإجمالي]]="",Table5101345411[[#This Row],[العمر الافتراضي]]=""),"",IF(((T116+AM116)-Table5101345411[[#This Row],[مجمع إهلاك المستبعد 
بتاريخ الأستبعاد]])&lt;=0,0,((T116+AM116)-Table5101345411[[#This Row],[مجمع إهلاك المستبعد 
بتاريخ الأستبعاد]])))</f>
        <v>85261.95</v>
      </c>
      <c r="AS116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الشراء-الاستلام]]&gt;DATE(2018,12,31),0,AI116-AR116)))</f>
        <v>104209.05</v>
      </c>
    </row>
    <row r="117" spans="1:45" s="141" customFormat="1" ht="83.25" customHeight="1">
      <c r="A117" s="118">
        <f>IF(B117="","",SUBTOTAL(3,$B$6:B117))</f>
        <v>112</v>
      </c>
      <c r="B117" s="58" t="s">
        <v>181</v>
      </c>
      <c r="C117" s="59" t="s">
        <v>115</v>
      </c>
      <c r="D117" s="59" t="s">
        <v>84</v>
      </c>
      <c r="E117" s="59" t="s">
        <v>207</v>
      </c>
      <c r="F117" s="226" t="s">
        <v>594</v>
      </c>
      <c r="G117" s="226"/>
      <c r="H117" s="58" t="s">
        <v>57</v>
      </c>
      <c r="I117" s="58" t="s">
        <v>619</v>
      </c>
      <c r="J117" s="58" t="s">
        <v>64</v>
      </c>
      <c r="K117" s="58"/>
      <c r="L117" s="60" t="s">
        <v>183</v>
      </c>
      <c r="M117" s="77">
        <v>42370</v>
      </c>
      <c r="N117" s="77"/>
      <c r="O117" s="150"/>
      <c r="P117" s="122">
        <v>1</v>
      </c>
      <c r="Q117" s="123"/>
      <c r="R117" s="130">
        <v>189470</v>
      </c>
      <c r="S117" s="130">
        <f t="shared" si="2"/>
        <v>189470</v>
      </c>
      <c r="T117" s="130">
        <v>56841</v>
      </c>
      <c r="U117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الشراء-الاستلام]]&lt;DATE(2018,1,1),S117-T117,0))</f>
        <v>132629</v>
      </c>
      <c r="V117" s="169"/>
      <c r="W117" s="116"/>
      <c r="X117" s="116"/>
      <c r="Y117" s="117">
        <f>Table5101345411[[#This Row],[عدد الإضافات]]*Table5101345411[[#This Row],[سعر الحبة المضافة]]</f>
        <v>0</v>
      </c>
      <c r="Z117" s="101"/>
      <c r="AA117" s="102"/>
      <c r="AB117" s="103"/>
      <c r="AC117" s="103"/>
      <c r="AD117" s="103"/>
      <c r="AE117" s="103"/>
      <c r="AF117" s="103">
        <f>Table5101345411[[#This Row],[العدد]]*Table5101345411[[#This Row],[قيمة الشراء]]</f>
        <v>0</v>
      </c>
      <c r="AG117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17" s="190">
        <f>Table5101345411[[#This Row],[الكمية]]+Table5101345411[[#This Row],[عدد الإضافات]]-Table5101345411[[#This Row],[العدد]]</f>
        <v>1</v>
      </c>
      <c r="AI117" s="78">
        <f>Table5101345411[[#This Row],[الإجمالي]]+Table5101345411[[#This Row],[إجمالي الإضافات]]-Table5101345411[[#This Row],[إجمالي المستبعد]]</f>
        <v>189470</v>
      </c>
      <c r="AJ117" s="120">
        <v>0.15</v>
      </c>
      <c r="AK117" s="219"/>
      <c r="AL117" s="58" t="s">
        <v>61</v>
      </c>
      <c r="AM117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28420.5</v>
      </c>
      <c r="AN117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17" s="79">
        <f>Table5101345411[[#This Row],[اهلاك المستبعد
في 2018]]+Table5101345411[[#This Row],[مجمع إهلاك المستبعد 
01-01-2018]]</f>
        <v>0</v>
      </c>
      <c r="AP117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17" s="220"/>
      <c r="AR117" s="78">
        <f>IF(OR(Table5101345411[[#This Row],[تاريخ الشراء-الاستلام]]="",Table5101345411[[#This Row],[الإجمالي]]="",Table5101345411[[#This Row],[العمر الافتراضي]]=""),"",IF(((T117+AM117)-Table5101345411[[#This Row],[مجمع إهلاك المستبعد 
بتاريخ الأستبعاد]])&lt;=0,0,((T117+AM117)-Table5101345411[[#This Row],[مجمع إهلاك المستبعد 
بتاريخ الأستبعاد]])))</f>
        <v>85261.5</v>
      </c>
      <c r="AS117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الشراء-الاستلام]]&gt;DATE(2018,12,31),0,AI117-AR117)))</f>
        <v>104208.5</v>
      </c>
    </row>
    <row r="118" spans="1:45" s="141" customFormat="1" ht="83.25" customHeight="1">
      <c r="A118" s="118">
        <f>IF(B118="","",SUBTOTAL(3,$B$6:B118))</f>
        <v>113</v>
      </c>
      <c r="B118" s="58" t="s">
        <v>129</v>
      </c>
      <c r="C118" s="59" t="s">
        <v>115</v>
      </c>
      <c r="D118" s="59" t="s">
        <v>80</v>
      </c>
      <c r="E118" s="59" t="s">
        <v>647</v>
      </c>
      <c r="F118" s="226" t="s">
        <v>649</v>
      </c>
      <c r="G118" s="224" t="s">
        <v>832</v>
      </c>
      <c r="H118" s="58" t="s">
        <v>57</v>
      </c>
      <c r="I118" s="58" t="s">
        <v>85</v>
      </c>
      <c r="J118" s="58" t="s">
        <v>64</v>
      </c>
      <c r="K118" s="58"/>
      <c r="L118" s="60">
        <v>6416</v>
      </c>
      <c r="M118" s="77">
        <v>43466</v>
      </c>
      <c r="N118" s="77"/>
      <c r="O118" s="150"/>
      <c r="P118" s="122">
        <v>1</v>
      </c>
      <c r="Q118" s="123"/>
      <c r="R118" s="130">
        <v>0</v>
      </c>
      <c r="S118" s="130">
        <f t="shared" si="2"/>
        <v>0</v>
      </c>
      <c r="T118" s="130">
        <v>0</v>
      </c>
      <c r="U118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الشراء-الاستلام]]&lt;DATE(2018,1,1),S118-T118,0))</f>
        <v>0</v>
      </c>
      <c r="V118" s="169"/>
      <c r="W118" s="116"/>
      <c r="X118" s="116"/>
      <c r="Y118" s="117">
        <f>Table5101345411[[#This Row],[عدد الإضافات]]*Table5101345411[[#This Row],[سعر الحبة المضافة]]</f>
        <v>0</v>
      </c>
      <c r="Z118" s="101"/>
      <c r="AA118" s="102"/>
      <c r="AB118" s="103"/>
      <c r="AC118" s="103"/>
      <c r="AD118" s="103"/>
      <c r="AE118" s="103"/>
      <c r="AF118" s="103">
        <f>Table5101345411[[#This Row],[العدد]]*Table5101345411[[#This Row],[قيمة الشراء]]</f>
        <v>0</v>
      </c>
      <c r="AG118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18" s="190">
        <f>Table5101345411[[#This Row],[الكمية]]+Table5101345411[[#This Row],[عدد الإضافات]]-Table5101345411[[#This Row],[العدد]]</f>
        <v>1</v>
      </c>
      <c r="AI118" s="78">
        <f>Table5101345411[[#This Row],[الإجمالي]]+Table5101345411[[#This Row],[إجمالي الإضافات]]-Table5101345411[[#This Row],[إجمالي المستبعد]]</f>
        <v>0</v>
      </c>
      <c r="AJ118" s="120">
        <v>0.15</v>
      </c>
      <c r="AK118" s="219"/>
      <c r="AL118" s="58"/>
      <c r="AM118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118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18" s="79">
        <f>Table5101345411[[#This Row],[اهلاك المستبعد
في 2018]]+Table5101345411[[#This Row],[مجمع إهلاك المستبعد 
01-01-2018]]</f>
        <v>0</v>
      </c>
      <c r="AP118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18" s="220"/>
      <c r="AR118" s="78">
        <f>IF(OR(Table5101345411[[#This Row],[تاريخ الشراء-الاستلام]]="",Table5101345411[[#This Row],[الإجمالي]]="",Table5101345411[[#This Row],[العمر الافتراضي]]=""),"",IF(((T118+AM118)-Table5101345411[[#This Row],[مجمع إهلاك المستبعد 
بتاريخ الأستبعاد]])&lt;=0,0,((T118+AM118)-Table5101345411[[#This Row],[مجمع إهلاك المستبعد 
بتاريخ الأستبعاد]])))</f>
        <v>0</v>
      </c>
      <c r="AS118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الشراء-الاستلام]]&gt;DATE(2018,12,31),0,AI118-AR118)))</f>
        <v>0</v>
      </c>
    </row>
    <row r="119" spans="1:45" s="141" customFormat="1" ht="83.25" customHeight="1">
      <c r="A119" s="118">
        <f>IF(B119="","",SUBTOTAL(3,$B$6:B119))</f>
        <v>114</v>
      </c>
      <c r="B119" s="58" t="s">
        <v>184</v>
      </c>
      <c r="C119" s="59" t="s">
        <v>115</v>
      </c>
      <c r="D119" s="59" t="s">
        <v>84</v>
      </c>
      <c r="E119" s="59" t="s">
        <v>647</v>
      </c>
      <c r="F119" s="226">
        <v>0</v>
      </c>
      <c r="G119" s="226"/>
      <c r="H119" s="58"/>
      <c r="I119" s="58"/>
      <c r="J119" s="58" t="s">
        <v>64</v>
      </c>
      <c r="K119" s="58" t="s">
        <v>185</v>
      </c>
      <c r="L119" s="60" t="s">
        <v>186</v>
      </c>
      <c r="M119" s="77">
        <v>41273</v>
      </c>
      <c r="N119" s="77"/>
      <c r="O119" s="150"/>
      <c r="P119" s="122">
        <v>1</v>
      </c>
      <c r="Q119" s="123"/>
      <c r="R119" s="130">
        <v>50000</v>
      </c>
      <c r="S119" s="130">
        <f t="shared" si="2"/>
        <v>50000</v>
      </c>
      <c r="T119" s="130">
        <v>50000</v>
      </c>
      <c r="U119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الشراء-الاستلام]]&lt;DATE(2018,1,1),S119-T119,0))</f>
        <v>0</v>
      </c>
      <c r="V119" s="169"/>
      <c r="W119" s="116"/>
      <c r="X119" s="116"/>
      <c r="Y119" s="117">
        <f>Table5101345411[[#This Row],[عدد الإضافات]]*Table5101345411[[#This Row],[سعر الحبة المضافة]]</f>
        <v>0</v>
      </c>
      <c r="Z119" s="101"/>
      <c r="AA119" s="102"/>
      <c r="AB119" s="103"/>
      <c r="AC119" s="103"/>
      <c r="AD119" s="103"/>
      <c r="AE119" s="103"/>
      <c r="AF119" s="103">
        <f>Table5101345411[[#This Row],[العدد]]*Table5101345411[[#This Row],[قيمة الشراء]]</f>
        <v>0</v>
      </c>
      <c r="AG119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19" s="190">
        <f>Table5101345411[[#This Row],[الكمية]]+Table5101345411[[#This Row],[عدد الإضافات]]-Table5101345411[[#This Row],[العدد]]</f>
        <v>1</v>
      </c>
      <c r="AI119" s="78">
        <f>Table5101345411[[#This Row],[الإجمالي]]+Table5101345411[[#This Row],[إجمالي الإضافات]]-Table5101345411[[#This Row],[إجمالي المستبعد]]</f>
        <v>50000</v>
      </c>
      <c r="AJ119" s="120">
        <v>0.15</v>
      </c>
      <c r="AK119" s="219"/>
      <c r="AL119" s="58" t="s">
        <v>61</v>
      </c>
      <c r="AM119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119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19" s="79">
        <f>Table5101345411[[#This Row],[اهلاك المستبعد
في 2018]]+Table5101345411[[#This Row],[مجمع إهلاك المستبعد 
01-01-2018]]</f>
        <v>0</v>
      </c>
      <c r="AP119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19" s="220"/>
      <c r="AR119" s="78">
        <f>IF(OR(Table5101345411[[#This Row],[تاريخ الشراء-الاستلام]]="",Table5101345411[[#This Row],[الإجمالي]]="",Table5101345411[[#This Row],[العمر الافتراضي]]=""),"",IF(((T119+AM119)-Table5101345411[[#This Row],[مجمع إهلاك المستبعد 
بتاريخ الأستبعاد]])&lt;=0,0,((T119+AM119)-Table5101345411[[#This Row],[مجمع إهلاك المستبعد 
بتاريخ الأستبعاد]])))</f>
        <v>50000</v>
      </c>
      <c r="AS119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الشراء-الاستلام]]&gt;DATE(2018,12,31),0,AI119-AR119)))</f>
        <v>0</v>
      </c>
    </row>
    <row r="120" spans="1:45" s="141" customFormat="1" ht="83.25" customHeight="1">
      <c r="A120" s="118">
        <f>IF(B120="","",SUBTOTAL(3,$B$6:B120))</f>
        <v>115</v>
      </c>
      <c r="B120" s="58" t="s">
        <v>187</v>
      </c>
      <c r="C120" s="59" t="s">
        <v>54</v>
      </c>
      <c r="D120" s="59" t="s">
        <v>80</v>
      </c>
      <c r="E120" s="59" t="s">
        <v>652</v>
      </c>
      <c r="F120" s="226" t="s">
        <v>653</v>
      </c>
      <c r="G120" s="226" t="s">
        <v>804</v>
      </c>
      <c r="H120" s="58" t="s">
        <v>58</v>
      </c>
      <c r="I120" s="58" t="s">
        <v>58</v>
      </c>
      <c r="J120" s="58" t="s">
        <v>74</v>
      </c>
      <c r="K120" s="58" t="s">
        <v>188</v>
      </c>
      <c r="L120" s="60" t="s">
        <v>189</v>
      </c>
      <c r="M120" s="77">
        <v>42309</v>
      </c>
      <c r="N120" s="77"/>
      <c r="O120" s="150"/>
      <c r="P120" s="122">
        <v>1</v>
      </c>
      <c r="Q120" s="123"/>
      <c r="R120" s="130">
        <v>160000</v>
      </c>
      <c r="S120" s="130">
        <f t="shared" si="2"/>
        <v>160000</v>
      </c>
      <c r="T120" s="130">
        <v>85260</v>
      </c>
      <c r="U120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الشراء-الاستلام]]&lt;DATE(2018,1,1),S120-T120,0))</f>
        <v>74740</v>
      </c>
      <c r="V120" s="169"/>
      <c r="W120" s="116"/>
      <c r="X120" s="116"/>
      <c r="Y120" s="117">
        <f>Table5101345411[[#This Row],[عدد الإضافات]]*Table5101345411[[#This Row],[سعر الحبة المضافة]]</f>
        <v>0</v>
      </c>
      <c r="Z120" s="101"/>
      <c r="AA120" s="102"/>
      <c r="AB120" s="103"/>
      <c r="AC120" s="103"/>
      <c r="AD120" s="103"/>
      <c r="AE120" s="103"/>
      <c r="AF120" s="103">
        <f>Table5101345411[[#This Row],[العدد]]*Table5101345411[[#This Row],[قيمة الشراء]]</f>
        <v>0</v>
      </c>
      <c r="AG120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20" s="190">
        <f>Table5101345411[[#This Row],[الكمية]]+Table5101345411[[#This Row],[عدد الإضافات]]-Table5101345411[[#This Row],[العدد]]</f>
        <v>1</v>
      </c>
      <c r="AI120" s="78">
        <f>Table5101345411[[#This Row],[الإجمالي]]+Table5101345411[[#This Row],[إجمالي الإضافات]]-Table5101345411[[#This Row],[إجمالي المستبعد]]</f>
        <v>160000</v>
      </c>
      <c r="AJ120" s="120">
        <v>0.15</v>
      </c>
      <c r="AK120" s="219"/>
      <c r="AL120" s="58" t="s">
        <v>61</v>
      </c>
      <c r="AM120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24000</v>
      </c>
      <c r="AN120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20" s="79">
        <f>Table5101345411[[#This Row],[اهلاك المستبعد
في 2018]]+Table5101345411[[#This Row],[مجمع إهلاك المستبعد 
01-01-2018]]</f>
        <v>0</v>
      </c>
      <c r="AP120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20" s="220"/>
      <c r="AR120" s="78">
        <f>IF(OR(Table5101345411[[#This Row],[تاريخ الشراء-الاستلام]]="",Table5101345411[[#This Row],[الإجمالي]]="",Table5101345411[[#This Row],[العمر الافتراضي]]=""),"",IF(((T120+AM120)-Table5101345411[[#This Row],[مجمع إهلاك المستبعد 
بتاريخ الأستبعاد]])&lt;=0,0,((T120+AM120)-Table5101345411[[#This Row],[مجمع إهلاك المستبعد 
بتاريخ الأستبعاد]])))</f>
        <v>109260</v>
      </c>
      <c r="AS120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الشراء-الاستلام]]&gt;DATE(2018,12,31),0,AI120-AR120)))</f>
        <v>50740</v>
      </c>
    </row>
    <row r="121" spans="1:45" s="141" customFormat="1" ht="83.25" customHeight="1">
      <c r="A121" s="118">
        <f>IF(B121="","",SUBTOTAL(3,$B$6:B121))</f>
        <v>116</v>
      </c>
      <c r="B121" s="58" t="s">
        <v>190</v>
      </c>
      <c r="C121" s="59" t="s">
        <v>115</v>
      </c>
      <c r="D121" s="59" t="s">
        <v>80</v>
      </c>
      <c r="E121" s="59" t="s">
        <v>190</v>
      </c>
      <c r="F121" s="226" t="s">
        <v>650</v>
      </c>
      <c r="G121" s="226" t="s">
        <v>830</v>
      </c>
      <c r="H121" s="58" t="s">
        <v>57</v>
      </c>
      <c r="I121" s="58" t="s">
        <v>58</v>
      </c>
      <c r="J121" s="58" t="s">
        <v>59</v>
      </c>
      <c r="K121" s="58"/>
      <c r="L121" s="60" t="s">
        <v>191</v>
      </c>
      <c r="M121" s="77">
        <v>40544</v>
      </c>
      <c r="N121" s="77"/>
      <c r="O121" s="150"/>
      <c r="P121" s="122">
        <v>1</v>
      </c>
      <c r="Q121" s="123"/>
      <c r="R121" s="130">
        <f>20500+10000</f>
        <v>30500</v>
      </c>
      <c r="S121" s="130">
        <f t="shared" si="2"/>
        <v>30500</v>
      </c>
      <c r="T121" s="130">
        <v>30500</v>
      </c>
      <c r="U121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الشراء-الاستلام]]&lt;DATE(2018,1,1),S121-T121,0))</f>
        <v>0</v>
      </c>
      <c r="V121" s="169"/>
      <c r="W121" s="116"/>
      <c r="X121" s="116"/>
      <c r="Y121" s="117">
        <f>Table5101345411[[#This Row],[عدد الإضافات]]*Table5101345411[[#This Row],[سعر الحبة المضافة]]</f>
        <v>0</v>
      </c>
      <c r="Z121" s="101"/>
      <c r="AA121" s="102"/>
      <c r="AB121" s="103"/>
      <c r="AC121" s="103"/>
      <c r="AD121" s="103"/>
      <c r="AE121" s="103"/>
      <c r="AF121" s="103">
        <f>Table5101345411[[#This Row],[العدد]]*Table5101345411[[#This Row],[قيمة الشراء]]</f>
        <v>0</v>
      </c>
      <c r="AG121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21" s="190">
        <f>Table5101345411[[#This Row],[الكمية]]+Table5101345411[[#This Row],[عدد الإضافات]]-Table5101345411[[#This Row],[العدد]]</f>
        <v>1</v>
      </c>
      <c r="AI121" s="78">
        <f>Table5101345411[[#This Row],[الإجمالي]]+Table5101345411[[#This Row],[إجمالي الإضافات]]-Table5101345411[[#This Row],[إجمالي المستبعد]]</f>
        <v>30500</v>
      </c>
      <c r="AJ121" s="120">
        <v>0.2</v>
      </c>
      <c r="AK121" s="219"/>
      <c r="AL121" s="58" t="s">
        <v>61</v>
      </c>
      <c r="AM121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121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21" s="79">
        <f>Table5101345411[[#This Row],[اهلاك المستبعد
في 2018]]+Table5101345411[[#This Row],[مجمع إهلاك المستبعد 
01-01-2018]]</f>
        <v>0</v>
      </c>
      <c r="AP121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21" s="220"/>
      <c r="AR121" s="78">
        <f>IF(OR(Table5101345411[[#This Row],[تاريخ الشراء-الاستلام]]="",Table5101345411[[#This Row],[الإجمالي]]="",Table5101345411[[#This Row],[العمر الافتراضي]]=""),"",IF(((T121+AM121)-Table5101345411[[#This Row],[مجمع إهلاك المستبعد 
بتاريخ الأستبعاد]])&lt;=0,0,((T121+AM121)-Table5101345411[[#This Row],[مجمع إهلاك المستبعد 
بتاريخ الأستبعاد]])))</f>
        <v>30500</v>
      </c>
      <c r="AS121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الشراء-الاستلام]]&gt;DATE(2018,12,31),0,AI121-AR121)))</f>
        <v>0</v>
      </c>
    </row>
    <row r="122" spans="1:45" s="141" customFormat="1" ht="83.25" customHeight="1">
      <c r="A122" s="118">
        <f>IF(B122="","",SUBTOTAL(3,$B$6:B122))</f>
        <v>117</v>
      </c>
      <c r="B122" s="58" t="s">
        <v>591</v>
      </c>
      <c r="C122" s="59" t="s">
        <v>54</v>
      </c>
      <c r="D122" s="59" t="s">
        <v>84</v>
      </c>
      <c r="E122" s="59" t="s">
        <v>610</v>
      </c>
      <c r="F122" s="226" t="s">
        <v>616</v>
      </c>
      <c r="G122" s="226"/>
      <c r="H122" s="58" t="s">
        <v>57</v>
      </c>
      <c r="I122" s="58" t="s">
        <v>69</v>
      </c>
      <c r="J122" s="58" t="s">
        <v>64</v>
      </c>
      <c r="K122" s="58" t="s">
        <v>86</v>
      </c>
      <c r="L122" s="60" t="s">
        <v>192</v>
      </c>
      <c r="M122" s="77">
        <v>42159.78</v>
      </c>
      <c r="N122" s="77"/>
      <c r="O122" s="150"/>
      <c r="P122" s="122">
        <v>1</v>
      </c>
      <c r="Q122" s="123"/>
      <c r="R122" s="130">
        <v>285000</v>
      </c>
      <c r="S122" s="130">
        <f t="shared" si="2"/>
        <v>285000</v>
      </c>
      <c r="T122" s="130">
        <v>167004.53424657549</v>
      </c>
      <c r="U122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الشراء-الاستلام]]&lt;DATE(2018,1,1),S122-T122,0))</f>
        <v>117995.46575342451</v>
      </c>
      <c r="V122" s="169"/>
      <c r="W122" s="116"/>
      <c r="X122" s="116"/>
      <c r="Y122" s="117">
        <f>Table5101345411[[#This Row],[عدد الإضافات]]*Table5101345411[[#This Row],[سعر الحبة المضافة]]</f>
        <v>0</v>
      </c>
      <c r="Z122" s="101"/>
      <c r="AA122" s="102"/>
      <c r="AB122" s="103"/>
      <c r="AC122" s="103"/>
      <c r="AD122" s="103"/>
      <c r="AE122" s="103"/>
      <c r="AF122" s="103">
        <f>Table5101345411[[#This Row],[العدد]]*Table5101345411[[#This Row],[قيمة الشراء]]</f>
        <v>0</v>
      </c>
      <c r="AG122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22" s="190">
        <f>Table5101345411[[#This Row],[الكمية]]+Table5101345411[[#This Row],[عدد الإضافات]]-Table5101345411[[#This Row],[العدد]]</f>
        <v>1</v>
      </c>
      <c r="AI122" s="78">
        <f>Table5101345411[[#This Row],[الإجمالي]]+Table5101345411[[#This Row],[إجمالي الإضافات]]-Table5101345411[[#This Row],[إجمالي المستبعد]]</f>
        <v>285000</v>
      </c>
      <c r="AJ122" s="120">
        <v>0.15</v>
      </c>
      <c r="AK122" s="219"/>
      <c r="AL122" s="58" t="s">
        <v>61</v>
      </c>
      <c r="AM122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42750</v>
      </c>
      <c r="AN122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22" s="79">
        <f>Table5101345411[[#This Row],[اهلاك المستبعد
في 2018]]+Table5101345411[[#This Row],[مجمع إهلاك المستبعد 
01-01-2018]]</f>
        <v>0</v>
      </c>
      <c r="AP122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22" s="220"/>
      <c r="AR122" s="78">
        <f>IF(OR(Table5101345411[[#This Row],[تاريخ الشراء-الاستلام]]="",Table5101345411[[#This Row],[الإجمالي]]="",Table5101345411[[#This Row],[العمر الافتراضي]]=""),"",IF(((T122+AM122)-Table5101345411[[#This Row],[مجمع إهلاك المستبعد 
بتاريخ الأستبعاد]])&lt;=0,0,((T122+AM122)-Table5101345411[[#This Row],[مجمع إهلاك المستبعد 
بتاريخ الأستبعاد]])))</f>
        <v>209754.53424657549</v>
      </c>
      <c r="AS122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الشراء-الاستلام]]&gt;DATE(2018,12,31),0,AI122-AR122)))</f>
        <v>75245.465753424505</v>
      </c>
    </row>
    <row r="123" spans="1:45" s="141" customFormat="1" ht="83.25" customHeight="1">
      <c r="A123" s="118">
        <f>IF(B123="","",SUBTOTAL(3,$B$6:B123))</f>
        <v>118</v>
      </c>
      <c r="B123" s="58" t="s">
        <v>591</v>
      </c>
      <c r="C123" s="59" t="s">
        <v>54</v>
      </c>
      <c r="D123" s="59" t="s">
        <v>84</v>
      </c>
      <c r="E123" s="59" t="s">
        <v>610</v>
      </c>
      <c r="F123" s="226" t="s">
        <v>611</v>
      </c>
      <c r="G123" s="226"/>
      <c r="H123" s="58" t="s">
        <v>57</v>
      </c>
      <c r="I123" s="58" t="s">
        <v>69</v>
      </c>
      <c r="J123" s="58" t="s">
        <v>64</v>
      </c>
      <c r="K123" s="58" t="s">
        <v>86</v>
      </c>
      <c r="L123" s="60" t="s">
        <v>193</v>
      </c>
      <c r="M123" s="77">
        <v>42159</v>
      </c>
      <c r="N123" s="77"/>
      <c r="O123" s="150"/>
      <c r="P123" s="122">
        <v>1</v>
      </c>
      <c r="Q123" s="123"/>
      <c r="R123" s="130">
        <v>285000</v>
      </c>
      <c r="S123" s="130">
        <f t="shared" si="2"/>
        <v>285000</v>
      </c>
      <c r="T123" s="130">
        <v>167095.89041095891</v>
      </c>
      <c r="U123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الشراء-الاستلام]]&lt;DATE(2018,1,1),S123-T123,0))</f>
        <v>117904.10958904109</v>
      </c>
      <c r="V123" s="169"/>
      <c r="W123" s="116"/>
      <c r="X123" s="116"/>
      <c r="Y123" s="117">
        <f>Table5101345411[[#This Row],[عدد الإضافات]]*Table5101345411[[#This Row],[سعر الحبة المضافة]]</f>
        <v>0</v>
      </c>
      <c r="Z123" s="101"/>
      <c r="AA123" s="102"/>
      <c r="AB123" s="103"/>
      <c r="AC123" s="103"/>
      <c r="AD123" s="103"/>
      <c r="AE123" s="103"/>
      <c r="AF123" s="103">
        <f>Table5101345411[[#This Row],[العدد]]*Table5101345411[[#This Row],[قيمة الشراء]]</f>
        <v>0</v>
      </c>
      <c r="AG123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23" s="190">
        <f>Table5101345411[[#This Row],[الكمية]]+Table5101345411[[#This Row],[عدد الإضافات]]-Table5101345411[[#This Row],[العدد]]</f>
        <v>1</v>
      </c>
      <c r="AI123" s="78">
        <f>Table5101345411[[#This Row],[الإجمالي]]+Table5101345411[[#This Row],[إجمالي الإضافات]]-Table5101345411[[#This Row],[إجمالي المستبعد]]</f>
        <v>285000</v>
      </c>
      <c r="AJ123" s="120">
        <v>0.15</v>
      </c>
      <c r="AK123" s="219"/>
      <c r="AL123" s="58" t="s">
        <v>61</v>
      </c>
      <c r="AM123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42750</v>
      </c>
      <c r="AN123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23" s="79">
        <f>Table5101345411[[#This Row],[اهلاك المستبعد
في 2018]]+Table5101345411[[#This Row],[مجمع إهلاك المستبعد 
01-01-2018]]</f>
        <v>0</v>
      </c>
      <c r="AP123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23" s="220"/>
      <c r="AR123" s="78">
        <f>IF(OR(Table5101345411[[#This Row],[تاريخ الشراء-الاستلام]]="",Table5101345411[[#This Row],[الإجمالي]]="",Table5101345411[[#This Row],[العمر الافتراضي]]=""),"",IF(((T123+AM123)-Table5101345411[[#This Row],[مجمع إهلاك المستبعد 
بتاريخ الأستبعاد]])&lt;=0,0,((T123+AM123)-Table5101345411[[#This Row],[مجمع إهلاك المستبعد 
بتاريخ الأستبعاد]])))</f>
        <v>209845.89041095891</v>
      </c>
      <c r="AS123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الشراء-الاستلام]]&gt;DATE(2018,12,31),0,AI123-AR123)))</f>
        <v>75154.109589041094</v>
      </c>
    </row>
    <row r="124" spans="1:45" s="141" customFormat="1" ht="83.25" customHeight="1">
      <c r="A124" s="118">
        <f>IF(B124="","",SUBTOTAL(3,$B$6:B124))</f>
        <v>119</v>
      </c>
      <c r="B124" s="58" t="s">
        <v>591</v>
      </c>
      <c r="C124" s="59" t="s">
        <v>54</v>
      </c>
      <c r="D124" s="59" t="s">
        <v>84</v>
      </c>
      <c r="E124" s="59" t="s">
        <v>610</v>
      </c>
      <c r="F124" s="226" t="s">
        <v>612</v>
      </c>
      <c r="G124" s="226"/>
      <c r="H124" s="58" t="s">
        <v>57</v>
      </c>
      <c r="I124" s="58" t="s">
        <v>69</v>
      </c>
      <c r="J124" s="58" t="s">
        <v>64</v>
      </c>
      <c r="K124" s="58" t="s">
        <v>86</v>
      </c>
      <c r="L124" s="60" t="s">
        <v>194</v>
      </c>
      <c r="M124" s="77">
        <v>42158</v>
      </c>
      <c r="N124" s="77"/>
      <c r="O124" s="150"/>
      <c r="P124" s="122">
        <v>1</v>
      </c>
      <c r="Q124" s="123"/>
      <c r="R124" s="130">
        <v>285000</v>
      </c>
      <c r="S124" s="130">
        <f t="shared" si="2"/>
        <v>285000</v>
      </c>
      <c r="T124" s="130">
        <v>167213.01369863015</v>
      </c>
      <c r="U124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الشراء-الاستلام]]&lt;DATE(2018,1,1),S124-T124,0))</f>
        <v>117786.98630136985</v>
      </c>
      <c r="V124" s="169"/>
      <c r="W124" s="116"/>
      <c r="X124" s="116"/>
      <c r="Y124" s="117">
        <f>Table5101345411[[#This Row],[عدد الإضافات]]*Table5101345411[[#This Row],[سعر الحبة المضافة]]</f>
        <v>0</v>
      </c>
      <c r="Z124" s="101"/>
      <c r="AA124" s="102"/>
      <c r="AB124" s="103"/>
      <c r="AC124" s="103"/>
      <c r="AD124" s="103"/>
      <c r="AE124" s="103"/>
      <c r="AF124" s="103">
        <f>Table5101345411[[#This Row],[العدد]]*Table5101345411[[#This Row],[قيمة الشراء]]</f>
        <v>0</v>
      </c>
      <c r="AG124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24" s="190">
        <f>Table5101345411[[#This Row],[الكمية]]+Table5101345411[[#This Row],[عدد الإضافات]]-Table5101345411[[#This Row],[العدد]]</f>
        <v>1</v>
      </c>
      <c r="AI124" s="78">
        <f>Table5101345411[[#This Row],[الإجمالي]]+Table5101345411[[#This Row],[إجمالي الإضافات]]-Table5101345411[[#This Row],[إجمالي المستبعد]]</f>
        <v>285000</v>
      </c>
      <c r="AJ124" s="120">
        <v>0.15</v>
      </c>
      <c r="AK124" s="219"/>
      <c r="AL124" s="58" t="s">
        <v>61</v>
      </c>
      <c r="AM124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42750</v>
      </c>
      <c r="AN124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24" s="79">
        <f>Table5101345411[[#This Row],[اهلاك المستبعد
في 2018]]+Table5101345411[[#This Row],[مجمع إهلاك المستبعد 
01-01-2018]]</f>
        <v>0</v>
      </c>
      <c r="AP124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24" s="220"/>
      <c r="AR124" s="78">
        <f>IF(OR(Table5101345411[[#This Row],[تاريخ الشراء-الاستلام]]="",Table5101345411[[#This Row],[الإجمالي]]="",Table5101345411[[#This Row],[العمر الافتراضي]]=""),"",IF(((T124+AM124)-Table5101345411[[#This Row],[مجمع إهلاك المستبعد 
بتاريخ الأستبعاد]])&lt;=0,0,((T124+AM124)-Table5101345411[[#This Row],[مجمع إهلاك المستبعد 
بتاريخ الأستبعاد]])))</f>
        <v>209963.01369863015</v>
      </c>
      <c r="AS124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الشراء-الاستلام]]&gt;DATE(2018,12,31),0,AI124-AR124)))</f>
        <v>75036.986301369849</v>
      </c>
    </row>
    <row r="125" spans="1:45" s="141" customFormat="1" ht="83.25" customHeight="1">
      <c r="A125" s="118">
        <f>IF(B125="","",SUBTOTAL(3,$B$6:B125))</f>
        <v>120</v>
      </c>
      <c r="B125" s="58" t="s">
        <v>591</v>
      </c>
      <c r="C125" s="59" t="s">
        <v>115</v>
      </c>
      <c r="D125" s="59" t="s">
        <v>84</v>
      </c>
      <c r="E125" s="59" t="s">
        <v>610</v>
      </c>
      <c r="F125" s="226" t="s">
        <v>622</v>
      </c>
      <c r="G125" s="226"/>
      <c r="H125" s="58" t="s">
        <v>57</v>
      </c>
      <c r="I125" s="58" t="s">
        <v>69</v>
      </c>
      <c r="J125" s="58" t="s">
        <v>64</v>
      </c>
      <c r="K125" s="58"/>
      <c r="L125" s="60" t="s">
        <v>623</v>
      </c>
      <c r="M125" s="77">
        <v>43466</v>
      </c>
      <c r="N125" s="77"/>
      <c r="O125" s="150"/>
      <c r="P125" s="122">
        <v>1</v>
      </c>
      <c r="Q125" s="123"/>
      <c r="R125" s="130">
        <v>0</v>
      </c>
      <c r="S125" s="130">
        <f t="shared" si="2"/>
        <v>0</v>
      </c>
      <c r="T125" s="130"/>
      <c r="U125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الشراء-الاستلام]]&lt;DATE(2018,1,1),S125-T125,0))</f>
        <v>0</v>
      </c>
      <c r="V125" s="169"/>
      <c r="W125" s="116"/>
      <c r="X125" s="116"/>
      <c r="Y125" s="117">
        <f>Table5101345411[[#This Row],[عدد الإضافات]]*Table5101345411[[#This Row],[سعر الحبة المضافة]]</f>
        <v>0</v>
      </c>
      <c r="Z125" s="101"/>
      <c r="AA125" s="102"/>
      <c r="AB125" s="103"/>
      <c r="AC125" s="103"/>
      <c r="AD125" s="103"/>
      <c r="AE125" s="103"/>
      <c r="AF125" s="103">
        <f>Table5101345411[[#This Row],[العدد]]*Table5101345411[[#This Row],[قيمة الشراء]]</f>
        <v>0</v>
      </c>
      <c r="AG125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25" s="190">
        <f>Table5101345411[[#This Row],[الكمية]]+Table5101345411[[#This Row],[عدد الإضافات]]-Table5101345411[[#This Row],[العدد]]</f>
        <v>1</v>
      </c>
      <c r="AI125" s="78">
        <f>Table5101345411[[#This Row],[الإجمالي]]+Table5101345411[[#This Row],[إجمالي الإضافات]]-Table5101345411[[#This Row],[إجمالي المستبعد]]</f>
        <v>0</v>
      </c>
      <c r="AJ125" s="120">
        <v>0.15</v>
      </c>
      <c r="AK125" s="219"/>
      <c r="AL125" s="58"/>
      <c r="AM125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125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25" s="79">
        <f>Table5101345411[[#This Row],[اهلاك المستبعد
في 2018]]+Table5101345411[[#This Row],[مجمع إهلاك المستبعد 
01-01-2018]]</f>
        <v>0</v>
      </c>
      <c r="AP125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25" s="220"/>
      <c r="AR125" s="78">
        <f>IF(OR(Table5101345411[[#This Row],[تاريخ الشراء-الاستلام]]="",Table5101345411[[#This Row],[الإجمالي]]="",Table5101345411[[#This Row],[العمر الافتراضي]]=""),"",IF(((T125+AM125)-Table5101345411[[#This Row],[مجمع إهلاك المستبعد 
بتاريخ الأستبعاد]])&lt;=0,0,((T125+AM125)-Table5101345411[[#This Row],[مجمع إهلاك المستبعد 
بتاريخ الأستبعاد]])))</f>
        <v>0</v>
      </c>
      <c r="AS125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الشراء-الاستلام]]&gt;DATE(2018,12,31),0,AI125-AR125)))</f>
        <v>0</v>
      </c>
    </row>
    <row r="126" spans="1:45" s="141" customFormat="1" ht="83.25" customHeight="1">
      <c r="A126" s="118">
        <f>IF(B126="","",SUBTOTAL(3,$B$6:B126))</f>
        <v>121</v>
      </c>
      <c r="B126" s="58" t="s">
        <v>591</v>
      </c>
      <c r="C126" s="59" t="s">
        <v>115</v>
      </c>
      <c r="D126" s="59" t="s">
        <v>84</v>
      </c>
      <c r="E126" s="59" t="s">
        <v>610</v>
      </c>
      <c r="F126" s="226" t="s">
        <v>626</v>
      </c>
      <c r="G126" s="226"/>
      <c r="H126" s="58" t="s">
        <v>57</v>
      </c>
      <c r="I126" s="58" t="s">
        <v>69</v>
      </c>
      <c r="J126" s="58" t="s">
        <v>64</v>
      </c>
      <c r="K126" s="58"/>
      <c r="L126" s="60" t="s">
        <v>628</v>
      </c>
      <c r="M126" s="77">
        <v>43466</v>
      </c>
      <c r="N126" s="77"/>
      <c r="O126" s="150"/>
      <c r="P126" s="122">
        <v>1</v>
      </c>
      <c r="Q126" s="123"/>
      <c r="R126" s="130">
        <v>0</v>
      </c>
      <c r="S126" s="130">
        <f t="shared" si="2"/>
        <v>0</v>
      </c>
      <c r="T126" s="130"/>
      <c r="U126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الشراء-الاستلام]]&lt;DATE(2018,1,1),S126-T126,0))</f>
        <v>0</v>
      </c>
      <c r="V126" s="169"/>
      <c r="W126" s="116"/>
      <c r="X126" s="116"/>
      <c r="Y126" s="117">
        <f>Table5101345411[[#This Row],[عدد الإضافات]]*Table5101345411[[#This Row],[سعر الحبة المضافة]]</f>
        <v>0</v>
      </c>
      <c r="Z126" s="101"/>
      <c r="AA126" s="102"/>
      <c r="AB126" s="103"/>
      <c r="AC126" s="103"/>
      <c r="AD126" s="103"/>
      <c r="AE126" s="103"/>
      <c r="AF126" s="103">
        <f>Table5101345411[[#This Row],[العدد]]*Table5101345411[[#This Row],[قيمة الشراء]]</f>
        <v>0</v>
      </c>
      <c r="AG126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26" s="190">
        <f>Table5101345411[[#This Row],[الكمية]]+Table5101345411[[#This Row],[عدد الإضافات]]-Table5101345411[[#This Row],[العدد]]</f>
        <v>1</v>
      </c>
      <c r="AI126" s="78">
        <f>Table5101345411[[#This Row],[الإجمالي]]+Table5101345411[[#This Row],[إجمالي الإضافات]]-Table5101345411[[#This Row],[إجمالي المستبعد]]</f>
        <v>0</v>
      </c>
      <c r="AJ126" s="120">
        <v>0.15</v>
      </c>
      <c r="AK126" s="219"/>
      <c r="AL126" s="58"/>
      <c r="AM126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126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26" s="79">
        <f>Table5101345411[[#This Row],[اهلاك المستبعد
في 2018]]+Table5101345411[[#This Row],[مجمع إهلاك المستبعد 
01-01-2018]]</f>
        <v>0</v>
      </c>
      <c r="AP126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26" s="220"/>
      <c r="AR126" s="78">
        <f>IF(OR(Table5101345411[[#This Row],[تاريخ الشراء-الاستلام]]="",Table5101345411[[#This Row],[الإجمالي]]="",Table5101345411[[#This Row],[العمر الافتراضي]]=""),"",IF(((T126+AM126)-Table5101345411[[#This Row],[مجمع إهلاك المستبعد 
بتاريخ الأستبعاد]])&lt;=0,0,((T126+AM126)-Table5101345411[[#This Row],[مجمع إهلاك المستبعد 
بتاريخ الأستبعاد]])))</f>
        <v>0</v>
      </c>
      <c r="AS126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الشراء-الاستلام]]&gt;DATE(2018,12,31),0,AI126-AR126)))</f>
        <v>0</v>
      </c>
    </row>
    <row r="127" spans="1:45" s="141" customFormat="1" ht="83.25" customHeight="1">
      <c r="A127" s="118">
        <f>IF(B127="","",SUBTOTAL(3,$B$6:B127))</f>
        <v>122</v>
      </c>
      <c r="B127" s="58" t="s">
        <v>591</v>
      </c>
      <c r="C127" s="59" t="s">
        <v>115</v>
      </c>
      <c r="D127" s="59" t="s">
        <v>84</v>
      </c>
      <c r="E127" s="59" t="s">
        <v>610</v>
      </c>
      <c r="F127" s="226" t="s">
        <v>627</v>
      </c>
      <c r="G127" s="226"/>
      <c r="H127" s="58" t="s">
        <v>57</v>
      </c>
      <c r="I127" s="58" t="s">
        <v>69</v>
      </c>
      <c r="J127" s="58" t="s">
        <v>64</v>
      </c>
      <c r="K127" s="58"/>
      <c r="L127" s="60" t="s">
        <v>629</v>
      </c>
      <c r="M127" s="77">
        <v>43466</v>
      </c>
      <c r="N127" s="77"/>
      <c r="O127" s="150"/>
      <c r="P127" s="122">
        <v>1</v>
      </c>
      <c r="Q127" s="123"/>
      <c r="R127" s="130">
        <v>0</v>
      </c>
      <c r="S127" s="130">
        <f t="shared" si="2"/>
        <v>0</v>
      </c>
      <c r="T127" s="130"/>
      <c r="U127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الشراء-الاستلام]]&lt;DATE(2018,1,1),S127-T127,0))</f>
        <v>0</v>
      </c>
      <c r="V127" s="169"/>
      <c r="W127" s="116"/>
      <c r="X127" s="116"/>
      <c r="Y127" s="117">
        <f>Table5101345411[[#This Row],[عدد الإضافات]]*Table5101345411[[#This Row],[سعر الحبة المضافة]]</f>
        <v>0</v>
      </c>
      <c r="Z127" s="101"/>
      <c r="AA127" s="102"/>
      <c r="AB127" s="103"/>
      <c r="AC127" s="103"/>
      <c r="AD127" s="103"/>
      <c r="AE127" s="103"/>
      <c r="AF127" s="103">
        <f>Table5101345411[[#This Row],[العدد]]*Table5101345411[[#This Row],[قيمة الشراء]]</f>
        <v>0</v>
      </c>
      <c r="AG127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27" s="190">
        <f>Table5101345411[[#This Row],[الكمية]]+Table5101345411[[#This Row],[عدد الإضافات]]-Table5101345411[[#This Row],[العدد]]</f>
        <v>1</v>
      </c>
      <c r="AI127" s="78">
        <f>Table5101345411[[#This Row],[الإجمالي]]+Table5101345411[[#This Row],[إجمالي الإضافات]]-Table5101345411[[#This Row],[إجمالي المستبعد]]</f>
        <v>0</v>
      </c>
      <c r="AJ127" s="120">
        <v>0.15</v>
      </c>
      <c r="AK127" s="219"/>
      <c r="AL127" s="58"/>
      <c r="AM127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127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27" s="79">
        <f>Table5101345411[[#This Row],[اهلاك المستبعد
في 2018]]+Table5101345411[[#This Row],[مجمع إهلاك المستبعد 
01-01-2018]]</f>
        <v>0</v>
      </c>
      <c r="AP127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27" s="220"/>
      <c r="AR127" s="78">
        <f>IF(OR(Table5101345411[[#This Row],[تاريخ الشراء-الاستلام]]="",Table5101345411[[#This Row],[الإجمالي]]="",Table5101345411[[#This Row],[العمر الافتراضي]]=""),"",IF(((T127+AM127)-Table5101345411[[#This Row],[مجمع إهلاك المستبعد 
بتاريخ الأستبعاد]])&lt;=0,0,((T127+AM127)-Table5101345411[[#This Row],[مجمع إهلاك المستبعد 
بتاريخ الأستبعاد]])))</f>
        <v>0</v>
      </c>
      <c r="AS127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الشراء-الاستلام]]&gt;DATE(2018,12,31),0,AI127-AR127)))</f>
        <v>0</v>
      </c>
    </row>
    <row r="128" spans="1:45" s="141" customFormat="1" ht="83.25" customHeight="1">
      <c r="A128" s="118">
        <f>IF(B128="","",SUBTOTAL(3,$B$6:B128))</f>
        <v>123</v>
      </c>
      <c r="B128" s="58" t="s">
        <v>591</v>
      </c>
      <c r="C128" s="59" t="s">
        <v>115</v>
      </c>
      <c r="D128" s="59" t="s">
        <v>84</v>
      </c>
      <c r="E128" s="59" t="s">
        <v>610</v>
      </c>
      <c r="F128" s="226" t="s">
        <v>624</v>
      </c>
      <c r="G128" s="226"/>
      <c r="H128" s="58" t="s">
        <v>57</v>
      </c>
      <c r="I128" s="58" t="s">
        <v>69</v>
      </c>
      <c r="J128" s="58" t="s">
        <v>64</v>
      </c>
      <c r="K128" s="58"/>
      <c r="L128" s="60" t="s">
        <v>674</v>
      </c>
      <c r="M128" s="77">
        <v>43466</v>
      </c>
      <c r="N128" s="77"/>
      <c r="O128" s="150"/>
      <c r="P128" s="122">
        <v>1</v>
      </c>
      <c r="Q128" s="123"/>
      <c r="R128" s="130">
        <v>0</v>
      </c>
      <c r="S128" s="130">
        <f t="shared" si="2"/>
        <v>0</v>
      </c>
      <c r="T128" s="130"/>
      <c r="U128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الشراء-الاستلام]]&lt;DATE(2018,1,1),S128-T128,0))</f>
        <v>0</v>
      </c>
      <c r="V128" s="169"/>
      <c r="W128" s="116"/>
      <c r="X128" s="116"/>
      <c r="Y128" s="117">
        <f>Table5101345411[[#This Row],[عدد الإضافات]]*Table5101345411[[#This Row],[سعر الحبة المضافة]]</f>
        <v>0</v>
      </c>
      <c r="Z128" s="101"/>
      <c r="AA128" s="102"/>
      <c r="AB128" s="103"/>
      <c r="AC128" s="103"/>
      <c r="AD128" s="103"/>
      <c r="AE128" s="103"/>
      <c r="AF128" s="103">
        <f>Table5101345411[[#This Row],[العدد]]*Table5101345411[[#This Row],[قيمة الشراء]]</f>
        <v>0</v>
      </c>
      <c r="AG128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28" s="190">
        <f>Table5101345411[[#This Row],[الكمية]]+Table5101345411[[#This Row],[عدد الإضافات]]-Table5101345411[[#This Row],[العدد]]</f>
        <v>1</v>
      </c>
      <c r="AI128" s="78">
        <f>Table5101345411[[#This Row],[الإجمالي]]+Table5101345411[[#This Row],[إجمالي الإضافات]]-Table5101345411[[#This Row],[إجمالي المستبعد]]</f>
        <v>0</v>
      </c>
      <c r="AJ128" s="120">
        <v>0.15</v>
      </c>
      <c r="AK128" s="219"/>
      <c r="AL128" s="58"/>
      <c r="AM128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128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28" s="79">
        <f>Table5101345411[[#This Row],[اهلاك المستبعد
في 2018]]+Table5101345411[[#This Row],[مجمع إهلاك المستبعد 
01-01-2018]]</f>
        <v>0</v>
      </c>
      <c r="AP128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28" s="220"/>
      <c r="AR128" s="78">
        <f>IF(OR(Table5101345411[[#This Row],[تاريخ الشراء-الاستلام]]="",Table5101345411[[#This Row],[الإجمالي]]="",Table5101345411[[#This Row],[العمر الافتراضي]]=""),"",IF(((T128+AM128)-Table5101345411[[#This Row],[مجمع إهلاك المستبعد 
بتاريخ الأستبعاد]])&lt;=0,0,((T128+AM128)-Table5101345411[[#This Row],[مجمع إهلاك المستبعد 
بتاريخ الأستبعاد]])))</f>
        <v>0</v>
      </c>
      <c r="AS128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الشراء-الاستلام]]&gt;DATE(2018,12,31),0,AI128-AR128)))</f>
        <v>0</v>
      </c>
    </row>
    <row r="129" spans="1:45" s="141" customFormat="1" ht="83.25" customHeight="1">
      <c r="A129" s="118">
        <f>IF(B129="","",SUBTOTAL(3,$B$6:B129))</f>
        <v>124</v>
      </c>
      <c r="B129" s="58" t="s">
        <v>591</v>
      </c>
      <c r="C129" s="59" t="s">
        <v>115</v>
      </c>
      <c r="D129" s="59" t="s">
        <v>84</v>
      </c>
      <c r="E129" s="59" t="s">
        <v>610</v>
      </c>
      <c r="F129" s="226" t="s">
        <v>625</v>
      </c>
      <c r="G129" s="226"/>
      <c r="H129" s="58" t="s">
        <v>57</v>
      </c>
      <c r="I129" s="58" t="s">
        <v>69</v>
      </c>
      <c r="J129" s="58" t="s">
        <v>64</v>
      </c>
      <c r="K129" s="58"/>
      <c r="L129" s="60">
        <v>5773</v>
      </c>
      <c r="M129" s="77">
        <v>43466</v>
      </c>
      <c r="N129" s="77"/>
      <c r="O129" s="150"/>
      <c r="P129" s="122">
        <v>1</v>
      </c>
      <c r="Q129" s="123"/>
      <c r="R129" s="130">
        <v>0</v>
      </c>
      <c r="S129" s="130">
        <f t="shared" si="2"/>
        <v>0</v>
      </c>
      <c r="T129" s="130"/>
      <c r="U129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الشراء-الاستلام]]&lt;DATE(2018,1,1),S129-T129,0))</f>
        <v>0</v>
      </c>
      <c r="V129" s="169"/>
      <c r="W129" s="116"/>
      <c r="X129" s="116"/>
      <c r="Y129" s="117">
        <f>Table5101345411[[#This Row],[عدد الإضافات]]*Table5101345411[[#This Row],[سعر الحبة المضافة]]</f>
        <v>0</v>
      </c>
      <c r="Z129" s="101"/>
      <c r="AA129" s="102"/>
      <c r="AB129" s="103"/>
      <c r="AC129" s="103"/>
      <c r="AD129" s="103"/>
      <c r="AE129" s="103"/>
      <c r="AF129" s="103">
        <f>Table5101345411[[#This Row],[العدد]]*Table5101345411[[#This Row],[قيمة الشراء]]</f>
        <v>0</v>
      </c>
      <c r="AG129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29" s="190">
        <f>Table5101345411[[#This Row],[الكمية]]+Table5101345411[[#This Row],[عدد الإضافات]]-Table5101345411[[#This Row],[العدد]]</f>
        <v>1</v>
      </c>
      <c r="AI129" s="78">
        <f>Table5101345411[[#This Row],[الإجمالي]]+Table5101345411[[#This Row],[إجمالي الإضافات]]-Table5101345411[[#This Row],[إجمالي المستبعد]]</f>
        <v>0</v>
      </c>
      <c r="AJ129" s="120">
        <v>0.15</v>
      </c>
      <c r="AK129" s="219"/>
      <c r="AL129" s="58"/>
      <c r="AM129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129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29" s="79">
        <f>Table5101345411[[#This Row],[اهلاك المستبعد
في 2018]]+Table5101345411[[#This Row],[مجمع إهلاك المستبعد 
01-01-2018]]</f>
        <v>0</v>
      </c>
      <c r="AP129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29" s="220"/>
      <c r="AR129" s="78">
        <f>IF(OR(Table5101345411[[#This Row],[تاريخ الشراء-الاستلام]]="",Table5101345411[[#This Row],[الإجمالي]]="",Table5101345411[[#This Row],[العمر الافتراضي]]=""),"",IF(((T129+AM129)-Table5101345411[[#This Row],[مجمع إهلاك المستبعد 
بتاريخ الأستبعاد]])&lt;=0,0,((T129+AM129)-Table5101345411[[#This Row],[مجمع إهلاك المستبعد 
بتاريخ الأستبعاد]])))</f>
        <v>0</v>
      </c>
      <c r="AS129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الشراء-الاستلام]]&gt;DATE(2018,12,31),0,AI129-AR129)))</f>
        <v>0</v>
      </c>
    </row>
    <row r="130" spans="1:45" s="141" customFormat="1" ht="83.25" customHeight="1">
      <c r="A130" s="118">
        <f>IF(B130="","",SUBTOTAL(3,$B$6:B130))</f>
        <v>125</v>
      </c>
      <c r="B130" s="58" t="s">
        <v>137</v>
      </c>
      <c r="C130" s="59" t="s">
        <v>54</v>
      </c>
      <c r="D130" s="59" t="s">
        <v>84</v>
      </c>
      <c r="E130" s="59" t="s">
        <v>610</v>
      </c>
      <c r="F130" s="226" t="s">
        <v>545</v>
      </c>
      <c r="G130" s="226"/>
      <c r="H130" s="58"/>
      <c r="I130" s="58"/>
      <c r="J130" s="58" t="s">
        <v>64</v>
      </c>
      <c r="K130" s="58" t="s">
        <v>86</v>
      </c>
      <c r="L130" s="60" t="s">
        <v>195</v>
      </c>
      <c r="M130" s="77">
        <v>42157</v>
      </c>
      <c r="N130" s="77"/>
      <c r="O130" s="150"/>
      <c r="P130" s="122">
        <v>1</v>
      </c>
      <c r="Q130" s="123"/>
      <c r="R130" s="130">
        <v>285000</v>
      </c>
      <c r="S130" s="130">
        <f t="shared" si="2"/>
        <v>285000</v>
      </c>
      <c r="T130" s="130">
        <v>167330.13698630137</v>
      </c>
      <c r="U130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الشراء-الاستلام]]&lt;DATE(2018,1,1),S130-T130,0))</f>
        <v>117669.86301369863</v>
      </c>
      <c r="V130" s="169"/>
      <c r="W130" s="116"/>
      <c r="X130" s="116"/>
      <c r="Y130" s="117">
        <f>Table5101345411[[#This Row],[عدد الإضافات]]*Table5101345411[[#This Row],[سعر الحبة المضافة]]</f>
        <v>0</v>
      </c>
      <c r="Z130" s="101"/>
      <c r="AA130" s="102"/>
      <c r="AB130" s="103"/>
      <c r="AC130" s="103"/>
      <c r="AD130" s="103"/>
      <c r="AE130" s="103"/>
      <c r="AF130" s="103">
        <f>Table5101345411[[#This Row],[العدد]]*Table5101345411[[#This Row],[قيمة الشراء]]</f>
        <v>0</v>
      </c>
      <c r="AG130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30" s="190">
        <f>Table5101345411[[#This Row],[الكمية]]+Table5101345411[[#This Row],[عدد الإضافات]]-Table5101345411[[#This Row],[العدد]]</f>
        <v>1</v>
      </c>
      <c r="AI130" s="78">
        <f>Table5101345411[[#This Row],[الإجمالي]]+Table5101345411[[#This Row],[إجمالي الإضافات]]-Table5101345411[[#This Row],[إجمالي المستبعد]]</f>
        <v>285000</v>
      </c>
      <c r="AJ130" s="120">
        <v>0.15</v>
      </c>
      <c r="AK130" s="219"/>
      <c r="AL130" s="58" t="s">
        <v>61</v>
      </c>
      <c r="AM130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42750</v>
      </c>
      <c r="AN130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30" s="79">
        <f>Table5101345411[[#This Row],[اهلاك المستبعد
في 2018]]+Table5101345411[[#This Row],[مجمع إهلاك المستبعد 
01-01-2018]]</f>
        <v>0</v>
      </c>
      <c r="AP130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30" s="220"/>
      <c r="AR130" s="78">
        <f>IF(OR(Table5101345411[[#This Row],[تاريخ الشراء-الاستلام]]="",Table5101345411[[#This Row],[الإجمالي]]="",Table5101345411[[#This Row],[العمر الافتراضي]]=""),"",IF(((T130+AM130)-Table5101345411[[#This Row],[مجمع إهلاك المستبعد 
بتاريخ الأستبعاد]])&lt;=0,0,((T130+AM130)-Table5101345411[[#This Row],[مجمع إهلاك المستبعد 
بتاريخ الأستبعاد]])))</f>
        <v>210080.13698630137</v>
      </c>
      <c r="AS130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الشراء-الاستلام]]&gt;DATE(2018,12,31),0,AI130-AR130)))</f>
        <v>74919.863013698632</v>
      </c>
    </row>
    <row r="131" spans="1:45" s="141" customFormat="1" ht="83.25" customHeight="1">
      <c r="A131" s="118">
        <f>IF(B131="","",SUBTOTAL(3,$B$6:B131))</f>
        <v>126</v>
      </c>
      <c r="B131" s="58" t="s">
        <v>196</v>
      </c>
      <c r="C131" s="59" t="s">
        <v>197</v>
      </c>
      <c r="D131" s="59" t="s">
        <v>80</v>
      </c>
      <c r="E131" s="59" t="s">
        <v>199</v>
      </c>
      <c r="F131" s="226" t="s">
        <v>80</v>
      </c>
      <c r="G131" s="226" t="s">
        <v>828</v>
      </c>
      <c r="H131" s="58" t="s">
        <v>154</v>
      </c>
      <c r="I131" s="58" t="s">
        <v>619</v>
      </c>
      <c r="J131" s="58" t="s">
        <v>64</v>
      </c>
      <c r="K131" s="58" t="s">
        <v>803</v>
      </c>
      <c r="L131" s="60" t="s">
        <v>198</v>
      </c>
      <c r="M131" s="77">
        <v>40544</v>
      </c>
      <c r="N131" s="77"/>
      <c r="O131" s="150"/>
      <c r="P131" s="122">
        <v>1</v>
      </c>
      <c r="Q131" s="123"/>
      <c r="R131" s="130">
        <f>50000+10500</f>
        <v>60500</v>
      </c>
      <c r="S131" s="130">
        <f t="shared" si="2"/>
        <v>60500</v>
      </c>
      <c r="T131" s="130">
        <v>60500</v>
      </c>
      <c r="U131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الشراء-الاستلام]]&lt;DATE(2018,1,1),S131-T131,0))</f>
        <v>0</v>
      </c>
      <c r="V131" s="169"/>
      <c r="W131" s="116"/>
      <c r="X131" s="116"/>
      <c r="Y131" s="117">
        <f>Table5101345411[[#This Row],[عدد الإضافات]]*Table5101345411[[#This Row],[سعر الحبة المضافة]]</f>
        <v>0</v>
      </c>
      <c r="Z131" s="101"/>
      <c r="AA131" s="102"/>
      <c r="AB131" s="103"/>
      <c r="AC131" s="103"/>
      <c r="AD131" s="103"/>
      <c r="AE131" s="103"/>
      <c r="AF131" s="103">
        <f>Table5101345411[[#This Row],[العدد]]*Table5101345411[[#This Row],[قيمة الشراء]]</f>
        <v>0</v>
      </c>
      <c r="AG131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31" s="190">
        <f>Table5101345411[[#This Row],[الكمية]]+Table5101345411[[#This Row],[عدد الإضافات]]-Table5101345411[[#This Row],[العدد]]</f>
        <v>1</v>
      </c>
      <c r="AI131" s="78">
        <f>Table5101345411[[#This Row],[الإجمالي]]+Table5101345411[[#This Row],[إجمالي الإضافات]]-Table5101345411[[#This Row],[إجمالي المستبعد]]</f>
        <v>60500</v>
      </c>
      <c r="AJ131" s="120">
        <v>0.15</v>
      </c>
      <c r="AK131" s="219"/>
      <c r="AL131" s="58" t="s">
        <v>61</v>
      </c>
      <c r="AM131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131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31" s="79">
        <f>Table5101345411[[#This Row],[اهلاك المستبعد
في 2018]]+Table5101345411[[#This Row],[مجمع إهلاك المستبعد 
01-01-2018]]</f>
        <v>0</v>
      </c>
      <c r="AP131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31" s="220"/>
      <c r="AR131" s="78">
        <f>IF(OR(Table5101345411[[#This Row],[تاريخ الشراء-الاستلام]]="",Table5101345411[[#This Row],[الإجمالي]]="",Table5101345411[[#This Row],[العمر الافتراضي]]=""),"",IF(((T131+AM131)-Table5101345411[[#This Row],[مجمع إهلاك المستبعد 
بتاريخ الأستبعاد]])&lt;=0,0,((T131+AM131)-Table5101345411[[#This Row],[مجمع إهلاك المستبعد 
بتاريخ الأستبعاد]])))</f>
        <v>60500</v>
      </c>
      <c r="AS131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الشراء-الاستلام]]&gt;DATE(2018,12,31),0,AI131-AR131)))</f>
        <v>0</v>
      </c>
    </row>
    <row r="132" spans="1:45" s="141" customFormat="1" ht="83.25" customHeight="1">
      <c r="A132" s="118">
        <f>IF(B132="","",SUBTOTAL(3,$B$6:B132))</f>
        <v>127</v>
      </c>
      <c r="B132" s="58" t="s">
        <v>199</v>
      </c>
      <c r="C132" s="59" t="s">
        <v>115</v>
      </c>
      <c r="D132" s="59" t="s">
        <v>80</v>
      </c>
      <c r="E132" s="59" t="s">
        <v>199</v>
      </c>
      <c r="F132" s="226" t="s">
        <v>651</v>
      </c>
      <c r="G132" s="226" t="s">
        <v>829</v>
      </c>
      <c r="H132" s="58" t="s">
        <v>57</v>
      </c>
      <c r="I132" s="58" t="s">
        <v>69</v>
      </c>
      <c r="J132" s="58" t="s">
        <v>64</v>
      </c>
      <c r="K132" s="58"/>
      <c r="L132" s="60" t="s">
        <v>200</v>
      </c>
      <c r="M132" s="77">
        <v>42156</v>
      </c>
      <c r="N132" s="77"/>
      <c r="O132" s="150"/>
      <c r="P132" s="122">
        <v>1</v>
      </c>
      <c r="Q132" s="123"/>
      <c r="R132" s="130">
        <v>50000</v>
      </c>
      <c r="S132" s="130">
        <f t="shared" si="2"/>
        <v>50000</v>
      </c>
      <c r="T132" s="130">
        <v>19376.712328767124</v>
      </c>
      <c r="U132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الشراء-الاستلام]]&lt;DATE(2018,1,1),S132-T132,0))</f>
        <v>30623.287671232876</v>
      </c>
      <c r="V132" s="169"/>
      <c r="W132" s="116"/>
      <c r="X132" s="116"/>
      <c r="Y132" s="117">
        <f>Table5101345411[[#This Row],[عدد الإضافات]]*Table5101345411[[#This Row],[سعر الحبة المضافة]]</f>
        <v>0</v>
      </c>
      <c r="Z132" s="101"/>
      <c r="AA132" s="102"/>
      <c r="AB132" s="103"/>
      <c r="AC132" s="103"/>
      <c r="AD132" s="103"/>
      <c r="AE132" s="103"/>
      <c r="AF132" s="103">
        <f>Table5101345411[[#This Row],[العدد]]*Table5101345411[[#This Row],[قيمة الشراء]]</f>
        <v>0</v>
      </c>
      <c r="AG132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32" s="190">
        <f>Table5101345411[[#This Row],[الكمية]]+Table5101345411[[#This Row],[عدد الإضافات]]-Table5101345411[[#This Row],[العدد]]</f>
        <v>1</v>
      </c>
      <c r="AI132" s="78">
        <f>Table5101345411[[#This Row],[الإجمالي]]+Table5101345411[[#This Row],[إجمالي الإضافات]]-Table5101345411[[#This Row],[إجمالي المستبعد]]</f>
        <v>50000</v>
      </c>
      <c r="AJ132" s="120">
        <v>0.15</v>
      </c>
      <c r="AK132" s="219"/>
      <c r="AL132" s="58" t="s">
        <v>61</v>
      </c>
      <c r="AM132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7500</v>
      </c>
      <c r="AN132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32" s="79">
        <f>Table5101345411[[#This Row],[اهلاك المستبعد
في 2018]]+Table5101345411[[#This Row],[مجمع إهلاك المستبعد 
01-01-2018]]</f>
        <v>0</v>
      </c>
      <c r="AP132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32" s="220"/>
      <c r="AR132" s="78">
        <f>IF(OR(Table5101345411[[#This Row],[تاريخ الشراء-الاستلام]]="",Table5101345411[[#This Row],[الإجمالي]]="",Table5101345411[[#This Row],[العمر الافتراضي]]=""),"",IF(((T132+AM132)-Table5101345411[[#This Row],[مجمع إهلاك المستبعد 
بتاريخ الأستبعاد]])&lt;=0,0,((T132+AM132)-Table5101345411[[#This Row],[مجمع إهلاك المستبعد 
بتاريخ الأستبعاد]])))</f>
        <v>26876.712328767124</v>
      </c>
      <c r="AS132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الشراء-الاستلام]]&gt;DATE(2018,12,31),0,AI132-AR132)))</f>
        <v>23123.287671232876</v>
      </c>
    </row>
    <row r="133" spans="1:45" s="141" customFormat="1" ht="83.25" customHeight="1">
      <c r="A133" s="118">
        <f>IF(B133="","",SUBTOTAL(3,$B$6:B133))</f>
        <v>128</v>
      </c>
      <c r="B133" s="58" t="s">
        <v>201</v>
      </c>
      <c r="C133" s="59" t="s">
        <v>54</v>
      </c>
      <c r="D133" s="59" t="s">
        <v>84</v>
      </c>
      <c r="E133" s="59" t="s">
        <v>639</v>
      </c>
      <c r="F133" s="226" t="s">
        <v>640</v>
      </c>
      <c r="G133" s="226"/>
      <c r="H133" s="58" t="s">
        <v>57</v>
      </c>
      <c r="I133" s="58" t="s">
        <v>85</v>
      </c>
      <c r="J133" s="58" t="s">
        <v>64</v>
      </c>
      <c r="K133" s="58" t="s">
        <v>86</v>
      </c>
      <c r="L133" s="60" t="s">
        <v>128</v>
      </c>
      <c r="M133" s="77">
        <v>42429</v>
      </c>
      <c r="N133" s="77"/>
      <c r="O133" s="150"/>
      <c r="P133" s="122">
        <v>1</v>
      </c>
      <c r="Q133" s="123"/>
      <c r="R133" s="130">
        <v>10350</v>
      </c>
      <c r="S133" s="130">
        <f t="shared" si="2"/>
        <v>10350</v>
      </c>
      <c r="T133" s="130">
        <v>4756.7465753424658</v>
      </c>
      <c r="U133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الشراء-الاستلام]]&lt;DATE(2018,1,1),S133-T133,0))</f>
        <v>5593.2534246575342</v>
      </c>
      <c r="V133" s="169"/>
      <c r="W133" s="116"/>
      <c r="X133" s="116"/>
      <c r="Y133" s="117">
        <f>Table5101345411[[#This Row],[عدد الإضافات]]*Table5101345411[[#This Row],[سعر الحبة المضافة]]</f>
        <v>0</v>
      </c>
      <c r="Z133" s="101"/>
      <c r="AA133" s="102"/>
      <c r="AB133" s="103"/>
      <c r="AC133" s="103"/>
      <c r="AD133" s="103"/>
      <c r="AE133" s="103"/>
      <c r="AF133" s="103">
        <f>Table5101345411[[#This Row],[العدد]]*Table5101345411[[#This Row],[قيمة الشراء]]</f>
        <v>0</v>
      </c>
      <c r="AG133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33" s="190">
        <f>Table5101345411[[#This Row],[الكمية]]+Table5101345411[[#This Row],[عدد الإضافات]]-Table5101345411[[#This Row],[العدد]]</f>
        <v>1</v>
      </c>
      <c r="AI133" s="78">
        <f>Table5101345411[[#This Row],[الإجمالي]]+Table5101345411[[#This Row],[إجمالي الإضافات]]-Table5101345411[[#This Row],[إجمالي المستبعد]]</f>
        <v>10350</v>
      </c>
      <c r="AJ133" s="120">
        <v>0.15</v>
      </c>
      <c r="AK133" s="219"/>
      <c r="AL133" s="58" t="s">
        <v>61</v>
      </c>
      <c r="AM133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1552.5</v>
      </c>
      <c r="AN133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33" s="79">
        <f>Table5101345411[[#This Row],[اهلاك المستبعد
في 2018]]+Table5101345411[[#This Row],[مجمع إهلاك المستبعد 
01-01-2018]]</f>
        <v>0</v>
      </c>
      <c r="AP133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33" s="220"/>
      <c r="AR133" s="78">
        <f>IF(OR(Table5101345411[[#This Row],[تاريخ الشراء-الاستلام]]="",Table5101345411[[#This Row],[الإجمالي]]="",Table5101345411[[#This Row],[العمر الافتراضي]]=""),"",IF(((T133+AM133)-Table5101345411[[#This Row],[مجمع إهلاك المستبعد 
بتاريخ الأستبعاد]])&lt;=0,0,((T133+AM133)-Table5101345411[[#This Row],[مجمع إهلاك المستبعد 
بتاريخ الأستبعاد]])))</f>
        <v>6309.2465753424658</v>
      </c>
      <c r="AS133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الشراء-الاستلام]]&gt;DATE(2018,12,31),0,AI133-AR133)))</f>
        <v>4040.7534246575342</v>
      </c>
    </row>
    <row r="134" spans="1:45" s="141" customFormat="1" ht="83.25" customHeight="1">
      <c r="A134" s="118">
        <f>IF(B134="","",SUBTOTAL(3,$B$6:B134))</f>
        <v>129</v>
      </c>
      <c r="B134" s="58" t="s">
        <v>202</v>
      </c>
      <c r="C134" s="59" t="s">
        <v>54</v>
      </c>
      <c r="D134" s="59" t="s">
        <v>84</v>
      </c>
      <c r="E134" s="59" t="s">
        <v>610</v>
      </c>
      <c r="F134" s="226" t="s">
        <v>617</v>
      </c>
      <c r="G134" s="226"/>
      <c r="H134" s="58"/>
      <c r="I134" s="58" t="s">
        <v>69</v>
      </c>
      <c r="J134" s="58" t="s">
        <v>64</v>
      </c>
      <c r="K134" s="58" t="s">
        <v>86</v>
      </c>
      <c r="L134" s="60">
        <v>3454</v>
      </c>
      <c r="M134" s="77">
        <v>42705</v>
      </c>
      <c r="N134" s="77"/>
      <c r="O134" s="150"/>
      <c r="P134" s="122">
        <v>1</v>
      </c>
      <c r="Q134" s="123"/>
      <c r="R134" s="130">
        <v>6578</v>
      </c>
      <c r="S134" s="130">
        <f t="shared" si="2"/>
        <v>6578</v>
      </c>
      <c r="T134" s="130">
        <v>1779.6643835616437</v>
      </c>
      <c r="U134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الشراء-الاستلام]]&lt;DATE(2018,1,1),S134-T134,0))</f>
        <v>4798.3356164383567</v>
      </c>
      <c r="V134" s="169"/>
      <c r="W134" s="116"/>
      <c r="X134" s="116"/>
      <c r="Y134" s="117">
        <f>Table5101345411[[#This Row],[عدد الإضافات]]*Table5101345411[[#This Row],[سعر الحبة المضافة]]</f>
        <v>0</v>
      </c>
      <c r="Z134" s="101"/>
      <c r="AA134" s="102"/>
      <c r="AB134" s="103"/>
      <c r="AC134" s="103"/>
      <c r="AD134" s="103"/>
      <c r="AE134" s="103"/>
      <c r="AF134" s="103">
        <f>Table5101345411[[#This Row],[العدد]]*Table5101345411[[#This Row],[قيمة الشراء]]</f>
        <v>0</v>
      </c>
      <c r="AG134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34" s="190">
        <f>Table5101345411[[#This Row],[الكمية]]+Table5101345411[[#This Row],[عدد الإضافات]]-Table5101345411[[#This Row],[العدد]]</f>
        <v>1</v>
      </c>
      <c r="AI134" s="78">
        <f>Table5101345411[[#This Row],[الإجمالي]]+Table5101345411[[#This Row],[إجمالي الإضافات]]-Table5101345411[[#This Row],[إجمالي المستبعد]]</f>
        <v>6578</v>
      </c>
      <c r="AJ134" s="120">
        <v>0.15</v>
      </c>
      <c r="AK134" s="219"/>
      <c r="AL134" s="58" t="s">
        <v>61</v>
      </c>
      <c r="AM134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986.69999999999993</v>
      </c>
      <c r="AN134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34" s="79">
        <f>Table5101345411[[#This Row],[اهلاك المستبعد
في 2018]]+Table5101345411[[#This Row],[مجمع إهلاك المستبعد 
01-01-2018]]</f>
        <v>0</v>
      </c>
      <c r="AP134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34" s="220"/>
      <c r="AR134" s="78">
        <f>IF(OR(Table5101345411[[#This Row],[تاريخ الشراء-الاستلام]]="",Table5101345411[[#This Row],[الإجمالي]]="",Table5101345411[[#This Row],[العمر الافتراضي]]=""),"",IF(((T134+AM134)-Table5101345411[[#This Row],[مجمع إهلاك المستبعد 
بتاريخ الأستبعاد]])&lt;=0,0,((T134+AM134)-Table5101345411[[#This Row],[مجمع إهلاك المستبعد 
بتاريخ الأستبعاد]])))</f>
        <v>2766.3643835616435</v>
      </c>
      <c r="AS134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الشراء-الاستلام]]&gt;DATE(2018,12,31),0,AI134-AR134)))</f>
        <v>3811.6356164383565</v>
      </c>
    </row>
    <row r="135" spans="1:45" s="141" customFormat="1" ht="83.25" customHeight="1">
      <c r="A135" s="118">
        <f>IF(B135="","",SUBTOTAL(3,$B$6:B135))</f>
        <v>130</v>
      </c>
      <c r="B135" s="58" t="s">
        <v>202</v>
      </c>
      <c r="C135" s="59" t="s">
        <v>54</v>
      </c>
      <c r="D135" s="59" t="s">
        <v>84</v>
      </c>
      <c r="E135" s="59" t="s">
        <v>610</v>
      </c>
      <c r="F135" s="226" t="s">
        <v>614</v>
      </c>
      <c r="G135" s="226"/>
      <c r="H135" s="58" t="s">
        <v>57</v>
      </c>
      <c r="I135" s="58" t="s">
        <v>69</v>
      </c>
      <c r="J135" s="58" t="s">
        <v>64</v>
      </c>
      <c r="K135" s="58" t="s">
        <v>86</v>
      </c>
      <c r="L135" s="60" t="s">
        <v>138</v>
      </c>
      <c r="M135" s="77">
        <v>42648</v>
      </c>
      <c r="N135" s="77" t="s">
        <v>65</v>
      </c>
      <c r="O135" s="150"/>
      <c r="P135" s="122">
        <v>1</v>
      </c>
      <c r="Q135" s="123">
        <v>10286</v>
      </c>
      <c r="R135" s="130">
        <v>7000</v>
      </c>
      <c r="S135" s="130">
        <f t="shared" si="2"/>
        <v>7000</v>
      </c>
      <c r="T135" s="130">
        <f>4334.24657534247/2</f>
        <v>2167.1232876712352</v>
      </c>
      <c r="U135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الشراء-الاستلام]]&lt;DATE(2018,1,1),S135-T135,0))</f>
        <v>4832.8767123287653</v>
      </c>
      <c r="V135" s="169"/>
      <c r="W135" s="116"/>
      <c r="X135" s="116"/>
      <c r="Y135" s="117">
        <f>Table5101345411[[#This Row],[عدد الإضافات]]*Table5101345411[[#This Row],[سعر الحبة المضافة]]</f>
        <v>0</v>
      </c>
      <c r="Z135" s="101"/>
      <c r="AA135" s="102"/>
      <c r="AB135" s="103"/>
      <c r="AC135" s="103"/>
      <c r="AD135" s="103"/>
      <c r="AE135" s="103"/>
      <c r="AF135" s="103">
        <f>Table5101345411[[#This Row],[العدد]]*Table5101345411[[#This Row],[قيمة الشراء]]</f>
        <v>0</v>
      </c>
      <c r="AG135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35" s="190">
        <f>Table5101345411[[#This Row],[الكمية]]+Table5101345411[[#This Row],[عدد الإضافات]]-Table5101345411[[#This Row],[العدد]]</f>
        <v>1</v>
      </c>
      <c r="AI135" s="78">
        <f>Table5101345411[[#This Row],[الإجمالي]]+Table5101345411[[#This Row],[إجمالي الإضافات]]-Table5101345411[[#This Row],[إجمالي المستبعد]]</f>
        <v>7000</v>
      </c>
      <c r="AJ135" s="120">
        <v>0.15</v>
      </c>
      <c r="AK135" s="219"/>
      <c r="AL135" s="58" t="s">
        <v>61</v>
      </c>
      <c r="AM135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1050</v>
      </c>
      <c r="AN135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35" s="79">
        <f>Table5101345411[[#This Row],[اهلاك المستبعد
في 2018]]+Table5101345411[[#This Row],[مجمع إهلاك المستبعد 
01-01-2018]]</f>
        <v>0</v>
      </c>
      <c r="AP135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35" s="220"/>
      <c r="AR135" s="78">
        <f>IF(OR(Table5101345411[[#This Row],[تاريخ الشراء-الاستلام]]="",Table5101345411[[#This Row],[الإجمالي]]="",Table5101345411[[#This Row],[العمر الافتراضي]]=""),"",IF(((T135+AM135)-Table5101345411[[#This Row],[مجمع إهلاك المستبعد 
بتاريخ الأستبعاد]])&lt;=0,0,((T135+AM135)-Table5101345411[[#This Row],[مجمع إهلاك المستبعد 
بتاريخ الأستبعاد]])))</f>
        <v>3217.1232876712352</v>
      </c>
      <c r="AS135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الشراء-الاستلام]]&gt;DATE(2018,12,31),0,AI135-AR135)))</f>
        <v>3782.8767123287648</v>
      </c>
    </row>
    <row r="136" spans="1:45" s="141" customFormat="1" ht="83.25" customHeight="1">
      <c r="A136" s="118">
        <f>IF(B136="","",SUBTOTAL(3,$B$6:B136))</f>
        <v>131</v>
      </c>
      <c r="B136" s="58" t="s">
        <v>202</v>
      </c>
      <c r="C136" s="59" t="s">
        <v>54</v>
      </c>
      <c r="D136" s="59" t="s">
        <v>84</v>
      </c>
      <c r="E136" s="59" t="s">
        <v>610</v>
      </c>
      <c r="F136" s="226" t="s">
        <v>615</v>
      </c>
      <c r="G136" s="226"/>
      <c r="H136" s="58" t="s">
        <v>57</v>
      </c>
      <c r="I136" s="58" t="s">
        <v>69</v>
      </c>
      <c r="J136" s="58" t="s">
        <v>64</v>
      </c>
      <c r="K136" s="58" t="s">
        <v>86</v>
      </c>
      <c r="L136" s="60" t="s">
        <v>140</v>
      </c>
      <c r="M136" s="77">
        <v>42648</v>
      </c>
      <c r="N136" s="77" t="s">
        <v>65</v>
      </c>
      <c r="O136" s="150"/>
      <c r="P136" s="122">
        <v>1</v>
      </c>
      <c r="Q136" s="123">
        <v>10286</v>
      </c>
      <c r="R136" s="130">
        <v>7000</v>
      </c>
      <c r="S136" s="130">
        <f t="shared" ref="S136:S199" si="3">R136*P136</f>
        <v>7000</v>
      </c>
      <c r="T136" s="130">
        <f>4334.24657534247/2</f>
        <v>2167.1232876712352</v>
      </c>
      <c r="U136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الشراء-الاستلام]]&lt;DATE(2018,1,1),S136-T136,0))</f>
        <v>4832.8767123287653</v>
      </c>
      <c r="V136" s="169"/>
      <c r="W136" s="116"/>
      <c r="X136" s="116"/>
      <c r="Y136" s="117">
        <f>Table5101345411[[#This Row],[عدد الإضافات]]*Table5101345411[[#This Row],[سعر الحبة المضافة]]</f>
        <v>0</v>
      </c>
      <c r="Z136" s="101"/>
      <c r="AA136" s="102"/>
      <c r="AB136" s="103"/>
      <c r="AC136" s="103"/>
      <c r="AD136" s="103"/>
      <c r="AE136" s="103"/>
      <c r="AF136" s="103">
        <f>Table5101345411[[#This Row],[العدد]]*Table5101345411[[#This Row],[قيمة الشراء]]</f>
        <v>0</v>
      </c>
      <c r="AG136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36" s="190">
        <f>Table5101345411[[#This Row],[الكمية]]+Table5101345411[[#This Row],[عدد الإضافات]]-Table5101345411[[#This Row],[العدد]]</f>
        <v>1</v>
      </c>
      <c r="AI136" s="78">
        <f>Table5101345411[[#This Row],[الإجمالي]]+Table5101345411[[#This Row],[إجمالي الإضافات]]-Table5101345411[[#This Row],[إجمالي المستبعد]]</f>
        <v>7000</v>
      </c>
      <c r="AJ136" s="120">
        <v>0.15</v>
      </c>
      <c r="AK136" s="219"/>
      <c r="AL136" s="58" t="s">
        <v>61</v>
      </c>
      <c r="AM136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1050</v>
      </c>
      <c r="AN136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36" s="79">
        <f>Table5101345411[[#This Row],[اهلاك المستبعد
في 2018]]+Table5101345411[[#This Row],[مجمع إهلاك المستبعد 
01-01-2018]]</f>
        <v>0</v>
      </c>
      <c r="AP136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36" s="220"/>
      <c r="AR136" s="78">
        <f>IF(OR(Table5101345411[[#This Row],[تاريخ الشراء-الاستلام]]="",Table5101345411[[#This Row],[الإجمالي]]="",Table5101345411[[#This Row],[العمر الافتراضي]]=""),"",IF(((T136+AM136)-Table5101345411[[#This Row],[مجمع إهلاك المستبعد 
بتاريخ الأستبعاد]])&lt;=0,0,((T136+AM136)-Table5101345411[[#This Row],[مجمع إهلاك المستبعد 
بتاريخ الأستبعاد]])))</f>
        <v>3217.1232876712352</v>
      </c>
      <c r="AS136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الشراء-الاستلام]]&gt;DATE(2018,12,31),0,AI136-AR136)))</f>
        <v>3782.8767123287648</v>
      </c>
    </row>
    <row r="137" spans="1:45" s="141" customFormat="1" ht="83.25" customHeight="1">
      <c r="A137" s="118">
        <f>IF(B137="","",SUBTOTAL(3,$B$6:B137))</f>
        <v>132</v>
      </c>
      <c r="B137" s="58" t="s">
        <v>203</v>
      </c>
      <c r="C137" s="59" t="s">
        <v>115</v>
      </c>
      <c r="D137" s="59" t="s">
        <v>84</v>
      </c>
      <c r="E137" s="59"/>
      <c r="F137" s="226">
        <v>0</v>
      </c>
      <c r="G137" s="226"/>
      <c r="H137" s="58"/>
      <c r="I137" s="58" t="s">
        <v>85</v>
      </c>
      <c r="J137" s="58" t="s">
        <v>64</v>
      </c>
      <c r="K137" s="58"/>
      <c r="L137" s="60" t="s">
        <v>204</v>
      </c>
      <c r="M137" s="77">
        <v>41260</v>
      </c>
      <c r="N137" s="77"/>
      <c r="O137" s="150"/>
      <c r="P137" s="122">
        <v>1</v>
      </c>
      <c r="Q137" s="123"/>
      <c r="R137" s="130">
        <v>166400</v>
      </c>
      <c r="S137" s="130">
        <f t="shared" si="3"/>
        <v>166400</v>
      </c>
      <c r="T137" s="130">
        <v>125757.36986301369</v>
      </c>
      <c r="U137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الشراء-الاستلام]]&lt;DATE(2018,1,1),S137-T137,0))</f>
        <v>40642.630136986307</v>
      </c>
      <c r="V137" s="169"/>
      <c r="W137" s="116"/>
      <c r="X137" s="116"/>
      <c r="Y137" s="117">
        <f>Table5101345411[[#This Row],[عدد الإضافات]]*Table5101345411[[#This Row],[سعر الحبة المضافة]]</f>
        <v>0</v>
      </c>
      <c r="Z137" s="101"/>
      <c r="AA137" s="102"/>
      <c r="AB137" s="103"/>
      <c r="AC137" s="103"/>
      <c r="AD137" s="103"/>
      <c r="AE137" s="103"/>
      <c r="AF137" s="103">
        <f>Table5101345411[[#This Row],[العدد]]*Table5101345411[[#This Row],[قيمة الشراء]]</f>
        <v>0</v>
      </c>
      <c r="AG137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37" s="190">
        <f>Table5101345411[[#This Row],[الكمية]]+Table5101345411[[#This Row],[عدد الإضافات]]-Table5101345411[[#This Row],[العدد]]</f>
        <v>1</v>
      </c>
      <c r="AI137" s="78">
        <f>Table5101345411[[#This Row],[الإجمالي]]+Table5101345411[[#This Row],[إجمالي الإضافات]]-Table5101345411[[#This Row],[إجمالي المستبعد]]</f>
        <v>166400</v>
      </c>
      <c r="AJ137" s="120">
        <v>0.15</v>
      </c>
      <c r="AK137" s="219"/>
      <c r="AL137" s="58" t="s">
        <v>61</v>
      </c>
      <c r="AM137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24960</v>
      </c>
      <c r="AN137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37" s="79">
        <f>Table5101345411[[#This Row],[اهلاك المستبعد
في 2018]]+Table5101345411[[#This Row],[مجمع إهلاك المستبعد 
01-01-2018]]</f>
        <v>0</v>
      </c>
      <c r="AP137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37" s="220"/>
      <c r="AR137" s="78">
        <f>IF(OR(Table5101345411[[#This Row],[تاريخ الشراء-الاستلام]]="",Table5101345411[[#This Row],[الإجمالي]]="",Table5101345411[[#This Row],[العمر الافتراضي]]=""),"",IF(((T137+AM137)-Table5101345411[[#This Row],[مجمع إهلاك المستبعد 
بتاريخ الأستبعاد]])&lt;=0,0,((T137+AM137)-Table5101345411[[#This Row],[مجمع إهلاك المستبعد 
بتاريخ الأستبعاد]])))</f>
        <v>150717.36986301368</v>
      </c>
      <c r="AS137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الشراء-الاستلام]]&gt;DATE(2018,12,31),0,AI137-AR137)))</f>
        <v>15682.630136986321</v>
      </c>
    </row>
    <row r="138" spans="1:45" s="141" customFormat="1" ht="83.25" customHeight="1">
      <c r="A138" s="118">
        <f>IF(B138="","",SUBTOTAL(3,$B$6:B138))</f>
        <v>133</v>
      </c>
      <c r="B138" s="58" t="s">
        <v>203</v>
      </c>
      <c r="C138" s="59" t="s">
        <v>115</v>
      </c>
      <c r="D138" s="59" t="s">
        <v>84</v>
      </c>
      <c r="E138" s="59"/>
      <c r="F138" s="226">
        <v>0</v>
      </c>
      <c r="G138" s="226"/>
      <c r="H138" s="58"/>
      <c r="I138" s="58" t="s">
        <v>85</v>
      </c>
      <c r="J138" s="58" t="s">
        <v>64</v>
      </c>
      <c r="K138" s="58"/>
      <c r="L138" s="60" t="s">
        <v>204</v>
      </c>
      <c r="M138" s="77">
        <v>41412</v>
      </c>
      <c r="N138" s="77"/>
      <c r="O138" s="150"/>
      <c r="P138" s="122">
        <v>1</v>
      </c>
      <c r="Q138" s="123"/>
      <c r="R138" s="130">
        <v>87000</v>
      </c>
      <c r="S138" s="130">
        <f t="shared" si="3"/>
        <v>87000</v>
      </c>
      <c r="T138" s="130">
        <v>60316.027397260274</v>
      </c>
      <c r="U138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الشراء-الاستلام]]&lt;DATE(2018,1,1),S138-T138,0))</f>
        <v>26683.972602739726</v>
      </c>
      <c r="V138" s="169"/>
      <c r="W138" s="116"/>
      <c r="X138" s="116"/>
      <c r="Y138" s="117">
        <f>Table5101345411[[#This Row],[عدد الإضافات]]*Table5101345411[[#This Row],[سعر الحبة المضافة]]</f>
        <v>0</v>
      </c>
      <c r="Z138" s="101"/>
      <c r="AA138" s="102"/>
      <c r="AB138" s="103"/>
      <c r="AC138" s="103"/>
      <c r="AD138" s="103"/>
      <c r="AE138" s="103"/>
      <c r="AF138" s="103">
        <f>Table5101345411[[#This Row],[العدد]]*Table5101345411[[#This Row],[قيمة الشراء]]</f>
        <v>0</v>
      </c>
      <c r="AG138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38" s="190">
        <f>Table5101345411[[#This Row],[الكمية]]+Table5101345411[[#This Row],[عدد الإضافات]]-Table5101345411[[#This Row],[العدد]]</f>
        <v>1</v>
      </c>
      <c r="AI138" s="78">
        <f>Table5101345411[[#This Row],[الإجمالي]]+Table5101345411[[#This Row],[إجمالي الإضافات]]-Table5101345411[[#This Row],[إجمالي المستبعد]]</f>
        <v>87000</v>
      </c>
      <c r="AJ138" s="120">
        <v>0.15</v>
      </c>
      <c r="AK138" s="219"/>
      <c r="AL138" s="58" t="s">
        <v>61</v>
      </c>
      <c r="AM138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13050</v>
      </c>
      <c r="AN138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38" s="79">
        <f>Table5101345411[[#This Row],[اهلاك المستبعد
في 2018]]+Table5101345411[[#This Row],[مجمع إهلاك المستبعد 
01-01-2018]]</f>
        <v>0</v>
      </c>
      <c r="AP138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38" s="220"/>
      <c r="AR138" s="78">
        <f>IF(OR(Table5101345411[[#This Row],[تاريخ الشراء-الاستلام]]="",Table5101345411[[#This Row],[الإجمالي]]="",Table5101345411[[#This Row],[العمر الافتراضي]]=""),"",IF(((T138+AM138)-Table5101345411[[#This Row],[مجمع إهلاك المستبعد 
بتاريخ الأستبعاد]])&lt;=0,0,((T138+AM138)-Table5101345411[[#This Row],[مجمع إهلاك المستبعد 
بتاريخ الأستبعاد]])))</f>
        <v>73366.027397260274</v>
      </c>
      <c r="AS138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الشراء-الاستلام]]&gt;DATE(2018,12,31),0,AI138-AR138)))</f>
        <v>13633.972602739726</v>
      </c>
    </row>
    <row r="139" spans="1:45" s="141" customFormat="1" ht="83.25" customHeight="1">
      <c r="A139" s="118">
        <f>IF(B139="","",SUBTOTAL(3,$B$6:B139))</f>
        <v>134</v>
      </c>
      <c r="B139" s="58" t="s">
        <v>604</v>
      </c>
      <c r="C139" s="59" t="s">
        <v>115</v>
      </c>
      <c r="D139" s="59" t="s">
        <v>84</v>
      </c>
      <c r="E139" s="59" t="s">
        <v>609</v>
      </c>
      <c r="F139" s="226" t="s">
        <v>605</v>
      </c>
      <c r="G139" s="226"/>
      <c r="H139" s="58" t="s">
        <v>57</v>
      </c>
      <c r="I139" s="58" t="s">
        <v>619</v>
      </c>
      <c r="J139" s="58" t="s">
        <v>64</v>
      </c>
      <c r="K139" s="58"/>
      <c r="L139" s="60" t="s">
        <v>205</v>
      </c>
      <c r="M139" s="77">
        <v>41260</v>
      </c>
      <c r="N139" s="77"/>
      <c r="O139" s="150"/>
      <c r="P139" s="122">
        <v>1</v>
      </c>
      <c r="Q139" s="123"/>
      <c r="R139" s="130">
        <v>166400</v>
      </c>
      <c r="S139" s="130">
        <f t="shared" si="3"/>
        <v>166400</v>
      </c>
      <c r="T139" s="130">
        <v>125757.36986301369</v>
      </c>
      <c r="U139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الشراء-الاستلام]]&lt;DATE(2018,1,1),S139-T139,0))</f>
        <v>40642.630136986307</v>
      </c>
      <c r="V139" s="169"/>
      <c r="W139" s="116"/>
      <c r="X139" s="116"/>
      <c r="Y139" s="117">
        <f>Table5101345411[[#This Row],[عدد الإضافات]]*Table5101345411[[#This Row],[سعر الحبة المضافة]]</f>
        <v>0</v>
      </c>
      <c r="Z139" s="101"/>
      <c r="AA139" s="102"/>
      <c r="AB139" s="103"/>
      <c r="AC139" s="103"/>
      <c r="AD139" s="103"/>
      <c r="AE139" s="103"/>
      <c r="AF139" s="103">
        <f>Table5101345411[[#This Row],[العدد]]*Table5101345411[[#This Row],[قيمة الشراء]]</f>
        <v>0</v>
      </c>
      <c r="AG139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39" s="190">
        <f>Table5101345411[[#This Row],[الكمية]]+Table5101345411[[#This Row],[عدد الإضافات]]-Table5101345411[[#This Row],[العدد]]</f>
        <v>1</v>
      </c>
      <c r="AI139" s="78">
        <f>Table5101345411[[#This Row],[الإجمالي]]+Table5101345411[[#This Row],[إجمالي الإضافات]]-Table5101345411[[#This Row],[إجمالي المستبعد]]</f>
        <v>166400</v>
      </c>
      <c r="AJ139" s="120">
        <v>0.15</v>
      </c>
      <c r="AK139" s="219"/>
      <c r="AL139" s="58" t="s">
        <v>61</v>
      </c>
      <c r="AM139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24960</v>
      </c>
      <c r="AN139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39" s="79">
        <f>Table5101345411[[#This Row],[اهلاك المستبعد
في 2018]]+Table5101345411[[#This Row],[مجمع إهلاك المستبعد 
01-01-2018]]</f>
        <v>0</v>
      </c>
      <c r="AP139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39" s="220"/>
      <c r="AR139" s="78">
        <f>IF(OR(Table5101345411[[#This Row],[تاريخ الشراء-الاستلام]]="",Table5101345411[[#This Row],[الإجمالي]]="",Table5101345411[[#This Row],[العمر الافتراضي]]=""),"",IF(((T139+AM139)-Table5101345411[[#This Row],[مجمع إهلاك المستبعد 
بتاريخ الأستبعاد]])&lt;=0,0,((T139+AM139)-Table5101345411[[#This Row],[مجمع إهلاك المستبعد 
بتاريخ الأستبعاد]])))</f>
        <v>150717.36986301368</v>
      </c>
      <c r="AS139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الشراء-الاستلام]]&gt;DATE(2018,12,31),0,AI139-AR139)))</f>
        <v>15682.630136986321</v>
      </c>
    </row>
    <row r="140" spans="1:45" s="141" customFormat="1" ht="83.25" customHeight="1">
      <c r="A140" s="118">
        <f>IF(B140="","",SUBTOTAL(3,$B$6:B140))</f>
        <v>135</v>
      </c>
      <c r="B140" s="58" t="s">
        <v>585</v>
      </c>
      <c r="C140" s="59" t="s">
        <v>115</v>
      </c>
      <c r="D140" s="59" t="s">
        <v>84</v>
      </c>
      <c r="E140" s="59" t="s">
        <v>207</v>
      </c>
      <c r="F140" s="226" t="s">
        <v>603</v>
      </c>
      <c r="G140" s="226"/>
      <c r="H140" s="58" t="s">
        <v>57</v>
      </c>
      <c r="I140" s="58" t="s">
        <v>85</v>
      </c>
      <c r="J140" s="58" t="s">
        <v>64</v>
      </c>
      <c r="K140" s="58"/>
      <c r="L140" s="60" t="s">
        <v>586</v>
      </c>
      <c r="M140" s="77">
        <v>43466</v>
      </c>
      <c r="N140" s="77"/>
      <c r="O140" s="150"/>
      <c r="P140" s="122">
        <v>1</v>
      </c>
      <c r="Q140" s="123"/>
      <c r="R140" s="130">
        <v>0</v>
      </c>
      <c r="S140" s="130">
        <f t="shared" si="3"/>
        <v>0</v>
      </c>
      <c r="T140" s="130">
        <v>0</v>
      </c>
      <c r="U140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الشراء-الاستلام]]&lt;DATE(2018,1,1),S140-T140,0))</f>
        <v>0</v>
      </c>
      <c r="V140" s="169"/>
      <c r="W140" s="116"/>
      <c r="X140" s="116"/>
      <c r="Y140" s="117">
        <f>Table5101345411[[#This Row],[عدد الإضافات]]*Table5101345411[[#This Row],[سعر الحبة المضافة]]</f>
        <v>0</v>
      </c>
      <c r="Z140" s="101"/>
      <c r="AA140" s="102"/>
      <c r="AB140" s="103"/>
      <c r="AC140" s="103"/>
      <c r="AD140" s="103"/>
      <c r="AE140" s="103"/>
      <c r="AF140" s="103">
        <f>Table5101345411[[#This Row],[العدد]]*Table5101345411[[#This Row],[قيمة الشراء]]</f>
        <v>0</v>
      </c>
      <c r="AG140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40" s="190">
        <f>Table5101345411[[#This Row],[الكمية]]+Table5101345411[[#This Row],[عدد الإضافات]]-Table5101345411[[#This Row],[العدد]]</f>
        <v>1</v>
      </c>
      <c r="AI140" s="78">
        <f>Table5101345411[[#This Row],[الإجمالي]]+Table5101345411[[#This Row],[إجمالي الإضافات]]-Table5101345411[[#This Row],[إجمالي المستبعد]]</f>
        <v>0</v>
      </c>
      <c r="AJ140" s="120">
        <v>0.15</v>
      </c>
      <c r="AK140" s="219"/>
      <c r="AL140" s="58"/>
      <c r="AM140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140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40" s="79">
        <f>Table5101345411[[#This Row],[اهلاك المستبعد
في 2018]]+Table5101345411[[#This Row],[مجمع إهلاك المستبعد 
01-01-2018]]</f>
        <v>0</v>
      </c>
      <c r="AP140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40" s="220"/>
      <c r="AR140" s="78">
        <f>IF(OR(Table5101345411[[#This Row],[تاريخ الشراء-الاستلام]]="",Table5101345411[[#This Row],[الإجمالي]]="",Table5101345411[[#This Row],[العمر الافتراضي]]=""),"",IF(((T140+AM140)-Table5101345411[[#This Row],[مجمع إهلاك المستبعد 
بتاريخ الأستبعاد]])&lt;=0,0,((T140+AM140)-Table5101345411[[#This Row],[مجمع إهلاك المستبعد 
بتاريخ الأستبعاد]])))</f>
        <v>0</v>
      </c>
      <c r="AS140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الشراء-الاستلام]]&gt;DATE(2018,12,31),0,AI140-AR140)))</f>
        <v>0</v>
      </c>
    </row>
    <row r="141" spans="1:45" s="141" customFormat="1" ht="83.25" customHeight="1">
      <c r="A141" s="118">
        <f>IF(B141="","",SUBTOTAL(3,$B$6:B141))</f>
        <v>136</v>
      </c>
      <c r="B141" s="58" t="s">
        <v>604</v>
      </c>
      <c r="C141" s="59" t="s">
        <v>115</v>
      </c>
      <c r="D141" s="59" t="s">
        <v>84</v>
      </c>
      <c r="E141" s="59" t="s">
        <v>609</v>
      </c>
      <c r="F141" s="226" t="s">
        <v>605</v>
      </c>
      <c r="G141" s="226"/>
      <c r="H141" s="58" t="s">
        <v>57</v>
      </c>
      <c r="I141" s="58" t="s">
        <v>619</v>
      </c>
      <c r="J141" s="58" t="s">
        <v>64</v>
      </c>
      <c r="K141" s="58"/>
      <c r="L141" s="60" t="s">
        <v>205</v>
      </c>
      <c r="M141" s="77">
        <v>41412</v>
      </c>
      <c r="N141" s="77"/>
      <c r="O141" s="150"/>
      <c r="P141" s="122">
        <v>1</v>
      </c>
      <c r="Q141" s="123"/>
      <c r="R141" s="130">
        <v>55000</v>
      </c>
      <c r="S141" s="130">
        <f t="shared" si="3"/>
        <v>55000</v>
      </c>
      <c r="T141" s="130">
        <v>38130.821917808222</v>
      </c>
      <c r="U141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الشراء-الاستلام]]&lt;DATE(2018,1,1),S141-T141,0))</f>
        <v>16869.178082191778</v>
      </c>
      <c r="V141" s="169"/>
      <c r="W141" s="116"/>
      <c r="X141" s="116"/>
      <c r="Y141" s="117">
        <f>Table5101345411[[#This Row],[عدد الإضافات]]*Table5101345411[[#This Row],[سعر الحبة المضافة]]</f>
        <v>0</v>
      </c>
      <c r="Z141" s="101"/>
      <c r="AA141" s="102"/>
      <c r="AB141" s="103"/>
      <c r="AC141" s="103"/>
      <c r="AD141" s="103"/>
      <c r="AE141" s="103"/>
      <c r="AF141" s="103">
        <f>Table5101345411[[#This Row],[العدد]]*Table5101345411[[#This Row],[قيمة الشراء]]</f>
        <v>0</v>
      </c>
      <c r="AG141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41" s="190">
        <f>Table5101345411[[#This Row],[الكمية]]+Table5101345411[[#This Row],[عدد الإضافات]]-Table5101345411[[#This Row],[العدد]]</f>
        <v>1</v>
      </c>
      <c r="AI141" s="78">
        <f>Table5101345411[[#This Row],[الإجمالي]]+Table5101345411[[#This Row],[إجمالي الإضافات]]-Table5101345411[[#This Row],[إجمالي المستبعد]]</f>
        <v>55000</v>
      </c>
      <c r="AJ141" s="120">
        <v>0.15</v>
      </c>
      <c r="AK141" s="219"/>
      <c r="AL141" s="58" t="s">
        <v>61</v>
      </c>
      <c r="AM141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8250</v>
      </c>
      <c r="AN141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41" s="79">
        <f>Table5101345411[[#This Row],[اهلاك المستبعد
في 2018]]+Table5101345411[[#This Row],[مجمع إهلاك المستبعد 
01-01-2018]]</f>
        <v>0</v>
      </c>
      <c r="AP141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41" s="220"/>
      <c r="AR141" s="78">
        <f>IF(OR(Table5101345411[[#This Row],[تاريخ الشراء-الاستلام]]="",Table5101345411[[#This Row],[الإجمالي]]="",Table5101345411[[#This Row],[العمر الافتراضي]]=""),"",IF(((T141+AM141)-Table5101345411[[#This Row],[مجمع إهلاك المستبعد 
بتاريخ الأستبعاد]])&lt;=0,0,((T141+AM141)-Table5101345411[[#This Row],[مجمع إهلاك المستبعد 
بتاريخ الأستبعاد]])))</f>
        <v>46380.821917808222</v>
      </c>
      <c r="AS141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الشراء-الاستلام]]&gt;DATE(2018,12,31),0,AI141-AR141)))</f>
        <v>8619.1780821917782</v>
      </c>
    </row>
    <row r="142" spans="1:45" s="141" customFormat="1" ht="83.25" customHeight="1">
      <c r="A142" s="118">
        <f>IF(B142="","",SUBTOTAL(3,$B$6:B142))</f>
        <v>137</v>
      </c>
      <c r="B142" s="58" t="s">
        <v>206</v>
      </c>
      <c r="C142" s="59" t="s">
        <v>54</v>
      </c>
      <c r="D142" s="59" t="s">
        <v>84</v>
      </c>
      <c r="E142" s="59" t="s">
        <v>84</v>
      </c>
      <c r="F142" s="226" t="s">
        <v>84</v>
      </c>
      <c r="G142" s="226"/>
      <c r="H142" s="58"/>
      <c r="I142" s="58" t="s">
        <v>85</v>
      </c>
      <c r="J142" s="58" t="s">
        <v>64</v>
      </c>
      <c r="K142" s="58" t="s">
        <v>86</v>
      </c>
      <c r="L142" s="60"/>
      <c r="M142" s="77">
        <v>42714</v>
      </c>
      <c r="N142" s="77"/>
      <c r="O142" s="150"/>
      <c r="P142" s="122">
        <v>1</v>
      </c>
      <c r="Q142" s="123">
        <v>10269</v>
      </c>
      <c r="R142" s="130">
        <v>9500</v>
      </c>
      <c r="S142" s="130">
        <f t="shared" si="3"/>
        <v>9500</v>
      </c>
      <c r="T142" s="130">
        <v>2511.6438356164385</v>
      </c>
      <c r="U142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الشراء-الاستلام]]&lt;DATE(2018,1,1),S142-T142,0))</f>
        <v>6988.3561643835619</v>
      </c>
      <c r="V142" s="169"/>
      <c r="W142" s="116"/>
      <c r="X142" s="116"/>
      <c r="Y142" s="117">
        <f>Table5101345411[[#This Row],[عدد الإضافات]]*Table5101345411[[#This Row],[سعر الحبة المضافة]]</f>
        <v>0</v>
      </c>
      <c r="Z142" s="101"/>
      <c r="AA142" s="102"/>
      <c r="AB142" s="103"/>
      <c r="AC142" s="103"/>
      <c r="AD142" s="103"/>
      <c r="AE142" s="103"/>
      <c r="AF142" s="103">
        <f>Table5101345411[[#This Row],[العدد]]*Table5101345411[[#This Row],[قيمة الشراء]]</f>
        <v>0</v>
      </c>
      <c r="AG142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42" s="190">
        <f>Table5101345411[[#This Row],[الكمية]]+Table5101345411[[#This Row],[عدد الإضافات]]-Table5101345411[[#This Row],[العدد]]</f>
        <v>1</v>
      </c>
      <c r="AI142" s="78">
        <f>Table5101345411[[#This Row],[الإجمالي]]+Table5101345411[[#This Row],[إجمالي الإضافات]]-Table5101345411[[#This Row],[إجمالي المستبعد]]</f>
        <v>9500</v>
      </c>
      <c r="AJ142" s="120">
        <v>0.15</v>
      </c>
      <c r="AK142" s="219"/>
      <c r="AL142" s="58" t="s">
        <v>61</v>
      </c>
      <c r="AM142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1425</v>
      </c>
      <c r="AN142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42" s="79">
        <f>Table5101345411[[#This Row],[اهلاك المستبعد
في 2018]]+Table5101345411[[#This Row],[مجمع إهلاك المستبعد 
01-01-2018]]</f>
        <v>0</v>
      </c>
      <c r="AP142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42" s="220"/>
      <c r="AR142" s="78">
        <f>IF(OR(Table5101345411[[#This Row],[تاريخ الشراء-الاستلام]]="",Table5101345411[[#This Row],[الإجمالي]]="",Table5101345411[[#This Row],[العمر الافتراضي]]=""),"",IF(((T142+AM142)-Table5101345411[[#This Row],[مجمع إهلاك المستبعد 
بتاريخ الأستبعاد]])&lt;=0,0,((T142+AM142)-Table5101345411[[#This Row],[مجمع إهلاك المستبعد 
بتاريخ الأستبعاد]])))</f>
        <v>3936.6438356164385</v>
      </c>
      <c r="AS142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الشراء-الاستلام]]&gt;DATE(2018,12,31),0,AI142-AR142)))</f>
        <v>5563.3561643835619</v>
      </c>
    </row>
    <row r="143" spans="1:45" s="141" customFormat="1" ht="83.25" customHeight="1">
      <c r="A143" s="118">
        <f>IF(B143="","",SUBTOTAL(3,$B$6:B143))</f>
        <v>138</v>
      </c>
      <c r="B143" s="58" t="s">
        <v>207</v>
      </c>
      <c r="C143" s="59" t="s">
        <v>54</v>
      </c>
      <c r="D143" s="59" t="s">
        <v>84</v>
      </c>
      <c r="E143" s="59" t="s">
        <v>84</v>
      </c>
      <c r="F143" s="226" t="s">
        <v>84</v>
      </c>
      <c r="G143" s="226"/>
      <c r="H143" s="58"/>
      <c r="I143" s="58" t="s">
        <v>85</v>
      </c>
      <c r="J143" s="58" t="s">
        <v>64</v>
      </c>
      <c r="K143" s="58" t="s">
        <v>86</v>
      </c>
      <c r="L143" s="60"/>
      <c r="M143" s="77">
        <v>42716</v>
      </c>
      <c r="N143" s="77" t="s">
        <v>65</v>
      </c>
      <c r="O143" s="150"/>
      <c r="P143" s="122">
        <v>6</v>
      </c>
      <c r="Q143" s="123">
        <v>10249</v>
      </c>
      <c r="R143" s="130">
        <v>90000</v>
      </c>
      <c r="S143" s="130">
        <f t="shared" si="3"/>
        <v>540000</v>
      </c>
      <c r="T143" s="130">
        <v>142027.39726027398</v>
      </c>
      <c r="U143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الشراء-الاستلام]]&lt;DATE(2018,1,1),S143-T143,0))</f>
        <v>397972.60273972602</v>
      </c>
      <c r="V143" s="169"/>
      <c r="W143" s="116"/>
      <c r="X143" s="116"/>
      <c r="Y143" s="117">
        <f>Table5101345411[[#This Row],[عدد الإضافات]]*Table5101345411[[#This Row],[سعر الحبة المضافة]]</f>
        <v>0</v>
      </c>
      <c r="Z143" s="101"/>
      <c r="AA143" s="102"/>
      <c r="AB143" s="103"/>
      <c r="AC143" s="103"/>
      <c r="AD143" s="103"/>
      <c r="AE143" s="103"/>
      <c r="AF143" s="103">
        <f>Table5101345411[[#This Row],[العدد]]*Table5101345411[[#This Row],[قيمة الشراء]]</f>
        <v>0</v>
      </c>
      <c r="AG143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43" s="190">
        <f>Table5101345411[[#This Row],[الكمية]]+Table5101345411[[#This Row],[عدد الإضافات]]-Table5101345411[[#This Row],[العدد]]</f>
        <v>6</v>
      </c>
      <c r="AI143" s="78">
        <f>Table5101345411[[#This Row],[الإجمالي]]+Table5101345411[[#This Row],[إجمالي الإضافات]]-Table5101345411[[#This Row],[إجمالي المستبعد]]</f>
        <v>540000</v>
      </c>
      <c r="AJ143" s="120">
        <v>0.15</v>
      </c>
      <c r="AK143" s="219"/>
      <c r="AL143" s="58" t="s">
        <v>61</v>
      </c>
      <c r="AM143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81000</v>
      </c>
      <c r="AN143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43" s="79">
        <f>Table5101345411[[#This Row],[اهلاك المستبعد
في 2018]]+Table5101345411[[#This Row],[مجمع إهلاك المستبعد 
01-01-2018]]</f>
        <v>0</v>
      </c>
      <c r="AP143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43" s="220"/>
      <c r="AR143" s="78">
        <f>IF(OR(Table5101345411[[#This Row],[تاريخ الشراء-الاستلام]]="",Table5101345411[[#This Row],[الإجمالي]]="",Table5101345411[[#This Row],[العمر الافتراضي]]=""),"",IF(((T143+AM143)-Table5101345411[[#This Row],[مجمع إهلاك المستبعد 
بتاريخ الأستبعاد]])&lt;=0,0,((T143+AM143)-Table5101345411[[#This Row],[مجمع إهلاك المستبعد 
بتاريخ الأستبعاد]])))</f>
        <v>223027.39726027398</v>
      </c>
      <c r="AS143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الشراء-الاستلام]]&gt;DATE(2018,12,31),0,AI143-AR143)))</f>
        <v>316972.60273972602</v>
      </c>
    </row>
    <row r="144" spans="1:45" s="141" customFormat="1" ht="83.25" customHeight="1">
      <c r="A144" s="118">
        <f>IF(B144="","",SUBTOTAL(3,$B$6:B144))</f>
        <v>139</v>
      </c>
      <c r="B144" s="58" t="s">
        <v>207</v>
      </c>
      <c r="C144" s="59" t="s">
        <v>54</v>
      </c>
      <c r="D144" s="59" t="s">
        <v>84</v>
      </c>
      <c r="E144" s="59" t="s">
        <v>84</v>
      </c>
      <c r="F144" s="226" t="s">
        <v>84</v>
      </c>
      <c r="G144" s="226"/>
      <c r="H144" s="58"/>
      <c r="I144" s="58"/>
      <c r="J144" s="58" t="s">
        <v>64</v>
      </c>
      <c r="K144" s="58" t="s">
        <v>86</v>
      </c>
      <c r="L144" s="60" t="s">
        <v>208</v>
      </c>
      <c r="M144" s="77">
        <v>39448</v>
      </c>
      <c r="N144" s="77" t="s">
        <v>115</v>
      </c>
      <c r="O144" s="150"/>
      <c r="P144" s="122">
        <v>1</v>
      </c>
      <c r="Q144" s="123"/>
      <c r="R144" s="130">
        <v>285000</v>
      </c>
      <c r="S144" s="130">
        <f t="shared" si="3"/>
        <v>285000</v>
      </c>
      <c r="T144" s="130">
        <v>285000</v>
      </c>
      <c r="U144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الشراء-الاستلام]]&lt;DATE(2018,1,1),S144-T144,0))</f>
        <v>0</v>
      </c>
      <c r="V144" s="169"/>
      <c r="W144" s="116"/>
      <c r="X144" s="116"/>
      <c r="Y144" s="117">
        <f>Table5101345411[[#This Row],[عدد الإضافات]]*Table5101345411[[#This Row],[سعر الحبة المضافة]]</f>
        <v>0</v>
      </c>
      <c r="Z144" s="101"/>
      <c r="AA144" s="102"/>
      <c r="AB144" s="103"/>
      <c r="AC144" s="103"/>
      <c r="AD144" s="103"/>
      <c r="AE144" s="103"/>
      <c r="AF144" s="103">
        <f>Table5101345411[[#This Row],[العدد]]*Table5101345411[[#This Row],[قيمة الشراء]]</f>
        <v>0</v>
      </c>
      <c r="AG144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44" s="190">
        <f>Table5101345411[[#This Row],[الكمية]]+Table5101345411[[#This Row],[عدد الإضافات]]-Table5101345411[[#This Row],[العدد]]</f>
        <v>1</v>
      </c>
      <c r="AI144" s="78">
        <f>Table5101345411[[#This Row],[الإجمالي]]+Table5101345411[[#This Row],[إجمالي الإضافات]]-Table5101345411[[#This Row],[إجمالي المستبعد]]</f>
        <v>285000</v>
      </c>
      <c r="AJ144" s="120">
        <v>0.15</v>
      </c>
      <c r="AK144" s="219"/>
      <c r="AL144" s="58" t="s">
        <v>61</v>
      </c>
      <c r="AM144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144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44" s="79">
        <f>Table5101345411[[#This Row],[اهلاك المستبعد
في 2018]]+Table5101345411[[#This Row],[مجمع إهلاك المستبعد 
01-01-2018]]</f>
        <v>0</v>
      </c>
      <c r="AP144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44" s="220"/>
      <c r="AR144" s="78">
        <f>IF(OR(Table5101345411[[#This Row],[تاريخ الشراء-الاستلام]]="",Table5101345411[[#This Row],[الإجمالي]]="",Table5101345411[[#This Row],[العمر الافتراضي]]=""),"",IF(((T144+AM144)-Table5101345411[[#This Row],[مجمع إهلاك المستبعد 
بتاريخ الأستبعاد]])&lt;=0,0,((T144+AM144)-Table5101345411[[#This Row],[مجمع إهلاك المستبعد 
بتاريخ الأستبعاد]])))</f>
        <v>285000</v>
      </c>
      <c r="AS144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الشراء-الاستلام]]&gt;DATE(2018,12,31),0,AI144-AR144)))</f>
        <v>0</v>
      </c>
    </row>
    <row r="145" spans="1:45" s="141" customFormat="1" ht="83.25" customHeight="1">
      <c r="A145" s="118">
        <f>IF(B145="","",SUBTOTAL(3,$B$6:B145))</f>
        <v>140</v>
      </c>
      <c r="B145" s="58" t="s">
        <v>207</v>
      </c>
      <c r="C145" s="59" t="s">
        <v>54</v>
      </c>
      <c r="D145" s="59" t="s">
        <v>84</v>
      </c>
      <c r="E145" s="59" t="s">
        <v>84</v>
      </c>
      <c r="F145" s="226" t="s">
        <v>84</v>
      </c>
      <c r="G145" s="226"/>
      <c r="H145" s="58"/>
      <c r="I145" s="58"/>
      <c r="J145" s="58" t="s">
        <v>64</v>
      </c>
      <c r="K145" s="58" t="s">
        <v>86</v>
      </c>
      <c r="L145" s="60" t="s">
        <v>209</v>
      </c>
      <c r="M145" s="77">
        <v>39814</v>
      </c>
      <c r="N145" s="77" t="s">
        <v>115</v>
      </c>
      <c r="O145" s="150"/>
      <c r="P145" s="122">
        <v>1</v>
      </c>
      <c r="Q145" s="123"/>
      <c r="R145" s="130">
        <v>132494.99999899999</v>
      </c>
      <c r="S145" s="130">
        <f t="shared" si="3"/>
        <v>132494.99999899999</v>
      </c>
      <c r="T145" s="130">
        <v>132494.99999899999</v>
      </c>
      <c r="U145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الشراء-الاستلام]]&lt;DATE(2018,1,1),S145-T145,0))</f>
        <v>0</v>
      </c>
      <c r="V145" s="169"/>
      <c r="W145" s="116"/>
      <c r="X145" s="116"/>
      <c r="Y145" s="117">
        <f>Table5101345411[[#This Row],[عدد الإضافات]]*Table5101345411[[#This Row],[سعر الحبة المضافة]]</f>
        <v>0</v>
      </c>
      <c r="Z145" s="101"/>
      <c r="AA145" s="102"/>
      <c r="AB145" s="103"/>
      <c r="AC145" s="103"/>
      <c r="AD145" s="103"/>
      <c r="AE145" s="103"/>
      <c r="AF145" s="103">
        <f>Table5101345411[[#This Row],[العدد]]*Table5101345411[[#This Row],[قيمة الشراء]]</f>
        <v>0</v>
      </c>
      <c r="AG145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45" s="190">
        <f>Table5101345411[[#This Row],[الكمية]]+Table5101345411[[#This Row],[عدد الإضافات]]-Table5101345411[[#This Row],[العدد]]</f>
        <v>1</v>
      </c>
      <c r="AI145" s="78">
        <f>Table5101345411[[#This Row],[الإجمالي]]+Table5101345411[[#This Row],[إجمالي الإضافات]]-Table5101345411[[#This Row],[إجمالي المستبعد]]</f>
        <v>132494.99999899999</v>
      </c>
      <c r="AJ145" s="120">
        <v>0.15</v>
      </c>
      <c r="AK145" s="219"/>
      <c r="AL145" s="58" t="s">
        <v>61</v>
      </c>
      <c r="AM145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145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45" s="79">
        <f>Table5101345411[[#This Row],[اهلاك المستبعد
في 2018]]+Table5101345411[[#This Row],[مجمع إهلاك المستبعد 
01-01-2018]]</f>
        <v>0</v>
      </c>
      <c r="AP145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45" s="220"/>
      <c r="AR145" s="78">
        <f>IF(OR(Table5101345411[[#This Row],[تاريخ الشراء-الاستلام]]="",Table5101345411[[#This Row],[الإجمالي]]="",Table5101345411[[#This Row],[العمر الافتراضي]]=""),"",IF(((T145+AM145)-Table5101345411[[#This Row],[مجمع إهلاك المستبعد 
بتاريخ الأستبعاد]])&lt;=0,0,((T145+AM145)-Table5101345411[[#This Row],[مجمع إهلاك المستبعد 
بتاريخ الأستبعاد]])))</f>
        <v>132494.99999899999</v>
      </c>
      <c r="AS145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الشراء-الاستلام]]&gt;DATE(2018,12,31),0,AI145-AR145)))</f>
        <v>0</v>
      </c>
    </row>
    <row r="146" spans="1:45" s="141" customFormat="1" ht="83.25" customHeight="1">
      <c r="A146" s="118">
        <f>IF(B146="","",SUBTOTAL(3,$B$6:B146))</f>
        <v>141</v>
      </c>
      <c r="B146" s="58" t="s">
        <v>210</v>
      </c>
      <c r="C146" s="59" t="s">
        <v>54</v>
      </c>
      <c r="D146" s="59" t="s">
        <v>84</v>
      </c>
      <c r="E146" s="59" t="s">
        <v>84</v>
      </c>
      <c r="F146" s="226" t="s">
        <v>84</v>
      </c>
      <c r="G146" s="226"/>
      <c r="H146" s="58"/>
      <c r="I146" s="58"/>
      <c r="J146" s="58" t="s">
        <v>64</v>
      </c>
      <c r="K146" s="58" t="s">
        <v>86</v>
      </c>
      <c r="L146" s="60" t="s">
        <v>211</v>
      </c>
      <c r="M146" s="77">
        <v>39692</v>
      </c>
      <c r="N146" s="77" t="s">
        <v>115</v>
      </c>
      <c r="O146" s="150"/>
      <c r="P146" s="122">
        <v>1</v>
      </c>
      <c r="Q146" s="123"/>
      <c r="R146" s="130">
        <v>132493.99999899999</v>
      </c>
      <c r="S146" s="130">
        <f t="shared" si="3"/>
        <v>132493.99999899999</v>
      </c>
      <c r="T146" s="130">
        <v>132493.99999899999</v>
      </c>
      <c r="U146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الشراء-الاستلام]]&lt;DATE(2018,1,1),S146-T146,0))</f>
        <v>0</v>
      </c>
      <c r="V146" s="169"/>
      <c r="W146" s="116"/>
      <c r="X146" s="116"/>
      <c r="Y146" s="117">
        <f>Table5101345411[[#This Row],[عدد الإضافات]]*Table5101345411[[#This Row],[سعر الحبة المضافة]]</f>
        <v>0</v>
      </c>
      <c r="Z146" s="101"/>
      <c r="AA146" s="102"/>
      <c r="AB146" s="103"/>
      <c r="AC146" s="103"/>
      <c r="AD146" s="103"/>
      <c r="AE146" s="103"/>
      <c r="AF146" s="103">
        <f>Table5101345411[[#This Row],[العدد]]*Table5101345411[[#This Row],[قيمة الشراء]]</f>
        <v>0</v>
      </c>
      <c r="AG146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46" s="190">
        <f>Table5101345411[[#This Row],[الكمية]]+Table5101345411[[#This Row],[عدد الإضافات]]-Table5101345411[[#This Row],[العدد]]</f>
        <v>1</v>
      </c>
      <c r="AI146" s="78">
        <f>Table5101345411[[#This Row],[الإجمالي]]+Table5101345411[[#This Row],[إجمالي الإضافات]]-Table5101345411[[#This Row],[إجمالي المستبعد]]</f>
        <v>132493.99999899999</v>
      </c>
      <c r="AJ146" s="120">
        <v>0.15</v>
      </c>
      <c r="AK146" s="219"/>
      <c r="AL146" s="58" t="s">
        <v>61</v>
      </c>
      <c r="AM146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146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46" s="79">
        <f>Table5101345411[[#This Row],[اهلاك المستبعد
في 2018]]+Table5101345411[[#This Row],[مجمع إهلاك المستبعد 
01-01-2018]]</f>
        <v>0</v>
      </c>
      <c r="AP146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46" s="220"/>
      <c r="AR146" s="78">
        <f>IF(OR(Table5101345411[[#This Row],[تاريخ الشراء-الاستلام]]="",Table5101345411[[#This Row],[الإجمالي]]="",Table5101345411[[#This Row],[العمر الافتراضي]]=""),"",IF(((T146+AM146)-Table5101345411[[#This Row],[مجمع إهلاك المستبعد 
بتاريخ الأستبعاد]])&lt;=0,0,((T146+AM146)-Table5101345411[[#This Row],[مجمع إهلاك المستبعد 
بتاريخ الأستبعاد]])))</f>
        <v>132493.99999899999</v>
      </c>
      <c r="AS146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الشراء-الاستلام]]&gt;DATE(2018,12,31),0,AI146-AR146)))</f>
        <v>0</v>
      </c>
    </row>
    <row r="147" spans="1:45" s="141" customFormat="1" ht="83.25" customHeight="1">
      <c r="A147" s="118">
        <f>IF(B147="","",SUBTOTAL(3,$B$6:B147))</f>
        <v>142</v>
      </c>
      <c r="B147" s="58" t="s">
        <v>137</v>
      </c>
      <c r="C147" s="59" t="s">
        <v>54</v>
      </c>
      <c r="D147" s="59" t="s">
        <v>84</v>
      </c>
      <c r="E147" s="59" t="s">
        <v>84</v>
      </c>
      <c r="F147" s="226" t="s">
        <v>84</v>
      </c>
      <c r="G147" s="226"/>
      <c r="H147" s="58"/>
      <c r="I147" s="58"/>
      <c r="J147" s="58" t="s">
        <v>64</v>
      </c>
      <c r="K147" s="58" t="s">
        <v>86</v>
      </c>
      <c r="L147" s="60" t="s">
        <v>212</v>
      </c>
      <c r="M147" s="77">
        <v>39692</v>
      </c>
      <c r="N147" s="77" t="s">
        <v>115</v>
      </c>
      <c r="O147" s="150"/>
      <c r="P147" s="122">
        <v>1</v>
      </c>
      <c r="Q147" s="123"/>
      <c r="R147" s="130">
        <v>132493.99999899999</v>
      </c>
      <c r="S147" s="130">
        <f t="shared" si="3"/>
        <v>132493.99999899999</v>
      </c>
      <c r="T147" s="130">
        <v>132493.99999899999</v>
      </c>
      <c r="U147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الشراء-الاستلام]]&lt;DATE(2018,1,1),S147-T147,0))</f>
        <v>0</v>
      </c>
      <c r="V147" s="169"/>
      <c r="W147" s="116"/>
      <c r="X147" s="116"/>
      <c r="Y147" s="117">
        <f>Table5101345411[[#This Row],[عدد الإضافات]]*Table5101345411[[#This Row],[سعر الحبة المضافة]]</f>
        <v>0</v>
      </c>
      <c r="Z147" s="101"/>
      <c r="AA147" s="102"/>
      <c r="AB147" s="103"/>
      <c r="AC147" s="103"/>
      <c r="AD147" s="103"/>
      <c r="AE147" s="103"/>
      <c r="AF147" s="103">
        <f>Table5101345411[[#This Row],[العدد]]*Table5101345411[[#This Row],[قيمة الشراء]]</f>
        <v>0</v>
      </c>
      <c r="AG147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47" s="190">
        <f>Table5101345411[[#This Row],[الكمية]]+Table5101345411[[#This Row],[عدد الإضافات]]-Table5101345411[[#This Row],[العدد]]</f>
        <v>1</v>
      </c>
      <c r="AI147" s="78">
        <f>Table5101345411[[#This Row],[الإجمالي]]+Table5101345411[[#This Row],[إجمالي الإضافات]]-Table5101345411[[#This Row],[إجمالي المستبعد]]</f>
        <v>132493.99999899999</v>
      </c>
      <c r="AJ147" s="120">
        <v>0.15</v>
      </c>
      <c r="AK147" s="219"/>
      <c r="AL147" s="58" t="s">
        <v>61</v>
      </c>
      <c r="AM147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147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47" s="79">
        <f>Table5101345411[[#This Row],[اهلاك المستبعد
في 2018]]+Table5101345411[[#This Row],[مجمع إهلاك المستبعد 
01-01-2018]]</f>
        <v>0</v>
      </c>
      <c r="AP147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47" s="220"/>
      <c r="AR147" s="78">
        <f>IF(OR(Table5101345411[[#This Row],[تاريخ الشراء-الاستلام]]="",Table5101345411[[#This Row],[الإجمالي]]="",Table5101345411[[#This Row],[العمر الافتراضي]]=""),"",IF(((T147+AM147)-Table5101345411[[#This Row],[مجمع إهلاك المستبعد 
بتاريخ الأستبعاد]])&lt;=0,0,((T147+AM147)-Table5101345411[[#This Row],[مجمع إهلاك المستبعد 
بتاريخ الأستبعاد]])))</f>
        <v>132493.99999899999</v>
      </c>
      <c r="AS147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الشراء-الاستلام]]&gt;DATE(2018,12,31),0,AI147-AR147)))</f>
        <v>0</v>
      </c>
    </row>
    <row r="148" spans="1:45" s="141" customFormat="1" ht="83.25" customHeight="1">
      <c r="A148" s="118">
        <f>IF(B148="","",SUBTOTAL(3,$B$6:B148))</f>
        <v>143</v>
      </c>
      <c r="B148" s="58" t="s">
        <v>213</v>
      </c>
      <c r="C148" s="59" t="s">
        <v>115</v>
      </c>
      <c r="D148" s="59" t="s">
        <v>84</v>
      </c>
      <c r="E148" s="59"/>
      <c r="F148" s="226">
        <v>0</v>
      </c>
      <c r="G148" s="226"/>
      <c r="H148" s="58"/>
      <c r="I148" s="58"/>
      <c r="J148" s="58" t="s">
        <v>64</v>
      </c>
      <c r="K148" s="58"/>
      <c r="L148" s="60" t="s">
        <v>214</v>
      </c>
      <c r="M148" s="77">
        <v>40269</v>
      </c>
      <c r="N148" s="77"/>
      <c r="O148" s="150"/>
      <c r="P148" s="122">
        <v>1</v>
      </c>
      <c r="Q148" s="123"/>
      <c r="R148" s="130">
        <v>61225</v>
      </c>
      <c r="S148" s="130">
        <f t="shared" si="3"/>
        <v>61225</v>
      </c>
      <c r="T148" s="130">
        <v>61225</v>
      </c>
      <c r="U148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الشراء-الاستلام]]&lt;DATE(2018,1,1),S148-T148,0))</f>
        <v>0</v>
      </c>
      <c r="V148" s="169"/>
      <c r="W148" s="116"/>
      <c r="X148" s="116"/>
      <c r="Y148" s="117">
        <f>Table5101345411[[#This Row],[عدد الإضافات]]*Table5101345411[[#This Row],[سعر الحبة المضافة]]</f>
        <v>0</v>
      </c>
      <c r="Z148" s="101"/>
      <c r="AA148" s="102"/>
      <c r="AB148" s="103"/>
      <c r="AC148" s="103"/>
      <c r="AD148" s="103"/>
      <c r="AE148" s="103"/>
      <c r="AF148" s="103">
        <f>Table5101345411[[#This Row],[العدد]]*Table5101345411[[#This Row],[قيمة الشراء]]</f>
        <v>0</v>
      </c>
      <c r="AG148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48" s="190">
        <f>Table5101345411[[#This Row],[الكمية]]+Table5101345411[[#This Row],[عدد الإضافات]]-Table5101345411[[#This Row],[العدد]]</f>
        <v>1</v>
      </c>
      <c r="AI148" s="78">
        <f>Table5101345411[[#This Row],[الإجمالي]]+Table5101345411[[#This Row],[إجمالي الإضافات]]-Table5101345411[[#This Row],[إجمالي المستبعد]]</f>
        <v>61225</v>
      </c>
      <c r="AJ148" s="120">
        <v>0.2</v>
      </c>
      <c r="AK148" s="219"/>
      <c r="AL148" s="58" t="s">
        <v>61</v>
      </c>
      <c r="AM148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148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48" s="79">
        <f>Table5101345411[[#This Row],[اهلاك المستبعد
في 2018]]+Table5101345411[[#This Row],[مجمع إهلاك المستبعد 
01-01-2018]]</f>
        <v>0</v>
      </c>
      <c r="AP148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48" s="220"/>
      <c r="AR148" s="78">
        <f>IF(OR(Table5101345411[[#This Row],[تاريخ الشراء-الاستلام]]="",Table5101345411[[#This Row],[الإجمالي]]="",Table5101345411[[#This Row],[العمر الافتراضي]]=""),"",IF(((T148+AM148)-Table5101345411[[#This Row],[مجمع إهلاك المستبعد 
بتاريخ الأستبعاد]])&lt;=0,0,((T148+AM148)-Table5101345411[[#This Row],[مجمع إهلاك المستبعد 
بتاريخ الأستبعاد]])))</f>
        <v>61225</v>
      </c>
      <c r="AS148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الشراء-الاستلام]]&gt;DATE(2018,12,31),0,AI148-AR148)))</f>
        <v>0</v>
      </c>
    </row>
    <row r="149" spans="1:45" s="141" customFormat="1" ht="83.25" customHeight="1">
      <c r="A149" s="118">
        <f>IF(B149="","",SUBTOTAL(3,$B$6:B149))</f>
        <v>144</v>
      </c>
      <c r="B149" s="58" t="s">
        <v>207</v>
      </c>
      <c r="C149" s="59" t="s">
        <v>54</v>
      </c>
      <c r="D149" s="59" t="s">
        <v>84</v>
      </c>
      <c r="E149" s="59" t="s">
        <v>84</v>
      </c>
      <c r="F149" s="226" t="s">
        <v>84</v>
      </c>
      <c r="G149" s="226"/>
      <c r="H149" s="58"/>
      <c r="I149" s="58"/>
      <c r="J149" s="58" t="s">
        <v>64</v>
      </c>
      <c r="K149" s="58" t="s">
        <v>86</v>
      </c>
      <c r="L149" s="60" t="s">
        <v>215</v>
      </c>
      <c r="M149" s="77">
        <v>39692</v>
      </c>
      <c r="N149" s="77"/>
      <c r="O149" s="150"/>
      <c r="P149" s="122">
        <v>1</v>
      </c>
      <c r="Q149" s="123"/>
      <c r="R149" s="130">
        <v>132493.99999899999</v>
      </c>
      <c r="S149" s="130">
        <f t="shared" si="3"/>
        <v>132493.99999899999</v>
      </c>
      <c r="T149" s="130">
        <v>132493.99999899999</v>
      </c>
      <c r="U149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الشراء-الاستلام]]&lt;DATE(2018,1,1),S149-T149,0))</f>
        <v>0</v>
      </c>
      <c r="V149" s="169"/>
      <c r="W149" s="116"/>
      <c r="X149" s="116"/>
      <c r="Y149" s="117">
        <f>Table5101345411[[#This Row],[عدد الإضافات]]*Table5101345411[[#This Row],[سعر الحبة المضافة]]</f>
        <v>0</v>
      </c>
      <c r="Z149" s="101"/>
      <c r="AA149" s="102"/>
      <c r="AB149" s="103"/>
      <c r="AC149" s="103"/>
      <c r="AD149" s="103"/>
      <c r="AE149" s="103"/>
      <c r="AF149" s="103">
        <f>Table5101345411[[#This Row],[العدد]]*Table5101345411[[#This Row],[قيمة الشراء]]</f>
        <v>0</v>
      </c>
      <c r="AG149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49" s="190">
        <f>Table5101345411[[#This Row],[الكمية]]+Table5101345411[[#This Row],[عدد الإضافات]]-Table5101345411[[#This Row],[العدد]]</f>
        <v>1</v>
      </c>
      <c r="AI149" s="78">
        <f>Table5101345411[[#This Row],[الإجمالي]]+Table5101345411[[#This Row],[إجمالي الإضافات]]-Table5101345411[[#This Row],[إجمالي المستبعد]]</f>
        <v>132493.99999899999</v>
      </c>
      <c r="AJ149" s="120">
        <v>0.15</v>
      </c>
      <c r="AK149" s="219"/>
      <c r="AL149" s="58" t="s">
        <v>61</v>
      </c>
      <c r="AM149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149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49" s="79">
        <f>Table5101345411[[#This Row],[اهلاك المستبعد
في 2018]]+Table5101345411[[#This Row],[مجمع إهلاك المستبعد 
01-01-2018]]</f>
        <v>0</v>
      </c>
      <c r="AP149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49" s="220"/>
      <c r="AR149" s="78">
        <f>IF(OR(Table5101345411[[#This Row],[تاريخ الشراء-الاستلام]]="",Table5101345411[[#This Row],[الإجمالي]]="",Table5101345411[[#This Row],[العمر الافتراضي]]=""),"",IF(((T149+AM149)-Table5101345411[[#This Row],[مجمع إهلاك المستبعد 
بتاريخ الأستبعاد]])&lt;=0,0,((T149+AM149)-Table5101345411[[#This Row],[مجمع إهلاك المستبعد 
بتاريخ الأستبعاد]])))</f>
        <v>132493.99999899999</v>
      </c>
      <c r="AS149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الشراء-الاستلام]]&gt;DATE(2018,12,31),0,AI149-AR149)))</f>
        <v>0</v>
      </c>
    </row>
    <row r="150" spans="1:45" s="141" customFormat="1" ht="83.25" customHeight="1">
      <c r="A150" s="118">
        <f>IF(B150="","",SUBTOTAL(3,$B$6:B150))</f>
        <v>145</v>
      </c>
      <c r="B150" s="58" t="s">
        <v>207</v>
      </c>
      <c r="C150" s="59" t="s">
        <v>54</v>
      </c>
      <c r="D150" s="59" t="s">
        <v>84</v>
      </c>
      <c r="E150" s="59" t="s">
        <v>84</v>
      </c>
      <c r="F150" s="226" t="s">
        <v>84</v>
      </c>
      <c r="G150" s="226"/>
      <c r="H150" s="58"/>
      <c r="I150" s="58"/>
      <c r="J150" s="58" t="s">
        <v>64</v>
      </c>
      <c r="K150" s="58" t="s">
        <v>86</v>
      </c>
      <c r="L150" s="60" t="s">
        <v>216</v>
      </c>
      <c r="M150" s="77">
        <v>39692</v>
      </c>
      <c r="N150" s="77"/>
      <c r="O150" s="150"/>
      <c r="P150" s="122">
        <v>1</v>
      </c>
      <c r="Q150" s="123"/>
      <c r="R150" s="130">
        <v>132493.99999899999</v>
      </c>
      <c r="S150" s="130">
        <f t="shared" si="3"/>
        <v>132493.99999899999</v>
      </c>
      <c r="T150" s="130">
        <v>132493.99999899999</v>
      </c>
      <c r="U150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الشراء-الاستلام]]&lt;DATE(2018,1,1),S150-T150,0))</f>
        <v>0</v>
      </c>
      <c r="V150" s="169"/>
      <c r="W150" s="116"/>
      <c r="X150" s="116"/>
      <c r="Y150" s="117">
        <f>Table5101345411[[#This Row],[عدد الإضافات]]*Table5101345411[[#This Row],[سعر الحبة المضافة]]</f>
        <v>0</v>
      </c>
      <c r="Z150" s="101"/>
      <c r="AA150" s="102"/>
      <c r="AB150" s="103"/>
      <c r="AC150" s="103"/>
      <c r="AD150" s="103"/>
      <c r="AE150" s="103"/>
      <c r="AF150" s="103">
        <f>Table5101345411[[#This Row],[العدد]]*Table5101345411[[#This Row],[قيمة الشراء]]</f>
        <v>0</v>
      </c>
      <c r="AG150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50" s="190">
        <f>Table5101345411[[#This Row],[الكمية]]+Table5101345411[[#This Row],[عدد الإضافات]]-Table5101345411[[#This Row],[العدد]]</f>
        <v>1</v>
      </c>
      <c r="AI150" s="78">
        <f>Table5101345411[[#This Row],[الإجمالي]]+Table5101345411[[#This Row],[إجمالي الإضافات]]-Table5101345411[[#This Row],[إجمالي المستبعد]]</f>
        <v>132493.99999899999</v>
      </c>
      <c r="AJ150" s="120">
        <v>0.15</v>
      </c>
      <c r="AK150" s="219"/>
      <c r="AL150" s="58" t="s">
        <v>61</v>
      </c>
      <c r="AM150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150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50" s="79">
        <f>Table5101345411[[#This Row],[اهلاك المستبعد
في 2018]]+Table5101345411[[#This Row],[مجمع إهلاك المستبعد 
01-01-2018]]</f>
        <v>0</v>
      </c>
      <c r="AP150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50" s="220"/>
      <c r="AR150" s="78">
        <f>IF(OR(Table5101345411[[#This Row],[تاريخ الشراء-الاستلام]]="",Table5101345411[[#This Row],[الإجمالي]]="",Table5101345411[[#This Row],[العمر الافتراضي]]=""),"",IF(((T150+AM150)-Table5101345411[[#This Row],[مجمع إهلاك المستبعد 
بتاريخ الأستبعاد]])&lt;=0,0,((T150+AM150)-Table5101345411[[#This Row],[مجمع إهلاك المستبعد 
بتاريخ الأستبعاد]])))</f>
        <v>132493.99999899999</v>
      </c>
      <c r="AS150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الشراء-الاستلام]]&gt;DATE(2018,12,31),0,AI150-AR150)))</f>
        <v>0</v>
      </c>
    </row>
    <row r="151" spans="1:45" s="141" customFormat="1" ht="83.25" customHeight="1">
      <c r="A151" s="118">
        <f>IF(B151="","",SUBTOTAL(3,$B$6:B151))</f>
        <v>146</v>
      </c>
      <c r="B151" s="58" t="s">
        <v>184</v>
      </c>
      <c r="C151" s="59" t="s">
        <v>115</v>
      </c>
      <c r="D151" s="59" t="s">
        <v>84</v>
      </c>
      <c r="E151" s="59" t="s">
        <v>647</v>
      </c>
      <c r="F151" s="226">
        <v>0</v>
      </c>
      <c r="G151" s="226"/>
      <c r="H151" s="58"/>
      <c r="I151" s="58"/>
      <c r="J151" s="58" t="s">
        <v>64</v>
      </c>
      <c r="K151" s="58"/>
      <c r="L151" s="60" t="s">
        <v>217</v>
      </c>
      <c r="M151" s="77">
        <v>41274</v>
      </c>
      <c r="N151" s="77"/>
      <c r="O151" s="150"/>
      <c r="P151" s="122">
        <v>1</v>
      </c>
      <c r="Q151" s="123"/>
      <c r="R151" s="130">
        <v>63600</v>
      </c>
      <c r="S151" s="130">
        <f t="shared" si="3"/>
        <v>63600</v>
      </c>
      <c r="T151" s="130">
        <v>47700</v>
      </c>
      <c r="U151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الشراء-الاستلام]]&lt;DATE(2018,1,1),S151-T151,0))</f>
        <v>15900</v>
      </c>
      <c r="V151" s="169"/>
      <c r="W151" s="116"/>
      <c r="X151" s="116"/>
      <c r="Y151" s="117">
        <f>Table5101345411[[#This Row],[عدد الإضافات]]*Table5101345411[[#This Row],[سعر الحبة المضافة]]</f>
        <v>0</v>
      </c>
      <c r="Z151" s="101"/>
      <c r="AA151" s="102"/>
      <c r="AB151" s="103"/>
      <c r="AC151" s="103"/>
      <c r="AD151" s="103"/>
      <c r="AE151" s="103"/>
      <c r="AF151" s="103">
        <f>Table5101345411[[#This Row],[العدد]]*Table5101345411[[#This Row],[قيمة الشراء]]</f>
        <v>0</v>
      </c>
      <c r="AG151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51" s="190">
        <f>Table5101345411[[#This Row],[الكمية]]+Table5101345411[[#This Row],[عدد الإضافات]]-Table5101345411[[#This Row],[العدد]]</f>
        <v>1</v>
      </c>
      <c r="AI151" s="78">
        <f>Table5101345411[[#This Row],[الإجمالي]]+Table5101345411[[#This Row],[إجمالي الإضافات]]-Table5101345411[[#This Row],[إجمالي المستبعد]]</f>
        <v>63600</v>
      </c>
      <c r="AJ151" s="120">
        <v>0.15</v>
      </c>
      <c r="AK151" s="219"/>
      <c r="AL151" s="58" t="s">
        <v>61</v>
      </c>
      <c r="AM151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9540</v>
      </c>
      <c r="AN151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51" s="79">
        <f>Table5101345411[[#This Row],[اهلاك المستبعد
في 2018]]+Table5101345411[[#This Row],[مجمع إهلاك المستبعد 
01-01-2018]]</f>
        <v>0</v>
      </c>
      <c r="AP151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51" s="220"/>
      <c r="AR151" s="78">
        <f>IF(OR(Table5101345411[[#This Row],[تاريخ الشراء-الاستلام]]="",Table5101345411[[#This Row],[الإجمالي]]="",Table5101345411[[#This Row],[العمر الافتراضي]]=""),"",IF(((T151+AM151)-Table5101345411[[#This Row],[مجمع إهلاك المستبعد 
بتاريخ الأستبعاد]])&lt;=0,0,((T151+AM151)-Table5101345411[[#This Row],[مجمع إهلاك المستبعد 
بتاريخ الأستبعاد]])))</f>
        <v>57240</v>
      </c>
      <c r="AS151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الشراء-الاستلام]]&gt;DATE(2018,12,31),0,AI151-AR151)))</f>
        <v>6360</v>
      </c>
    </row>
    <row r="152" spans="1:45" s="141" customFormat="1" ht="83.25" customHeight="1">
      <c r="A152" s="118">
        <f>IF(B152="","",SUBTOTAL(3,$B$6:B152))</f>
        <v>147</v>
      </c>
      <c r="B152" s="58" t="s">
        <v>207</v>
      </c>
      <c r="C152" s="59" t="s">
        <v>115</v>
      </c>
      <c r="D152" s="59" t="s">
        <v>84</v>
      </c>
      <c r="E152" s="59"/>
      <c r="F152" s="226">
        <v>0</v>
      </c>
      <c r="G152" s="226"/>
      <c r="H152" s="58"/>
      <c r="I152" s="58"/>
      <c r="J152" s="58" t="s">
        <v>64</v>
      </c>
      <c r="K152" s="58"/>
      <c r="L152" s="60" t="s">
        <v>218</v>
      </c>
      <c r="M152" s="77">
        <v>41091</v>
      </c>
      <c r="N152" s="77"/>
      <c r="O152" s="150"/>
      <c r="P152" s="122">
        <v>1</v>
      </c>
      <c r="Q152" s="123"/>
      <c r="R152" s="130">
        <v>245825</v>
      </c>
      <c r="S152" s="130">
        <f t="shared" si="3"/>
        <v>245825</v>
      </c>
      <c r="T152" s="130">
        <v>202856.13698630134</v>
      </c>
      <c r="U152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الشراء-الاستلام]]&lt;DATE(2018,1,1),S152-T152,0))</f>
        <v>42968.863013698661</v>
      </c>
      <c r="V152" s="169"/>
      <c r="W152" s="116"/>
      <c r="X152" s="116"/>
      <c r="Y152" s="117">
        <f>Table5101345411[[#This Row],[عدد الإضافات]]*Table5101345411[[#This Row],[سعر الحبة المضافة]]</f>
        <v>0</v>
      </c>
      <c r="Z152" s="101"/>
      <c r="AA152" s="102"/>
      <c r="AB152" s="103"/>
      <c r="AC152" s="103"/>
      <c r="AD152" s="103"/>
      <c r="AE152" s="103"/>
      <c r="AF152" s="103">
        <f>Table5101345411[[#This Row],[العدد]]*Table5101345411[[#This Row],[قيمة الشراء]]</f>
        <v>0</v>
      </c>
      <c r="AG152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52" s="190">
        <f>Table5101345411[[#This Row],[الكمية]]+Table5101345411[[#This Row],[عدد الإضافات]]-Table5101345411[[#This Row],[العدد]]</f>
        <v>1</v>
      </c>
      <c r="AI152" s="78">
        <f>Table5101345411[[#This Row],[الإجمالي]]+Table5101345411[[#This Row],[إجمالي الإضافات]]-Table5101345411[[#This Row],[إجمالي المستبعد]]</f>
        <v>245825</v>
      </c>
      <c r="AJ152" s="120">
        <v>0.15</v>
      </c>
      <c r="AK152" s="219"/>
      <c r="AL152" s="58" t="s">
        <v>61</v>
      </c>
      <c r="AM152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36873.75</v>
      </c>
      <c r="AN152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52" s="79">
        <f>Table5101345411[[#This Row],[اهلاك المستبعد
في 2018]]+Table5101345411[[#This Row],[مجمع إهلاك المستبعد 
01-01-2018]]</f>
        <v>0</v>
      </c>
      <c r="AP152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52" s="220"/>
      <c r="AR152" s="78">
        <f>IF(OR(Table5101345411[[#This Row],[تاريخ الشراء-الاستلام]]="",Table5101345411[[#This Row],[الإجمالي]]="",Table5101345411[[#This Row],[العمر الافتراضي]]=""),"",IF(((T152+AM152)-Table5101345411[[#This Row],[مجمع إهلاك المستبعد 
بتاريخ الأستبعاد]])&lt;=0,0,((T152+AM152)-Table5101345411[[#This Row],[مجمع إهلاك المستبعد 
بتاريخ الأستبعاد]])))</f>
        <v>239729.88698630134</v>
      </c>
      <c r="AS152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الشراء-الاستلام]]&gt;DATE(2018,12,31),0,AI152-AR152)))</f>
        <v>6095.1130136986612</v>
      </c>
    </row>
    <row r="153" spans="1:45" s="141" customFormat="1" ht="83.25" customHeight="1">
      <c r="A153" s="118">
        <f>IF(B153="","",SUBTOTAL(3,$B$6:B153))</f>
        <v>148</v>
      </c>
      <c r="B153" s="58" t="s">
        <v>207</v>
      </c>
      <c r="C153" s="59" t="s">
        <v>115</v>
      </c>
      <c r="D153" s="59" t="s">
        <v>84</v>
      </c>
      <c r="E153" s="59"/>
      <c r="F153" s="226">
        <v>0</v>
      </c>
      <c r="G153" s="226"/>
      <c r="H153" s="58"/>
      <c r="I153" s="58"/>
      <c r="J153" s="58" t="s">
        <v>64</v>
      </c>
      <c r="K153" s="58"/>
      <c r="L153" s="60" t="s">
        <v>218</v>
      </c>
      <c r="M153" s="77">
        <v>41091</v>
      </c>
      <c r="N153" s="77"/>
      <c r="O153" s="150"/>
      <c r="P153" s="122">
        <v>1</v>
      </c>
      <c r="Q153" s="123"/>
      <c r="R153" s="130">
        <v>93000</v>
      </c>
      <c r="S153" s="130">
        <f t="shared" si="3"/>
        <v>93000</v>
      </c>
      <c r="T153" s="130">
        <v>76744.109589041094</v>
      </c>
      <c r="U153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الشراء-الاستلام]]&lt;DATE(2018,1,1),S153-T153,0))</f>
        <v>16255.890410958906</v>
      </c>
      <c r="V153" s="169"/>
      <c r="W153" s="116"/>
      <c r="X153" s="116"/>
      <c r="Y153" s="117">
        <f>Table5101345411[[#This Row],[عدد الإضافات]]*Table5101345411[[#This Row],[سعر الحبة المضافة]]</f>
        <v>0</v>
      </c>
      <c r="Z153" s="101"/>
      <c r="AA153" s="102"/>
      <c r="AB153" s="103"/>
      <c r="AC153" s="103"/>
      <c r="AD153" s="103"/>
      <c r="AE153" s="103"/>
      <c r="AF153" s="103">
        <f>Table5101345411[[#This Row],[العدد]]*Table5101345411[[#This Row],[قيمة الشراء]]</f>
        <v>0</v>
      </c>
      <c r="AG153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53" s="190">
        <f>Table5101345411[[#This Row],[الكمية]]+Table5101345411[[#This Row],[عدد الإضافات]]-Table5101345411[[#This Row],[العدد]]</f>
        <v>1</v>
      </c>
      <c r="AI153" s="78">
        <f>Table5101345411[[#This Row],[الإجمالي]]+Table5101345411[[#This Row],[إجمالي الإضافات]]-Table5101345411[[#This Row],[إجمالي المستبعد]]</f>
        <v>93000</v>
      </c>
      <c r="AJ153" s="120">
        <v>0.15</v>
      </c>
      <c r="AK153" s="219"/>
      <c r="AL153" s="58" t="s">
        <v>61</v>
      </c>
      <c r="AM153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13950</v>
      </c>
      <c r="AN153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53" s="79">
        <f>Table5101345411[[#This Row],[اهلاك المستبعد
في 2018]]+Table5101345411[[#This Row],[مجمع إهلاك المستبعد 
01-01-2018]]</f>
        <v>0</v>
      </c>
      <c r="AP153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53" s="220"/>
      <c r="AR153" s="78">
        <f>IF(OR(Table5101345411[[#This Row],[تاريخ الشراء-الاستلام]]="",Table5101345411[[#This Row],[الإجمالي]]="",Table5101345411[[#This Row],[العمر الافتراضي]]=""),"",IF(((T153+AM153)-Table5101345411[[#This Row],[مجمع إهلاك المستبعد 
بتاريخ الأستبعاد]])&lt;=0,0,((T153+AM153)-Table5101345411[[#This Row],[مجمع إهلاك المستبعد 
بتاريخ الأستبعاد]])))</f>
        <v>90694.109589041094</v>
      </c>
      <c r="AS153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الشراء-الاستلام]]&gt;DATE(2018,12,31),0,AI153-AR153)))</f>
        <v>2305.8904109589057</v>
      </c>
    </row>
    <row r="154" spans="1:45" s="141" customFormat="1" ht="83.25" customHeight="1">
      <c r="A154" s="118">
        <f>IF(B154="","",SUBTOTAL(3,$B$6:B154))</f>
        <v>149</v>
      </c>
      <c r="B154" s="58" t="s">
        <v>219</v>
      </c>
      <c r="C154" s="59" t="s">
        <v>54</v>
      </c>
      <c r="D154" s="59" t="s">
        <v>367</v>
      </c>
      <c r="E154" s="59" t="s">
        <v>403</v>
      </c>
      <c r="F154" s="226" t="s">
        <v>403</v>
      </c>
      <c r="G154" s="226"/>
      <c r="H154" s="58" t="s">
        <v>96</v>
      </c>
      <c r="I154" s="58"/>
      <c r="J154" s="58" t="s">
        <v>64</v>
      </c>
      <c r="K154" s="58" t="s">
        <v>220</v>
      </c>
      <c r="L154" s="60"/>
      <c r="M154" s="77">
        <v>42487</v>
      </c>
      <c r="N154" s="77" t="s">
        <v>221</v>
      </c>
      <c r="O154" s="150"/>
      <c r="P154" s="122">
        <v>1</v>
      </c>
      <c r="Q154" s="123">
        <v>8296</v>
      </c>
      <c r="R154" s="130">
        <v>2243</v>
      </c>
      <c r="S154" s="130">
        <f t="shared" si="3"/>
        <v>2243</v>
      </c>
      <c r="T154" s="130">
        <v>565.05164383561646</v>
      </c>
      <c r="U154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الشراء-الاستلام]]&lt;DATE(2018,1,1),S154-T154,0))</f>
        <v>1677.9483561643835</v>
      </c>
      <c r="V154" s="169"/>
      <c r="W154" s="116"/>
      <c r="X154" s="116"/>
      <c r="Y154" s="117">
        <f>Table5101345411[[#This Row],[عدد الإضافات]]*Table5101345411[[#This Row],[سعر الحبة المضافة]]</f>
        <v>0</v>
      </c>
      <c r="Z154" s="101"/>
      <c r="AA154" s="102"/>
      <c r="AB154" s="103"/>
      <c r="AC154" s="103"/>
      <c r="AD154" s="103"/>
      <c r="AE154" s="103"/>
      <c r="AF154" s="103">
        <f>Table5101345411[[#This Row],[العدد]]*Table5101345411[[#This Row],[قيمة الشراء]]</f>
        <v>0</v>
      </c>
      <c r="AG154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54" s="190">
        <f>Table5101345411[[#This Row],[الكمية]]+Table5101345411[[#This Row],[عدد الإضافات]]-Table5101345411[[#This Row],[العدد]]</f>
        <v>1</v>
      </c>
      <c r="AI154" s="78">
        <f>Table5101345411[[#This Row],[الإجمالي]]+Table5101345411[[#This Row],[إجمالي الإضافات]]-Table5101345411[[#This Row],[إجمالي المستبعد]]</f>
        <v>2243</v>
      </c>
      <c r="AJ154" s="62">
        <v>0.125</v>
      </c>
      <c r="AK154" s="219"/>
      <c r="AL154" s="58" t="s">
        <v>61</v>
      </c>
      <c r="AM154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280.375</v>
      </c>
      <c r="AN154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54" s="79">
        <f>Table5101345411[[#This Row],[اهلاك المستبعد
في 2018]]+Table5101345411[[#This Row],[مجمع إهلاك المستبعد 
01-01-2018]]</f>
        <v>0</v>
      </c>
      <c r="AP154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54" s="220"/>
      <c r="AR154" s="78">
        <f>IF(OR(Table5101345411[[#This Row],[تاريخ الشراء-الاستلام]]="",Table5101345411[[#This Row],[الإجمالي]]="",Table5101345411[[#This Row],[العمر الافتراضي]]=""),"",IF(((T154+AM154)-Table5101345411[[#This Row],[مجمع إهلاك المستبعد 
بتاريخ الأستبعاد]])&lt;=0,0,((T154+AM154)-Table5101345411[[#This Row],[مجمع إهلاك المستبعد 
بتاريخ الأستبعاد]])))</f>
        <v>845.42664383561646</v>
      </c>
      <c r="AS154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الشراء-الاستلام]]&gt;DATE(2018,12,31),0,AI154-AR154)))</f>
        <v>1397.5733561643835</v>
      </c>
    </row>
    <row r="155" spans="1:45" s="140" customFormat="1" ht="83.25" customHeight="1">
      <c r="A155" s="118">
        <f>IF(B155="","",SUBTOTAL(3,$B$6:B155))</f>
        <v>150</v>
      </c>
      <c r="B155" s="58" t="s">
        <v>222</v>
      </c>
      <c r="C155" s="59" t="s">
        <v>54</v>
      </c>
      <c r="D155" s="59" t="s">
        <v>56</v>
      </c>
      <c r="E155" s="59" t="s">
        <v>352</v>
      </c>
      <c r="F155" s="226" t="s">
        <v>352</v>
      </c>
      <c r="G155" s="226"/>
      <c r="H155" s="58" t="s">
        <v>63</v>
      </c>
      <c r="I155" s="58"/>
      <c r="J155" s="58" t="s">
        <v>64</v>
      </c>
      <c r="K155" s="58"/>
      <c r="L155" s="60"/>
      <c r="M155" s="77">
        <v>42675</v>
      </c>
      <c r="N155" s="77"/>
      <c r="O155" s="150"/>
      <c r="P155" s="122">
        <v>1</v>
      </c>
      <c r="Q155" s="123"/>
      <c r="R155" s="130">
        <v>40</v>
      </c>
      <c r="S155" s="130">
        <f t="shared" si="3"/>
        <v>40</v>
      </c>
      <c r="T155" s="130">
        <v>6.9863013698630141</v>
      </c>
      <c r="U155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الشراء-الاستلام]]&lt;DATE(2018,1,1),S155-T155,0))</f>
        <v>33.013698630136986</v>
      </c>
      <c r="V155" s="169"/>
      <c r="W155" s="116"/>
      <c r="X155" s="116"/>
      <c r="Y155" s="117">
        <f>Table5101345411[[#This Row],[عدد الإضافات]]*Table5101345411[[#This Row],[سعر الحبة المضافة]]</f>
        <v>0</v>
      </c>
      <c r="Z155" s="101"/>
      <c r="AA155" s="102"/>
      <c r="AB155" s="103"/>
      <c r="AC155" s="103"/>
      <c r="AD155" s="103"/>
      <c r="AE155" s="103"/>
      <c r="AF155" s="103">
        <f>Table5101345411[[#This Row],[العدد]]*Table5101345411[[#This Row],[قيمة الشراء]]</f>
        <v>0</v>
      </c>
      <c r="AG155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55" s="190">
        <f>Table5101345411[[#This Row],[الكمية]]+Table5101345411[[#This Row],[عدد الإضافات]]-Table5101345411[[#This Row],[العدد]]</f>
        <v>1</v>
      </c>
      <c r="AI155" s="78">
        <f>Table5101345411[[#This Row],[الإجمالي]]+Table5101345411[[#This Row],[إجمالي الإضافات]]-Table5101345411[[#This Row],[إجمالي المستبعد]]</f>
        <v>40</v>
      </c>
      <c r="AJ155" s="62">
        <v>0.125</v>
      </c>
      <c r="AK155" s="219"/>
      <c r="AL155" s="58" t="s">
        <v>61</v>
      </c>
      <c r="AM155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5</v>
      </c>
      <c r="AN155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55" s="79">
        <f>Table5101345411[[#This Row],[اهلاك المستبعد
في 2018]]+Table5101345411[[#This Row],[مجمع إهلاك المستبعد 
01-01-2018]]</f>
        <v>0</v>
      </c>
      <c r="AP155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55" s="220"/>
      <c r="AR155" s="78">
        <f>IF(OR(Table5101345411[[#This Row],[تاريخ الشراء-الاستلام]]="",Table5101345411[[#This Row],[الإجمالي]]="",Table5101345411[[#This Row],[العمر الافتراضي]]=""),"",IF(((T155+AM155)-Table5101345411[[#This Row],[مجمع إهلاك المستبعد 
بتاريخ الأستبعاد]])&lt;=0,0,((T155+AM155)-Table5101345411[[#This Row],[مجمع إهلاك المستبعد 
بتاريخ الأستبعاد]])))</f>
        <v>11.986301369863014</v>
      </c>
      <c r="AS155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الشراء-الاستلام]]&gt;DATE(2018,12,31),0,AI155-AR155)))</f>
        <v>28.013698630136986</v>
      </c>
    </row>
    <row r="156" spans="1:45" s="140" customFormat="1" ht="83.25" customHeight="1">
      <c r="A156" s="118">
        <f>IF(B156="","",SUBTOTAL(3,$B$6:B156))</f>
        <v>151</v>
      </c>
      <c r="B156" s="58" t="s">
        <v>223</v>
      </c>
      <c r="C156" s="59" t="s">
        <v>54</v>
      </c>
      <c r="D156" s="59" t="s">
        <v>56</v>
      </c>
      <c r="E156" s="59" t="s">
        <v>55</v>
      </c>
      <c r="F156" s="226" t="s">
        <v>55</v>
      </c>
      <c r="G156" s="226"/>
      <c r="H156" s="58" t="s">
        <v>63</v>
      </c>
      <c r="I156" s="58"/>
      <c r="J156" s="58" t="s">
        <v>64</v>
      </c>
      <c r="K156" s="58"/>
      <c r="L156" s="60"/>
      <c r="M156" s="77">
        <v>42583</v>
      </c>
      <c r="N156" s="77"/>
      <c r="O156" s="150"/>
      <c r="P156" s="122">
        <v>1</v>
      </c>
      <c r="Q156" s="123"/>
      <c r="R156" s="130">
        <v>2950</v>
      </c>
      <c r="S156" s="130">
        <f t="shared" si="3"/>
        <v>2950</v>
      </c>
      <c r="T156" s="130">
        <v>626.77397260273972</v>
      </c>
      <c r="U156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الشراء-الاستلام]]&lt;DATE(2018,1,1),S156-T156,0))</f>
        <v>2323.2260273972602</v>
      </c>
      <c r="V156" s="169"/>
      <c r="W156" s="116"/>
      <c r="X156" s="116"/>
      <c r="Y156" s="117">
        <f>Table5101345411[[#This Row],[عدد الإضافات]]*Table5101345411[[#This Row],[سعر الحبة المضافة]]</f>
        <v>0</v>
      </c>
      <c r="Z156" s="101"/>
      <c r="AA156" s="102"/>
      <c r="AB156" s="103"/>
      <c r="AC156" s="103"/>
      <c r="AD156" s="103"/>
      <c r="AE156" s="103"/>
      <c r="AF156" s="103">
        <f>Table5101345411[[#This Row],[العدد]]*Table5101345411[[#This Row],[قيمة الشراء]]</f>
        <v>0</v>
      </c>
      <c r="AG156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56" s="190">
        <f>Table5101345411[[#This Row],[الكمية]]+Table5101345411[[#This Row],[عدد الإضافات]]-Table5101345411[[#This Row],[العدد]]</f>
        <v>1</v>
      </c>
      <c r="AI156" s="78">
        <f>Table5101345411[[#This Row],[الإجمالي]]+Table5101345411[[#This Row],[إجمالي الإضافات]]-Table5101345411[[#This Row],[إجمالي المستبعد]]</f>
        <v>2950</v>
      </c>
      <c r="AJ156" s="62">
        <v>0.125</v>
      </c>
      <c r="AK156" s="219"/>
      <c r="AL156" s="58" t="s">
        <v>61</v>
      </c>
      <c r="AM156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368.75</v>
      </c>
      <c r="AN156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56" s="79">
        <f>Table5101345411[[#This Row],[اهلاك المستبعد
في 2018]]+Table5101345411[[#This Row],[مجمع إهلاك المستبعد 
01-01-2018]]</f>
        <v>0</v>
      </c>
      <c r="AP156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56" s="220"/>
      <c r="AR156" s="78">
        <f>IF(OR(Table5101345411[[#This Row],[تاريخ الشراء-الاستلام]]="",Table5101345411[[#This Row],[الإجمالي]]="",Table5101345411[[#This Row],[العمر الافتراضي]]=""),"",IF(((T156+AM156)-Table5101345411[[#This Row],[مجمع إهلاك المستبعد 
بتاريخ الأستبعاد]])&lt;=0,0,((T156+AM156)-Table5101345411[[#This Row],[مجمع إهلاك المستبعد 
بتاريخ الأستبعاد]])))</f>
        <v>995.52397260273972</v>
      </c>
      <c r="AS156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الشراء-الاستلام]]&gt;DATE(2018,12,31),0,AI156-AR156)))</f>
        <v>1954.4760273972602</v>
      </c>
    </row>
    <row r="157" spans="1:45" s="140" customFormat="1" ht="83.25" customHeight="1">
      <c r="A157" s="118">
        <f>IF(B157="","",SUBTOTAL(3,$B$6:B157))</f>
        <v>152</v>
      </c>
      <c r="B157" s="58" t="s">
        <v>224</v>
      </c>
      <c r="C157" s="59" t="s">
        <v>54</v>
      </c>
      <c r="D157" s="59" t="s">
        <v>56</v>
      </c>
      <c r="E157" s="59" t="s">
        <v>352</v>
      </c>
      <c r="F157" s="226" t="s">
        <v>352</v>
      </c>
      <c r="G157" s="226"/>
      <c r="H157" s="58" t="s">
        <v>57</v>
      </c>
      <c r="I157" s="58" t="s">
        <v>64</v>
      </c>
      <c r="J157" s="58" t="s">
        <v>64</v>
      </c>
      <c r="K157" s="58"/>
      <c r="L157" s="60"/>
      <c r="M157" s="77">
        <v>42724</v>
      </c>
      <c r="N157" s="77"/>
      <c r="O157" s="150"/>
      <c r="P157" s="122">
        <v>2</v>
      </c>
      <c r="Q157" s="123"/>
      <c r="R157" s="130">
        <v>1750</v>
      </c>
      <c r="S157" s="130">
        <f t="shared" si="3"/>
        <v>3500</v>
      </c>
      <c r="T157" s="130">
        <v>540.82191780821915</v>
      </c>
      <c r="U157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الشراء-الاستلام]]&lt;DATE(2018,1,1),S157-T157,0))</f>
        <v>2959.178082191781</v>
      </c>
      <c r="V157" s="169"/>
      <c r="W157" s="116"/>
      <c r="X157" s="116"/>
      <c r="Y157" s="117">
        <f>Table5101345411[[#This Row],[عدد الإضافات]]*Table5101345411[[#This Row],[سعر الحبة المضافة]]</f>
        <v>0</v>
      </c>
      <c r="Z157" s="101"/>
      <c r="AA157" s="102"/>
      <c r="AB157" s="103"/>
      <c r="AC157" s="103"/>
      <c r="AD157" s="103"/>
      <c r="AE157" s="103"/>
      <c r="AF157" s="103">
        <f>Table5101345411[[#This Row],[العدد]]*Table5101345411[[#This Row],[قيمة الشراء]]</f>
        <v>0</v>
      </c>
      <c r="AG157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57" s="190">
        <f>Table5101345411[[#This Row],[الكمية]]+Table5101345411[[#This Row],[عدد الإضافات]]-Table5101345411[[#This Row],[العدد]]</f>
        <v>2</v>
      </c>
      <c r="AI157" s="78">
        <f>Table5101345411[[#This Row],[الإجمالي]]+Table5101345411[[#This Row],[إجمالي الإضافات]]-Table5101345411[[#This Row],[إجمالي المستبعد]]</f>
        <v>3500</v>
      </c>
      <c r="AJ157" s="62">
        <v>0.125</v>
      </c>
      <c r="AK157" s="219"/>
      <c r="AL157" s="58" t="s">
        <v>61</v>
      </c>
      <c r="AM157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437.5</v>
      </c>
      <c r="AN157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57" s="79">
        <f>Table5101345411[[#This Row],[اهلاك المستبعد
في 2018]]+Table5101345411[[#This Row],[مجمع إهلاك المستبعد 
01-01-2018]]</f>
        <v>0</v>
      </c>
      <c r="AP157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57" s="220"/>
      <c r="AR157" s="78">
        <f>IF(OR(Table5101345411[[#This Row],[تاريخ الشراء-الاستلام]]="",Table5101345411[[#This Row],[الإجمالي]]="",Table5101345411[[#This Row],[العمر الافتراضي]]=""),"",IF(((T157+AM157)-Table5101345411[[#This Row],[مجمع إهلاك المستبعد 
بتاريخ الأستبعاد]])&lt;=0,0,((T157+AM157)-Table5101345411[[#This Row],[مجمع إهلاك المستبعد 
بتاريخ الأستبعاد]])))</f>
        <v>978.32191780821915</v>
      </c>
      <c r="AS157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الشراء-الاستلام]]&gt;DATE(2018,12,31),0,AI157-AR157)))</f>
        <v>2521.678082191781</v>
      </c>
    </row>
    <row r="158" spans="1:45" s="140" customFormat="1" ht="83.25" customHeight="1">
      <c r="A158" s="118">
        <f>IF(B158="","",SUBTOTAL(3,$B$6:B158))</f>
        <v>153</v>
      </c>
      <c r="B158" s="58" t="s">
        <v>225</v>
      </c>
      <c r="C158" s="59" t="s">
        <v>54</v>
      </c>
      <c r="D158" s="59" t="s">
        <v>56</v>
      </c>
      <c r="E158" s="59" t="s">
        <v>352</v>
      </c>
      <c r="F158" s="226" t="s">
        <v>352</v>
      </c>
      <c r="G158" s="226"/>
      <c r="H158" s="58" t="s">
        <v>57</v>
      </c>
      <c r="I158" s="58" t="s">
        <v>64</v>
      </c>
      <c r="J158" s="58" t="s">
        <v>64</v>
      </c>
      <c r="K158" s="58"/>
      <c r="L158" s="60"/>
      <c r="M158" s="77">
        <v>40787</v>
      </c>
      <c r="N158" s="77"/>
      <c r="O158" s="150"/>
      <c r="P158" s="122">
        <v>1</v>
      </c>
      <c r="Q158" s="123"/>
      <c r="R158" s="130">
        <v>5820</v>
      </c>
      <c r="S158" s="130">
        <f t="shared" si="3"/>
        <v>5820</v>
      </c>
      <c r="T158" s="130">
        <v>5529.7972602739728</v>
      </c>
      <c r="U158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الشراء-الاستلام]]&lt;DATE(2018,1,1),S158-T158,0))</f>
        <v>290.20273972602718</v>
      </c>
      <c r="V158" s="169"/>
      <c r="W158" s="116"/>
      <c r="X158" s="116"/>
      <c r="Y158" s="117">
        <f>Table5101345411[[#This Row],[عدد الإضافات]]*Table5101345411[[#This Row],[سعر الحبة المضافة]]</f>
        <v>0</v>
      </c>
      <c r="Z158" s="101"/>
      <c r="AA158" s="102"/>
      <c r="AB158" s="103"/>
      <c r="AC158" s="103"/>
      <c r="AD158" s="103"/>
      <c r="AE158" s="103"/>
      <c r="AF158" s="103">
        <f>Table5101345411[[#This Row],[العدد]]*Table5101345411[[#This Row],[قيمة الشراء]]</f>
        <v>0</v>
      </c>
      <c r="AG158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58" s="190">
        <f>Table5101345411[[#This Row],[الكمية]]+Table5101345411[[#This Row],[عدد الإضافات]]-Table5101345411[[#This Row],[العدد]]</f>
        <v>1</v>
      </c>
      <c r="AI158" s="78">
        <f>Table5101345411[[#This Row],[الإجمالي]]+Table5101345411[[#This Row],[إجمالي الإضافات]]-Table5101345411[[#This Row],[إجمالي المستبعد]]</f>
        <v>5820</v>
      </c>
      <c r="AJ158" s="62">
        <v>0.125</v>
      </c>
      <c r="AK158" s="219"/>
      <c r="AL158" s="58" t="s">
        <v>61</v>
      </c>
      <c r="AM158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290.20273972602718</v>
      </c>
      <c r="AN158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58" s="79">
        <f>Table5101345411[[#This Row],[اهلاك المستبعد
في 2018]]+Table5101345411[[#This Row],[مجمع إهلاك المستبعد 
01-01-2018]]</f>
        <v>0</v>
      </c>
      <c r="AP158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58" s="220"/>
      <c r="AR158" s="78">
        <f>IF(OR(Table5101345411[[#This Row],[تاريخ الشراء-الاستلام]]="",Table5101345411[[#This Row],[الإجمالي]]="",Table5101345411[[#This Row],[العمر الافتراضي]]=""),"",IF(((T158+AM158)-Table5101345411[[#This Row],[مجمع إهلاك المستبعد 
بتاريخ الأستبعاد]])&lt;=0,0,((T158+AM158)-Table5101345411[[#This Row],[مجمع إهلاك المستبعد 
بتاريخ الأستبعاد]])))</f>
        <v>5820</v>
      </c>
      <c r="AS158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الشراء-الاستلام]]&gt;DATE(2018,12,31),0,AI158-AR158)))</f>
        <v>0</v>
      </c>
    </row>
    <row r="159" spans="1:45" s="140" customFormat="1" ht="83.25" customHeight="1">
      <c r="A159" s="118">
        <f>IF(B159="","",SUBTOTAL(3,$B$6:B159))</f>
        <v>154</v>
      </c>
      <c r="B159" s="58" t="s">
        <v>226</v>
      </c>
      <c r="C159" s="59" t="s">
        <v>54</v>
      </c>
      <c r="D159" s="59" t="s">
        <v>56</v>
      </c>
      <c r="E159" s="59" t="s">
        <v>352</v>
      </c>
      <c r="F159" s="226" t="s">
        <v>352</v>
      </c>
      <c r="G159" s="226"/>
      <c r="H159" s="58" t="s">
        <v>57</v>
      </c>
      <c r="I159" s="58" t="s">
        <v>64</v>
      </c>
      <c r="J159" s="58" t="s">
        <v>64</v>
      </c>
      <c r="K159" s="58"/>
      <c r="L159" s="60"/>
      <c r="M159" s="77">
        <v>40787</v>
      </c>
      <c r="N159" s="77"/>
      <c r="O159" s="150"/>
      <c r="P159" s="122">
        <v>1</v>
      </c>
      <c r="Q159" s="123"/>
      <c r="R159" s="130">
        <v>4000</v>
      </c>
      <c r="S159" s="130">
        <f t="shared" si="3"/>
        <v>4000</v>
      </c>
      <c r="T159" s="130">
        <v>3800.5479452054792</v>
      </c>
      <c r="U159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الشراء-الاستلام]]&lt;DATE(2018,1,1),S159-T159,0))</f>
        <v>199.45205479452079</v>
      </c>
      <c r="V159" s="169"/>
      <c r="W159" s="116"/>
      <c r="X159" s="116"/>
      <c r="Y159" s="117">
        <f>Table5101345411[[#This Row],[عدد الإضافات]]*Table5101345411[[#This Row],[سعر الحبة المضافة]]</f>
        <v>0</v>
      </c>
      <c r="Z159" s="101"/>
      <c r="AA159" s="102"/>
      <c r="AB159" s="103"/>
      <c r="AC159" s="103"/>
      <c r="AD159" s="103"/>
      <c r="AE159" s="103"/>
      <c r="AF159" s="103">
        <f>Table5101345411[[#This Row],[العدد]]*Table5101345411[[#This Row],[قيمة الشراء]]</f>
        <v>0</v>
      </c>
      <c r="AG159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59" s="190">
        <f>Table5101345411[[#This Row],[الكمية]]+Table5101345411[[#This Row],[عدد الإضافات]]-Table5101345411[[#This Row],[العدد]]</f>
        <v>1</v>
      </c>
      <c r="AI159" s="78">
        <f>Table5101345411[[#This Row],[الإجمالي]]+Table5101345411[[#This Row],[إجمالي الإضافات]]-Table5101345411[[#This Row],[إجمالي المستبعد]]</f>
        <v>4000</v>
      </c>
      <c r="AJ159" s="62">
        <v>0.125</v>
      </c>
      <c r="AK159" s="219"/>
      <c r="AL159" s="58" t="s">
        <v>61</v>
      </c>
      <c r="AM159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199.45205479452079</v>
      </c>
      <c r="AN159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59" s="79">
        <f>Table5101345411[[#This Row],[اهلاك المستبعد
في 2018]]+Table5101345411[[#This Row],[مجمع إهلاك المستبعد 
01-01-2018]]</f>
        <v>0</v>
      </c>
      <c r="AP159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59" s="220"/>
      <c r="AR159" s="78">
        <f>IF(OR(Table5101345411[[#This Row],[تاريخ الشراء-الاستلام]]="",Table5101345411[[#This Row],[الإجمالي]]="",Table5101345411[[#This Row],[العمر الافتراضي]]=""),"",IF(((T159+AM159)-Table5101345411[[#This Row],[مجمع إهلاك المستبعد 
بتاريخ الأستبعاد]])&lt;=0,0,((T159+AM159)-Table5101345411[[#This Row],[مجمع إهلاك المستبعد 
بتاريخ الأستبعاد]])))</f>
        <v>4000</v>
      </c>
      <c r="AS159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الشراء-الاستلام]]&gt;DATE(2018,12,31),0,AI159-AR159)))</f>
        <v>0</v>
      </c>
    </row>
    <row r="160" spans="1:45" s="141" customFormat="1" ht="83.25" customHeight="1">
      <c r="A160" s="118">
        <f>IF(B160="","",SUBTOTAL(3,$B$6:B160))</f>
        <v>155</v>
      </c>
      <c r="B160" s="58" t="s">
        <v>67</v>
      </c>
      <c r="C160" s="59" t="s">
        <v>54</v>
      </c>
      <c r="D160" s="59" t="s">
        <v>68</v>
      </c>
      <c r="E160" s="59" t="s">
        <v>544</v>
      </c>
      <c r="F160" s="226" t="s">
        <v>544</v>
      </c>
      <c r="G160" s="226"/>
      <c r="H160" s="65" t="s">
        <v>57</v>
      </c>
      <c r="I160" s="58" t="s">
        <v>69</v>
      </c>
      <c r="J160" s="65" t="s">
        <v>64</v>
      </c>
      <c r="K160" s="58"/>
      <c r="L160" s="60" t="s">
        <v>227</v>
      </c>
      <c r="M160" s="77">
        <v>42676</v>
      </c>
      <c r="N160" s="77"/>
      <c r="O160" s="150" t="s">
        <v>228</v>
      </c>
      <c r="P160" s="122">
        <v>1</v>
      </c>
      <c r="Q160" s="123"/>
      <c r="R160" s="130">
        <v>800</v>
      </c>
      <c r="S160" s="130">
        <f t="shared" si="3"/>
        <v>800</v>
      </c>
      <c r="T160" s="130">
        <f>371.72602739726/2</f>
        <v>185.86301369863</v>
      </c>
      <c r="U160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الشراء-الاستلام]]&lt;DATE(2018,1,1),S160-T160,0))</f>
        <v>614.13698630137003</v>
      </c>
      <c r="V160" s="169"/>
      <c r="W160" s="116"/>
      <c r="X160" s="116"/>
      <c r="Y160" s="117">
        <f>Table5101345411[[#This Row],[عدد الإضافات]]*Table5101345411[[#This Row],[سعر الحبة المضافة]]</f>
        <v>0</v>
      </c>
      <c r="Z160" s="101"/>
      <c r="AA160" s="102"/>
      <c r="AB160" s="103"/>
      <c r="AC160" s="103"/>
      <c r="AD160" s="103"/>
      <c r="AE160" s="103"/>
      <c r="AF160" s="103">
        <f>Table5101345411[[#This Row],[العدد]]*Table5101345411[[#This Row],[قيمة الشراء]]</f>
        <v>0</v>
      </c>
      <c r="AG160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60" s="190">
        <f>Table5101345411[[#This Row],[الكمية]]+Table5101345411[[#This Row],[عدد الإضافات]]-Table5101345411[[#This Row],[العدد]]</f>
        <v>1</v>
      </c>
      <c r="AI160" s="78">
        <f>Table5101345411[[#This Row],[الإجمالي]]+Table5101345411[[#This Row],[إجمالي الإضافات]]-Table5101345411[[#This Row],[إجمالي المستبعد]]</f>
        <v>800</v>
      </c>
      <c r="AJ160" s="120">
        <v>0.15</v>
      </c>
      <c r="AK160" s="219"/>
      <c r="AL160" s="58" t="s">
        <v>61</v>
      </c>
      <c r="AM160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120</v>
      </c>
      <c r="AN160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60" s="79">
        <f>Table5101345411[[#This Row],[اهلاك المستبعد
في 2018]]+Table5101345411[[#This Row],[مجمع إهلاك المستبعد 
01-01-2018]]</f>
        <v>0</v>
      </c>
      <c r="AP160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60" s="220"/>
      <c r="AR160" s="78">
        <f>IF(OR(Table5101345411[[#This Row],[تاريخ الشراء-الاستلام]]="",Table5101345411[[#This Row],[الإجمالي]]="",Table5101345411[[#This Row],[العمر الافتراضي]]=""),"",IF(((T160+AM160)-Table5101345411[[#This Row],[مجمع إهلاك المستبعد 
بتاريخ الأستبعاد]])&lt;=0,0,((T160+AM160)-Table5101345411[[#This Row],[مجمع إهلاك المستبعد 
بتاريخ الأستبعاد]])))</f>
        <v>305.86301369862997</v>
      </c>
      <c r="AS160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الشراء-الاستلام]]&gt;DATE(2018,12,31),0,AI160-AR160)))</f>
        <v>494.13698630137003</v>
      </c>
    </row>
    <row r="161" spans="1:45" s="141" customFormat="1" ht="83.25" customHeight="1">
      <c r="A161" s="118">
        <f>IF(B161="","",SUBTOTAL(3,$B$6:B161))</f>
        <v>156</v>
      </c>
      <c r="B161" s="58" t="s">
        <v>156</v>
      </c>
      <c r="C161" s="59" t="s">
        <v>54</v>
      </c>
      <c r="D161" s="59" t="s">
        <v>68</v>
      </c>
      <c r="E161" s="59" t="s">
        <v>544</v>
      </c>
      <c r="F161" s="226" t="s">
        <v>544</v>
      </c>
      <c r="G161" s="226"/>
      <c r="H161" s="65" t="s">
        <v>57</v>
      </c>
      <c r="I161" s="58" t="s">
        <v>69</v>
      </c>
      <c r="J161" s="65" t="s">
        <v>64</v>
      </c>
      <c r="K161" s="58"/>
      <c r="L161" s="60"/>
      <c r="M161" s="77">
        <v>42432</v>
      </c>
      <c r="N161" s="77"/>
      <c r="O161" s="150"/>
      <c r="P161" s="122">
        <v>1</v>
      </c>
      <c r="Q161" s="123"/>
      <c r="R161" s="130">
        <v>1287</v>
      </c>
      <c r="S161" s="130">
        <f t="shared" si="3"/>
        <v>1287</v>
      </c>
      <c r="T161" s="130">
        <v>353.30794520547943</v>
      </c>
      <c r="U161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الشراء-الاستلام]]&lt;DATE(2018,1,1),S161-T161,0))</f>
        <v>933.69205479452057</v>
      </c>
      <c r="V161" s="169"/>
      <c r="W161" s="116"/>
      <c r="X161" s="116"/>
      <c r="Y161" s="117">
        <f>Table5101345411[[#This Row],[عدد الإضافات]]*Table5101345411[[#This Row],[سعر الحبة المضافة]]</f>
        <v>0</v>
      </c>
      <c r="Z161" s="101"/>
      <c r="AA161" s="102"/>
      <c r="AB161" s="103"/>
      <c r="AC161" s="103"/>
      <c r="AD161" s="103"/>
      <c r="AE161" s="103"/>
      <c r="AF161" s="103">
        <f>Table5101345411[[#This Row],[العدد]]*Table5101345411[[#This Row],[قيمة الشراء]]</f>
        <v>0</v>
      </c>
      <c r="AG161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61" s="190">
        <f>Table5101345411[[#This Row],[الكمية]]+Table5101345411[[#This Row],[عدد الإضافات]]-Table5101345411[[#This Row],[العدد]]</f>
        <v>1</v>
      </c>
      <c r="AI161" s="78">
        <f>Table5101345411[[#This Row],[الإجمالي]]+Table5101345411[[#This Row],[إجمالي الإضافات]]-Table5101345411[[#This Row],[إجمالي المستبعد]]</f>
        <v>1287</v>
      </c>
      <c r="AJ161" s="62">
        <v>0.125</v>
      </c>
      <c r="AK161" s="219"/>
      <c r="AL161" s="58" t="s">
        <v>61</v>
      </c>
      <c r="AM161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160.875</v>
      </c>
      <c r="AN161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61" s="79">
        <f>Table5101345411[[#This Row],[اهلاك المستبعد
في 2018]]+Table5101345411[[#This Row],[مجمع إهلاك المستبعد 
01-01-2018]]</f>
        <v>0</v>
      </c>
      <c r="AP161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61" s="220"/>
      <c r="AR161" s="78">
        <f>IF(OR(Table5101345411[[#This Row],[تاريخ الشراء-الاستلام]]="",Table5101345411[[#This Row],[الإجمالي]]="",Table5101345411[[#This Row],[العمر الافتراضي]]=""),"",IF(((T161+AM161)-Table5101345411[[#This Row],[مجمع إهلاك المستبعد 
بتاريخ الأستبعاد]])&lt;=0,0,((T161+AM161)-Table5101345411[[#This Row],[مجمع إهلاك المستبعد 
بتاريخ الأستبعاد]])))</f>
        <v>514.18294520547943</v>
      </c>
      <c r="AS161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الشراء-الاستلام]]&gt;DATE(2018,12,31),0,AI161-AR161)))</f>
        <v>772.81705479452057</v>
      </c>
    </row>
    <row r="162" spans="1:45" s="141" customFormat="1" ht="83.25" customHeight="1">
      <c r="A162" s="118">
        <f>IF(B162="","",SUBTOTAL(3,$B$6:B162))</f>
        <v>157</v>
      </c>
      <c r="B162" s="58" t="s">
        <v>229</v>
      </c>
      <c r="C162" s="59" t="s">
        <v>54</v>
      </c>
      <c r="D162" s="59" t="s">
        <v>84</v>
      </c>
      <c r="E162" s="59" t="s">
        <v>229</v>
      </c>
      <c r="F162" s="226" t="s">
        <v>229</v>
      </c>
      <c r="G162" s="226"/>
      <c r="H162" s="58"/>
      <c r="I162" s="58" t="s">
        <v>85</v>
      </c>
      <c r="J162" s="58"/>
      <c r="K162" s="58"/>
      <c r="L162" s="60"/>
      <c r="M162" s="77">
        <v>42676</v>
      </c>
      <c r="N162" s="77"/>
      <c r="O162" s="150"/>
      <c r="P162" s="122">
        <v>3</v>
      </c>
      <c r="Q162" s="123"/>
      <c r="R162" s="130">
        <v>300</v>
      </c>
      <c r="S162" s="130">
        <f t="shared" si="3"/>
        <v>900</v>
      </c>
      <c r="T162" s="130">
        <v>156.82191780821918</v>
      </c>
      <c r="U162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الشراء-الاستلام]]&lt;DATE(2018,1,1),S162-T162,0))</f>
        <v>743.17808219178085</v>
      </c>
      <c r="V162" s="169"/>
      <c r="W162" s="116"/>
      <c r="X162" s="116"/>
      <c r="Y162" s="117">
        <f>Table5101345411[[#This Row],[عدد الإضافات]]*Table5101345411[[#This Row],[سعر الحبة المضافة]]</f>
        <v>0</v>
      </c>
      <c r="Z162" s="101"/>
      <c r="AA162" s="102"/>
      <c r="AB162" s="103"/>
      <c r="AC162" s="103"/>
      <c r="AD162" s="103"/>
      <c r="AE162" s="103"/>
      <c r="AF162" s="103">
        <f>Table5101345411[[#This Row],[العدد]]*Table5101345411[[#This Row],[قيمة الشراء]]</f>
        <v>0</v>
      </c>
      <c r="AG162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62" s="190">
        <f>Table5101345411[[#This Row],[الكمية]]+Table5101345411[[#This Row],[عدد الإضافات]]-Table5101345411[[#This Row],[العدد]]</f>
        <v>3</v>
      </c>
      <c r="AI162" s="78">
        <f>Table5101345411[[#This Row],[الإجمالي]]+Table5101345411[[#This Row],[إجمالي الإضافات]]-Table5101345411[[#This Row],[إجمالي المستبعد]]</f>
        <v>900</v>
      </c>
      <c r="AJ162" s="62">
        <v>0.125</v>
      </c>
      <c r="AK162" s="219"/>
      <c r="AL162" s="58" t="s">
        <v>61</v>
      </c>
      <c r="AM162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112.5</v>
      </c>
      <c r="AN162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62" s="79">
        <f>Table5101345411[[#This Row],[اهلاك المستبعد
في 2018]]+Table5101345411[[#This Row],[مجمع إهلاك المستبعد 
01-01-2018]]</f>
        <v>0</v>
      </c>
      <c r="AP162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62" s="220"/>
      <c r="AR162" s="78">
        <f>IF(OR(Table5101345411[[#This Row],[تاريخ الشراء-الاستلام]]="",Table5101345411[[#This Row],[الإجمالي]]="",Table5101345411[[#This Row],[العمر الافتراضي]]=""),"",IF(((T162+AM162)-Table5101345411[[#This Row],[مجمع إهلاك المستبعد 
بتاريخ الأستبعاد]])&lt;=0,0,((T162+AM162)-Table5101345411[[#This Row],[مجمع إهلاك المستبعد 
بتاريخ الأستبعاد]])))</f>
        <v>269.32191780821915</v>
      </c>
      <c r="AS162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الشراء-الاستلام]]&gt;DATE(2018,12,31),0,AI162-AR162)))</f>
        <v>630.67808219178085</v>
      </c>
    </row>
    <row r="163" spans="1:45" s="141" customFormat="1" ht="83.25" customHeight="1">
      <c r="A163" s="64">
        <f>IF(B163="","",SUBTOTAL(3,$B$6:B163))</f>
        <v>158</v>
      </c>
      <c r="B163" s="65" t="s">
        <v>230</v>
      </c>
      <c r="C163" s="66" t="s">
        <v>54</v>
      </c>
      <c r="D163" s="65" t="s">
        <v>84</v>
      </c>
      <c r="E163" s="143" t="s">
        <v>610</v>
      </c>
      <c r="F163" s="225" t="s">
        <v>613</v>
      </c>
      <c r="G163" s="225"/>
      <c r="H163" s="65" t="s">
        <v>57</v>
      </c>
      <c r="I163" s="65" t="s">
        <v>69</v>
      </c>
      <c r="J163" s="65" t="s">
        <v>64</v>
      </c>
      <c r="K163" s="65" t="s">
        <v>86</v>
      </c>
      <c r="L163" s="72" t="s">
        <v>126</v>
      </c>
      <c r="M163" s="65">
        <v>42522</v>
      </c>
      <c r="N163" s="84"/>
      <c r="O163" s="154"/>
      <c r="P163" s="125">
        <v>1</v>
      </c>
      <c r="Q163" s="126"/>
      <c r="R163" s="127">
        <v>53430</v>
      </c>
      <c r="S163" s="127">
        <f t="shared" si="3"/>
        <v>53430</v>
      </c>
      <c r="T163" s="127">
        <v>21152.424657534248</v>
      </c>
      <c r="U163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الشراء-الاستلام]]&lt;DATE(2018,1,1),S163-T163,0))</f>
        <v>32277.575342465752</v>
      </c>
      <c r="V163" s="167"/>
      <c r="W163" s="111"/>
      <c r="X163" s="111"/>
      <c r="Y163" s="112">
        <f>Table5101345411[[#This Row],[عدد الإضافات]]*Table5101345411[[#This Row],[سعر الحبة المضافة]]</f>
        <v>0</v>
      </c>
      <c r="Z163" s="94"/>
      <c r="AA163" s="92"/>
      <c r="AB163" s="93"/>
      <c r="AC163" s="93"/>
      <c r="AD163" s="93"/>
      <c r="AE163" s="93"/>
      <c r="AF163" s="93">
        <f>Table5101345411[[#This Row],[العدد]]*Table5101345411[[#This Row],[قيمة الشراء]]</f>
        <v>0</v>
      </c>
      <c r="AG163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63" s="187">
        <f>Table5101345411[[#This Row],[الكمية]]+Table5101345411[[#This Row],[عدد الإضافات]]-Table5101345411[[#This Row],[العدد]]</f>
        <v>1</v>
      </c>
      <c r="AI163" s="68">
        <f>Table5101345411[[#This Row],[الإجمالي]]+Table5101345411[[#This Row],[إجمالي الإضافات]]-Table5101345411[[#This Row],[إجمالي المستبعد]]</f>
        <v>53430</v>
      </c>
      <c r="AJ163" s="71">
        <v>0.15</v>
      </c>
      <c r="AK163" s="188"/>
      <c r="AL163" s="108" t="s">
        <v>61</v>
      </c>
      <c r="AM163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8014.5</v>
      </c>
      <c r="AN163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63" s="70">
        <f>Table5101345411[[#This Row],[اهلاك المستبعد
في 2018]]+Table5101345411[[#This Row],[مجمع إهلاك المستبعد 
01-01-2018]]</f>
        <v>0</v>
      </c>
      <c r="AP163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63" s="200"/>
      <c r="AR163" s="68">
        <f>IF(OR(Table5101345411[[#This Row],[تاريخ الشراء-الاستلام]]="",Table5101345411[[#This Row],[الإجمالي]]="",Table5101345411[[#This Row],[العمر الافتراضي]]=""),"",IF(((T163+AM163)-Table5101345411[[#This Row],[مجمع إهلاك المستبعد 
بتاريخ الأستبعاد]])&lt;=0,0,((T163+AM163)-Table5101345411[[#This Row],[مجمع إهلاك المستبعد 
بتاريخ الأستبعاد]])))</f>
        <v>29166.924657534248</v>
      </c>
      <c r="AS163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الشراء-الاستلام]]&gt;DATE(2018,12,31),0,AI163-AR163)))</f>
        <v>24263.075342465752</v>
      </c>
    </row>
    <row r="164" spans="1:45" s="141" customFormat="1" ht="83.25" customHeight="1">
      <c r="A164" s="64">
        <f>IF(B164="","",SUBTOTAL(3,$B$6:B164))</f>
        <v>159</v>
      </c>
      <c r="B164" s="65" t="s">
        <v>121</v>
      </c>
      <c r="C164" s="66" t="s">
        <v>54</v>
      </c>
      <c r="D164" s="65" t="s">
        <v>68</v>
      </c>
      <c r="E164" s="59" t="s">
        <v>796</v>
      </c>
      <c r="F164" s="226" t="s">
        <v>709</v>
      </c>
      <c r="G164" s="226" t="s">
        <v>740</v>
      </c>
      <c r="H164" s="65" t="s">
        <v>57</v>
      </c>
      <c r="I164" s="58" t="s">
        <v>69</v>
      </c>
      <c r="J164" s="65" t="s">
        <v>64</v>
      </c>
      <c r="K164" s="65"/>
      <c r="L164" s="67"/>
      <c r="M164" s="65">
        <v>42607</v>
      </c>
      <c r="N164" s="85" t="s">
        <v>134</v>
      </c>
      <c r="O164" s="154" t="s">
        <v>135</v>
      </c>
      <c r="P164" s="125">
        <v>1</v>
      </c>
      <c r="Q164" s="126"/>
      <c r="R164" s="127">
        <v>66000</v>
      </c>
      <c r="S164" s="127">
        <f t="shared" si="3"/>
        <v>66000</v>
      </c>
      <c r="T164" s="127">
        <f>53487.1232876712/4</f>
        <v>13371.7808219178</v>
      </c>
      <c r="U164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الشراء-الاستلام]]&lt;DATE(2018,1,1),S164-T164,0))</f>
        <v>52628.219178082203</v>
      </c>
      <c r="V164" s="167"/>
      <c r="W164" s="111"/>
      <c r="X164" s="111"/>
      <c r="Y164" s="112">
        <f>Table5101345411[[#This Row],[عدد الإضافات]]*Table5101345411[[#This Row],[سعر الحبة المضافة]]</f>
        <v>0</v>
      </c>
      <c r="Z164" s="94"/>
      <c r="AA164" s="92"/>
      <c r="AB164" s="93"/>
      <c r="AC164" s="93"/>
      <c r="AD164" s="93"/>
      <c r="AE164" s="93"/>
      <c r="AF164" s="93">
        <f>Table5101345411[[#This Row],[العدد]]*Table5101345411[[#This Row],[قيمة الشراء]]</f>
        <v>0</v>
      </c>
      <c r="AG164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64" s="187">
        <f>Table5101345411[[#This Row],[الكمية]]+Table5101345411[[#This Row],[عدد الإضافات]]-Table5101345411[[#This Row],[العدد]]</f>
        <v>1</v>
      </c>
      <c r="AI164" s="68">
        <f>Table5101345411[[#This Row],[الإجمالي]]+Table5101345411[[#This Row],[إجمالي الإضافات]]-Table5101345411[[#This Row],[إجمالي المستبعد]]</f>
        <v>66000</v>
      </c>
      <c r="AJ164" s="71">
        <v>0.15</v>
      </c>
      <c r="AK164" s="188"/>
      <c r="AL164" s="108" t="s">
        <v>61</v>
      </c>
      <c r="AM164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9900</v>
      </c>
      <c r="AN164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64" s="70">
        <f>Table5101345411[[#This Row],[اهلاك المستبعد
في 2018]]+Table5101345411[[#This Row],[مجمع إهلاك المستبعد 
01-01-2018]]</f>
        <v>0</v>
      </c>
      <c r="AP164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64" s="200"/>
      <c r="AR164" s="68">
        <f>IF(OR(Table5101345411[[#This Row],[تاريخ الشراء-الاستلام]]="",Table5101345411[[#This Row],[الإجمالي]]="",Table5101345411[[#This Row],[العمر الافتراضي]]=""),"",IF(((T164+AM164)-Table5101345411[[#This Row],[مجمع إهلاك المستبعد 
بتاريخ الأستبعاد]])&lt;=0,0,((T164+AM164)-Table5101345411[[#This Row],[مجمع إهلاك المستبعد 
بتاريخ الأستبعاد]])))</f>
        <v>23271.7808219178</v>
      </c>
      <c r="AS164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الشراء-الاستلام]]&gt;DATE(2018,12,31),0,AI164-AR164)))</f>
        <v>42728.219178082203</v>
      </c>
    </row>
    <row r="165" spans="1:45" s="141" customFormat="1" ht="83.25" customHeight="1">
      <c r="A165" s="57">
        <f>IF(B165="","",SUBTOTAL(3,$B$6:B165))</f>
        <v>160</v>
      </c>
      <c r="B165" s="58" t="s">
        <v>121</v>
      </c>
      <c r="C165" s="59" t="s">
        <v>54</v>
      </c>
      <c r="D165" s="59" t="s">
        <v>68</v>
      </c>
      <c r="E165" s="59" t="s">
        <v>796</v>
      </c>
      <c r="F165" s="226" t="s">
        <v>710</v>
      </c>
      <c r="G165" s="226" t="s">
        <v>741</v>
      </c>
      <c r="H165" s="65" t="s">
        <v>57</v>
      </c>
      <c r="I165" s="58" t="s">
        <v>69</v>
      </c>
      <c r="J165" s="58" t="s">
        <v>64</v>
      </c>
      <c r="K165" s="58"/>
      <c r="L165" s="60"/>
      <c r="M165" s="77">
        <v>42692</v>
      </c>
      <c r="N165" s="87" t="s">
        <v>136</v>
      </c>
      <c r="O165" s="150" t="s">
        <v>133</v>
      </c>
      <c r="P165" s="122">
        <v>1</v>
      </c>
      <c r="Q165" s="123"/>
      <c r="R165" s="130">
        <v>66437</v>
      </c>
      <c r="S165" s="130">
        <f t="shared" si="3"/>
        <v>66437</v>
      </c>
      <c r="T165" s="130">
        <f t="shared" ref="T165:T175" si="4">133674.884383562/12</f>
        <v>11139.573698630165</v>
      </c>
      <c r="U165" s="158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الشراء-الاستلام]]&lt;DATE(2018,1,1),S165-T165,0))</f>
        <v>55297.426301369836</v>
      </c>
      <c r="V165" s="169"/>
      <c r="W165" s="116"/>
      <c r="X165" s="116"/>
      <c r="Y165" s="117">
        <f>Table5101345411[[#This Row],[عدد الإضافات]]*Table5101345411[[#This Row],[سعر الحبة المضافة]]</f>
        <v>0</v>
      </c>
      <c r="Z165" s="101"/>
      <c r="AA165" s="102"/>
      <c r="AB165" s="103"/>
      <c r="AC165" s="103"/>
      <c r="AD165" s="103"/>
      <c r="AE165" s="103"/>
      <c r="AF165" s="103">
        <f>Table5101345411[[#This Row],[العدد]]*Table5101345411[[#This Row],[قيمة الشراء]]</f>
        <v>0</v>
      </c>
      <c r="AG165" s="17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65" s="190">
        <f>Table5101345411[[#This Row],[الكمية]]+Table5101345411[[#This Row],[عدد الإضافات]]-Table5101345411[[#This Row],[العدد]]</f>
        <v>1</v>
      </c>
      <c r="AI165" s="78">
        <f>Table5101345411[[#This Row],[الإجمالي]]+Table5101345411[[#This Row],[إجمالي الإضافات]]-Table5101345411[[#This Row],[إجمالي المستبعد]]</f>
        <v>66437</v>
      </c>
      <c r="AJ165" s="120">
        <v>0.15</v>
      </c>
      <c r="AK165" s="186"/>
      <c r="AL165" s="107" t="s">
        <v>61</v>
      </c>
      <c r="AM165" s="197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9965.5499999999993</v>
      </c>
      <c r="AN165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65" s="79">
        <f>Table5101345411[[#This Row],[اهلاك المستبعد
في 2018]]+Table5101345411[[#This Row],[مجمع إهلاك المستبعد 
01-01-2018]]</f>
        <v>0</v>
      </c>
      <c r="AP165" s="213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65" s="202"/>
      <c r="AR165" s="78">
        <f>IF(OR(Table5101345411[[#This Row],[تاريخ الشراء-الاستلام]]="",Table5101345411[[#This Row],[الإجمالي]]="",Table5101345411[[#This Row],[العمر الافتراضي]]=""),"",IF(((T165+AM165)-Table5101345411[[#This Row],[مجمع إهلاك المستبعد 
بتاريخ الأستبعاد]])&lt;=0,0,((T165+AM165)-Table5101345411[[#This Row],[مجمع إهلاك المستبعد 
بتاريخ الأستبعاد]])))</f>
        <v>21105.123698630166</v>
      </c>
      <c r="AS165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الشراء-الاستلام]]&gt;DATE(2018,12,31),0,AI165-AR165)))</f>
        <v>45331.876301369834</v>
      </c>
    </row>
    <row r="166" spans="1:45" s="141" customFormat="1" ht="83.25" customHeight="1">
      <c r="A166" s="64">
        <f>IF(B166="","",SUBTOTAL(3,$B$6:B166))</f>
        <v>161</v>
      </c>
      <c r="B166" s="65" t="s">
        <v>121</v>
      </c>
      <c r="C166" s="66" t="s">
        <v>54</v>
      </c>
      <c r="D166" s="65" t="s">
        <v>68</v>
      </c>
      <c r="E166" s="59" t="s">
        <v>796</v>
      </c>
      <c r="F166" s="226" t="s">
        <v>711</v>
      </c>
      <c r="G166" s="226" t="s">
        <v>742</v>
      </c>
      <c r="H166" s="65" t="s">
        <v>57</v>
      </c>
      <c r="I166" s="58" t="s">
        <v>69</v>
      </c>
      <c r="J166" s="65" t="s">
        <v>64</v>
      </c>
      <c r="K166" s="65"/>
      <c r="L166" s="67"/>
      <c r="M166" s="65">
        <v>42692</v>
      </c>
      <c r="N166" s="85" t="s">
        <v>136</v>
      </c>
      <c r="O166" s="154" t="s">
        <v>133</v>
      </c>
      <c r="P166" s="125">
        <v>1</v>
      </c>
      <c r="Q166" s="126"/>
      <c r="R166" s="127">
        <v>66437</v>
      </c>
      <c r="S166" s="127">
        <f t="shared" si="3"/>
        <v>66437</v>
      </c>
      <c r="T166" s="127">
        <f t="shared" si="4"/>
        <v>11139.573698630165</v>
      </c>
      <c r="U166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الشراء-الاستلام]]&lt;DATE(2018,1,1),S166-T166,0))</f>
        <v>55297.426301369836</v>
      </c>
      <c r="V166" s="167"/>
      <c r="W166" s="111"/>
      <c r="X166" s="111"/>
      <c r="Y166" s="112">
        <f>Table5101345411[[#This Row],[عدد الإضافات]]*Table5101345411[[#This Row],[سعر الحبة المضافة]]</f>
        <v>0</v>
      </c>
      <c r="Z166" s="94"/>
      <c r="AA166" s="92"/>
      <c r="AB166" s="93"/>
      <c r="AC166" s="93"/>
      <c r="AD166" s="93"/>
      <c r="AE166" s="93"/>
      <c r="AF166" s="93">
        <f>Table5101345411[[#This Row],[العدد]]*Table5101345411[[#This Row],[قيمة الشراء]]</f>
        <v>0</v>
      </c>
      <c r="AG166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66" s="187">
        <f>Table5101345411[[#This Row],[الكمية]]+Table5101345411[[#This Row],[عدد الإضافات]]-Table5101345411[[#This Row],[العدد]]</f>
        <v>1</v>
      </c>
      <c r="AI166" s="68">
        <f>Table5101345411[[#This Row],[الإجمالي]]+Table5101345411[[#This Row],[إجمالي الإضافات]]-Table5101345411[[#This Row],[إجمالي المستبعد]]</f>
        <v>66437</v>
      </c>
      <c r="AJ166" s="71">
        <v>0.15</v>
      </c>
      <c r="AK166" s="188"/>
      <c r="AL166" s="108" t="s">
        <v>61</v>
      </c>
      <c r="AM166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9965.5499999999993</v>
      </c>
      <c r="AN166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66" s="70">
        <f>Table5101345411[[#This Row],[اهلاك المستبعد
في 2018]]+Table5101345411[[#This Row],[مجمع إهلاك المستبعد 
01-01-2018]]</f>
        <v>0</v>
      </c>
      <c r="AP166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66" s="200"/>
      <c r="AR166" s="68">
        <f>IF(OR(Table5101345411[[#This Row],[تاريخ الشراء-الاستلام]]="",Table5101345411[[#This Row],[الإجمالي]]="",Table5101345411[[#This Row],[العمر الافتراضي]]=""),"",IF(((T166+AM166)-Table5101345411[[#This Row],[مجمع إهلاك المستبعد 
بتاريخ الأستبعاد]])&lt;=0,0,((T166+AM166)-Table5101345411[[#This Row],[مجمع إهلاك المستبعد 
بتاريخ الأستبعاد]])))</f>
        <v>21105.123698630166</v>
      </c>
      <c r="AS166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الشراء-الاستلام]]&gt;DATE(2018,12,31),0,AI166-AR166)))</f>
        <v>45331.876301369834</v>
      </c>
    </row>
    <row r="167" spans="1:45" s="141" customFormat="1" ht="83.25" customHeight="1">
      <c r="A167" s="64">
        <f>IF(B167="","",SUBTOTAL(3,$B$6:B167))</f>
        <v>162</v>
      </c>
      <c r="B167" s="65" t="s">
        <v>121</v>
      </c>
      <c r="C167" s="66" t="s">
        <v>54</v>
      </c>
      <c r="D167" s="65" t="s">
        <v>68</v>
      </c>
      <c r="E167" s="59" t="s">
        <v>796</v>
      </c>
      <c r="F167" s="226" t="s">
        <v>712</v>
      </c>
      <c r="G167" s="226" t="s">
        <v>743</v>
      </c>
      <c r="H167" s="65" t="s">
        <v>57</v>
      </c>
      <c r="I167" s="58" t="s">
        <v>69</v>
      </c>
      <c r="J167" s="65" t="s">
        <v>64</v>
      </c>
      <c r="K167" s="65"/>
      <c r="L167" s="67"/>
      <c r="M167" s="65">
        <v>42692</v>
      </c>
      <c r="N167" s="85" t="s">
        <v>136</v>
      </c>
      <c r="O167" s="154" t="s">
        <v>133</v>
      </c>
      <c r="P167" s="125">
        <v>1</v>
      </c>
      <c r="Q167" s="126"/>
      <c r="R167" s="127">
        <v>66437</v>
      </c>
      <c r="S167" s="127">
        <f t="shared" si="3"/>
        <v>66437</v>
      </c>
      <c r="T167" s="127">
        <f t="shared" si="4"/>
        <v>11139.573698630165</v>
      </c>
      <c r="U167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الشراء-الاستلام]]&lt;DATE(2018,1,1),S167-T167,0))</f>
        <v>55297.426301369836</v>
      </c>
      <c r="V167" s="167"/>
      <c r="W167" s="111"/>
      <c r="X167" s="111"/>
      <c r="Y167" s="112">
        <f>Table5101345411[[#This Row],[عدد الإضافات]]*Table5101345411[[#This Row],[سعر الحبة المضافة]]</f>
        <v>0</v>
      </c>
      <c r="Z167" s="94"/>
      <c r="AA167" s="92"/>
      <c r="AB167" s="93"/>
      <c r="AC167" s="93"/>
      <c r="AD167" s="93"/>
      <c r="AE167" s="93"/>
      <c r="AF167" s="93">
        <f>Table5101345411[[#This Row],[العدد]]*Table5101345411[[#This Row],[قيمة الشراء]]</f>
        <v>0</v>
      </c>
      <c r="AG167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67" s="187">
        <f>Table5101345411[[#This Row],[الكمية]]+Table5101345411[[#This Row],[عدد الإضافات]]-Table5101345411[[#This Row],[العدد]]</f>
        <v>1</v>
      </c>
      <c r="AI167" s="68">
        <f>Table5101345411[[#This Row],[الإجمالي]]+Table5101345411[[#This Row],[إجمالي الإضافات]]-Table5101345411[[#This Row],[إجمالي المستبعد]]</f>
        <v>66437</v>
      </c>
      <c r="AJ167" s="71">
        <v>0.15</v>
      </c>
      <c r="AK167" s="188"/>
      <c r="AL167" s="108" t="s">
        <v>61</v>
      </c>
      <c r="AM167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9965.5499999999993</v>
      </c>
      <c r="AN167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67" s="70">
        <f>Table5101345411[[#This Row],[اهلاك المستبعد
في 2018]]+Table5101345411[[#This Row],[مجمع إهلاك المستبعد 
01-01-2018]]</f>
        <v>0</v>
      </c>
      <c r="AP167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67" s="200"/>
      <c r="AR167" s="68">
        <f>IF(OR(Table5101345411[[#This Row],[تاريخ الشراء-الاستلام]]="",Table5101345411[[#This Row],[الإجمالي]]="",Table5101345411[[#This Row],[العمر الافتراضي]]=""),"",IF(((T167+AM167)-Table5101345411[[#This Row],[مجمع إهلاك المستبعد 
بتاريخ الأستبعاد]])&lt;=0,0,((T167+AM167)-Table5101345411[[#This Row],[مجمع إهلاك المستبعد 
بتاريخ الأستبعاد]])))</f>
        <v>21105.123698630166</v>
      </c>
      <c r="AS167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الشراء-الاستلام]]&gt;DATE(2018,12,31),0,AI167-AR167)))</f>
        <v>45331.876301369834</v>
      </c>
    </row>
    <row r="168" spans="1:45" s="141" customFormat="1" ht="83.25" customHeight="1">
      <c r="A168" s="64">
        <f>IF(B168="","",SUBTOTAL(3,$B$6:B168))</f>
        <v>163</v>
      </c>
      <c r="B168" s="65" t="s">
        <v>121</v>
      </c>
      <c r="C168" s="66" t="s">
        <v>54</v>
      </c>
      <c r="D168" s="65" t="s">
        <v>68</v>
      </c>
      <c r="E168" s="59" t="s">
        <v>796</v>
      </c>
      <c r="F168" s="226" t="s">
        <v>713</v>
      </c>
      <c r="G168" s="226" t="s">
        <v>744</v>
      </c>
      <c r="H168" s="65" t="s">
        <v>57</v>
      </c>
      <c r="I168" s="58" t="s">
        <v>69</v>
      </c>
      <c r="J168" s="65" t="s">
        <v>64</v>
      </c>
      <c r="K168" s="65"/>
      <c r="L168" s="67"/>
      <c r="M168" s="65">
        <v>42692</v>
      </c>
      <c r="N168" s="85" t="s">
        <v>136</v>
      </c>
      <c r="O168" s="154" t="s">
        <v>133</v>
      </c>
      <c r="P168" s="125">
        <v>1</v>
      </c>
      <c r="Q168" s="126"/>
      <c r="R168" s="127">
        <v>66437</v>
      </c>
      <c r="S168" s="127">
        <f t="shared" si="3"/>
        <v>66437</v>
      </c>
      <c r="T168" s="127">
        <f t="shared" si="4"/>
        <v>11139.573698630165</v>
      </c>
      <c r="U168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الشراء-الاستلام]]&lt;DATE(2018,1,1),S168-T168,0))</f>
        <v>55297.426301369836</v>
      </c>
      <c r="V168" s="167"/>
      <c r="W168" s="111"/>
      <c r="X168" s="111"/>
      <c r="Y168" s="112">
        <f>Table5101345411[[#This Row],[عدد الإضافات]]*Table5101345411[[#This Row],[سعر الحبة المضافة]]</f>
        <v>0</v>
      </c>
      <c r="Z168" s="94"/>
      <c r="AA168" s="92"/>
      <c r="AB168" s="93"/>
      <c r="AC168" s="93"/>
      <c r="AD168" s="93"/>
      <c r="AE168" s="93"/>
      <c r="AF168" s="93">
        <f>Table5101345411[[#This Row],[العدد]]*Table5101345411[[#This Row],[قيمة الشراء]]</f>
        <v>0</v>
      </c>
      <c r="AG168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68" s="187">
        <f>Table5101345411[[#This Row],[الكمية]]+Table5101345411[[#This Row],[عدد الإضافات]]-Table5101345411[[#This Row],[العدد]]</f>
        <v>1</v>
      </c>
      <c r="AI168" s="68">
        <f>Table5101345411[[#This Row],[الإجمالي]]+Table5101345411[[#This Row],[إجمالي الإضافات]]-Table5101345411[[#This Row],[إجمالي المستبعد]]</f>
        <v>66437</v>
      </c>
      <c r="AJ168" s="71">
        <v>0.15</v>
      </c>
      <c r="AK168" s="188"/>
      <c r="AL168" s="108" t="s">
        <v>61</v>
      </c>
      <c r="AM168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9965.5499999999993</v>
      </c>
      <c r="AN168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68" s="70">
        <f>Table5101345411[[#This Row],[اهلاك المستبعد
في 2018]]+Table5101345411[[#This Row],[مجمع إهلاك المستبعد 
01-01-2018]]</f>
        <v>0</v>
      </c>
      <c r="AP168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68" s="200"/>
      <c r="AR168" s="68">
        <f>IF(OR(Table5101345411[[#This Row],[تاريخ الشراء-الاستلام]]="",Table5101345411[[#This Row],[الإجمالي]]="",Table5101345411[[#This Row],[العمر الافتراضي]]=""),"",IF(((T168+AM168)-Table5101345411[[#This Row],[مجمع إهلاك المستبعد 
بتاريخ الأستبعاد]])&lt;=0,0,((T168+AM168)-Table5101345411[[#This Row],[مجمع إهلاك المستبعد 
بتاريخ الأستبعاد]])))</f>
        <v>21105.123698630166</v>
      </c>
      <c r="AS168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الشراء-الاستلام]]&gt;DATE(2018,12,31),0,AI168-AR168)))</f>
        <v>45331.876301369834</v>
      </c>
    </row>
    <row r="169" spans="1:45" s="141" customFormat="1" ht="83.25" customHeight="1">
      <c r="A169" s="64">
        <f>IF(B169="","",SUBTOTAL(3,$B$6:B169))</f>
        <v>164</v>
      </c>
      <c r="B169" s="65" t="s">
        <v>121</v>
      </c>
      <c r="C169" s="66" t="s">
        <v>54</v>
      </c>
      <c r="D169" s="65" t="s">
        <v>68</v>
      </c>
      <c r="E169" s="59" t="s">
        <v>796</v>
      </c>
      <c r="F169" s="226" t="s">
        <v>714</v>
      </c>
      <c r="G169" s="226" t="s">
        <v>745</v>
      </c>
      <c r="H169" s="65" t="s">
        <v>57</v>
      </c>
      <c r="I169" s="58" t="s">
        <v>69</v>
      </c>
      <c r="J169" s="65" t="s">
        <v>64</v>
      </c>
      <c r="K169" s="65"/>
      <c r="L169" s="67"/>
      <c r="M169" s="65">
        <v>42692</v>
      </c>
      <c r="N169" s="85" t="s">
        <v>136</v>
      </c>
      <c r="O169" s="154" t="s">
        <v>133</v>
      </c>
      <c r="P169" s="125">
        <v>1</v>
      </c>
      <c r="Q169" s="126"/>
      <c r="R169" s="127">
        <v>66437</v>
      </c>
      <c r="S169" s="127">
        <f t="shared" si="3"/>
        <v>66437</v>
      </c>
      <c r="T169" s="127">
        <f t="shared" si="4"/>
        <v>11139.573698630165</v>
      </c>
      <c r="U169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الشراء-الاستلام]]&lt;DATE(2018,1,1),S169-T169,0))</f>
        <v>55297.426301369836</v>
      </c>
      <c r="V169" s="167"/>
      <c r="W169" s="111"/>
      <c r="X169" s="111"/>
      <c r="Y169" s="112">
        <f>Table5101345411[[#This Row],[عدد الإضافات]]*Table5101345411[[#This Row],[سعر الحبة المضافة]]</f>
        <v>0</v>
      </c>
      <c r="Z169" s="94"/>
      <c r="AA169" s="92"/>
      <c r="AB169" s="93"/>
      <c r="AC169" s="93"/>
      <c r="AD169" s="93"/>
      <c r="AE169" s="93"/>
      <c r="AF169" s="93">
        <f>Table5101345411[[#This Row],[العدد]]*Table5101345411[[#This Row],[قيمة الشراء]]</f>
        <v>0</v>
      </c>
      <c r="AG169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69" s="187">
        <f>Table5101345411[[#This Row],[الكمية]]+Table5101345411[[#This Row],[عدد الإضافات]]-Table5101345411[[#This Row],[العدد]]</f>
        <v>1</v>
      </c>
      <c r="AI169" s="68">
        <f>Table5101345411[[#This Row],[الإجمالي]]+Table5101345411[[#This Row],[إجمالي الإضافات]]-Table5101345411[[#This Row],[إجمالي المستبعد]]</f>
        <v>66437</v>
      </c>
      <c r="AJ169" s="71">
        <v>0.15</v>
      </c>
      <c r="AK169" s="188"/>
      <c r="AL169" s="108" t="s">
        <v>61</v>
      </c>
      <c r="AM169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9965.5499999999993</v>
      </c>
      <c r="AN169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69" s="70">
        <f>Table5101345411[[#This Row],[اهلاك المستبعد
في 2018]]+Table5101345411[[#This Row],[مجمع إهلاك المستبعد 
01-01-2018]]</f>
        <v>0</v>
      </c>
      <c r="AP169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69" s="200"/>
      <c r="AR169" s="68">
        <f>IF(OR(Table5101345411[[#This Row],[تاريخ الشراء-الاستلام]]="",Table5101345411[[#This Row],[الإجمالي]]="",Table5101345411[[#This Row],[العمر الافتراضي]]=""),"",IF(((T169+AM169)-Table5101345411[[#This Row],[مجمع إهلاك المستبعد 
بتاريخ الأستبعاد]])&lt;=0,0,((T169+AM169)-Table5101345411[[#This Row],[مجمع إهلاك المستبعد 
بتاريخ الأستبعاد]])))</f>
        <v>21105.123698630166</v>
      </c>
      <c r="AS169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الشراء-الاستلام]]&gt;DATE(2018,12,31),0,AI169-AR169)))</f>
        <v>45331.876301369834</v>
      </c>
    </row>
    <row r="170" spans="1:45" s="141" customFormat="1" ht="83.25" customHeight="1">
      <c r="A170" s="64">
        <f>IF(B170="","",SUBTOTAL(3,$B$6:B170))</f>
        <v>165</v>
      </c>
      <c r="B170" s="65" t="s">
        <v>121</v>
      </c>
      <c r="C170" s="66" t="s">
        <v>54</v>
      </c>
      <c r="D170" s="65" t="s">
        <v>68</v>
      </c>
      <c r="E170" s="59" t="s">
        <v>796</v>
      </c>
      <c r="F170" s="226" t="s">
        <v>715</v>
      </c>
      <c r="G170" s="226" t="s">
        <v>746</v>
      </c>
      <c r="H170" s="65" t="s">
        <v>57</v>
      </c>
      <c r="I170" s="58" t="s">
        <v>69</v>
      </c>
      <c r="J170" s="65" t="s">
        <v>64</v>
      </c>
      <c r="K170" s="65"/>
      <c r="L170" s="67"/>
      <c r="M170" s="65">
        <v>42692</v>
      </c>
      <c r="N170" s="85" t="s">
        <v>136</v>
      </c>
      <c r="O170" s="154" t="s">
        <v>133</v>
      </c>
      <c r="P170" s="125">
        <v>1</v>
      </c>
      <c r="Q170" s="126"/>
      <c r="R170" s="127">
        <v>66437</v>
      </c>
      <c r="S170" s="127">
        <f t="shared" si="3"/>
        <v>66437</v>
      </c>
      <c r="T170" s="127">
        <f t="shared" si="4"/>
        <v>11139.573698630165</v>
      </c>
      <c r="U170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الشراء-الاستلام]]&lt;DATE(2018,1,1),S170-T170,0))</f>
        <v>55297.426301369836</v>
      </c>
      <c r="V170" s="167"/>
      <c r="W170" s="111"/>
      <c r="X170" s="111"/>
      <c r="Y170" s="112">
        <f>Table5101345411[[#This Row],[عدد الإضافات]]*Table5101345411[[#This Row],[سعر الحبة المضافة]]</f>
        <v>0</v>
      </c>
      <c r="Z170" s="94"/>
      <c r="AA170" s="92"/>
      <c r="AB170" s="93"/>
      <c r="AC170" s="93"/>
      <c r="AD170" s="93"/>
      <c r="AE170" s="93"/>
      <c r="AF170" s="93">
        <f>Table5101345411[[#This Row],[العدد]]*Table5101345411[[#This Row],[قيمة الشراء]]</f>
        <v>0</v>
      </c>
      <c r="AG170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70" s="187">
        <f>Table5101345411[[#This Row],[الكمية]]+Table5101345411[[#This Row],[عدد الإضافات]]-Table5101345411[[#This Row],[العدد]]</f>
        <v>1</v>
      </c>
      <c r="AI170" s="68">
        <f>Table5101345411[[#This Row],[الإجمالي]]+Table5101345411[[#This Row],[إجمالي الإضافات]]-Table5101345411[[#This Row],[إجمالي المستبعد]]</f>
        <v>66437</v>
      </c>
      <c r="AJ170" s="71">
        <v>0.15</v>
      </c>
      <c r="AK170" s="188"/>
      <c r="AL170" s="108" t="s">
        <v>61</v>
      </c>
      <c r="AM170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9965.5499999999993</v>
      </c>
      <c r="AN170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70" s="70">
        <f>Table5101345411[[#This Row],[اهلاك المستبعد
في 2018]]+Table5101345411[[#This Row],[مجمع إهلاك المستبعد 
01-01-2018]]</f>
        <v>0</v>
      </c>
      <c r="AP170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70" s="200"/>
      <c r="AR170" s="68">
        <f>IF(OR(Table5101345411[[#This Row],[تاريخ الشراء-الاستلام]]="",Table5101345411[[#This Row],[الإجمالي]]="",Table5101345411[[#This Row],[العمر الافتراضي]]=""),"",IF(((T170+AM170)-Table5101345411[[#This Row],[مجمع إهلاك المستبعد 
بتاريخ الأستبعاد]])&lt;=0,0,((T170+AM170)-Table5101345411[[#This Row],[مجمع إهلاك المستبعد 
بتاريخ الأستبعاد]])))</f>
        <v>21105.123698630166</v>
      </c>
      <c r="AS170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الشراء-الاستلام]]&gt;DATE(2018,12,31),0,AI170-AR170)))</f>
        <v>45331.876301369834</v>
      </c>
    </row>
    <row r="171" spans="1:45" s="141" customFormat="1" ht="83.25" customHeight="1">
      <c r="A171" s="64">
        <f>IF(B171="","",SUBTOTAL(3,$B$6:B171))</f>
        <v>166</v>
      </c>
      <c r="B171" s="65" t="s">
        <v>121</v>
      </c>
      <c r="C171" s="66" t="s">
        <v>54</v>
      </c>
      <c r="D171" s="65" t="s">
        <v>68</v>
      </c>
      <c r="E171" s="59" t="s">
        <v>796</v>
      </c>
      <c r="F171" s="226" t="s">
        <v>716</v>
      </c>
      <c r="G171" s="226" t="s">
        <v>747</v>
      </c>
      <c r="H171" s="65" t="s">
        <v>57</v>
      </c>
      <c r="I171" s="58" t="s">
        <v>69</v>
      </c>
      <c r="J171" s="65" t="s">
        <v>64</v>
      </c>
      <c r="K171" s="65"/>
      <c r="L171" s="67"/>
      <c r="M171" s="65">
        <v>42692</v>
      </c>
      <c r="N171" s="85" t="s">
        <v>136</v>
      </c>
      <c r="O171" s="154" t="s">
        <v>133</v>
      </c>
      <c r="P171" s="125">
        <v>1</v>
      </c>
      <c r="Q171" s="126"/>
      <c r="R171" s="127">
        <v>66437</v>
      </c>
      <c r="S171" s="127">
        <f t="shared" si="3"/>
        <v>66437</v>
      </c>
      <c r="T171" s="127">
        <f t="shared" si="4"/>
        <v>11139.573698630165</v>
      </c>
      <c r="U171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الشراء-الاستلام]]&lt;DATE(2018,1,1),S171-T171,0))</f>
        <v>55297.426301369836</v>
      </c>
      <c r="V171" s="167"/>
      <c r="W171" s="111"/>
      <c r="X171" s="111"/>
      <c r="Y171" s="112">
        <f>Table5101345411[[#This Row],[عدد الإضافات]]*Table5101345411[[#This Row],[سعر الحبة المضافة]]</f>
        <v>0</v>
      </c>
      <c r="Z171" s="94"/>
      <c r="AA171" s="92"/>
      <c r="AB171" s="93"/>
      <c r="AC171" s="93"/>
      <c r="AD171" s="93"/>
      <c r="AE171" s="93"/>
      <c r="AF171" s="93">
        <f>Table5101345411[[#This Row],[العدد]]*Table5101345411[[#This Row],[قيمة الشراء]]</f>
        <v>0</v>
      </c>
      <c r="AG171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71" s="187">
        <f>Table5101345411[[#This Row],[الكمية]]+Table5101345411[[#This Row],[عدد الإضافات]]-Table5101345411[[#This Row],[العدد]]</f>
        <v>1</v>
      </c>
      <c r="AI171" s="68">
        <f>Table5101345411[[#This Row],[الإجمالي]]+Table5101345411[[#This Row],[إجمالي الإضافات]]-Table5101345411[[#This Row],[إجمالي المستبعد]]</f>
        <v>66437</v>
      </c>
      <c r="AJ171" s="71">
        <v>0.15</v>
      </c>
      <c r="AK171" s="188"/>
      <c r="AL171" s="108" t="s">
        <v>61</v>
      </c>
      <c r="AM171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9965.5499999999993</v>
      </c>
      <c r="AN171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71" s="70">
        <f>Table5101345411[[#This Row],[اهلاك المستبعد
في 2018]]+Table5101345411[[#This Row],[مجمع إهلاك المستبعد 
01-01-2018]]</f>
        <v>0</v>
      </c>
      <c r="AP171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71" s="200"/>
      <c r="AR171" s="68">
        <f>IF(OR(Table5101345411[[#This Row],[تاريخ الشراء-الاستلام]]="",Table5101345411[[#This Row],[الإجمالي]]="",Table5101345411[[#This Row],[العمر الافتراضي]]=""),"",IF(((T171+AM171)-Table5101345411[[#This Row],[مجمع إهلاك المستبعد 
بتاريخ الأستبعاد]])&lt;=0,0,((T171+AM171)-Table5101345411[[#This Row],[مجمع إهلاك المستبعد 
بتاريخ الأستبعاد]])))</f>
        <v>21105.123698630166</v>
      </c>
      <c r="AS171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الشراء-الاستلام]]&gt;DATE(2018,12,31),0,AI171-AR171)))</f>
        <v>45331.876301369834</v>
      </c>
    </row>
    <row r="172" spans="1:45" s="141" customFormat="1" ht="83.25" customHeight="1">
      <c r="A172" s="64">
        <f>IF(B172="","",SUBTOTAL(3,$B$6:B172))</f>
        <v>167</v>
      </c>
      <c r="B172" s="65" t="s">
        <v>121</v>
      </c>
      <c r="C172" s="66" t="s">
        <v>54</v>
      </c>
      <c r="D172" s="65" t="s">
        <v>68</v>
      </c>
      <c r="E172" s="59" t="s">
        <v>796</v>
      </c>
      <c r="F172" s="226" t="s">
        <v>717</v>
      </c>
      <c r="G172" s="226" t="s">
        <v>748</v>
      </c>
      <c r="H172" s="65" t="s">
        <v>57</v>
      </c>
      <c r="I172" s="58" t="s">
        <v>69</v>
      </c>
      <c r="J172" s="65" t="s">
        <v>64</v>
      </c>
      <c r="K172" s="65"/>
      <c r="L172" s="67"/>
      <c r="M172" s="65">
        <v>42692</v>
      </c>
      <c r="N172" s="85" t="s">
        <v>136</v>
      </c>
      <c r="O172" s="154" t="s">
        <v>133</v>
      </c>
      <c r="P172" s="125">
        <v>1</v>
      </c>
      <c r="Q172" s="126"/>
      <c r="R172" s="127">
        <v>66437</v>
      </c>
      <c r="S172" s="127">
        <f t="shared" si="3"/>
        <v>66437</v>
      </c>
      <c r="T172" s="127">
        <f t="shared" si="4"/>
        <v>11139.573698630165</v>
      </c>
      <c r="U172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الشراء-الاستلام]]&lt;DATE(2018,1,1),S172-T172,0))</f>
        <v>55297.426301369836</v>
      </c>
      <c r="V172" s="167"/>
      <c r="W172" s="111"/>
      <c r="X172" s="111"/>
      <c r="Y172" s="112">
        <f>Table5101345411[[#This Row],[عدد الإضافات]]*Table5101345411[[#This Row],[سعر الحبة المضافة]]</f>
        <v>0</v>
      </c>
      <c r="Z172" s="94"/>
      <c r="AA172" s="92"/>
      <c r="AB172" s="93"/>
      <c r="AC172" s="93"/>
      <c r="AD172" s="93"/>
      <c r="AE172" s="93"/>
      <c r="AF172" s="93">
        <f>Table5101345411[[#This Row],[العدد]]*Table5101345411[[#This Row],[قيمة الشراء]]</f>
        <v>0</v>
      </c>
      <c r="AG172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72" s="187">
        <f>Table5101345411[[#This Row],[الكمية]]+Table5101345411[[#This Row],[عدد الإضافات]]-Table5101345411[[#This Row],[العدد]]</f>
        <v>1</v>
      </c>
      <c r="AI172" s="68">
        <f>Table5101345411[[#This Row],[الإجمالي]]+Table5101345411[[#This Row],[إجمالي الإضافات]]-Table5101345411[[#This Row],[إجمالي المستبعد]]</f>
        <v>66437</v>
      </c>
      <c r="AJ172" s="71">
        <v>0.15</v>
      </c>
      <c r="AK172" s="188"/>
      <c r="AL172" s="108" t="s">
        <v>61</v>
      </c>
      <c r="AM172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9965.5499999999993</v>
      </c>
      <c r="AN172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72" s="70">
        <f>Table5101345411[[#This Row],[اهلاك المستبعد
في 2018]]+Table5101345411[[#This Row],[مجمع إهلاك المستبعد 
01-01-2018]]</f>
        <v>0</v>
      </c>
      <c r="AP172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72" s="200"/>
      <c r="AR172" s="68">
        <f>IF(OR(Table5101345411[[#This Row],[تاريخ الشراء-الاستلام]]="",Table5101345411[[#This Row],[الإجمالي]]="",Table5101345411[[#This Row],[العمر الافتراضي]]=""),"",IF(((T172+AM172)-Table5101345411[[#This Row],[مجمع إهلاك المستبعد 
بتاريخ الأستبعاد]])&lt;=0,0,((T172+AM172)-Table5101345411[[#This Row],[مجمع إهلاك المستبعد 
بتاريخ الأستبعاد]])))</f>
        <v>21105.123698630166</v>
      </c>
      <c r="AS172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الشراء-الاستلام]]&gt;DATE(2018,12,31),0,AI172-AR172)))</f>
        <v>45331.876301369834</v>
      </c>
    </row>
    <row r="173" spans="1:45" s="141" customFormat="1" ht="83.25" customHeight="1">
      <c r="A173" s="64">
        <f>IF(B173="","",SUBTOTAL(3,$B$6:B173))</f>
        <v>168</v>
      </c>
      <c r="B173" s="65" t="s">
        <v>121</v>
      </c>
      <c r="C173" s="66" t="s">
        <v>54</v>
      </c>
      <c r="D173" s="65" t="s">
        <v>68</v>
      </c>
      <c r="E173" s="59" t="s">
        <v>796</v>
      </c>
      <c r="F173" s="226" t="s">
        <v>718</v>
      </c>
      <c r="G173" s="226" t="s">
        <v>749</v>
      </c>
      <c r="H173" s="65" t="s">
        <v>57</v>
      </c>
      <c r="I173" s="58" t="s">
        <v>69</v>
      </c>
      <c r="J173" s="65" t="s">
        <v>64</v>
      </c>
      <c r="K173" s="65"/>
      <c r="L173" s="67"/>
      <c r="M173" s="65">
        <v>42692</v>
      </c>
      <c r="N173" s="85" t="s">
        <v>136</v>
      </c>
      <c r="O173" s="154" t="s">
        <v>133</v>
      </c>
      <c r="P173" s="125">
        <v>1</v>
      </c>
      <c r="Q173" s="126"/>
      <c r="R173" s="127">
        <v>66437</v>
      </c>
      <c r="S173" s="127">
        <f t="shared" si="3"/>
        <v>66437</v>
      </c>
      <c r="T173" s="127">
        <f t="shared" si="4"/>
        <v>11139.573698630165</v>
      </c>
      <c r="U173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الشراء-الاستلام]]&lt;DATE(2018,1,1),S173-T173,0))</f>
        <v>55297.426301369836</v>
      </c>
      <c r="V173" s="167"/>
      <c r="W173" s="111"/>
      <c r="X173" s="111"/>
      <c r="Y173" s="112">
        <f>Table5101345411[[#This Row],[عدد الإضافات]]*Table5101345411[[#This Row],[سعر الحبة المضافة]]</f>
        <v>0</v>
      </c>
      <c r="Z173" s="94"/>
      <c r="AA173" s="92"/>
      <c r="AB173" s="93"/>
      <c r="AC173" s="93"/>
      <c r="AD173" s="93"/>
      <c r="AE173" s="93"/>
      <c r="AF173" s="93">
        <f>Table5101345411[[#This Row],[العدد]]*Table5101345411[[#This Row],[قيمة الشراء]]</f>
        <v>0</v>
      </c>
      <c r="AG173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73" s="187">
        <f>Table5101345411[[#This Row],[الكمية]]+Table5101345411[[#This Row],[عدد الإضافات]]-Table5101345411[[#This Row],[العدد]]</f>
        <v>1</v>
      </c>
      <c r="AI173" s="68">
        <f>Table5101345411[[#This Row],[الإجمالي]]+Table5101345411[[#This Row],[إجمالي الإضافات]]-Table5101345411[[#This Row],[إجمالي المستبعد]]</f>
        <v>66437</v>
      </c>
      <c r="AJ173" s="71">
        <v>0.15</v>
      </c>
      <c r="AK173" s="188"/>
      <c r="AL173" s="108" t="s">
        <v>61</v>
      </c>
      <c r="AM173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9965.5499999999993</v>
      </c>
      <c r="AN173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73" s="70">
        <f>Table5101345411[[#This Row],[اهلاك المستبعد
في 2018]]+Table5101345411[[#This Row],[مجمع إهلاك المستبعد 
01-01-2018]]</f>
        <v>0</v>
      </c>
      <c r="AP173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73" s="200"/>
      <c r="AR173" s="68">
        <f>IF(OR(Table5101345411[[#This Row],[تاريخ الشراء-الاستلام]]="",Table5101345411[[#This Row],[الإجمالي]]="",Table5101345411[[#This Row],[العمر الافتراضي]]=""),"",IF(((T173+AM173)-Table5101345411[[#This Row],[مجمع إهلاك المستبعد 
بتاريخ الأستبعاد]])&lt;=0,0,((T173+AM173)-Table5101345411[[#This Row],[مجمع إهلاك المستبعد 
بتاريخ الأستبعاد]])))</f>
        <v>21105.123698630166</v>
      </c>
      <c r="AS173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الشراء-الاستلام]]&gt;DATE(2018,12,31),0,AI173-AR173)))</f>
        <v>45331.876301369834</v>
      </c>
    </row>
    <row r="174" spans="1:45" s="141" customFormat="1" ht="83.25" customHeight="1">
      <c r="A174" s="64">
        <f>IF(B174="","",SUBTOTAL(3,$B$6:B174))</f>
        <v>169</v>
      </c>
      <c r="B174" s="65" t="s">
        <v>121</v>
      </c>
      <c r="C174" s="66" t="s">
        <v>54</v>
      </c>
      <c r="D174" s="65" t="s">
        <v>68</v>
      </c>
      <c r="E174" s="59" t="s">
        <v>796</v>
      </c>
      <c r="F174" s="226" t="s">
        <v>719</v>
      </c>
      <c r="G174" s="226" t="s">
        <v>750</v>
      </c>
      <c r="H174" s="65" t="s">
        <v>57</v>
      </c>
      <c r="I174" s="58" t="s">
        <v>69</v>
      </c>
      <c r="J174" s="65" t="s">
        <v>64</v>
      </c>
      <c r="K174" s="65"/>
      <c r="L174" s="67"/>
      <c r="M174" s="65">
        <v>42692</v>
      </c>
      <c r="N174" s="85" t="s">
        <v>136</v>
      </c>
      <c r="O174" s="154" t="s">
        <v>133</v>
      </c>
      <c r="P174" s="125">
        <v>1</v>
      </c>
      <c r="Q174" s="126"/>
      <c r="R174" s="127">
        <v>66437</v>
      </c>
      <c r="S174" s="127">
        <f t="shared" si="3"/>
        <v>66437</v>
      </c>
      <c r="T174" s="127">
        <f t="shared" si="4"/>
        <v>11139.573698630165</v>
      </c>
      <c r="U174" s="153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الشراء-الاستلام]]&lt;DATE(2018,1,1),S174-T174,0))</f>
        <v>55297.426301369836</v>
      </c>
      <c r="V174" s="167"/>
      <c r="W174" s="111"/>
      <c r="X174" s="111"/>
      <c r="Y174" s="112">
        <f>Table5101345411[[#This Row],[عدد الإضافات]]*Table5101345411[[#This Row],[سعر الحبة المضافة]]</f>
        <v>0</v>
      </c>
      <c r="Z174" s="94"/>
      <c r="AA174" s="92"/>
      <c r="AB174" s="93"/>
      <c r="AC174" s="93"/>
      <c r="AD174" s="93"/>
      <c r="AE174" s="93"/>
      <c r="AF174" s="93">
        <f>Table5101345411[[#This Row],[العدد]]*Table5101345411[[#This Row],[قيمة الشراء]]</f>
        <v>0</v>
      </c>
      <c r="AG174" s="17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74" s="187">
        <f>Table5101345411[[#This Row],[الكمية]]+Table5101345411[[#This Row],[عدد الإضافات]]-Table5101345411[[#This Row],[العدد]]</f>
        <v>1</v>
      </c>
      <c r="AI174" s="68">
        <f>Table5101345411[[#This Row],[الإجمالي]]+Table5101345411[[#This Row],[إجمالي الإضافات]]-Table5101345411[[#This Row],[إجمالي المستبعد]]</f>
        <v>66437</v>
      </c>
      <c r="AJ174" s="71">
        <v>0.15</v>
      </c>
      <c r="AK174" s="188"/>
      <c r="AL174" s="108" t="s">
        <v>61</v>
      </c>
      <c r="AM174" s="19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9965.5499999999993</v>
      </c>
      <c r="AN174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74" s="70">
        <f>Table5101345411[[#This Row],[اهلاك المستبعد
في 2018]]+Table5101345411[[#This Row],[مجمع إهلاك المستبعد 
01-01-2018]]</f>
        <v>0</v>
      </c>
      <c r="AP174" s="20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74" s="200"/>
      <c r="AR174" s="68">
        <f>IF(OR(Table5101345411[[#This Row],[تاريخ الشراء-الاستلام]]="",Table5101345411[[#This Row],[الإجمالي]]="",Table5101345411[[#This Row],[العمر الافتراضي]]=""),"",IF(((T174+AM174)-Table5101345411[[#This Row],[مجمع إهلاك المستبعد 
بتاريخ الأستبعاد]])&lt;=0,0,((T174+AM174)-Table5101345411[[#This Row],[مجمع إهلاك المستبعد 
بتاريخ الأستبعاد]])))</f>
        <v>21105.123698630166</v>
      </c>
      <c r="AS174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الشراء-الاستلام]]&gt;DATE(2018,12,31),0,AI174-AR174)))</f>
        <v>45331.876301369834</v>
      </c>
    </row>
    <row r="175" spans="1:45" s="141" customFormat="1" ht="83.25" customHeight="1">
      <c r="A175" s="228">
        <f>IF(B175="","",SUBTOTAL(3,$B$6:B175))</f>
        <v>170</v>
      </c>
      <c r="B175" s="65" t="s">
        <v>121</v>
      </c>
      <c r="C175" s="66" t="s">
        <v>54</v>
      </c>
      <c r="D175" s="65" t="s">
        <v>68</v>
      </c>
      <c r="E175" s="59" t="s">
        <v>796</v>
      </c>
      <c r="F175" s="226" t="s">
        <v>720</v>
      </c>
      <c r="G175" s="226" t="s">
        <v>751</v>
      </c>
      <c r="H175" s="65" t="s">
        <v>57</v>
      </c>
      <c r="I175" s="58" t="s">
        <v>69</v>
      </c>
      <c r="J175" s="65" t="s">
        <v>64</v>
      </c>
      <c r="K175" s="65"/>
      <c r="L175" s="67"/>
      <c r="M175" s="65">
        <v>42692</v>
      </c>
      <c r="N175" s="229" t="s">
        <v>136</v>
      </c>
      <c r="O175" s="154" t="s">
        <v>133</v>
      </c>
      <c r="P175" s="125">
        <v>1</v>
      </c>
      <c r="Q175" s="126"/>
      <c r="R175" s="127">
        <v>66437</v>
      </c>
      <c r="S175" s="127">
        <f t="shared" si="3"/>
        <v>66437</v>
      </c>
      <c r="T175" s="127">
        <f t="shared" si="4"/>
        <v>11139.573698630165</v>
      </c>
      <c r="U175" s="230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الشراء-الاستلام]]&lt;DATE(2018,1,1),S175-T175,0))</f>
        <v>55297.426301369836</v>
      </c>
      <c r="V175" s="167"/>
      <c r="W175" s="111"/>
      <c r="X175" s="111"/>
      <c r="Y175" s="112">
        <f>Table5101345411[[#This Row],[عدد الإضافات]]*Table5101345411[[#This Row],[سعر الحبة المضافة]]</f>
        <v>0</v>
      </c>
      <c r="Z175" s="94"/>
      <c r="AA175" s="92"/>
      <c r="AB175" s="93"/>
      <c r="AC175" s="93"/>
      <c r="AD175" s="93"/>
      <c r="AE175" s="93"/>
      <c r="AF175" s="93">
        <f>Table5101345411[[#This Row],[العدد]]*Table5101345411[[#This Row],[قيمة الشراء]]</f>
        <v>0</v>
      </c>
      <c r="AG175" s="231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75" s="187">
        <f>Table5101345411[[#This Row],[الكمية]]+Table5101345411[[#This Row],[عدد الإضافات]]-Table5101345411[[#This Row],[العدد]]</f>
        <v>1</v>
      </c>
      <c r="AI175" s="68">
        <f>Table5101345411[[#This Row],[الإجمالي]]+Table5101345411[[#This Row],[إجمالي الإضافات]]-Table5101345411[[#This Row],[إجمالي المستبعد]]</f>
        <v>66437</v>
      </c>
      <c r="AJ175" s="71">
        <v>0.15</v>
      </c>
      <c r="AK175" s="232"/>
      <c r="AL175" s="65" t="s">
        <v>61</v>
      </c>
      <c r="AM175" s="70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9965.5499999999993</v>
      </c>
      <c r="AN175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75" s="70">
        <f>Table5101345411[[#This Row],[اهلاك المستبعد
في 2018]]+Table5101345411[[#This Row],[مجمع إهلاك المستبعد 
01-01-2018]]</f>
        <v>0</v>
      </c>
      <c r="AP175" s="70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75" s="233"/>
      <c r="AR175" s="68">
        <f>IF(OR(Table5101345411[[#This Row],[تاريخ الشراء-الاستلام]]="",Table5101345411[[#This Row],[الإجمالي]]="",Table5101345411[[#This Row],[العمر الافتراضي]]=""),"",IF(((T175+AM175)-Table5101345411[[#This Row],[مجمع إهلاك المستبعد 
بتاريخ الأستبعاد]])&lt;=0,0,((T175+AM175)-Table5101345411[[#This Row],[مجمع إهلاك المستبعد 
بتاريخ الأستبعاد]])))</f>
        <v>21105.123698630166</v>
      </c>
      <c r="AS175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الشراء-الاستلام]]&gt;DATE(2018,12,31),0,AI175-AR175)))</f>
        <v>45331.876301369834</v>
      </c>
    </row>
    <row r="176" spans="1:45" s="141" customFormat="1" ht="83.25" customHeight="1">
      <c r="A176" s="118">
        <f>IF(B176="","",SUBTOTAL(3,$B$6:B176))</f>
        <v>171</v>
      </c>
      <c r="B176" s="58" t="s">
        <v>210</v>
      </c>
      <c r="C176" s="59" t="s">
        <v>115</v>
      </c>
      <c r="D176" s="59" t="s">
        <v>84</v>
      </c>
      <c r="E176" s="59" t="s">
        <v>630</v>
      </c>
      <c r="F176" s="226" t="s">
        <v>632</v>
      </c>
      <c r="G176" s="226"/>
      <c r="H176" s="58" t="s">
        <v>57</v>
      </c>
      <c r="I176" s="58" t="s">
        <v>69</v>
      </c>
      <c r="J176" s="58" t="s">
        <v>64</v>
      </c>
      <c r="K176" s="58" t="s">
        <v>86</v>
      </c>
      <c r="L176" s="60" t="s">
        <v>633</v>
      </c>
      <c r="M176" s="77">
        <v>43466</v>
      </c>
      <c r="N176" s="77"/>
      <c r="O176" s="150"/>
      <c r="P176" s="122"/>
      <c r="Q176" s="123"/>
      <c r="R176" s="130"/>
      <c r="S176" s="130">
        <f t="shared" si="3"/>
        <v>0</v>
      </c>
      <c r="T176" s="130"/>
      <c r="U176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الشراء-الاستلام]]&lt;DATE(2018,1,1),S176-T176,0))</f>
        <v>0</v>
      </c>
      <c r="V176" s="169"/>
      <c r="W176" s="116"/>
      <c r="X176" s="116"/>
      <c r="Y176" s="117">
        <f>Table5101345411[[#This Row],[عدد الإضافات]]*Table5101345411[[#This Row],[سعر الحبة المضافة]]</f>
        <v>0</v>
      </c>
      <c r="Z176" s="101"/>
      <c r="AA176" s="102"/>
      <c r="AB176" s="103"/>
      <c r="AC176" s="103"/>
      <c r="AD176" s="103"/>
      <c r="AE176" s="103"/>
      <c r="AF176" s="103">
        <f>Table5101345411[[#This Row],[العدد]]*Table5101345411[[#This Row],[قيمة الشراء]]</f>
        <v>0</v>
      </c>
      <c r="AG176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76" s="190">
        <f>Table5101345411[[#This Row],[الكمية]]+Table5101345411[[#This Row],[عدد الإضافات]]-Table5101345411[[#This Row],[العدد]]</f>
        <v>0</v>
      </c>
      <c r="AI176" s="78">
        <f>Table5101345411[[#This Row],[الإجمالي]]+Table5101345411[[#This Row],[إجمالي الإضافات]]-Table5101345411[[#This Row],[إجمالي المستبعد]]</f>
        <v>0</v>
      </c>
      <c r="AJ176" s="120">
        <v>0.15</v>
      </c>
      <c r="AK176" s="219"/>
      <c r="AL176" s="58"/>
      <c r="AM176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176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76" s="79">
        <f>Table5101345411[[#This Row],[اهلاك المستبعد
في 2018]]+Table5101345411[[#This Row],[مجمع إهلاك المستبعد 
01-01-2018]]</f>
        <v>0</v>
      </c>
      <c r="AP176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76" s="220"/>
      <c r="AR176" s="78">
        <f>IF(OR(Table5101345411[[#This Row],[تاريخ الشراء-الاستلام]]="",Table5101345411[[#This Row],[الإجمالي]]="",Table5101345411[[#This Row],[العمر الافتراضي]]=""),"",IF(((T176+AM176)-Table5101345411[[#This Row],[مجمع إهلاك المستبعد 
بتاريخ الأستبعاد]])&lt;=0,0,((T176+AM176)-Table5101345411[[#This Row],[مجمع إهلاك المستبعد 
بتاريخ الأستبعاد]])))</f>
        <v>0</v>
      </c>
      <c r="AS176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الشراء-الاستلام]]&gt;DATE(2018,12,31),0,AI176-AR176)))</f>
        <v>0</v>
      </c>
    </row>
    <row r="177" spans="1:45" s="141" customFormat="1" ht="83.25" customHeight="1">
      <c r="A177" s="118">
        <f>IF(B177="","",SUBTOTAL(3,$B$6:B177))</f>
        <v>172</v>
      </c>
      <c r="B177" s="58" t="s">
        <v>210</v>
      </c>
      <c r="C177" s="59" t="s">
        <v>115</v>
      </c>
      <c r="D177" s="59" t="s">
        <v>84</v>
      </c>
      <c r="E177" s="59" t="s">
        <v>630</v>
      </c>
      <c r="F177" s="226" t="s">
        <v>634</v>
      </c>
      <c r="G177" s="226"/>
      <c r="H177" s="58" t="s">
        <v>57</v>
      </c>
      <c r="I177" s="58" t="s">
        <v>69</v>
      </c>
      <c r="J177" s="58" t="s">
        <v>64</v>
      </c>
      <c r="K177" s="58" t="s">
        <v>86</v>
      </c>
      <c r="L177" s="60">
        <v>4454</v>
      </c>
      <c r="M177" s="77">
        <v>43466</v>
      </c>
      <c r="N177" s="77"/>
      <c r="O177" s="150"/>
      <c r="P177" s="122"/>
      <c r="Q177" s="123"/>
      <c r="R177" s="130"/>
      <c r="S177" s="130">
        <f t="shared" si="3"/>
        <v>0</v>
      </c>
      <c r="T177" s="130"/>
      <c r="U177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الشراء-الاستلام]]&lt;DATE(2018,1,1),S177-T177,0))</f>
        <v>0</v>
      </c>
      <c r="V177" s="169"/>
      <c r="W177" s="116"/>
      <c r="X177" s="116"/>
      <c r="Y177" s="117">
        <f>Table5101345411[[#This Row],[عدد الإضافات]]*Table5101345411[[#This Row],[سعر الحبة المضافة]]</f>
        <v>0</v>
      </c>
      <c r="Z177" s="101"/>
      <c r="AA177" s="102"/>
      <c r="AB177" s="103"/>
      <c r="AC177" s="103"/>
      <c r="AD177" s="103"/>
      <c r="AE177" s="103"/>
      <c r="AF177" s="103">
        <f>Table5101345411[[#This Row],[العدد]]*Table5101345411[[#This Row],[قيمة الشراء]]</f>
        <v>0</v>
      </c>
      <c r="AG177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77" s="190">
        <f>Table5101345411[[#This Row],[الكمية]]+Table5101345411[[#This Row],[عدد الإضافات]]-Table5101345411[[#This Row],[العدد]]</f>
        <v>0</v>
      </c>
      <c r="AI177" s="78">
        <f>Table5101345411[[#This Row],[الإجمالي]]+Table5101345411[[#This Row],[إجمالي الإضافات]]-Table5101345411[[#This Row],[إجمالي المستبعد]]</f>
        <v>0</v>
      </c>
      <c r="AJ177" s="120">
        <v>0.15</v>
      </c>
      <c r="AK177" s="219"/>
      <c r="AL177" s="58"/>
      <c r="AM177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177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77" s="79">
        <f>Table5101345411[[#This Row],[اهلاك المستبعد
في 2018]]+Table5101345411[[#This Row],[مجمع إهلاك المستبعد 
01-01-2018]]</f>
        <v>0</v>
      </c>
      <c r="AP177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77" s="220"/>
      <c r="AR177" s="78">
        <f>IF(OR(Table5101345411[[#This Row],[تاريخ الشراء-الاستلام]]="",Table5101345411[[#This Row],[الإجمالي]]="",Table5101345411[[#This Row],[العمر الافتراضي]]=""),"",IF(((T177+AM177)-Table5101345411[[#This Row],[مجمع إهلاك المستبعد 
بتاريخ الأستبعاد]])&lt;=0,0,((T177+AM177)-Table5101345411[[#This Row],[مجمع إهلاك المستبعد 
بتاريخ الأستبعاد]])))</f>
        <v>0</v>
      </c>
      <c r="AS177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الشراء-الاستلام]]&gt;DATE(2018,12,31),0,AI177-AR177)))</f>
        <v>0</v>
      </c>
    </row>
    <row r="178" spans="1:45" s="141" customFormat="1" ht="83.25" customHeight="1">
      <c r="A178" s="118">
        <f>IF(B178="","",SUBTOTAL(3,$B$6:B178))</f>
        <v>173</v>
      </c>
      <c r="B178" s="58" t="s">
        <v>210</v>
      </c>
      <c r="C178" s="59" t="s">
        <v>54</v>
      </c>
      <c r="D178" s="59" t="s">
        <v>84</v>
      </c>
      <c r="E178" s="59" t="s">
        <v>630</v>
      </c>
      <c r="F178" s="226" t="s">
        <v>631</v>
      </c>
      <c r="G178" s="226"/>
      <c r="H178" s="58" t="s">
        <v>57</v>
      </c>
      <c r="I178" s="58" t="s">
        <v>69</v>
      </c>
      <c r="J178" s="58" t="s">
        <v>64</v>
      </c>
      <c r="K178" s="58" t="s">
        <v>86</v>
      </c>
      <c r="L178" s="60" t="s">
        <v>234</v>
      </c>
      <c r="M178" s="77">
        <v>39813</v>
      </c>
      <c r="N178" s="77" t="s">
        <v>115</v>
      </c>
      <c r="O178" s="150"/>
      <c r="P178" s="122">
        <v>1</v>
      </c>
      <c r="Q178" s="123"/>
      <c r="R178" s="130">
        <v>222529</v>
      </c>
      <c r="S178" s="130">
        <f t="shared" si="3"/>
        <v>222529</v>
      </c>
      <c r="T178" s="130">
        <v>222529</v>
      </c>
      <c r="U178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الشراء-الاستلام]]&lt;DATE(2018,1,1),S178-T178,0))</f>
        <v>0</v>
      </c>
      <c r="V178" s="169"/>
      <c r="W178" s="116"/>
      <c r="X178" s="116"/>
      <c r="Y178" s="117">
        <f>Table5101345411[[#This Row],[عدد الإضافات]]*Table5101345411[[#This Row],[سعر الحبة المضافة]]</f>
        <v>0</v>
      </c>
      <c r="Z178" s="101"/>
      <c r="AA178" s="102"/>
      <c r="AB178" s="103"/>
      <c r="AC178" s="103"/>
      <c r="AD178" s="103"/>
      <c r="AE178" s="103"/>
      <c r="AF178" s="103">
        <f>Table5101345411[[#This Row],[العدد]]*Table5101345411[[#This Row],[قيمة الشراء]]</f>
        <v>0</v>
      </c>
      <c r="AG178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78" s="190">
        <f>Table5101345411[[#This Row],[الكمية]]+Table5101345411[[#This Row],[عدد الإضافات]]-Table5101345411[[#This Row],[العدد]]</f>
        <v>1</v>
      </c>
      <c r="AI178" s="78">
        <f>Table5101345411[[#This Row],[الإجمالي]]+Table5101345411[[#This Row],[إجمالي الإضافات]]-Table5101345411[[#This Row],[إجمالي المستبعد]]</f>
        <v>222529</v>
      </c>
      <c r="AJ178" s="120">
        <v>0.15</v>
      </c>
      <c r="AK178" s="219"/>
      <c r="AL178" s="58" t="s">
        <v>61</v>
      </c>
      <c r="AM178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178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78" s="79">
        <f>Table5101345411[[#This Row],[اهلاك المستبعد
في 2018]]+Table5101345411[[#This Row],[مجمع إهلاك المستبعد 
01-01-2018]]</f>
        <v>0</v>
      </c>
      <c r="AP178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78" s="220"/>
      <c r="AR178" s="78">
        <f>IF(OR(Table5101345411[[#This Row],[تاريخ الشراء-الاستلام]]="",Table5101345411[[#This Row],[الإجمالي]]="",Table5101345411[[#This Row],[العمر الافتراضي]]=""),"",IF(((T178+AM178)-Table5101345411[[#This Row],[مجمع إهلاك المستبعد 
بتاريخ الأستبعاد]])&lt;=0,0,((T178+AM178)-Table5101345411[[#This Row],[مجمع إهلاك المستبعد 
بتاريخ الأستبعاد]])))</f>
        <v>222529</v>
      </c>
      <c r="AS178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الشراء-الاستلام]]&gt;DATE(2018,12,31),0,AI178-AR178)))</f>
        <v>0</v>
      </c>
    </row>
    <row r="179" spans="1:45" s="141" customFormat="1" ht="83.25" customHeight="1">
      <c r="A179" s="118">
        <f>IF(B179="","",SUBTOTAL(3,$B$6:B179))</f>
        <v>174</v>
      </c>
      <c r="B179" s="58" t="s">
        <v>118</v>
      </c>
      <c r="C179" s="59" t="s">
        <v>54</v>
      </c>
      <c r="D179" s="59" t="s">
        <v>522</v>
      </c>
      <c r="E179" s="59" t="s">
        <v>524</v>
      </c>
      <c r="F179" s="226" t="s">
        <v>524</v>
      </c>
      <c r="G179" s="226"/>
      <c r="H179" s="58" t="s">
        <v>57</v>
      </c>
      <c r="I179" s="58" t="s">
        <v>85</v>
      </c>
      <c r="J179" s="58" t="s">
        <v>64</v>
      </c>
      <c r="K179" s="58"/>
      <c r="L179" s="60"/>
      <c r="M179" s="77">
        <v>42370</v>
      </c>
      <c r="N179" s="77" t="s">
        <v>142</v>
      </c>
      <c r="O179" s="150"/>
      <c r="P179" s="122">
        <v>68</v>
      </c>
      <c r="Q179" s="123"/>
      <c r="R179" s="130">
        <f>1200-0.74</f>
        <v>1199.26</v>
      </c>
      <c r="S179" s="130">
        <f t="shared" si="3"/>
        <v>81549.679999999993</v>
      </c>
      <c r="T179" s="130">
        <v>24464.903999999999</v>
      </c>
      <c r="U179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الشراء-الاستلام]]&lt;DATE(2018,1,1),S179-T179,0))</f>
        <v>57084.775999999998</v>
      </c>
      <c r="V179" s="169"/>
      <c r="W179" s="116"/>
      <c r="X179" s="116"/>
      <c r="Y179" s="117">
        <f>Table5101345411[[#This Row],[عدد الإضافات]]*Table5101345411[[#This Row],[سعر الحبة المضافة]]</f>
        <v>0</v>
      </c>
      <c r="Z179" s="101"/>
      <c r="AA179" s="102"/>
      <c r="AB179" s="103"/>
      <c r="AC179" s="103"/>
      <c r="AD179" s="103"/>
      <c r="AE179" s="103"/>
      <c r="AF179" s="103">
        <f>Table5101345411[[#This Row],[العدد]]*Table5101345411[[#This Row],[قيمة الشراء]]</f>
        <v>0</v>
      </c>
      <c r="AG179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79" s="190">
        <f>Table5101345411[[#This Row],[الكمية]]+Table5101345411[[#This Row],[عدد الإضافات]]-Table5101345411[[#This Row],[العدد]]</f>
        <v>68</v>
      </c>
      <c r="AI179" s="78">
        <f>Table5101345411[[#This Row],[الإجمالي]]+Table5101345411[[#This Row],[إجمالي الإضافات]]-Table5101345411[[#This Row],[إجمالي المستبعد]]</f>
        <v>81549.679999999993</v>
      </c>
      <c r="AJ179" s="62">
        <v>0.125</v>
      </c>
      <c r="AK179" s="219"/>
      <c r="AL179" s="58" t="s">
        <v>61</v>
      </c>
      <c r="AM179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10193.709999999999</v>
      </c>
      <c r="AN179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79" s="79">
        <f>Table5101345411[[#This Row],[اهلاك المستبعد
في 2018]]+Table5101345411[[#This Row],[مجمع إهلاك المستبعد 
01-01-2018]]</f>
        <v>0</v>
      </c>
      <c r="AP179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79" s="220"/>
      <c r="AR179" s="78">
        <f>IF(OR(Table5101345411[[#This Row],[تاريخ الشراء-الاستلام]]="",Table5101345411[[#This Row],[الإجمالي]]="",Table5101345411[[#This Row],[العمر الافتراضي]]=""),"",IF(((T179+AM179)-Table5101345411[[#This Row],[مجمع إهلاك المستبعد 
بتاريخ الأستبعاد]])&lt;=0,0,((T179+AM179)-Table5101345411[[#This Row],[مجمع إهلاك المستبعد 
بتاريخ الأستبعاد]])))</f>
        <v>34658.614000000001</v>
      </c>
      <c r="AS179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الشراء-الاستلام]]&gt;DATE(2018,12,31),0,AI179-AR179)))</f>
        <v>46891.065999999992</v>
      </c>
    </row>
    <row r="180" spans="1:45" s="141" customFormat="1" ht="83.25" customHeight="1">
      <c r="A180" s="118">
        <f>IF(B180="","",SUBTOTAL(3,$B$6:B180))</f>
        <v>175</v>
      </c>
      <c r="B180" s="58" t="s">
        <v>143</v>
      </c>
      <c r="C180" s="59" t="s">
        <v>54</v>
      </c>
      <c r="D180" s="59" t="s">
        <v>522</v>
      </c>
      <c r="E180" s="59" t="s">
        <v>120</v>
      </c>
      <c r="F180" s="226" t="s">
        <v>120</v>
      </c>
      <c r="G180" s="226"/>
      <c r="H180" s="58" t="s">
        <v>57</v>
      </c>
      <c r="I180" s="58" t="s">
        <v>85</v>
      </c>
      <c r="J180" s="58" t="s">
        <v>64</v>
      </c>
      <c r="K180" s="58"/>
      <c r="L180" s="60"/>
      <c r="M180" s="77">
        <v>42640.6</v>
      </c>
      <c r="N180" s="77" t="s">
        <v>142</v>
      </c>
      <c r="O180" s="150"/>
      <c r="P180" s="122">
        <v>96</v>
      </c>
      <c r="Q180" s="123"/>
      <c r="R180" s="130">
        <v>1239.58</v>
      </c>
      <c r="S180" s="130">
        <f t="shared" si="3"/>
        <v>118999.67999999999</v>
      </c>
      <c r="T180" s="130">
        <v>22466.48753095897</v>
      </c>
      <c r="U180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الشراء-الاستلام]]&lt;DATE(2018,1,1),S180-T180,0))</f>
        <v>96533.192469041023</v>
      </c>
      <c r="V180" s="169"/>
      <c r="W180" s="116"/>
      <c r="X180" s="116"/>
      <c r="Y180" s="117">
        <f>Table5101345411[[#This Row],[عدد الإضافات]]*Table5101345411[[#This Row],[سعر الحبة المضافة]]</f>
        <v>0</v>
      </c>
      <c r="Z180" s="101"/>
      <c r="AA180" s="102"/>
      <c r="AB180" s="103"/>
      <c r="AC180" s="103"/>
      <c r="AD180" s="103"/>
      <c r="AE180" s="103"/>
      <c r="AF180" s="103">
        <f>Table5101345411[[#This Row],[العدد]]*Table5101345411[[#This Row],[قيمة الشراء]]</f>
        <v>0</v>
      </c>
      <c r="AG180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80" s="190">
        <f>Table5101345411[[#This Row],[الكمية]]+Table5101345411[[#This Row],[عدد الإضافات]]-Table5101345411[[#This Row],[العدد]]</f>
        <v>96</v>
      </c>
      <c r="AI180" s="78">
        <f>Table5101345411[[#This Row],[الإجمالي]]+Table5101345411[[#This Row],[إجمالي الإضافات]]-Table5101345411[[#This Row],[إجمالي المستبعد]]</f>
        <v>118999.67999999999</v>
      </c>
      <c r="AJ180" s="62">
        <v>0.125</v>
      </c>
      <c r="AK180" s="219"/>
      <c r="AL180" s="58" t="s">
        <v>61</v>
      </c>
      <c r="AM180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14874.96</v>
      </c>
      <c r="AN180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80" s="79">
        <f>Table5101345411[[#This Row],[اهلاك المستبعد
في 2018]]+Table5101345411[[#This Row],[مجمع إهلاك المستبعد 
01-01-2018]]</f>
        <v>0</v>
      </c>
      <c r="AP180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80" s="220"/>
      <c r="AR180" s="78">
        <f>IF(OR(Table5101345411[[#This Row],[تاريخ الشراء-الاستلام]]="",Table5101345411[[#This Row],[الإجمالي]]="",Table5101345411[[#This Row],[العمر الافتراضي]]=""),"",IF(((T180+AM180)-Table5101345411[[#This Row],[مجمع إهلاك المستبعد 
بتاريخ الأستبعاد]])&lt;=0,0,((T180+AM180)-Table5101345411[[#This Row],[مجمع إهلاك المستبعد 
بتاريخ الأستبعاد]])))</f>
        <v>37341.447530958969</v>
      </c>
      <c r="AS180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الشراء-الاستلام]]&gt;DATE(2018,12,31),0,AI180-AR180)))</f>
        <v>81658.232469041017</v>
      </c>
    </row>
    <row r="181" spans="1:45" s="141" customFormat="1" ht="83.25" customHeight="1">
      <c r="A181" s="118">
        <f>IF(B181="","",SUBTOTAL(3,$B$6:B181))</f>
        <v>176</v>
      </c>
      <c r="B181" s="58" t="s">
        <v>235</v>
      </c>
      <c r="C181" s="59" t="s">
        <v>54</v>
      </c>
      <c r="D181" s="59" t="s">
        <v>522</v>
      </c>
      <c r="E181" s="59" t="s">
        <v>236</v>
      </c>
      <c r="F181" s="226" t="s">
        <v>236</v>
      </c>
      <c r="G181" s="226"/>
      <c r="H181" s="58" t="s">
        <v>57</v>
      </c>
      <c r="I181" s="58" t="s">
        <v>69</v>
      </c>
      <c r="J181" s="58" t="s">
        <v>64</v>
      </c>
      <c r="K181" s="58"/>
      <c r="L181" s="60"/>
      <c r="M181" s="77">
        <v>38718</v>
      </c>
      <c r="N181" s="77"/>
      <c r="O181" s="150"/>
      <c r="P181" s="122">
        <v>113</v>
      </c>
      <c r="Q181" s="123"/>
      <c r="R181" s="130">
        <v>9000</v>
      </c>
      <c r="S181" s="130">
        <f t="shared" si="3"/>
        <v>1017000</v>
      </c>
      <c r="T181" s="130">
        <v>1017000</v>
      </c>
      <c r="U181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الشراء-الاستلام]]&lt;DATE(2018,1,1),S181-T181,0))</f>
        <v>0</v>
      </c>
      <c r="V181" s="169"/>
      <c r="W181" s="116"/>
      <c r="X181" s="116"/>
      <c r="Y181" s="117">
        <f>Table5101345411[[#This Row],[عدد الإضافات]]*Table5101345411[[#This Row],[سعر الحبة المضافة]]</f>
        <v>0</v>
      </c>
      <c r="Z181" s="101"/>
      <c r="AA181" s="102"/>
      <c r="AB181" s="103"/>
      <c r="AC181" s="103"/>
      <c r="AD181" s="103"/>
      <c r="AE181" s="103"/>
      <c r="AF181" s="103">
        <f>Table5101345411[[#This Row],[العدد]]*Table5101345411[[#This Row],[قيمة الشراء]]</f>
        <v>0</v>
      </c>
      <c r="AG181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81" s="190">
        <f>Table5101345411[[#This Row],[الكمية]]+Table5101345411[[#This Row],[عدد الإضافات]]-Table5101345411[[#This Row],[العدد]]</f>
        <v>113</v>
      </c>
      <c r="AI181" s="78">
        <f>Table5101345411[[#This Row],[الإجمالي]]+Table5101345411[[#This Row],[إجمالي الإضافات]]-Table5101345411[[#This Row],[إجمالي المستبعد]]</f>
        <v>1017000</v>
      </c>
      <c r="AJ181" s="62">
        <v>0.125</v>
      </c>
      <c r="AK181" s="219"/>
      <c r="AL181" s="58" t="s">
        <v>61</v>
      </c>
      <c r="AM181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181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81" s="79">
        <f>Table5101345411[[#This Row],[اهلاك المستبعد
في 2018]]+Table5101345411[[#This Row],[مجمع إهلاك المستبعد 
01-01-2018]]</f>
        <v>0</v>
      </c>
      <c r="AP181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81" s="220"/>
      <c r="AR181" s="78">
        <f>IF(OR(Table5101345411[[#This Row],[تاريخ الشراء-الاستلام]]="",Table5101345411[[#This Row],[الإجمالي]]="",Table5101345411[[#This Row],[العمر الافتراضي]]=""),"",IF(((T181+AM181)-Table5101345411[[#This Row],[مجمع إهلاك المستبعد 
بتاريخ الأستبعاد]])&lt;=0,0,((T181+AM181)-Table5101345411[[#This Row],[مجمع إهلاك المستبعد 
بتاريخ الأستبعاد]])))</f>
        <v>1017000</v>
      </c>
      <c r="AS181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الشراء-الاستلام]]&gt;DATE(2018,12,31),0,AI181-AR181)))</f>
        <v>0</v>
      </c>
    </row>
    <row r="182" spans="1:45" s="141" customFormat="1" ht="83.25" customHeight="1">
      <c r="A182" s="118">
        <f>IF(B182="","",SUBTOTAL(3,$B$6:B182))</f>
        <v>177</v>
      </c>
      <c r="B182" s="58" t="s">
        <v>237</v>
      </c>
      <c r="C182" s="59" t="s">
        <v>54</v>
      </c>
      <c r="D182" s="59" t="s">
        <v>522</v>
      </c>
      <c r="E182" s="59" t="s">
        <v>238</v>
      </c>
      <c r="F182" s="226" t="s">
        <v>238</v>
      </c>
      <c r="G182" s="226"/>
      <c r="H182" s="58" t="s">
        <v>57</v>
      </c>
      <c r="I182" s="58" t="s">
        <v>69</v>
      </c>
      <c r="J182" s="58" t="s">
        <v>64</v>
      </c>
      <c r="K182" s="58"/>
      <c r="L182" s="60"/>
      <c r="M182" s="77">
        <v>41109.519999999997</v>
      </c>
      <c r="N182" s="77"/>
      <c r="O182" s="150"/>
      <c r="P182" s="122">
        <v>47</v>
      </c>
      <c r="Q182" s="123"/>
      <c r="R182" s="130">
        <v>5767.02</v>
      </c>
      <c r="S182" s="130">
        <f t="shared" si="3"/>
        <v>271049.94</v>
      </c>
      <c r="T182" s="130">
        <v>174844.29115923314</v>
      </c>
      <c r="U182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الشراء-الاستلام]]&lt;DATE(2018,1,1),S182-T182,0))</f>
        <v>96205.648840766866</v>
      </c>
      <c r="V182" s="169"/>
      <c r="W182" s="116"/>
      <c r="X182" s="116"/>
      <c r="Y182" s="117">
        <f>Table5101345411[[#This Row],[عدد الإضافات]]*Table5101345411[[#This Row],[سعر الحبة المضافة]]</f>
        <v>0</v>
      </c>
      <c r="Z182" s="101"/>
      <c r="AA182" s="102"/>
      <c r="AB182" s="103"/>
      <c r="AC182" s="103"/>
      <c r="AD182" s="103"/>
      <c r="AE182" s="103"/>
      <c r="AF182" s="103">
        <f>Table5101345411[[#This Row],[العدد]]*Table5101345411[[#This Row],[قيمة الشراء]]</f>
        <v>0</v>
      </c>
      <c r="AG182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82" s="190">
        <f>Table5101345411[[#This Row],[الكمية]]+Table5101345411[[#This Row],[عدد الإضافات]]-Table5101345411[[#This Row],[العدد]]</f>
        <v>47</v>
      </c>
      <c r="AI182" s="78">
        <f>Table5101345411[[#This Row],[الإجمالي]]+Table5101345411[[#This Row],[إجمالي الإضافات]]-Table5101345411[[#This Row],[إجمالي المستبعد]]</f>
        <v>271049.94</v>
      </c>
      <c r="AJ182" s="62">
        <v>0.125</v>
      </c>
      <c r="AK182" s="219"/>
      <c r="AL182" s="58" t="s">
        <v>61</v>
      </c>
      <c r="AM182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33881.2425</v>
      </c>
      <c r="AN182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82" s="79">
        <f>Table5101345411[[#This Row],[اهلاك المستبعد
في 2018]]+Table5101345411[[#This Row],[مجمع إهلاك المستبعد 
01-01-2018]]</f>
        <v>0</v>
      </c>
      <c r="AP182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82" s="220"/>
      <c r="AR182" s="78">
        <f>IF(OR(Table5101345411[[#This Row],[تاريخ الشراء-الاستلام]]="",Table5101345411[[#This Row],[الإجمالي]]="",Table5101345411[[#This Row],[العمر الافتراضي]]=""),"",IF(((T182+AM182)-Table5101345411[[#This Row],[مجمع إهلاك المستبعد 
بتاريخ الأستبعاد]])&lt;=0,0,((T182+AM182)-Table5101345411[[#This Row],[مجمع إهلاك المستبعد 
بتاريخ الأستبعاد]])))</f>
        <v>208725.53365923313</v>
      </c>
      <c r="AS182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الشراء-الاستلام]]&gt;DATE(2018,12,31),0,AI182-AR182)))</f>
        <v>62324.406340766873</v>
      </c>
    </row>
    <row r="183" spans="1:45" s="141" customFormat="1" ht="83.25" customHeight="1">
      <c r="A183" s="118">
        <f>IF(B183="","",SUBTOTAL(3,$B$6:B183))</f>
        <v>178</v>
      </c>
      <c r="B183" s="58" t="s">
        <v>239</v>
      </c>
      <c r="C183" s="59" t="s">
        <v>54</v>
      </c>
      <c r="D183" s="59" t="s">
        <v>80</v>
      </c>
      <c r="E183" s="59" t="s">
        <v>806</v>
      </c>
      <c r="F183" s="226" t="s">
        <v>80</v>
      </c>
      <c r="G183" s="226" t="s">
        <v>805</v>
      </c>
      <c r="H183" s="58" t="s">
        <v>58</v>
      </c>
      <c r="I183" s="58" t="s">
        <v>64</v>
      </c>
      <c r="J183" s="58"/>
      <c r="K183" s="58"/>
      <c r="L183" s="60" t="s">
        <v>678</v>
      </c>
      <c r="M183" s="77">
        <v>40544</v>
      </c>
      <c r="N183" s="77"/>
      <c r="O183" s="150"/>
      <c r="P183" s="122">
        <v>1</v>
      </c>
      <c r="Q183" s="123"/>
      <c r="R183" s="130">
        <f>57000-20000</f>
        <v>37000</v>
      </c>
      <c r="S183" s="130">
        <f t="shared" si="3"/>
        <v>37000</v>
      </c>
      <c r="T183" s="130">
        <v>37000</v>
      </c>
      <c r="U183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الشراء-الاستلام]]&lt;DATE(2018,1,1),S183-T183,0))</f>
        <v>0</v>
      </c>
      <c r="V183" s="169"/>
      <c r="W183" s="116"/>
      <c r="X183" s="116"/>
      <c r="Y183" s="117">
        <f>Table5101345411[[#This Row],[عدد الإضافات]]*Table5101345411[[#This Row],[سعر الحبة المضافة]]</f>
        <v>0</v>
      </c>
      <c r="Z183" s="101"/>
      <c r="AA183" s="102"/>
      <c r="AB183" s="103"/>
      <c r="AC183" s="103"/>
      <c r="AD183" s="103"/>
      <c r="AE183" s="103"/>
      <c r="AF183" s="103">
        <f>Table5101345411[[#This Row],[العدد]]*Table5101345411[[#This Row],[قيمة الشراء]]</f>
        <v>0</v>
      </c>
      <c r="AG183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83" s="190">
        <f>Table5101345411[[#This Row],[الكمية]]+Table5101345411[[#This Row],[عدد الإضافات]]-Table5101345411[[#This Row],[العدد]]</f>
        <v>1</v>
      </c>
      <c r="AI183" s="78">
        <f>Table5101345411[[#This Row],[الإجمالي]]+Table5101345411[[#This Row],[إجمالي الإضافات]]-Table5101345411[[#This Row],[إجمالي المستبعد]]</f>
        <v>37000</v>
      </c>
      <c r="AJ183" s="120">
        <v>0.15</v>
      </c>
      <c r="AK183" s="219"/>
      <c r="AL183" s="58" t="s">
        <v>61</v>
      </c>
      <c r="AM183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183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83" s="79">
        <f>Table5101345411[[#This Row],[اهلاك المستبعد
في 2018]]+Table5101345411[[#This Row],[مجمع إهلاك المستبعد 
01-01-2018]]</f>
        <v>0</v>
      </c>
      <c r="AP183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83" s="220"/>
      <c r="AR183" s="78">
        <f>IF(OR(Table5101345411[[#This Row],[تاريخ الشراء-الاستلام]]="",Table5101345411[[#This Row],[الإجمالي]]="",Table5101345411[[#This Row],[العمر الافتراضي]]=""),"",IF(((T183+AM183)-Table5101345411[[#This Row],[مجمع إهلاك المستبعد 
بتاريخ الأستبعاد]])&lt;=0,0,((T183+AM183)-Table5101345411[[#This Row],[مجمع إهلاك المستبعد 
بتاريخ الأستبعاد]])))</f>
        <v>37000</v>
      </c>
      <c r="AS183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الشراء-الاستلام]]&gt;DATE(2018,12,31),0,AI183-AR183)))</f>
        <v>0</v>
      </c>
    </row>
    <row r="184" spans="1:45" s="141" customFormat="1" ht="83.25" customHeight="1">
      <c r="A184" s="118">
        <f>IF(B184="","",SUBTOTAL(3,$B$6:B184))</f>
        <v>179</v>
      </c>
      <c r="B184" s="58" t="s">
        <v>118</v>
      </c>
      <c r="C184" s="59" t="s">
        <v>54</v>
      </c>
      <c r="D184" s="59" t="s">
        <v>522</v>
      </c>
      <c r="E184" s="59" t="s">
        <v>524</v>
      </c>
      <c r="F184" s="226" t="s">
        <v>524</v>
      </c>
      <c r="G184" s="226"/>
      <c r="H184" s="58" t="s">
        <v>154</v>
      </c>
      <c r="I184" s="58"/>
      <c r="J184" s="58" t="s">
        <v>64</v>
      </c>
      <c r="K184" s="58"/>
      <c r="L184" s="60"/>
      <c r="M184" s="77">
        <v>41491.999000000003</v>
      </c>
      <c r="N184" s="77"/>
      <c r="O184" s="150"/>
      <c r="P184" s="122">
        <v>48</v>
      </c>
      <c r="Q184" s="123"/>
      <c r="R184" s="130">
        <v>1100</v>
      </c>
      <c r="S184" s="130">
        <f t="shared" si="3"/>
        <v>52800</v>
      </c>
      <c r="T184" s="130">
        <v>28526.480219178033</v>
      </c>
      <c r="U184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الشراء-الاستلام]]&lt;DATE(2018,1,1),S184-T184,0))</f>
        <v>24273.519780821967</v>
      </c>
      <c r="V184" s="169"/>
      <c r="W184" s="116"/>
      <c r="X184" s="116"/>
      <c r="Y184" s="117">
        <f>Table5101345411[[#This Row],[عدد الإضافات]]*Table5101345411[[#This Row],[سعر الحبة المضافة]]</f>
        <v>0</v>
      </c>
      <c r="Z184" s="101"/>
      <c r="AA184" s="102"/>
      <c r="AB184" s="103"/>
      <c r="AC184" s="103"/>
      <c r="AD184" s="103"/>
      <c r="AE184" s="103"/>
      <c r="AF184" s="103">
        <f>Table5101345411[[#This Row],[العدد]]*Table5101345411[[#This Row],[قيمة الشراء]]</f>
        <v>0</v>
      </c>
      <c r="AG184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84" s="190">
        <f>Table5101345411[[#This Row],[الكمية]]+Table5101345411[[#This Row],[عدد الإضافات]]-Table5101345411[[#This Row],[العدد]]</f>
        <v>48</v>
      </c>
      <c r="AI184" s="78">
        <f>Table5101345411[[#This Row],[الإجمالي]]+Table5101345411[[#This Row],[إجمالي الإضافات]]-Table5101345411[[#This Row],[إجمالي المستبعد]]</f>
        <v>52800</v>
      </c>
      <c r="AJ184" s="62">
        <v>0.125</v>
      </c>
      <c r="AK184" s="219"/>
      <c r="AL184" s="58" t="s">
        <v>61</v>
      </c>
      <c r="AM184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6600</v>
      </c>
      <c r="AN184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84" s="79">
        <f>Table5101345411[[#This Row],[اهلاك المستبعد
في 2018]]+Table5101345411[[#This Row],[مجمع إهلاك المستبعد 
01-01-2018]]</f>
        <v>0</v>
      </c>
      <c r="AP184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84" s="220"/>
      <c r="AR184" s="78">
        <f>IF(OR(Table5101345411[[#This Row],[تاريخ الشراء-الاستلام]]="",Table5101345411[[#This Row],[الإجمالي]]="",Table5101345411[[#This Row],[العمر الافتراضي]]=""),"",IF(((T184+AM184)-Table5101345411[[#This Row],[مجمع إهلاك المستبعد 
بتاريخ الأستبعاد]])&lt;=0,0,((T184+AM184)-Table5101345411[[#This Row],[مجمع إهلاك المستبعد 
بتاريخ الأستبعاد]])))</f>
        <v>35126.480219178033</v>
      </c>
      <c r="AS184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الشراء-الاستلام]]&gt;DATE(2018,12,31),0,AI184-AR184)))</f>
        <v>17673.519780821967</v>
      </c>
    </row>
    <row r="185" spans="1:45" s="141" customFormat="1" ht="83.25" customHeight="1">
      <c r="A185" s="118">
        <f>IF(B185="","",SUBTOTAL(3,$B$6:B185))</f>
        <v>180</v>
      </c>
      <c r="B185" s="58" t="s">
        <v>143</v>
      </c>
      <c r="C185" s="59" t="s">
        <v>54</v>
      </c>
      <c r="D185" s="59" t="s">
        <v>522</v>
      </c>
      <c r="E185" s="59" t="s">
        <v>120</v>
      </c>
      <c r="F185" s="226" t="s">
        <v>120</v>
      </c>
      <c r="G185" s="226"/>
      <c r="H185" s="58" t="s">
        <v>154</v>
      </c>
      <c r="I185" s="58"/>
      <c r="J185" s="58" t="s">
        <v>64</v>
      </c>
      <c r="K185" s="58"/>
      <c r="L185" s="60"/>
      <c r="M185" s="77">
        <v>41491.999000000003</v>
      </c>
      <c r="N185" s="77"/>
      <c r="O185" s="150"/>
      <c r="P185" s="122">
        <v>24</v>
      </c>
      <c r="Q185" s="123"/>
      <c r="R185" s="130">
        <v>1300</v>
      </c>
      <c r="S185" s="130">
        <f t="shared" si="3"/>
        <v>31200</v>
      </c>
      <c r="T185" s="130">
        <v>16856.556493150656</v>
      </c>
      <c r="U185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الشراء-الاستلام]]&lt;DATE(2018,1,1),S185-T185,0))</f>
        <v>14343.443506849344</v>
      </c>
      <c r="V185" s="169"/>
      <c r="W185" s="116"/>
      <c r="X185" s="116"/>
      <c r="Y185" s="117">
        <f>Table5101345411[[#This Row],[عدد الإضافات]]*Table5101345411[[#This Row],[سعر الحبة المضافة]]</f>
        <v>0</v>
      </c>
      <c r="Z185" s="101"/>
      <c r="AA185" s="102"/>
      <c r="AB185" s="103"/>
      <c r="AC185" s="103"/>
      <c r="AD185" s="103"/>
      <c r="AE185" s="103"/>
      <c r="AF185" s="103">
        <f>Table5101345411[[#This Row],[العدد]]*Table5101345411[[#This Row],[قيمة الشراء]]</f>
        <v>0</v>
      </c>
      <c r="AG185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85" s="190">
        <f>Table5101345411[[#This Row],[الكمية]]+Table5101345411[[#This Row],[عدد الإضافات]]-Table5101345411[[#This Row],[العدد]]</f>
        <v>24</v>
      </c>
      <c r="AI185" s="78">
        <f>Table5101345411[[#This Row],[الإجمالي]]+Table5101345411[[#This Row],[إجمالي الإضافات]]-Table5101345411[[#This Row],[إجمالي المستبعد]]</f>
        <v>31200</v>
      </c>
      <c r="AJ185" s="62">
        <v>0.125</v>
      </c>
      <c r="AK185" s="219"/>
      <c r="AL185" s="58" t="s">
        <v>61</v>
      </c>
      <c r="AM185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3900</v>
      </c>
      <c r="AN185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85" s="79">
        <f>Table5101345411[[#This Row],[اهلاك المستبعد
في 2018]]+Table5101345411[[#This Row],[مجمع إهلاك المستبعد 
01-01-2018]]</f>
        <v>0</v>
      </c>
      <c r="AP185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85" s="220"/>
      <c r="AR185" s="78">
        <f>IF(OR(Table5101345411[[#This Row],[تاريخ الشراء-الاستلام]]="",Table5101345411[[#This Row],[الإجمالي]]="",Table5101345411[[#This Row],[العمر الافتراضي]]=""),"",IF(((T185+AM185)-Table5101345411[[#This Row],[مجمع إهلاك المستبعد 
بتاريخ الأستبعاد]])&lt;=0,0,((T185+AM185)-Table5101345411[[#This Row],[مجمع إهلاك المستبعد 
بتاريخ الأستبعاد]])))</f>
        <v>20756.556493150656</v>
      </c>
      <c r="AS185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الشراء-الاستلام]]&gt;DATE(2018,12,31),0,AI185-AR185)))</f>
        <v>10443.443506849344</v>
      </c>
    </row>
    <row r="186" spans="1:45" s="141" customFormat="1" ht="83.25" customHeight="1">
      <c r="A186" s="118">
        <f>IF(B186="","",SUBTOTAL(3,$B$6:B186))</f>
        <v>181</v>
      </c>
      <c r="B186" s="58" t="s">
        <v>240</v>
      </c>
      <c r="C186" s="59" t="s">
        <v>54</v>
      </c>
      <c r="D186" s="59" t="s">
        <v>522</v>
      </c>
      <c r="E186" s="59" t="s">
        <v>236</v>
      </c>
      <c r="F186" s="226" t="s">
        <v>236</v>
      </c>
      <c r="G186" s="226"/>
      <c r="H186" s="58" t="s">
        <v>154</v>
      </c>
      <c r="I186" s="58"/>
      <c r="J186" s="58" t="s">
        <v>64</v>
      </c>
      <c r="K186" s="58"/>
      <c r="L186" s="60"/>
      <c r="M186" s="77">
        <v>41491.999000000003</v>
      </c>
      <c r="N186" s="77"/>
      <c r="O186" s="150"/>
      <c r="P186" s="122">
        <v>21</v>
      </c>
      <c r="Q186" s="123"/>
      <c r="R186" s="130">
        <v>7000</v>
      </c>
      <c r="S186" s="130">
        <f t="shared" si="3"/>
        <v>147000</v>
      </c>
      <c r="T186" s="130">
        <v>79420.314246575203</v>
      </c>
      <c r="U186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الشراء-الاستلام]]&lt;DATE(2018,1,1),S186-T186,0))</f>
        <v>67579.685753424797</v>
      </c>
      <c r="V186" s="169"/>
      <c r="W186" s="116"/>
      <c r="X186" s="116"/>
      <c r="Y186" s="117">
        <f>Table5101345411[[#This Row],[عدد الإضافات]]*Table5101345411[[#This Row],[سعر الحبة المضافة]]</f>
        <v>0</v>
      </c>
      <c r="Z186" s="101"/>
      <c r="AA186" s="102"/>
      <c r="AB186" s="103"/>
      <c r="AC186" s="103"/>
      <c r="AD186" s="103"/>
      <c r="AE186" s="103"/>
      <c r="AF186" s="103">
        <f>Table5101345411[[#This Row],[العدد]]*Table5101345411[[#This Row],[قيمة الشراء]]</f>
        <v>0</v>
      </c>
      <c r="AG186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86" s="190">
        <f>Table5101345411[[#This Row],[الكمية]]+Table5101345411[[#This Row],[عدد الإضافات]]-Table5101345411[[#This Row],[العدد]]</f>
        <v>21</v>
      </c>
      <c r="AI186" s="78">
        <f>Table5101345411[[#This Row],[الإجمالي]]+Table5101345411[[#This Row],[إجمالي الإضافات]]-Table5101345411[[#This Row],[إجمالي المستبعد]]</f>
        <v>147000</v>
      </c>
      <c r="AJ186" s="62">
        <v>0.125</v>
      </c>
      <c r="AK186" s="219"/>
      <c r="AL186" s="58" t="s">
        <v>61</v>
      </c>
      <c r="AM186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18375</v>
      </c>
      <c r="AN186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86" s="79">
        <f>Table5101345411[[#This Row],[اهلاك المستبعد
في 2018]]+Table5101345411[[#This Row],[مجمع إهلاك المستبعد 
01-01-2018]]</f>
        <v>0</v>
      </c>
      <c r="AP186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86" s="220"/>
      <c r="AR186" s="78">
        <f>IF(OR(Table5101345411[[#This Row],[تاريخ الشراء-الاستلام]]="",Table5101345411[[#This Row],[الإجمالي]]="",Table5101345411[[#This Row],[العمر الافتراضي]]=""),"",IF(((T186+AM186)-Table5101345411[[#This Row],[مجمع إهلاك المستبعد 
بتاريخ الأستبعاد]])&lt;=0,0,((T186+AM186)-Table5101345411[[#This Row],[مجمع إهلاك المستبعد 
بتاريخ الأستبعاد]])))</f>
        <v>97795.314246575203</v>
      </c>
      <c r="AS186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الشراء-الاستلام]]&gt;DATE(2018,12,31),0,AI186-AR186)))</f>
        <v>49204.685753424797</v>
      </c>
    </row>
    <row r="187" spans="1:45" s="141" customFormat="1" ht="83.25" customHeight="1">
      <c r="A187" s="118">
        <f>IF(B187="","",SUBTOTAL(3,$B$6:B187))</f>
        <v>182</v>
      </c>
      <c r="B187" s="58" t="s">
        <v>62</v>
      </c>
      <c r="C187" s="59" t="s">
        <v>54</v>
      </c>
      <c r="D187" s="59" t="s">
        <v>522</v>
      </c>
      <c r="E187" s="59" t="s">
        <v>523</v>
      </c>
      <c r="F187" s="226" t="s">
        <v>523</v>
      </c>
      <c r="G187" s="226"/>
      <c r="H187" s="58" t="s">
        <v>154</v>
      </c>
      <c r="I187" s="58"/>
      <c r="J187" s="58" t="s">
        <v>64</v>
      </c>
      <c r="K187" s="58"/>
      <c r="L187" s="60"/>
      <c r="M187" s="77">
        <v>42522</v>
      </c>
      <c r="N187" s="77" t="s">
        <v>65</v>
      </c>
      <c r="O187" s="150"/>
      <c r="P187" s="122">
        <v>30</v>
      </c>
      <c r="Q187" s="123"/>
      <c r="R187" s="130">
        <v>700</v>
      </c>
      <c r="S187" s="130">
        <f t="shared" si="3"/>
        <v>21000</v>
      </c>
      <c r="T187" s="130">
        <v>4988.2191780821922</v>
      </c>
      <c r="U187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الشراء-الاستلام]]&lt;DATE(2018,1,1),S187-T187,0))</f>
        <v>16011.780821917808</v>
      </c>
      <c r="V187" s="169"/>
      <c r="W187" s="116"/>
      <c r="X187" s="116"/>
      <c r="Y187" s="117">
        <f>Table5101345411[[#This Row],[عدد الإضافات]]*Table5101345411[[#This Row],[سعر الحبة المضافة]]</f>
        <v>0</v>
      </c>
      <c r="Z187" s="101"/>
      <c r="AA187" s="102"/>
      <c r="AB187" s="103"/>
      <c r="AC187" s="103"/>
      <c r="AD187" s="103"/>
      <c r="AE187" s="103"/>
      <c r="AF187" s="103">
        <f>Table5101345411[[#This Row],[العدد]]*Table5101345411[[#This Row],[قيمة الشراء]]</f>
        <v>0</v>
      </c>
      <c r="AG187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87" s="190">
        <f>Table5101345411[[#This Row],[الكمية]]+Table5101345411[[#This Row],[عدد الإضافات]]-Table5101345411[[#This Row],[العدد]]</f>
        <v>30</v>
      </c>
      <c r="AI187" s="78">
        <f>Table5101345411[[#This Row],[الإجمالي]]+Table5101345411[[#This Row],[إجمالي الإضافات]]-Table5101345411[[#This Row],[إجمالي المستبعد]]</f>
        <v>21000</v>
      </c>
      <c r="AJ187" s="62">
        <v>0.125</v>
      </c>
      <c r="AK187" s="219"/>
      <c r="AL187" s="58" t="s">
        <v>61</v>
      </c>
      <c r="AM187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2625</v>
      </c>
      <c r="AN187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87" s="79">
        <f>Table5101345411[[#This Row],[اهلاك المستبعد
في 2018]]+Table5101345411[[#This Row],[مجمع إهلاك المستبعد 
01-01-2018]]</f>
        <v>0</v>
      </c>
      <c r="AP187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87" s="220"/>
      <c r="AR187" s="78">
        <f>IF(OR(Table5101345411[[#This Row],[تاريخ الشراء-الاستلام]]="",Table5101345411[[#This Row],[الإجمالي]]="",Table5101345411[[#This Row],[العمر الافتراضي]]=""),"",IF(((T187+AM187)-Table5101345411[[#This Row],[مجمع إهلاك المستبعد 
بتاريخ الأستبعاد]])&lt;=0,0,((T187+AM187)-Table5101345411[[#This Row],[مجمع إهلاك المستبعد 
بتاريخ الأستبعاد]])))</f>
        <v>7613.2191780821922</v>
      </c>
      <c r="AS187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الشراء-الاستلام]]&gt;DATE(2018,12,31),0,AI187-AR187)))</f>
        <v>13386.780821917808</v>
      </c>
    </row>
    <row r="188" spans="1:45" s="141" customFormat="1" ht="83.25" customHeight="1">
      <c r="A188" s="118">
        <f>IF(B188="","",SUBTOTAL(3,$B$6:B188))</f>
        <v>183</v>
      </c>
      <c r="B188" s="58" t="s">
        <v>62</v>
      </c>
      <c r="C188" s="59" t="s">
        <v>54</v>
      </c>
      <c r="D188" s="59" t="s">
        <v>522</v>
      </c>
      <c r="E188" s="59" t="s">
        <v>523</v>
      </c>
      <c r="F188" s="226" t="s">
        <v>523</v>
      </c>
      <c r="G188" s="226"/>
      <c r="H188" s="58" t="s">
        <v>99</v>
      </c>
      <c r="I188" s="58"/>
      <c r="J188" s="58" t="s">
        <v>64</v>
      </c>
      <c r="K188" s="58"/>
      <c r="L188" s="60"/>
      <c r="M188" s="77">
        <v>41475</v>
      </c>
      <c r="N188" s="77"/>
      <c r="O188" s="150"/>
      <c r="P188" s="122">
        <v>260</v>
      </c>
      <c r="Q188" s="123"/>
      <c r="R188" s="130">
        <v>650</v>
      </c>
      <c r="S188" s="130">
        <f t="shared" si="3"/>
        <v>169000</v>
      </c>
      <c r="T188" s="130">
        <v>92093.424657534255</v>
      </c>
      <c r="U188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الشراء-الاستلام]]&lt;DATE(2018,1,1),S188-T188,0))</f>
        <v>76906.575342465745</v>
      </c>
      <c r="V188" s="169"/>
      <c r="W188" s="116"/>
      <c r="X188" s="116"/>
      <c r="Y188" s="117">
        <f>Table5101345411[[#This Row],[عدد الإضافات]]*Table5101345411[[#This Row],[سعر الحبة المضافة]]</f>
        <v>0</v>
      </c>
      <c r="Z188" s="101"/>
      <c r="AA188" s="102"/>
      <c r="AB188" s="103"/>
      <c r="AC188" s="103"/>
      <c r="AD188" s="103"/>
      <c r="AE188" s="103"/>
      <c r="AF188" s="103">
        <f>Table5101345411[[#This Row],[العدد]]*Table5101345411[[#This Row],[قيمة الشراء]]</f>
        <v>0</v>
      </c>
      <c r="AG188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88" s="190">
        <f>Table5101345411[[#This Row],[الكمية]]+Table5101345411[[#This Row],[عدد الإضافات]]-Table5101345411[[#This Row],[العدد]]</f>
        <v>260</v>
      </c>
      <c r="AI188" s="78">
        <f>Table5101345411[[#This Row],[الإجمالي]]+Table5101345411[[#This Row],[إجمالي الإضافات]]-Table5101345411[[#This Row],[إجمالي المستبعد]]</f>
        <v>169000</v>
      </c>
      <c r="AJ188" s="62">
        <v>0.125</v>
      </c>
      <c r="AK188" s="219"/>
      <c r="AL188" s="58" t="s">
        <v>61</v>
      </c>
      <c r="AM188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21125</v>
      </c>
      <c r="AN188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88" s="79">
        <f>Table5101345411[[#This Row],[اهلاك المستبعد
في 2018]]+Table5101345411[[#This Row],[مجمع إهلاك المستبعد 
01-01-2018]]</f>
        <v>0</v>
      </c>
      <c r="AP188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88" s="220"/>
      <c r="AR188" s="78">
        <f>IF(OR(Table5101345411[[#This Row],[تاريخ الشراء-الاستلام]]="",Table5101345411[[#This Row],[الإجمالي]]="",Table5101345411[[#This Row],[العمر الافتراضي]]=""),"",IF(((T188+AM188)-Table5101345411[[#This Row],[مجمع إهلاك المستبعد 
بتاريخ الأستبعاد]])&lt;=0,0,((T188+AM188)-Table5101345411[[#This Row],[مجمع إهلاك المستبعد 
بتاريخ الأستبعاد]])))</f>
        <v>113218.42465753425</v>
      </c>
      <c r="AS188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الشراء-الاستلام]]&gt;DATE(2018,12,31),0,AI188-AR188)))</f>
        <v>55781.575342465745</v>
      </c>
    </row>
    <row r="189" spans="1:45" s="141" customFormat="1" ht="83.25" customHeight="1">
      <c r="A189" s="118">
        <f>IF(B189="","",SUBTOTAL(3,$B$6:B189))</f>
        <v>184</v>
      </c>
      <c r="B189" s="58" t="s">
        <v>241</v>
      </c>
      <c r="C189" s="59" t="s">
        <v>54</v>
      </c>
      <c r="D189" s="59" t="s">
        <v>522</v>
      </c>
      <c r="E189" s="59" t="s">
        <v>120</v>
      </c>
      <c r="F189" s="226" t="s">
        <v>120</v>
      </c>
      <c r="G189" s="226"/>
      <c r="H189" s="58" t="s">
        <v>99</v>
      </c>
      <c r="I189" s="58"/>
      <c r="J189" s="58" t="s">
        <v>64</v>
      </c>
      <c r="K189" s="58"/>
      <c r="L189" s="60"/>
      <c r="M189" s="77">
        <v>41475</v>
      </c>
      <c r="N189" s="77"/>
      <c r="O189" s="150"/>
      <c r="P189" s="122">
        <v>5</v>
      </c>
      <c r="Q189" s="123"/>
      <c r="R189" s="130">
        <v>7000</v>
      </c>
      <c r="S189" s="130">
        <f t="shared" si="3"/>
        <v>35000</v>
      </c>
      <c r="T189" s="130">
        <v>19072.602739726026</v>
      </c>
      <c r="U189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الشراء-الاستلام]]&lt;DATE(2018,1,1),S189-T189,0))</f>
        <v>15927.397260273974</v>
      </c>
      <c r="V189" s="169"/>
      <c r="W189" s="116"/>
      <c r="X189" s="116"/>
      <c r="Y189" s="117">
        <f>Table5101345411[[#This Row],[عدد الإضافات]]*Table5101345411[[#This Row],[سعر الحبة المضافة]]</f>
        <v>0</v>
      </c>
      <c r="Z189" s="101"/>
      <c r="AA189" s="102"/>
      <c r="AB189" s="103"/>
      <c r="AC189" s="103"/>
      <c r="AD189" s="103"/>
      <c r="AE189" s="103"/>
      <c r="AF189" s="103">
        <f>Table5101345411[[#This Row],[العدد]]*Table5101345411[[#This Row],[قيمة الشراء]]</f>
        <v>0</v>
      </c>
      <c r="AG189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89" s="190">
        <f>Table5101345411[[#This Row],[الكمية]]+Table5101345411[[#This Row],[عدد الإضافات]]-Table5101345411[[#This Row],[العدد]]</f>
        <v>5</v>
      </c>
      <c r="AI189" s="78">
        <f>Table5101345411[[#This Row],[الإجمالي]]+Table5101345411[[#This Row],[إجمالي الإضافات]]-Table5101345411[[#This Row],[إجمالي المستبعد]]</f>
        <v>35000</v>
      </c>
      <c r="AJ189" s="62">
        <v>0.125</v>
      </c>
      <c r="AK189" s="219"/>
      <c r="AL189" s="58" t="s">
        <v>61</v>
      </c>
      <c r="AM189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4375</v>
      </c>
      <c r="AN189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89" s="79">
        <f>Table5101345411[[#This Row],[اهلاك المستبعد
في 2018]]+Table5101345411[[#This Row],[مجمع إهلاك المستبعد 
01-01-2018]]</f>
        <v>0</v>
      </c>
      <c r="AP189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89" s="220"/>
      <c r="AR189" s="78">
        <f>IF(OR(Table5101345411[[#This Row],[تاريخ الشراء-الاستلام]]="",Table5101345411[[#This Row],[الإجمالي]]="",Table5101345411[[#This Row],[العمر الافتراضي]]=""),"",IF(((T189+AM189)-Table5101345411[[#This Row],[مجمع إهلاك المستبعد 
بتاريخ الأستبعاد]])&lt;=0,0,((T189+AM189)-Table5101345411[[#This Row],[مجمع إهلاك المستبعد 
بتاريخ الأستبعاد]])))</f>
        <v>23447.602739726026</v>
      </c>
      <c r="AS189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الشراء-الاستلام]]&gt;DATE(2018,12,31),0,AI189-AR189)))</f>
        <v>11552.397260273974</v>
      </c>
    </row>
    <row r="190" spans="1:45" s="141" customFormat="1" ht="83.25" customHeight="1">
      <c r="A190" s="118">
        <f>IF(B190="","",SUBTOTAL(3,$B$6:B190))</f>
        <v>185</v>
      </c>
      <c r="B190" s="58" t="s">
        <v>242</v>
      </c>
      <c r="C190" s="59" t="s">
        <v>54</v>
      </c>
      <c r="D190" s="59" t="s">
        <v>522</v>
      </c>
      <c r="E190" s="59" t="s">
        <v>238</v>
      </c>
      <c r="F190" s="226" t="s">
        <v>238</v>
      </c>
      <c r="G190" s="226"/>
      <c r="H190" s="58" t="s">
        <v>99</v>
      </c>
      <c r="I190" s="58"/>
      <c r="J190" s="58" t="s">
        <v>64</v>
      </c>
      <c r="K190" s="58"/>
      <c r="L190" s="60"/>
      <c r="M190" s="77">
        <v>41475</v>
      </c>
      <c r="N190" s="77"/>
      <c r="O190" s="150"/>
      <c r="P190" s="122">
        <v>31</v>
      </c>
      <c r="Q190" s="123"/>
      <c r="R190" s="130">
        <v>4500</v>
      </c>
      <c r="S190" s="130">
        <f t="shared" si="3"/>
        <v>139500</v>
      </c>
      <c r="T190" s="130">
        <v>76017.945205479453</v>
      </c>
      <c r="U190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الشراء-الاستلام]]&lt;DATE(2018,1,1),S190-T190,0))</f>
        <v>63482.054794520547</v>
      </c>
      <c r="V190" s="169"/>
      <c r="W190" s="116"/>
      <c r="X190" s="116"/>
      <c r="Y190" s="117">
        <f>Table5101345411[[#This Row],[عدد الإضافات]]*Table5101345411[[#This Row],[سعر الحبة المضافة]]</f>
        <v>0</v>
      </c>
      <c r="Z190" s="101"/>
      <c r="AA190" s="102"/>
      <c r="AB190" s="103"/>
      <c r="AC190" s="103"/>
      <c r="AD190" s="103"/>
      <c r="AE190" s="103"/>
      <c r="AF190" s="103">
        <f>Table5101345411[[#This Row],[العدد]]*Table5101345411[[#This Row],[قيمة الشراء]]</f>
        <v>0</v>
      </c>
      <c r="AG190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90" s="190">
        <f>Table5101345411[[#This Row],[الكمية]]+Table5101345411[[#This Row],[عدد الإضافات]]-Table5101345411[[#This Row],[العدد]]</f>
        <v>31</v>
      </c>
      <c r="AI190" s="78">
        <f>Table5101345411[[#This Row],[الإجمالي]]+Table5101345411[[#This Row],[إجمالي الإضافات]]-Table5101345411[[#This Row],[إجمالي المستبعد]]</f>
        <v>139500</v>
      </c>
      <c r="AJ190" s="62">
        <v>0.125</v>
      </c>
      <c r="AK190" s="219"/>
      <c r="AL190" s="58" t="s">
        <v>61</v>
      </c>
      <c r="AM190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17437.5</v>
      </c>
      <c r="AN190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90" s="79">
        <f>Table5101345411[[#This Row],[اهلاك المستبعد
في 2018]]+Table5101345411[[#This Row],[مجمع إهلاك المستبعد 
01-01-2018]]</f>
        <v>0</v>
      </c>
      <c r="AP190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90" s="220"/>
      <c r="AR190" s="78">
        <f>IF(OR(Table5101345411[[#This Row],[تاريخ الشراء-الاستلام]]="",Table5101345411[[#This Row],[الإجمالي]]="",Table5101345411[[#This Row],[العمر الافتراضي]]=""),"",IF(((T190+AM190)-Table5101345411[[#This Row],[مجمع إهلاك المستبعد 
بتاريخ الأستبعاد]])&lt;=0,0,((T190+AM190)-Table5101345411[[#This Row],[مجمع إهلاك المستبعد 
بتاريخ الأستبعاد]])))</f>
        <v>93455.445205479453</v>
      </c>
      <c r="AS190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الشراء-الاستلام]]&gt;DATE(2018,12,31),0,AI190-AR190)))</f>
        <v>46044.554794520547</v>
      </c>
    </row>
    <row r="191" spans="1:45" s="141" customFormat="1" ht="83.25" customHeight="1">
      <c r="A191" s="118">
        <f>IF(B191="","",SUBTOTAL(3,$B$6:B191))</f>
        <v>186</v>
      </c>
      <c r="B191" s="58" t="s">
        <v>143</v>
      </c>
      <c r="C191" s="59" t="s">
        <v>54</v>
      </c>
      <c r="D191" s="59" t="s">
        <v>522</v>
      </c>
      <c r="E191" s="59" t="s">
        <v>120</v>
      </c>
      <c r="F191" s="226" t="s">
        <v>120</v>
      </c>
      <c r="G191" s="226"/>
      <c r="H191" s="58" t="s">
        <v>99</v>
      </c>
      <c r="I191" s="58"/>
      <c r="J191" s="58" t="s">
        <v>64</v>
      </c>
      <c r="K191" s="58"/>
      <c r="L191" s="60"/>
      <c r="M191" s="77">
        <v>41475</v>
      </c>
      <c r="N191" s="77"/>
      <c r="O191" s="150"/>
      <c r="P191" s="122">
        <v>60</v>
      </c>
      <c r="Q191" s="123"/>
      <c r="R191" s="130">
        <v>1100</v>
      </c>
      <c r="S191" s="130">
        <f t="shared" si="3"/>
        <v>66000</v>
      </c>
      <c r="T191" s="130">
        <v>35965.479452054795</v>
      </c>
      <c r="U191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الشراء-الاستلام]]&lt;DATE(2018,1,1),S191-T191,0))</f>
        <v>30034.520547945205</v>
      </c>
      <c r="V191" s="169"/>
      <c r="W191" s="116"/>
      <c r="X191" s="116"/>
      <c r="Y191" s="117">
        <f>Table5101345411[[#This Row],[عدد الإضافات]]*Table5101345411[[#This Row],[سعر الحبة المضافة]]</f>
        <v>0</v>
      </c>
      <c r="Z191" s="101"/>
      <c r="AA191" s="102"/>
      <c r="AB191" s="103"/>
      <c r="AC191" s="103"/>
      <c r="AD191" s="103"/>
      <c r="AE191" s="103"/>
      <c r="AF191" s="103">
        <f>Table5101345411[[#This Row],[العدد]]*Table5101345411[[#This Row],[قيمة الشراء]]</f>
        <v>0</v>
      </c>
      <c r="AG191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91" s="190">
        <f>Table5101345411[[#This Row],[الكمية]]+Table5101345411[[#This Row],[عدد الإضافات]]-Table5101345411[[#This Row],[العدد]]</f>
        <v>60</v>
      </c>
      <c r="AI191" s="78">
        <f>Table5101345411[[#This Row],[الإجمالي]]+Table5101345411[[#This Row],[إجمالي الإضافات]]-Table5101345411[[#This Row],[إجمالي المستبعد]]</f>
        <v>66000</v>
      </c>
      <c r="AJ191" s="62">
        <v>0.125</v>
      </c>
      <c r="AK191" s="219"/>
      <c r="AL191" s="58" t="s">
        <v>61</v>
      </c>
      <c r="AM191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8250</v>
      </c>
      <c r="AN191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91" s="79">
        <f>Table5101345411[[#This Row],[اهلاك المستبعد
في 2018]]+Table5101345411[[#This Row],[مجمع إهلاك المستبعد 
01-01-2018]]</f>
        <v>0</v>
      </c>
      <c r="AP191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91" s="220"/>
      <c r="AR191" s="78">
        <f>IF(OR(Table5101345411[[#This Row],[تاريخ الشراء-الاستلام]]="",Table5101345411[[#This Row],[الإجمالي]]="",Table5101345411[[#This Row],[العمر الافتراضي]]=""),"",IF(((T191+AM191)-Table5101345411[[#This Row],[مجمع إهلاك المستبعد 
بتاريخ الأستبعاد]])&lt;=0,0,((T191+AM191)-Table5101345411[[#This Row],[مجمع إهلاك المستبعد 
بتاريخ الأستبعاد]])))</f>
        <v>44215.479452054795</v>
      </c>
      <c r="AS191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الشراء-الاستلام]]&gt;DATE(2018,12,31),0,AI191-AR191)))</f>
        <v>21784.520547945205</v>
      </c>
    </row>
    <row r="192" spans="1:45" s="141" customFormat="1" ht="83.25" customHeight="1">
      <c r="A192" s="228">
        <f>IF(B192="","",SUBTOTAL(3,$B$6:B192))</f>
        <v>187</v>
      </c>
      <c r="B192" s="65" t="s">
        <v>121</v>
      </c>
      <c r="C192" s="66" t="s">
        <v>54</v>
      </c>
      <c r="D192" s="65" t="s">
        <v>68</v>
      </c>
      <c r="E192" s="59" t="s">
        <v>796</v>
      </c>
      <c r="F192" s="226" t="s">
        <v>721</v>
      </c>
      <c r="G192" s="226" t="s">
        <v>752</v>
      </c>
      <c r="H192" s="65" t="s">
        <v>57</v>
      </c>
      <c r="I192" s="58" t="s">
        <v>69</v>
      </c>
      <c r="J192" s="65" t="s">
        <v>64</v>
      </c>
      <c r="K192" s="65"/>
      <c r="L192" s="67"/>
      <c r="M192" s="65">
        <v>42692</v>
      </c>
      <c r="N192" s="229" t="s">
        <v>136</v>
      </c>
      <c r="O192" s="154" t="s">
        <v>133</v>
      </c>
      <c r="P192" s="125">
        <v>1</v>
      </c>
      <c r="Q192" s="126"/>
      <c r="R192" s="127">
        <v>66437</v>
      </c>
      <c r="S192" s="127">
        <f t="shared" si="3"/>
        <v>66437</v>
      </c>
      <c r="T192" s="127">
        <f>133674.884383562/12</f>
        <v>11139.573698630165</v>
      </c>
      <c r="U192" s="230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الشراء-الاستلام]]&lt;DATE(2018,1,1),S192-T192,0))</f>
        <v>55297.426301369836</v>
      </c>
      <c r="V192" s="167"/>
      <c r="W192" s="111"/>
      <c r="X192" s="111"/>
      <c r="Y192" s="112">
        <f>Table5101345411[[#This Row],[عدد الإضافات]]*Table5101345411[[#This Row],[سعر الحبة المضافة]]</f>
        <v>0</v>
      </c>
      <c r="Z192" s="94"/>
      <c r="AA192" s="92"/>
      <c r="AB192" s="93"/>
      <c r="AC192" s="93"/>
      <c r="AD192" s="93"/>
      <c r="AE192" s="93"/>
      <c r="AF192" s="93">
        <f>Table5101345411[[#This Row],[العدد]]*Table5101345411[[#This Row],[قيمة الشراء]]</f>
        <v>0</v>
      </c>
      <c r="AG192" s="231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92" s="187">
        <f>Table5101345411[[#This Row],[الكمية]]+Table5101345411[[#This Row],[عدد الإضافات]]-Table5101345411[[#This Row],[العدد]]</f>
        <v>1</v>
      </c>
      <c r="AI192" s="68">
        <f>Table5101345411[[#This Row],[الإجمالي]]+Table5101345411[[#This Row],[إجمالي الإضافات]]-Table5101345411[[#This Row],[إجمالي المستبعد]]</f>
        <v>66437</v>
      </c>
      <c r="AJ192" s="71">
        <v>0.15</v>
      </c>
      <c r="AK192" s="232"/>
      <c r="AL192" s="65" t="s">
        <v>61</v>
      </c>
      <c r="AM192" s="70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9965.5499999999993</v>
      </c>
      <c r="AN192" s="208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92" s="70">
        <f>Table5101345411[[#This Row],[اهلاك المستبعد
في 2018]]+Table5101345411[[#This Row],[مجمع إهلاك المستبعد 
01-01-2018]]</f>
        <v>0</v>
      </c>
      <c r="AP192" s="70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92" s="233"/>
      <c r="AR192" s="68">
        <f>IF(OR(Table5101345411[[#This Row],[تاريخ الشراء-الاستلام]]="",Table5101345411[[#This Row],[الإجمالي]]="",Table5101345411[[#This Row],[العمر الافتراضي]]=""),"",IF(((T192+AM192)-Table5101345411[[#This Row],[مجمع إهلاك المستبعد 
بتاريخ الأستبعاد]])&lt;=0,0,((T192+AM192)-Table5101345411[[#This Row],[مجمع إهلاك المستبعد 
بتاريخ الأستبعاد]])))</f>
        <v>21105.123698630166</v>
      </c>
      <c r="AS192" s="134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الشراء-الاستلام]]&gt;DATE(2018,12,31),0,AI192-AR192)))</f>
        <v>45331.876301369834</v>
      </c>
    </row>
    <row r="193" spans="1:45" s="141" customFormat="1" ht="83.25" customHeight="1">
      <c r="A193" s="228">
        <f>IF(B193="","",SUBTOTAL(3,$B$6:B193))</f>
        <v>188</v>
      </c>
      <c r="B193" s="65" t="s">
        <v>121</v>
      </c>
      <c r="C193" s="66" t="s">
        <v>389</v>
      </c>
      <c r="D193" s="65" t="s">
        <v>68</v>
      </c>
      <c r="E193" s="59" t="s">
        <v>795</v>
      </c>
      <c r="F193" s="226" t="s">
        <v>779</v>
      </c>
      <c r="G193" s="226" t="s">
        <v>761</v>
      </c>
      <c r="H193" s="65" t="s">
        <v>57</v>
      </c>
      <c r="I193" s="65" t="s">
        <v>69</v>
      </c>
      <c r="J193" s="65" t="s">
        <v>64</v>
      </c>
      <c r="K193" s="65"/>
      <c r="L193" s="67"/>
      <c r="M193" s="73">
        <v>43465</v>
      </c>
      <c r="N193" s="237" t="s">
        <v>690</v>
      </c>
      <c r="O193" s="152" t="s">
        <v>691</v>
      </c>
      <c r="P193" s="125"/>
      <c r="Q193" s="126"/>
      <c r="R193" s="129"/>
      <c r="S193" s="128">
        <f t="shared" si="3"/>
        <v>0</v>
      </c>
      <c r="T193" s="129"/>
      <c r="U193" s="234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الشراء-الاستلام]]&lt;DATE(2018,1,1),S193-T193,0))</f>
        <v>0</v>
      </c>
      <c r="V193" s="168">
        <v>1</v>
      </c>
      <c r="W193" s="126">
        <v>6201664</v>
      </c>
      <c r="X193" s="114">
        <v>70494</v>
      </c>
      <c r="Y193" s="115">
        <f>Table5101345411[[#This Row],[عدد الإضافات]]*Table5101345411[[#This Row],[سعر الحبة المضافة]]</f>
        <v>70494</v>
      </c>
      <c r="Z193" s="98"/>
      <c r="AA193" s="99"/>
      <c r="AB193" s="100"/>
      <c r="AC193" s="100"/>
      <c r="AD193" s="100"/>
      <c r="AE193" s="100"/>
      <c r="AF193" s="100">
        <f>Table5101345411[[#This Row],[العدد]]*Table5101345411[[#This Row],[قيمة الشراء]]</f>
        <v>0</v>
      </c>
      <c r="AG193" s="235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93" s="189">
        <f>Table5101345411[[#This Row],[الكمية]]+Table5101345411[[#This Row],[عدد الإضافات]]-Table5101345411[[#This Row],[العدد]]</f>
        <v>1</v>
      </c>
      <c r="AI193" s="74">
        <f>Table5101345411[[#This Row],[الإجمالي]]+Table5101345411[[#This Row],[إجمالي الإضافات]]-Table5101345411[[#This Row],[إجمالي المستبعد]]</f>
        <v>70494</v>
      </c>
      <c r="AJ193" s="71">
        <v>0.15</v>
      </c>
      <c r="AK193" s="232"/>
      <c r="AL193" s="65"/>
      <c r="AM193" s="75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193" s="210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93" s="75">
        <f>Table5101345411[[#This Row],[اهلاك المستبعد
في 2018]]+Table5101345411[[#This Row],[مجمع إهلاك المستبعد 
01-01-2018]]</f>
        <v>0</v>
      </c>
      <c r="AP193" s="75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93" s="236"/>
      <c r="AR193" s="74">
        <f>IF(OR(Table5101345411[[#This Row],[تاريخ الشراء-الاستلام]]="",Table5101345411[[#This Row],[الإجمالي]]="",Table5101345411[[#This Row],[العمر الافتراضي]]=""),"",IF(((T193+AM193)-Table5101345411[[#This Row],[مجمع إهلاك المستبعد 
بتاريخ الأستبعاد]])&lt;=0,0,((T193+AM193)-Table5101345411[[#This Row],[مجمع إهلاك المستبعد 
بتاريخ الأستبعاد]])))</f>
        <v>0</v>
      </c>
      <c r="AS193" s="135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الشراء-الاستلام]]&gt;DATE(2018,12,31),0,AI193-AR193)))</f>
        <v>70494</v>
      </c>
    </row>
    <row r="194" spans="1:45" s="141" customFormat="1" ht="83.25" customHeight="1">
      <c r="A194" s="118">
        <f>IF(B194="","",SUBTOTAL(3,$B$6:B194))</f>
        <v>189</v>
      </c>
      <c r="B194" s="58" t="s">
        <v>156</v>
      </c>
      <c r="C194" s="59" t="s">
        <v>54</v>
      </c>
      <c r="D194" s="59" t="s">
        <v>68</v>
      </c>
      <c r="E194" s="59" t="s">
        <v>544</v>
      </c>
      <c r="F194" s="226" t="s">
        <v>544</v>
      </c>
      <c r="G194" s="226"/>
      <c r="H194" s="65" t="s">
        <v>57</v>
      </c>
      <c r="I194" s="58" t="s">
        <v>69</v>
      </c>
      <c r="J194" s="65" t="s">
        <v>64</v>
      </c>
      <c r="K194" s="58"/>
      <c r="L194" s="60"/>
      <c r="M194" s="77">
        <v>42809</v>
      </c>
      <c r="N194" s="77"/>
      <c r="O194" s="150" t="s">
        <v>246</v>
      </c>
      <c r="P194" s="122">
        <v>1</v>
      </c>
      <c r="Q194" s="123"/>
      <c r="R194" s="130">
        <v>1250</v>
      </c>
      <c r="S194" s="130">
        <f t="shared" si="3"/>
        <v>1250</v>
      </c>
      <c r="T194" s="130">
        <v>149.48630136986304</v>
      </c>
      <c r="U194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الشراء-الاستلام]]&lt;DATE(2018,1,1),S194-T194,0))</f>
        <v>1100.513698630137</v>
      </c>
      <c r="V194" s="169"/>
      <c r="W194" s="116"/>
      <c r="X194" s="116"/>
      <c r="Y194" s="117">
        <f>Table5101345411[[#This Row],[عدد الإضافات]]*Table5101345411[[#This Row],[سعر الحبة المضافة]]</f>
        <v>0</v>
      </c>
      <c r="Z194" s="101"/>
      <c r="AA194" s="102"/>
      <c r="AB194" s="103"/>
      <c r="AC194" s="103"/>
      <c r="AD194" s="103"/>
      <c r="AE194" s="103"/>
      <c r="AF194" s="103">
        <f>Table5101345411[[#This Row],[العدد]]*Table5101345411[[#This Row],[قيمة الشراء]]</f>
        <v>0</v>
      </c>
      <c r="AG194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94" s="190">
        <f>Table5101345411[[#This Row],[الكمية]]+Table5101345411[[#This Row],[عدد الإضافات]]-Table5101345411[[#This Row],[العدد]]</f>
        <v>1</v>
      </c>
      <c r="AI194" s="78">
        <f>Table5101345411[[#This Row],[الإجمالي]]+Table5101345411[[#This Row],[إجمالي الإضافات]]-Table5101345411[[#This Row],[إجمالي المستبعد]]</f>
        <v>1250</v>
      </c>
      <c r="AJ194" s="120">
        <v>0.15</v>
      </c>
      <c r="AK194" s="219"/>
      <c r="AL194" s="58" t="s">
        <v>61</v>
      </c>
      <c r="AM194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187.5</v>
      </c>
      <c r="AN194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94" s="79">
        <f>Table5101345411[[#This Row],[اهلاك المستبعد
في 2018]]+Table5101345411[[#This Row],[مجمع إهلاك المستبعد 
01-01-2018]]</f>
        <v>0</v>
      </c>
      <c r="AP194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94" s="220"/>
      <c r="AR194" s="78">
        <f>IF(OR(Table5101345411[[#This Row],[تاريخ الشراء-الاستلام]]="",Table5101345411[[#This Row],[الإجمالي]]="",Table5101345411[[#This Row],[العمر الافتراضي]]=""),"",IF(((T194+AM194)-Table5101345411[[#This Row],[مجمع إهلاك المستبعد 
بتاريخ الأستبعاد]])&lt;=0,0,((T194+AM194)-Table5101345411[[#This Row],[مجمع إهلاك المستبعد 
بتاريخ الأستبعاد]])))</f>
        <v>336.98630136986304</v>
      </c>
      <c r="AS194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الشراء-الاستلام]]&gt;DATE(2018,12,31),0,AI194-AR194)))</f>
        <v>913.01369863013701</v>
      </c>
    </row>
    <row r="195" spans="1:45" s="141" customFormat="1" ht="83.25" customHeight="1">
      <c r="A195" s="118">
        <f>IF(B195="","",SUBTOTAL(3,$B$6:B195))</f>
        <v>190</v>
      </c>
      <c r="B195" s="58" t="s">
        <v>247</v>
      </c>
      <c r="C195" s="59" t="s">
        <v>54</v>
      </c>
      <c r="D195" s="59" t="s">
        <v>249</v>
      </c>
      <c r="E195" s="59" t="s">
        <v>248</v>
      </c>
      <c r="F195" s="226" t="s">
        <v>248</v>
      </c>
      <c r="G195" s="226"/>
      <c r="H195" s="58" t="s">
        <v>57</v>
      </c>
      <c r="I195" s="58" t="s">
        <v>58</v>
      </c>
      <c r="J195" s="58" t="s">
        <v>64</v>
      </c>
      <c r="K195" s="58"/>
      <c r="L195" s="60"/>
      <c r="M195" s="77">
        <v>43070</v>
      </c>
      <c r="N195" s="77" t="s">
        <v>250</v>
      </c>
      <c r="O195" s="150" t="s">
        <v>251</v>
      </c>
      <c r="P195" s="122">
        <v>1</v>
      </c>
      <c r="Q195" s="123"/>
      <c r="R195" s="130">
        <v>11460000</v>
      </c>
      <c r="S195" s="130">
        <f t="shared" si="3"/>
        <v>11460000</v>
      </c>
      <c r="T195" s="130">
        <v>0</v>
      </c>
      <c r="U195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الشراء-الاستلام]]&lt;DATE(2018,1,1),S195-T195,0))</f>
        <v>11460000</v>
      </c>
      <c r="V195" s="169"/>
      <c r="W195" s="116"/>
      <c r="X195" s="116"/>
      <c r="Y195" s="117">
        <f>Table5101345411[[#This Row],[عدد الإضافات]]*Table5101345411[[#This Row],[سعر الحبة المضافة]]</f>
        <v>0</v>
      </c>
      <c r="Z195" s="101"/>
      <c r="AA195" s="102"/>
      <c r="AB195" s="103"/>
      <c r="AC195" s="103"/>
      <c r="AD195" s="103"/>
      <c r="AE195" s="103"/>
      <c r="AF195" s="103">
        <f>Table5101345411[[#This Row],[العدد]]*Table5101345411[[#This Row],[قيمة الشراء]]</f>
        <v>0</v>
      </c>
      <c r="AG195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95" s="190">
        <f>Table5101345411[[#This Row],[الكمية]]+Table5101345411[[#This Row],[عدد الإضافات]]-Table5101345411[[#This Row],[العدد]]</f>
        <v>1</v>
      </c>
      <c r="AI195" s="78">
        <f>Table5101345411[[#This Row],[الإجمالي]]+Table5101345411[[#This Row],[إجمالي الإضافات]]-Table5101345411[[#This Row],[إجمالي المستبعد]]</f>
        <v>11460000</v>
      </c>
      <c r="AJ195" s="120">
        <v>0</v>
      </c>
      <c r="AK195" s="219"/>
      <c r="AL195" s="58" t="s">
        <v>61</v>
      </c>
      <c r="AM195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195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95" s="79">
        <f>Table5101345411[[#This Row],[اهلاك المستبعد
في 2018]]+Table5101345411[[#This Row],[مجمع إهلاك المستبعد 
01-01-2018]]</f>
        <v>0</v>
      </c>
      <c r="AP195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95" s="220"/>
      <c r="AR195" s="78">
        <f>IF(OR(Table5101345411[[#This Row],[تاريخ الشراء-الاستلام]]="",Table5101345411[[#This Row],[الإجمالي]]="",Table5101345411[[#This Row],[العمر الافتراضي]]=""),"",IF(((T195+AM195)-Table5101345411[[#This Row],[مجمع إهلاك المستبعد 
بتاريخ الأستبعاد]])&lt;=0,0,((T195+AM195)-Table5101345411[[#This Row],[مجمع إهلاك المستبعد 
بتاريخ الأستبعاد]])))</f>
        <v>0</v>
      </c>
      <c r="AS195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الشراء-الاستلام]]&gt;DATE(2018,12,31),0,AI195-AR195)))</f>
        <v>11460000</v>
      </c>
    </row>
    <row r="196" spans="1:45" s="141" customFormat="1" ht="83.25" customHeight="1">
      <c r="A196" s="118">
        <f>IF(B196="","",SUBTOTAL(3,$B$6:B196))</f>
        <v>191</v>
      </c>
      <c r="B196" s="58" t="s">
        <v>252</v>
      </c>
      <c r="C196" s="59" t="s">
        <v>54</v>
      </c>
      <c r="D196" s="59" t="s">
        <v>253</v>
      </c>
      <c r="E196" s="59" t="s">
        <v>84</v>
      </c>
      <c r="F196" s="226" t="s">
        <v>84</v>
      </c>
      <c r="G196" s="226"/>
      <c r="H196" s="58" t="s">
        <v>57</v>
      </c>
      <c r="I196" s="58" t="s">
        <v>85</v>
      </c>
      <c r="J196" s="58" t="s">
        <v>64</v>
      </c>
      <c r="K196" s="58" t="s">
        <v>86</v>
      </c>
      <c r="L196" s="60">
        <v>1764</v>
      </c>
      <c r="M196" s="77">
        <v>43070</v>
      </c>
      <c r="N196" s="77" t="s">
        <v>254</v>
      </c>
      <c r="O196" s="150" t="s">
        <v>255</v>
      </c>
      <c r="P196" s="122">
        <v>1</v>
      </c>
      <c r="Q196" s="123"/>
      <c r="R196" s="130">
        <v>108700</v>
      </c>
      <c r="S196" s="130">
        <f t="shared" si="3"/>
        <v>108700</v>
      </c>
      <c r="T196" s="130">
        <v>2233.5616438356165</v>
      </c>
      <c r="U196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الشراء-الاستلام]]&lt;DATE(2018,1,1),S196-T196,0))</f>
        <v>106466.43835616438</v>
      </c>
      <c r="V196" s="169"/>
      <c r="W196" s="116"/>
      <c r="X196" s="116"/>
      <c r="Y196" s="117">
        <f>Table5101345411[[#This Row],[عدد الإضافات]]*Table5101345411[[#This Row],[سعر الحبة المضافة]]</f>
        <v>0</v>
      </c>
      <c r="Z196" s="101"/>
      <c r="AA196" s="102"/>
      <c r="AB196" s="103"/>
      <c r="AC196" s="103"/>
      <c r="AD196" s="103"/>
      <c r="AE196" s="103"/>
      <c r="AF196" s="103">
        <f>Table5101345411[[#This Row],[العدد]]*Table5101345411[[#This Row],[قيمة الشراء]]</f>
        <v>0</v>
      </c>
      <c r="AG196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96" s="190">
        <f>Table5101345411[[#This Row],[الكمية]]+Table5101345411[[#This Row],[عدد الإضافات]]-Table5101345411[[#This Row],[العدد]]</f>
        <v>1</v>
      </c>
      <c r="AI196" s="78">
        <f>Table5101345411[[#This Row],[الإجمالي]]+Table5101345411[[#This Row],[إجمالي الإضافات]]-Table5101345411[[#This Row],[إجمالي المستبعد]]</f>
        <v>108700</v>
      </c>
      <c r="AJ196" s="120">
        <v>0.15</v>
      </c>
      <c r="AK196" s="219"/>
      <c r="AL196" s="58" t="s">
        <v>61</v>
      </c>
      <c r="AM196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16305</v>
      </c>
      <c r="AN196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96" s="79">
        <f>Table5101345411[[#This Row],[اهلاك المستبعد
في 2018]]+Table5101345411[[#This Row],[مجمع إهلاك المستبعد 
01-01-2018]]</f>
        <v>0</v>
      </c>
      <c r="AP196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96" s="220"/>
      <c r="AR196" s="78">
        <f>IF(OR(Table5101345411[[#This Row],[تاريخ الشراء-الاستلام]]="",Table5101345411[[#This Row],[الإجمالي]]="",Table5101345411[[#This Row],[العمر الافتراضي]]=""),"",IF(((T196+AM196)-Table5101345411[[#This Row],[مجمع إهلاك المستبعد 
بتاريخ الأستبعاد]])&lt;=0,0,((T196+AM196)-Table5101345411[[#This Row],[مجمع إهلاك المستبعد 
بتاريخ الأستبعاد]])))</f>
        <v>18538.561643835616</v>
      </c>
      <c r="AS196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الشراء-الاستلام]]&gt;DATE(2018,12,31),0,AI196-AR196)))</f>
        <v>90161.438356164377</v>
      </c>
    </row>
    <row r="197" spans="1:45" s="141" customFormat="1" ht="83.25" customHeight="1">
      <c r="A197" s="118">
        <f>IF(B197="","",SUBTOTAL(3,$B$6:B197))</f>
        <v>192</v>
      </c>
      <c r="B197" s="58" t="s">
        <v>256</v>
      </c>
      <c r="C197" s="59" t="s">
        <v>54</v>
      </c>
      <c r="D197" s="59" t="s">
        <v>84</v>
      </c>
      <c r="E197" s="59" t="s">
        <v>610</v>
      </c>
      <c r="F197" s="226" t="s">
        <v>615</v>
      </c>
      <c r="G197" s="226"/>
      <c r="H197" s="58" t="s">
        <v>57</v>
      </c>
      <c r="I197" s="58" t="s">
        <v>69</v>
      </c>
      <c r="J197" s="58" t="s">
        <v>64</v>
      </c>
      <c r="K197" s="58" t="s">
        <v>86</v>
      </c>
      <c r="L197" s="60" t="s">
        <v>257</v>
      </c>
      <c r="M197" s="77">
        <v>42760</v>
      </c>
      <c r="N197" s="77"/>
      <c r="O197" s="150" t="s">
        <v>258</v>
      </c>
      <c r="P197" s="122">
        <v>1</v>
      </c>
      <c r="Q197" s="123"/>
      <c r="R197" s="130">
        <v>36300</v>
      </c>
      <c r="S197" s="130">
        <f t="shared" si="3"/>
        <v>36300</v>
      </c>
      <c r="T197" s="130">
        <v>8453.4246575342459</v>
      </c>
      <c r="U197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الشراء-الاستلام]]&lt;DATE(2018,1,1),S197-T197,0))</f>
        <v>27846.575342465752</v>
      </c>
      <c r="V197" s="169"/>
      <c r="W197" s="116"/>
      <c r="X197" s="116"/>
      <c r="Y197" s="117">
        <f>Table5101345411[[#This Row],[عدد الإضافات]]*Table5101345411[[#This Row],[سعر الحبة المضافة]]</f>
        <v>0</v>
      </c>
      <c r="Z197" s="101"/>
      <c r="AA197" s="102"/>
      <c r="AB197" s="103"/>
      <c r="AC197" s="103"/>
      <c r="AD197" s="103"/>
      <c r="AE197" s="103"/>
      <c r="AF197" s="103">
        <f>Table5101345411[[#This Row],[العدد]]*Table5101345411[[#This Row],[قيمة الشراء]]</f>
        <v>0</v>
      </c>
      <c r="AG197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97" s="190">
        <f>Table5101345411[[#This Row],[الكمية]]+Table5101345411[[#This Row],[عدد الإضافات]]-Table5101345411[[#This Row],[العدد]]</f>
        <v>1</v>
      </c>
      <c r="AI197" s="78">
        <f>Table5101345411[[#This Row],[الإجمالي]]+Table5101345411[[#This Row],[إجمالي الإضافات]]-Table5101345411[[#This Row],[إجمالي المستبعد]]</f>
        <v>36300</v>
      </c>
      <c r="AJ197" s="120">
        <v>0.15</v>
      </c>
      <c r="AK197" s="219"/>
      <c r="AL197" s="58" t="s">
        <v>61</v>
      </c>
      <c r="AM197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5445</v>
      </c>
      <c r="AN197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97" s="79">
        <f>Table5101345411[[#This Row],[اهلاك المستبعد
في 2018]]+Table5101345411[[#This Row],[مجمع إهلاك المستبعد 
01-01-2018]]</f>
        <v>0</v>
      </c>
      <c r="AP197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97" s="220"/>
      <c r="AR197" s="78">
        <f>IF(OR(Table5101345411[[#This Row],[تاريخ الشراء-الاستلام]]="",Table5101345411[[#This Row],[الإجمالي]]="",Table5101345411[[#This Row],[العمر الافتراضي]]=""),"",IF(((T197+AM197)-Table5101345411[[#This Row],[مجمع إهلاك المستبعد 
بتاريخ الأستبعاد]])&lt;=0,0,((T197+AM197)-Table5101345411[[#This Row],[مجمع إهلاك المستبعد 
بتاريخ الأستبعاد]])))</f>
        <v>13898.424657534246</v>
      </c>
      <c r="AS197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الشراء-الاستلام]]&gt;DATE(2018,12,31),0,AI197-AR197)))</f>
        <v>22401.575342465752</v>
      </c>
    </row>
    <row r="198" spans="1:45" s="141" customFormat="1" ht="83.25" customHeight="1">
      <c r="A198" s="118">
        <f>IF(B198="","",SUBTOTAL(3,$B$6:B198))</f>
        <v>193</v>
      </c>
      <c r="B198" s="58" t="s">
        <v>256</v>
      </c>
      <c r="C198" s="59" t="s">
        <v>54</v>
      </c>
      <c r="D198" s="59" t="s">
        <v>84</v>
      </c>
      <c r="E198" s="59" t="s">
        <v>610</v>
      </c>
      <c r="F198" s="226" t="s">
        <v>615</v>
      </c>
      <c r="G198" s="226"/>
      <c r="H198" s="58" t="s">
        <v>57</v>
      </c>
      <c r="I198" s="58" t="s">
        <v>69</v>
      </c>
      <c r="J198" s="58" t="s">
        <v>64</v>
      </c>
      <c r="K198" s="58" t="s">
        <v>86</v>
      </c>
      <c r="L198" s="60" t="s">
        <v>259</v>
      </c>
      <c r="M198" s="77">
        <v>42740</v>
      </c>
      <c r="N198" s="77"/>
      <c r="O198" s="150" t="s">
        <v>260</v>
      </c>
      <c r="P198" s="122">
        <v>1</v>
      </c>
      <c r="Q198" s="123"/>
      <c r="R198" s="130">
        <v>13836</v>
      </c>
      <c r="S198" s="130">
        <f t="shared" si="3"/>
        <v>13836</v>
      </c>
      <c r="T198" s="130">
        <v>3411.6164383561641</v>
      </c>
      <c r="U198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الشراء-الاستلام]]&lt;DATE(2018,1,1),S198-T198,0))</f>
        <v>10424.383561643835</v>
      </c>
      <c r="V198" s="169"/>
      <c r="W198" s="116"/>
      <c r="X198" s="116"/>
      <c r="Y198" s="117">
        <f>Table5101345411[[#This Row],[عدد الإضافات]]*Table5101345411[[#This Row],[سعر الحبة المضافة]]</f>
        <v>0</v>
      </c>
      <c r="Z198" s="101"/>
      <c r="AA198" s="102"/>
      <c r="AB198" s="103"/>
      <c r="AC198" s="103"/>
      <c r="AD198" s="103"/>
      <c r="AE198" s="103"/>
      <c r="AF198" s="103">
        <f>Table5101345411[[#This Row],[العدد]]*Table5101345411[[#This Row],[قيمة الشراء]]</f>
        <v>0</v>
      </c>
      <c r="AG198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98" s="190">
        <f>Table5101345411[[#This Row],[الكمية]]+Table5101345411[[#This Row],[عدد الإضافات]]-Table5101345411[[#This Row],[العدد]]</f>
        <v>1</v>
      </c>
      <c r="AI198" s="78">
        <f>Table5101345411[[#This Row],[الإجمالي]]+Table5101345411[[#This Row],[إجمالي الإضافات]]-Table5101345411[[#This Row],[إجمالي المستبعد]]</f>
        <v>13836</v>
      </c>
      <c r="AJ198" s="120">
        <v>0.15</v>
      </c>
      <c r="AK198" s="219"/>
      <c r="AL198" s="58" t="s">
        <v>61</v>
      </c>
      <c r="AM198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2075.4</v>
      </c>
      <c r="AN198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98" s="79">
        <f>Table5101345411[[#This Row],[اهلاك المستبعد
في 2018]]+Table5101345411[[#This Row],[مجمع إهلاك المستبعد 
01-01-2018]]</f>
        <v>0</v>
      </c>
      <c r="AP198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98" s="220"/>
      <c r="AR198" s="78">
        <f>IF(OR(Table5101345411[[#This Row],[تاريخ الشراء-الاستلام]]="",Table5101345411[[#This Row],[الإجمالي]]="",Table5101345411[[#This Row],[العمر الافتراضي]]=""),"",IF(((T198+AM198)-Table5101345411[[#This Row],[مجمع إهلاك المستبعد 
بتاريخ الأستبعاد]])&lt;=0,0,((T198+AM198)-Table5101345411[[#This Row],[مجمع إهلاك المستبعد 
بتاريخ الأستبعاد]])))</f>
        <v>5487.0164383561641</v>
      </c>
      <c r="AS198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الشراء-الاستلام]]&gt;DATE(2018,12,31),0,AI198-AR198)))</f>
        <v>8348.9835616438359</v>
      </c>
    </row>
    <row r="199" spans="1:45" s="141" customFormat="1" ht="83.25" customHeight="1">
      <c r="A199" s="118">
        <f>IF(B199="","",SUBTOTAL(3,$B$6:B199))</f>
        <v>194</v>
      </c>
      <c r="B199" s="58" t="s">
        <v>261</v>
      </c>
      <c r="C199" s="59" t="s">
        <v>54</v>
      </c>
      <c r="D199" s="59" t="s">
        <v>84</v>
      </c>
      <c r="E199" s="59" t="s">
        <v>621</v>
      </c>
      <c r="F199" s="226" t="s">
        <v>592</v>
      </c>
      <c r="G199" s="226"/>
      <c r="H199" s="58" t="s">
        <v>57</v>
      </c>
      <c r="I199" s="58" t="s">
        <v>619</v>
      </c>
      <c r="J199" s="58" t="s">
        <v>64</v>
      </c>
      <c r="K199" s="58" t="s">
        <v>86</v>
      </c>
      <c r="L199" s="60" t="s">
        <v>582</v>
      </c>
      <c r="M199" s="77">
        <v>42887</v>
      </c>
      <c r="N199" s="77" t="s">
        <v>262</v>
      </c>
      <c r="O199" s="150" t="s">
        <v>263</v>
      </c>
      <c r="P199" s="122">
        <v>1</v>
      </c>
      <c r="Q199" s="123"/>
      <c r="R199" s="130">
        <v>90000</v>
      </c>
      <c r="S199" s="130">
        <f t="shared" si="3"/>
        <v>90000</v>
      </c>
      <c r="T199" s="130">
        <v>13130.13698630137</v>
      </c>
      <c r="U199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الشراء-الاستلام]]&lt;DATE(2018,1,1),S199-T199,0))</f>
        <v>76869.863013698632</v>
      </c>
      <c r="V199" s="169"/>
      <c r="W199" s="116"/>
      <c r="X199" s="116"/>
      <c r="Y199" s="117">
        <f>Table5101345411[[#This Row],[عدد الإضافات]]*Table5101345411[[#This Row],[سعر الحبة المضافة]]</f>
        <v>0</v>
      </c>
      <c r="Z199" s="101"/>
      <c r="AA199" s="102"/>
      <c r="AB199" s="103"/>
      <c r="AC199" s="103"/>
      <c r="AD199" s="103"/>
      <c r="AE199" s="103"/>
      <c r="AF199" s="103">
        <f>Table5101345411[[#This Row],[العدد]]*Table5101345411[[#This Row],[قيمة الشراء]]</f>
        <v>0</v>
      </c>
      <c r="AG199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199" s="190">
        <f>Table5101345411[[#This Row],[الكمية]]+Table5101345411[[#This Row],[عدد الإضافات]]-Table5101345411[[#This Row],[العدد]]</f>
        <v>1</v>
      </c>
      <c r="AI199" s="78">
        <f>Table5101345411[[#This Row],[الإجمالي]]+Table5101345411[[#This Row],[إجمالي الإضافات]]-Table5101345411[[#This Row],[إجمالي المستبعد]]</f>
        <v>90000</v>
      </c>
      <c r="AJ199" s="120">
        <v>0.15</v>
      </c>
      <c r="AK199" s="219"/>
      <c r="AL199" s="58" t="s">
        <v>61</v>
      </c>
      <c r="AM199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13500</v>
      </c>
      <c r="AN199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199" s="79">
        <f>Table5101345411[[#This Row],[اهلاك المستبعد
في 2018]]+Table5101345411[[#This Row],[مجمع إهلاك المستبعد 
01-01-2018]]</f>
        <v>0</v>
      </c>
      <c r="AP199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199" s="220"/>
      <c r="AR199" s="78">
        <f>IF(OR(Table5101345411[[#This Row],[تاريخ الشراء-الاستلام]]="",Table5101345411[[#This Row],[الإجمالي]]="",Table5101345411[[#This Row],[العمر الافتراضي]]=""),"",IF(((T199+AM199)-Table5101345411[[#This Row],[مجمع إهلاك المستبعد 
بتاريخ الأستبعاد]])&lt;=0,0,((T199+AM199)-Table5101345411[[#This Row],[مجمع إهلاك المستبعد 
بتاريخ الأستبعاد]])))</f>
        <v>26630.136986301368</v>
      </c>
      <c r="AS199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الشراء-الاستلام]]&gt;DATE(2018,12,31),0,AI199-AR199)))</f>
        <v>63369.863013698632</v>
      </c>
    </row>
    <row r="200" spans="1:45" s="141" customFormat="1" ht="83.25" customHeight="1">
      <c r="A200" s="118">
        <f>IF(B200="","",SUBTOTAL(3,$B$6:B200))</f>
        <v>195</v>
      </c>
      <c r="B200" s="58" t="s">
        <v>261</v>
      </c>
      <c r="C200" s="59" t="s">
        <v>54</v>
      </c>
      <c r="D200" s="59" t="s">
        <v>84</v>
      </c>
      <c r="E200" s="59" t="s">
        <v>84</v>
      </c>
      <c r="F200" s="226" t="s">
        <v>84</v>
      </c>
      <c r="G200" s="226"/>
      <c r="H200" s="58"/>
      <c r="I200" s="58" t="s">
        <v>85</v>
      </c>
      <c r="J200" s="58" t="s">
        <v>64</v>
      </c>
      <c r="K200" s="58" t="s">
        <v>86</v>
      </c>
      <c r="L200" s="60">
        <v>8873</v>
      </c>
      <c r="M200" s="77">
        <v>42887</v>
      </c>
      <c r="N200" s="77" t="s">
        <v>262</v>
      </c>
      <c r="O200" s="150" t="s">
        <v>263</v>
      </c>
      <c r="P200" s="122">
        <v>1</v>
      </c>
      <c r="Q200" s="123"/>
      <c r="R200" s="130">
        <v>90000</v>
      </c>
      <c r="S200" s="130">
        <f t="shared" ref="S200:S263" si="5">R200*P200</f>
        <v>90000</v>
      </c>
      <c r="T200" s="130">
        <v>13130.13698630137</v>
      </c>
      <c r="U200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الشراء-الاستلام]]&lt;DATE(2018,1,1),S200-T200,0))</f>
        <v>76869.863013698632</v>
      </c>
      <c r="V200" s="169"/>
      <c r="W200" s="116"/>
      <c r="X200" s="116"/>
      <c r="Y200" s="117">
        <f>Table5101345411[[#This Row],[عدد الإضافات]]*Table5101345411[[#This Row],[سعر الحبة المضافة]]</f>
        <v>0</v>
      </c>
      <c r="Z200" s="101"/>
      <c r="AA200" s="102"/>
      <c r="AB200" s="103"/>
      <c r="AC200" s="103"/>
      <c r="AD200" s="103"/>
      <c r="AE200" s="103"/>
      <c r="AF200" s="103">
        <f>Table5101345411[[#This Row],[العدد]]*Table5101345411[[#This Row],[قيمة الشراء]]</f>
        <v>0</v>
      </c>
      <c r="AG200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00" s="190">
        <f>Table5101345411[[#This Row],[الكمية]]+Table5101345411[[#This Row],[عدد الإضافات]]-Table5101345411[[#This Row],[العدد]]</f>
        <v>1</v>
      </c>
      <c r="AI200" s="78">
        <f>Table5101345411[[#This Row],[الإجمالي]]+Table5101345411[[#This Row],[إجمالي الإضافات]]-Table5101345411[[#This Row],[إجمالي المستبعد]]</f>
        <v>90000</v>
      </c>
      <c r="AJ200" s="120">
        <v>0.15</v>
      </c>
      <c r="AK200" s="219"/>
      <c r="AL200" s="58" t="s">
        <v>61</v>
      </c>
      <c r="AM200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13500</v>
      </c>
      <c r="AN200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00" s="79">
        <f>Table5101345411[[#This Row],[اهلاك المستبعد
في 2018]]+Table5101345411[[#This Row],[مجمع إهلاك المستبعد 
01-01-2018]]</f>
        <v>0</v>
      </c>
      <c r="AP200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00" s="220"/>
      <c r="AR200" s="78">
        <f>IF(OR(Table5101345411[[#This Row],[تاريخ الشراء-الاستلام]]="",Table5101345411[[#This Row],[الإجمالي]]="",Table5101345411[[#This Row],[العمر الافتراضي]]=""),"",IF(((T200+AM200)-Table5101345411[[#This Row],[مجمع إهلاك المستبعد 
بتاريخ الأستبعاد]])&lt;=0,0,((T200+AM200)-Table5101345411[[#This Row],[مجمع إهلاك المستبعد 
بتاريخ الأستبعاد]])))</f>
        <v>26630.136986301368</v>
      </c>
      <c r="AS200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الشراء-الاستلام]]&gt;DATE(2018,12,31),0,AI200-AR200)))</f>
        <v>63369.863013698632</v>
      </c>
    </row>
    <row r="201" spans="1:45" s="141" customFormat="1" ht="83.25" customHeight="1">
      <c r="A201" s="118">
        <f>IF(B201="","",SUBTOTAL(3,$B$6:B201))</f>
        <v>196</v>
      </c>
      <c r="B201" s="58" t="s">
        <v>261</v>
      </c>
      <c r="C201" s="59" t="s">
        <v>54</v>
      </c>
      <c r="D201" s="59" t="s">
        <v>84</v>
      </c>
      <c r="E201" s="59" t="s">
        <v>621</v>
      </c>
      <c r="F201" s="226" t="s">
        <v>595</v>
      </c>
      <c r="G201" s="226"/>
      <c r="H201" s="58" t="s">
        <v>57</v>
      </c>
      <c r="I201" s="58" t="s">
        <v>619</v>
      </c>
      <c r="J201" s="58" t="s">
        <v>64</v>
      </c>
      <c r="K201" s="58" t="s">
        <v>86</v>
      </c>
      <c r="L201" s="60" t="s">
        <v>581</v>
      </c>
      <c r="M201" s="77">
        <v>42887</v>
      </c>
      <c r="N201" s="77" t="s">
        <v>262</v>
      </c>
      <c r="O201" s="150" t="s">
        <v>264</v>
      </c>
      <c r="P201" s="122">
        <v>1</v>
      </c>
      <c r="Q201" s="123"/>
      <c r="R201" s="130">
        <v>90000</v>
      </c>
      <c r="S201" s="130">
        <f t="shared" si="5"/>
        <v>90000</v>
      </c>
      <c r="T201" s="130">
        <v>13130.13698630137</v>
      </c>
      <c r="U201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الشراء-الاستلام]]&lt;DATE(2018,1,1),S201-T201,0))</f>
        <v>76869.863013698632</v>
      </c>
      <c r="V201" s="169"/>
      <c r="W201" s="116"/>
      <c r="X201" s="116"/>
      <c r="Y201" s="117">
        <f>Table5101345411[[#This Row],[عدد الإضافات]]*Table5101345411[[#This Row],[سعر الحبة المضافة]]</f>
        <v>0</v>
      </c>
      <c r="Z201" s="101"/>
      <c r="AA201" s="102"/>
      <c r="AB201" s="103"/>
      <c r="AC201" s="103"/>
      <c r="AD201" s="103"/>
      <c r="AE201" s="103"/>
      <c r="AF201" s="103">
        <f>Table5101345411[[#This Row],[العدد]]*Table5101345411[[#This Row],[قيمة الشراء]]</f>
        <v>0</v>
      </c>
      <c r="AG201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01" s="190">
        <f>Table5101345411[[#This Row],[الكمية]]+Table5101345411[[#This Row],[عدد الإضافات]]-Table5101345411[[#This Row],[العدد]]</f>
        <v>1</v>
      </c>
      <c r="AI201" s="78">
        <f>Table5101345411[[#This Row],[الإجمالي]]+Table5101345411[[#This Row],[إجمالي الإضافات]]-Table5101345411[[#This Row],[إجمالي المستبعد]]</f>
        <v>90000</v>
      </c>
      <c r="AJ201" s="120">
        <v>0.15</v>
      </c>
      <c r="AK201" s="219"/>
      <c r="AL201" s="58" t="s">
        <v>61</v>
      </c>
      <c r="AM201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13500</v>
      </c>
      <c r="AN201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01" s="79">
        <f>Table5101345411[[#This Row],[اهلاك المستبعد
في 2018]]+Table5101345411[[#This Row],[مجمع إهلاك المستبعد 
01-01-2018]]</f>
        <v>0</v>
      </c>
      <c r="AP201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01" s="220"/>
      <c r="AR201" s="78">
        <f>IF(OR(Table5101345411[[#This Row],[تاريخ الشراء-الاستلام]]="",Table5101345411[[#This Row],[الإجمالي]]="",Table5101345411[[#This Row],[العمر الافتراضي]]=""),"",IF(((T201+AM201)-Table5101345411[[#This Row],[مجمع إهلاك المستبعد 
بتاريخ الأستبعاد]])&lt;=0,0,((T201+AM201)-Table5101345411[[#This Row],[مجمع إهلاك المستبعد 
بتاريخ الأستبعاد]])))</f>
        <v>26630.136986301368</v>
      </c>
      <c r="AS201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الشراء-الاستلام]]&gt;DATE(2018,12,31),0,AI201-AR201)))</f>
        <v>63369.863013698632</v>
      </c>
    </row>
    <row r="202" spans="1:45" s="141" customFormat="1" ht="83.25" customHeight="1">
      <c r="A202" s="118">
        <f>IF(B202="","",SUBTOTAL(3,$B$6:B202))</f>
        <v>197</v>
      </c>
      <c r="B202" s="58" t="s">
        <v>261</v>
      </c>
      <c r="C202" s="59" t="s">
        <v>54</v>
      </c>
      <c r="D202" s="59" t="s">
        <v>84</v>
      </c>
      <c r="E202" s="59" t="s">
        <v>84</v>
      </c>
      <c r="F202" s="226" t="s">
        <v>84</v>
      </c>
      <c r="G202" s="226"/>
      <c r="H202" s="58"/>
      <c r="I202" s="58"/>
      <c r="J202" s="58" t="s">
        <v>64</v>
      </c>
      <c r="K202" s="58" t="s">
        <v>86</v>
      </c>
      <c r="L202" s="60">
        <v>8876</v>
      </c>
      <c r="M202" s="77">
        <v>42887</v>
      </c>
      <c r="N202" s="77" t="s">
        <v>262</v>
      </c>
      <c r="O202" s="150" t="s">
        <v>264</v>
      </c>
      <c r="P202" s="122">
        <v>1</v>
      </c>
      <c r="Q202" s="123"/>
      <c r="R202" s="130">
        <v>90000</v>
      </c>
      <c r="S202" s="130">
        <f t="shared" si="5"/>
        <v>90000</v>
      </c>
      <c r="T202" s="130">
        <v>13130.13698630137</v>
      </c>
      <c r="U202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الشراء-الاستلام]]&lt;DATE(2018,1,1),S202-T202,0))</f>
        <v>76869.863013698632</v>
      </c>
      <c r="V202" s="169"/>
      <c r="W202" s="116"/>
      <c r="X202" s="116"/>
      <c r="Y202" s="117">
        <f>Table5101345411[[#This Row],[عدد الإضافات]]*Table5101345411[[#This Row],[سعر الحبة المضافة]]</f>
        <v>0</v>
      </c>
      <c r="Z202" s="101"/>
      <c r="AA202" s="102"/>
      <c r="AB202" s="103"/>
      <c r="AC202" s="103"/>
      <c r="AD202" s="103"/>
      <c r="AE202" s="103"/>
      <c r="AF202" s="103">
        <f>Table5101345411[[#This Row],[العدد]]*Table5101345411[[#This Row],[قيمة الشراء]]</f>
        <v>0</v>
      </c>
      <c r="AG202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02" s="190">
        <f>Table5101345411[[#This Row],[الكمية]]+Table5101345411[[#This Row],[عدد الإضافات]]-Table5101345411[[#This Row],[العدد]]</f>
        <v>1</v>
      </c>
      <c r="AI202" s="78">
        <f>Table5101345411[[#This Row],[الإجمالي]]+Table5101345411[[#This Row],[إجمالي الإضافات]]-Table5101345411[[#This Row],[إجمالي المستبعد]]</f>
        <v>90000</v>
      </c>
      <c r="AJ202" s="120">
        <v>0.15</v>
      </c>
      <c r="AK202" s="219"/>
      <c r="AL202" s="58" t="s">
        <v>61</v>
      </c>
      <c r="AM202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13500</v>
      </c>
      <c r="AN202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02" s="79">
        <f>Table5101345411[[#This Row],[اهلاك المستبعد
في 2018]]+Table5101345411[[#This Row],[مجمع إهلاك المستبعد 
01-01-2018]]</f>
        <v>0</v>
      </c>
      <c r="AP202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02" s="220"/>
      <c r="AR202" s="78">
        <f>IF(OR(Table5101345411[[#This Row],[تاريخ الشراء-الاستلام]]="",Table5101345411[[#This Row],[الإجمالي]]="",Table5101345411[[#This Row],[العمر الافتراضي]]=""),"",IF(((T202+AM202)-Table5101345411[[#This Row],[مجمع إهلاك المستبعد 
بتاريخ الأستبعاد]])&lt;=0,0,((T202+AM202)-Table5101345411[[#This Row],[مجمع إهلاك المستبعد 
بتاريخ الأستبعاد]])))</f>
        <v>26630.136986301368</v>
      </c>
      <c r="AS202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الشراء-الاستلام]]&gt;DATE(2018,12,31),0,AI202-AR202)))</f>
        <v>63369.863013698632</v>
      </c>
    </row>
    <row r="203" spans="1:45" s="141" customFormat="1" ht="83.25" customHeight="1">
      <c r="A203" s="118">
        <f>IF(B203="","",SUBTOTAL(3,$B$6:B203))</f>
        <v>198</v>
      </c>
      <c r="B203" s="58" t="s">
        <v>265</v>
      </c>
      <c r="C203" s="59" t="s">
        <v>54</v>
      </c>
      <c r="D203" s="59" t="s">
        <v>84</v>
      </c>
      <c r="E203" s="59" t="s">
        <v>621</v>
      </c>
      <c r="F203" s="226" t="s">
        <v>592</v>
      </c>
      <c r="G203" s="226"/>
      <c r="H203" s="58" t="s">
        <v>57</v>
      </c>
      <c r="I203" s="58" t="s">
        <v>619</v>
      </c>
      <c r="J203" s="58" t="s">
        <v>64</v>
      </c>
      <c r="K203" s="58" t="s">
        <v>86</v>
      </c>
      <c r="L203" s="60" t="s">
        <v>582</v>
      </c>
      <c r="M203" s="77">
        <v>42885</v>
      </c>
      <c r="N203" s="77" t="s">
        <v>266</v>
      </c>
      <c r="O203" s="150" t="s">
        <v>263</v>
      </c>
      <c r="P203" s="122">
        <v>1</v>
      </c>
      <c r="Q203" s="123"/>
      <c r="R203" s="130">
        <v>245525</v>
      </c>
      <c r="S203" s="130">
        <f t="shared" si="5"/>
        <v>245525</v>
      </c>
      <c r="T203" s="130">
        <v>36156.07876712329</v>
      </c>
      <c r="U203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الشراء-الاستلام]]&lt;DATE(2018,1,1),S203-T203,0))</f>
        <v>209368.92123287672</v>
      </c>
      <c r="V203" s="169"/>
      <c r="W203" s="116"/>
      <c r="X203" s="116"/>
      <c r="Y203" s="117">
        <f>Table5101345411[[#This Row],[عدد الإضافات]]*Table5101345411[[#This Row],[سعر الحبة المضافة]]</f>
        <v>0</v>
      </c>
      <c r="Z203" s="101"/>
      <c r="AA203" s="102"/>
      <c r="AB203" s="103"/>
      <c r="AC203" s="103"/>
      <c r="AD203" s="103"/>
      <c r="AE203" s="103"/>
      <c r="AF203" s="103">
        <f>Table5101345411[[#This Row],[العدد]]*Table5101345411[[#This Row],[قيمة الشراء]]</f>
        <v>0</v>
      </c>
      <c r="AG203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03" s="190">
        <f>Table5101345411[[#This Row],[الكمية]]+Table5101345411[[#This Row],[عدد الإضافات]]-Table5101345411[[#This Row],[العدد]]</f>
        <v>1</v>
      </c>
      <c r="AI203" s="78">
        <f>Table5101345411[[#This Row],[الإجمالي]]+Table5101345411[[#This Row],[إجمالي الإضافات]]-Table5101345411[[#This Row],[إجمالي المستبعد]]</f>
        <v>245525</v>
      </c>
      <c r="AJ203" s="120">
        <v>0.15</v>
      </c>
      <c r="AK203" s="219"/>
      <c r="AL203" s="58" t="s">
        <v>61</v>
      </c>
      <c r="AM203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36828.75</v>
      </c>
      <c r="AN203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03" s="79">
        <f>Table5101345411[[#This Row],[اهلاك المستبعد
في 2018]]+Table5101345411[[#This Row],[مجمع إهلاك المستبعد 
01-01-2018]]</f>
        <v>0</v>
      </c>
      <c r="AP203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03" s="220"/>
      <c r="AR203" s="78">
        <f>IF(OR(Table5101345411[[#This Row],[تاريخ الشراء-الاستلام]]="",Table5101345411[[#This Row],[الإجمالي]]="",Table5101345411[[#This Row],[العمر الافتراضي]]=""),"",IF(((T203+AM203)-Table5101345411[[#This Row],[مجمع إهلاك المستبعد 
بتاريخ الأستبعاد]])&lt;=0,0,((T203+AM203)-Table5101345411[[#This Row],[مجمع إهلاك المستبعد 
بتاريخ الأستبعاد]])))</f>
        <v>72984.828767123283</v>
      </c>
      <c r="AS203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الشراء-الاستلام]]&gt;DATE(2018,12,31),0,AI203-AR203)))</f>
        <v>172540.17123287672</v>
      </c>
    </row>
    <row r="204" spans="1:45" s="141" customFormat="1" ht="83.25" customHeight="1">
      <c r="A204" s="118">
        <f>IF(B204="","",SUBTOTAL(3,$B$6:B204))</f>
        <v>199</v>
      </c>
      <c r="B204" s="58" t="s">
        <v>265</v>
      </c>
      <c r="C204" s="59" t="s">
        <v>54</v>
      </c>
      <c r="D204" s="59" t="s">
        <v>84</v>
      </c>
      <c r="E204" s="59" t="s">
        <v>84</v>
      </c>
      <c r="F204" s="226" t="s">
        <v>84</v>
      </c>
      <c r="G204" s="226"/>
      <c r="H204" s="58"/>
      <c r="I204" s="58" t="s">
        <v>85</v>
      </c>
      <c r="J204" s="58" t="s">
        <v>64</v>
      </c>
      <c r="K204" s="58" t="s">
        <v>86</v>
      </c>
      <c r="L204" s="60">
        <v>8873</v>
      </c>
      <c r="M204" s="77">
        <v>42885</v>
      </c>
      <c r="N204" s="77" t="s">
        <v>266</v>
      </c>
      <c r="O204" s="150" t="s">
        <v>263</v>
      </c>
      <c r="P204" s="122">
        <v>1</v>
      </c>
      <c r="Q204" s="123"/>
      <c r="R204" s="130">
        <v>245525</v>
      </c>
      <c r="S204" s="130">
        <f t="shared" si="5"/>
        <v>245525</v>
      </c>
      <c r="T204" s="130">
        <v>36156.07876712329</v>
      </c>
      <c r="U204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الشراء-الاستلام]]&lt;DATE(2018,1,1),S204-T204,0))</f>
        <v>209368.92123287672</v>
      </c>
      <c r="V204" s="169"/>
      <c r="W204" s="116"/>
      <c r="X204" s="116"/>
      <c r="Y204" s="117">
        <f>Table5101345411[[#This Row],[عدد الإضافات]]*Table5101345411[[#This Row],[سعر الحبة المضافة]]</f>
        <v>0</v>
      </c>
      <c r="Z204" s="101"/>
      <c r="AA204" s="102"/>
      <c r="AB204" s="103"/>
      <c r="AC204" s="103"/>
      <c r="AD204" s="103"/>
      <c r="AE204" s="103"/>
      <c r="AF204" s="103">
        <f>Table5101345411[[#This Row],[العدد]]*Table5101345411[[#This Row],[قيمة الشراء]]</f>
        <v>0</v>
      </c>
      <c r="AG204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04" s="190">
        <f>Table5101345411[[#This Row],[الكمية]]+Table5101345411[[#This Row],[عدد الإضافات]]-Table5101345411[[#This Row],[العدد]]</f>
        <v>1</v>
      </c>
      <c r="AI204" s="78">
        <f>Table5101345411[[#This Row],[الإجمالي]]+Table5101345411[[#This Row],[إجمالي الإضافات]]-Table5101345411[[#This Row],[إجمالي المستبعد]]</f>
        <v>245525</v>
      </c>
      <c r="AJ204" s="120">
        <v>0.15</v>
      </c>
      <c r="AK204" s="219"/>
      <c r="AL204" s="58" t="s">
        <v>61</v>
      </c>
      <c r="AM204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36828.75</v>
      </c>
      <c r="AN204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04" s="79">
        <f>Table5101345411[[#This Row],[اهلاك المستبعد
في 2018]]+Table5101345411[[#This Row],[مجمع إهلاك المستبعد 
01-01-2018]]</f>
        <v>0</v>
      </c>
      <c r="AP204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04" s="220"/>
      <c r="AR204" s="78">
        <f>IF(OR(Table5101345411[[#This Row],[تاريخ الشراء-الاستلام]]="",Table5101345411[[#This Row],[الإجمالي]]="",Table5101345411[[#This Row],[العمر الافتراضي]]=""),"",IF(((T204+AM204)-Table5101345411[[#This Row],[مجمع إهلاك المستبعد 
بتاريخ الأستبعاد]])&lt;=0,0,((T204+AM204)-Table5101345411[[#This Row],[مجمع إهلاك المستبعد 
بتاريخ الأستبعاد]])))</f>
        <v>72984.828767123283</v>
      </c>
      <c r="AS204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الشراء-الاستلام]]&gt;DATE(2018,12,31),0,AI204-AR204)))</f>
        <v>172540.17123287672</v>
      </c>
    </row>
    <row r="205" spans="1:45" s="141" customFormat="1" ht="83.25" customHeight="1">
      <c r="A205" s="118">
        <f>IF(B205="","",SUBTOTAL(3,$B$6:B205))</f>
        <v>200</v>
      </c>
      <c r="B205" s="58" t="s">
        <v>265</v>
      </c>
      <c r="C205" s="59" t="s">
        <v>54</v>
      </c>
      <c r="D205" s="59" t="s">
        <v>84</v>
      </c>
      <c r="E205" s="59" t="s">
        <v>621</v>
      </c>
      <c r="F205" s="226" t="s">
        <v>595</v>
      </c>
      <c r="G205" s="226"/>
      <c r="H205" s="58" t="s">
        <v>57</v>
      </c>
      <c r="I205" s="58" t="s">
        <v>619</v>
      </c>
      <c r="J205" s="58" t="s">
        <v>64</v>
      </c>
      <c r="K205" s="58" t="s">
        <v>86</v>
      </c>
      <c r="L205" s="60" t="s">
        <v>581</v>
      </c>
      <c r="M205" s="77">
        <v>42885</v>
      </c>
      <c r="N205" s="77" t="s">
        <v>266</v>
      </c>
      <c r="O205" s="150" t="s">
        <v>263</v>
      </c>
      <c r="P205" s="122">
        <v>1</v>
      </c>
      <c r="Q205" s="123"/>
      <c r="R205" s="130">
        <v>245525</v>
      </c>
      <c r="S205" s="130">
        <f t="shared" si="5"/>
        <v>245525</v>
      </c>
      <c r="T205" s="130">
        <v>36156.07876712329</v>
      </c>
      <c r="U205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الشراء-الاستلام]]&lt;DATE(2018,1,1),S205-T205,0))</f>
        <v>209368.92123287672</v>
      </c>
      <c r="V205" s="169"/>
      <c r="W205" s="116"/>
      <c r="X205" s="116"/>
      <c r="Y205" s="117">
        <f>Table5101345411[[#This Row],[عدد الإضافات]]*Table5101345411[[#This Row],[سعر الحبة المضافة]]</f>
        <v>0</v>
      </c>
      <c r="Z205" s="101"/>
      <c r="AA205" s="102"/>
      <c r="AB205" s="103"/>
      <c r="AC205" s="103"/>
      <c r="AD205" s="103"/>
      <c r="AE205" s="103"/>
      <c r="AF205" s="103">
        <f>Table5101345411[[#This Row],[العدد]]*Table5101345411[[#This Row],[قيمة الشراء]]</f>
        <v>0</v>
      </c>
      <c r="AG205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05" s="190">
        <f>Table5101345411[[#This Row],[الكمية]]+Table5101345411[[#This Row],[عدد الإضافات]]-Table5101345411[[#This Row],[العدد]]</f>
        <v>1</v>
      </c>
      <c r="AI205" s="78">
        <f>Table5101345411[[#This Row],[الإجمالي]]+Table5101345411[[#This Row],[إجمالي الإضافات]]-Table5101345411[[#This Row],[إجمالي المستبعد]]</f>
        <v>245525</v>
      </c>
      <c r="AJ205" s="120">
        <v>0.15</v>
      </c>
      <c r="AK205" s="219"/>
      <c r="AL205" s="58" t="s">
        <v>61</v>
      </c>
      <c r="AM205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36828.75</v>
      </c>
      <c r="AN205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05" s="79">
        <f>Table5101345411[[#This Row],[اهلاك المستبعد
في 2018]]+Table5101345411[[#This Row],[مجمع إهلاك المستبعد 
01-01-2018]]</f>
        <v>0</v>
      </c>
      <c r="AP205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05" s="220"/>
      <c r="AR205" s="78">
        <f>IF(OR(Table5101345411[[#This Row],[تاريخ الشراء-الاستلام]]="",Table5101345411[[#This Row],[الإجمالي]]="",Table5101345411[[#This Row],[العمر الافتراضي]]=""),"",IF(((T205+AM205)-Table5101345411[[#This Row],[مجمع إهلاك المستبعد 
بتاريخ الأستبعاد]])&lt;=0,0,((T205+AM205)-Table5101345411[[#This Row],[مجمع إهلاك المستبعد 
بتاريخ الأستبعاد]])))</f>
        <v>72984.828767123283</v>
      </c>
      <c r="AS205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الشراء-الاستلام]]&gt;DATE(2018,12,31),0,AI205-AR205)))</f>
        <v>172540.17123287672</v>
      </c>
    </row>
    <row r="206" spans="1:45" s="141" customFormat="1" ht="83.25" customHeight="1">
      <c r="A206" s="118">
        <f>IF(B206="","",SUBTOTAL(3,$B$6:B206))</f>
        <v>201</v>
      </c>
      <c r="B206" s="58" t="s">
        <v>265</v>
      </c>
      <c r="C206" s="59" t="s">
        <v>54</v>
      </c>
      <c r="D206" s="59" t="s">
        <v>84</v>
      </c>
      <c r="E206" s="59" t="s">
        <v>84</v>
      </c>
      <c r="F206" s="226" t="s">
        <v>84</v>
      </c>
      <c r="G206" s="226"/>
      <c r="H206" s="58"/>
      <c r="I206" s="58"/>
      <c r="J206" s="58" t="s">
        <v>64</v>
      </c>
      <c r="K206" s="58" t="s">
        <v>86</v>
      </c>
      <c r="L206" s="60">
        <v>8876</v>
      </c>
      <c r="M206" s="77">
        <v>42885</v>
      </c>
      <c r="N206" s="77" t="s">
        <v>266</v>
      </c>
      <c r="O206" s="150" t="s">
        <v>263</v>
      </c>
      <c r="P206" s="122">
        <v>1</v>
      </c>
      <c r="Q206" s="123"/>
      <c r="R206" s="130">
        <v>245525</v>
      </c>
      <c r="S206" s="130">
        <f t="shared" si="5"/>
        <v>245525</v>
      </c>
      <c r="T206" s="130">
        <v>36156.07876712329</v>
      </c>
      <c r="U206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الشراء-الاستلام]]&lt;DATE(2018,1,1),S206-T206,0))</f>
        <v>209368.92123287672</v>
      </c>
      <c r="V206" s="169"/>
      <c r="W206" s="116"/>
      <c r="X206" s="116"/>
      <c r="Y206" s="117">
        <f>Table5101345411[[#This Row],[عدد الإضافات]]*Table5101345411[[#This Row],[سعر الحبة المضافة]]</f>
        <v>0</v>
      </c>
      <c r="Z206" s="101"/>
      <c r="AA206" s="102"/>
      <c r="AB206" s="103"/>
      <c r="AC206" s="103"/>
      <c r="AD206" s="103"/>
      <c r="AE206" s="103"/>
      <c r="AF206" s="103">
        <f>Table5101345411[[#This Row],[العدد]]*Table5101345411[[#This Row],[قيمة الشراء]]</f>
        <v>0</v>
      </c>
      <c r="AG206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06" s="190">
        <f>Table5101345411[[#This Row],[الكمية]]+Table5101345411[[#This Row],[عدد الإضافات]]-Table5101345411[[#This Row],[العدد]]</f>
        <v>1</v>
      </c>
      <c r="AI206" s="78">
        <f>Table5101345411[[#This Row],[الإجمالي]]+Table5101345411[[#This Row],[إجمالي الإضافات]]-Table5101345411[[#This Row],[إجمالي المستبعد]]</f>
        <v>245525</v>
      </c>
      <c r="AJ206" s="120">
        <v>0.15</v>
      </c>
      <c r="AK206" s="219"/>
      <c r="AL206" s="58" t="s">
        <v>61</v>
      </c>
      <c r="AM206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36828.75</v>
      </c>
      <c r="AN206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06" s="79">
        <f>Table5101345411[[#This Row],[اهلاك المستبعد
في 2018]]+Table5101345411[[#This Row],[مجمع إهلاك المستبعد 
01-01-2018]]</f>
        <v>0</v>
      </c>
      <c r="AP206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06" s="220"/>
      <c r="AR206" s="78">
        <f>IF(OR(Table5101345411[[#This Row],[تاريخ الشراء-الاستلام]]="",Table5101345411[[#This Row],[الإجمالي]]="",Table5101345411[[#This Row],[العمر الافتراضي]]=""),"",IF(((T206+AM206)-Table5101345411[[#This Row],[مجمع إهلاك المستبعد 
بتاريخ الأستبعاد]])&lt;=0,0,((T206+AM206)-Table5101345411[[#This Row],[مجمع إهلاك المستبعد 
بتاريخ الأستبعاد]])))</f>
        <v>72984.828767123283</v>
      </c>
      <c r="AS206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الشراء-الاستلام]]&gt;DATE(2018,12,31),0,AI206-AR206)))</f>
        <v>172540.17123287672</v>
      </c>
    </row>
    <row r="207" spans="1:45" s="141" customFormat="1" ht="83.25" customHeight="1">
      <c r="A207" s="118">
        <f>IF(B207="","",SUBTOTAL(3,$B$6:B207))</f>
        <v>202</v>
      </c>
      <c r="B207" s="58" t="s">
        <v>256</v>
      </c>
      <c r="C207" s="59" t="s">
        <v>54</v>
      </c>
      <c r="D207" s="59" t="s">
        <v>84</v>
      </c>
      <c r="E207" s="59" t="s">
        <v>84</v>
      </c>
      <c r="F207" s="226" t="s">
        <v>84</v>
      </c>
      <c r="G207" s="226"/>
      <c r="H207" s="58"/>
      <c r="I207" s="58"/>
      <c r="J207" s="58" t="s">
        <v>64</v>
      </c>
      <c r="K207" s="58" t="s">
        <v>86</v>
      </c>
      <c r="L207" s="60">
        <v>3495</v>
      </c>
      <c r="M207" s="77">
        <v>42916</v>
      </c>
      <c r="N207" s="77" t="s">
        <v>65</v>
      </c>
      <c r="O207" s="150" t="s">
        <v>267</v>
      </c>
      <c r="P207" s="122">
        <v>2</v>
      </c>
      <c r="Q207" s="123">
        <v>10313</v>
      </c>
      <c r="R207" s="130">
        <v>4000</v>
      </c>
      <c r="S207" s="130">
        <f t="shared" si="5"/>
        <v>8000</v>
      </c>
      <c r="T207" s="130">
        <v>1008.2191780821918</v>
      </c>
      <c r="U207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الشراء-الاستلام]]&lt;DATE(2018,1,1),S207-T207,0))</f>
        <v>6991.7808219178078</v>
      </c>
      <c r="V207" s="169"/>
      <c r="W207" s="116"/>
      <c r="X207" s="116"/>
      <c r="Y207" s="117">
        <f>Table5101345411[[#This Row],[عدد الإضافات]]*Table5101345411[[#This Row],[سعر الحبة المضافة]]</f>
        <v>0</v>
      </c>
      <c r="Z207" s="101"/>
      <c r="AA207" s="102"/>
      <c r="AB207" s="103"/>
      <c r="AC207" s="103"/>
      <c r="AD207" s="103"/>
      <c r="AE207" s="103"/>
      <c r="AF207" s="103">
        <f>Table5101345411[[#This Row],[العدد]]*Table5101345411[[#This Row],[قيمة الشراء]]</f>
        <v>0</v>
      </c>
      <c r="AG207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07" s="190">
        <f>Table5101345411[[#This Row],[الكمية]]+Table5101345411[[#This Row],[عدد الإضافات]]-Table5101345411[[#This Row],[العدد]]</f>
        <v>2</v>
      </c>
      <c r="AI207" s="78">
        <f>Table5101345411[[#This Row],[الإجمالي]]+Table5101345411[[#This Row],[إجمالي الإضافات]]-Table5101345411[[#This Row],[إجمالي المستبعد]]</f>
        <v>8000</v>
      </c>
      <c r="AJ207" s="120">
        <v>0.15</v>
      </c>
      <c r="AK207" s="219"/>
      <c r="AL207" s="58" t="s">
        <v>61</v>
      </c>
      <c r="AM207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1200</v>
      </c>
      <c r="AN207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07" s="79">
        <f>Table5101345411[[#This Row],[اهلاك المستبعد
في 2018]]+Table5101345411[[#This Row],[مجمع إهلاك المستبعد 
01-01-2018]]</f>
        <v>0</v>
      </c>
      <c r="AP207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07" s="220"/>
      <c r="AR207" s="78">
        <f>IF(OR(Table5101345411[[#This Row],[تاريخ الشراء-الاستلام]]="",Table5101345411[[#This Row],[الإجمالي]]="",Table5101345411[[#This Row],[العمر الافتراضي]]=""),"",IF(((T207+AM207)-Table5101345411[[#This Row],[مجمع إهلاك المستبعد 
بتاريخ الأستبعاد]])&lt;=0,0,((T207+AM207)-Table5101345411[[#This Row],[مجمع إهلاك المستبعد 
بتاريخ الأستبعاد]])))</f>
        <v>2208.2191780821918</v>
      </c>
      <c r="AS207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الشراء-الاستلام]]&gt;DATE(2018,12,31),0,AI207-AR207)))</f>
        <v>5791.7808219178078</v>
      </c>
    </row>
    <row r="208" spans="1:45" s="141" customFormat="1" ht="83.25" customHeight="1">
      <c r="A208" s="118">
        <f>IF(B208="","",SUBTOTAL(3,$B$6:B208))</f>
        <v>203</v>
      </c>
      <c r="B208" s="58" t="s">
        <v>207</v>
      </c>
      <c r="C208" s="59" t="s">
        <v>54</v>
      </c>
      <c r="D208" s="59" t="s">
        <v>84</v>
      </c>
      <c r="E208" s="59" t="s">
        <v>84</v>
      </c>
      <c r="F208" s="226" t="s">
        <v>84</v>
      </c>
      <c r="G208" s="226"/>
      <c r="H208" s="58"/>
      <c r="I208" s="58"/>
      <c r="J208" s="58" t="s">
        <v>64</v>
      </c>
      <c r="K208" s="58" t="s">
        <v>86</v>
      </c>
      <c r="L208" s="60" t="s">
        <v>98</v>
      </c>
      <c r="M208" s="77">
        <v>42946</v>
      </c>
      <c r="N208" s="77" t="s">
        <v>65</v>
      </c>
      <c r="O208" s="150" t="s">
        <v>267</v>
      </c>
      <c r="P208" s="122">
        <v>1</v>
      </c>
      <c r="Q208" s="123">
        <v>10317</v>
      </c>
      <c r="R208" s="130">
        <v>87000</v>
      </c>
      <c r="S208" s="130">
        <f t="shared" si="5"/>
        <v>87000</v>
      </c>
      <c r="T208" s="130">
        <v>9176.712328767122</v>
      </c>
      <c r="U208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الشراء-الاستلام]]&lt;DATE(2018,1,1),S208-T208,0))</f>
        <v>77823.287671232873</v>
      </c>
      <c r="V208" s="169"/>
      <c r="W208" s="116"/>
      <c r="X208" s="116"/>
      <c r="Y208" s="117">
        <f>Table5101345411[[#This Row],[عدد الإضافات]]*Table5101345411[[#This Row],[سعر الحبة المضافة]]</f>
        <v>0</v>
      </c>
      <c r="Z208" s="101"/>
      <c r="AA208" s="102"/>
      <c r="AB208" s="103"/>
      <c r="AC208" s="103"/>
      <c r="AD208" s="103"/>
      <c r="AE208" s="103"/>
      <c r="AF208" s="103">
        <f>Table5101345411[[#This Row],[العدد]]*Table5101345411[[#This Row],[قيمة الشراء]]</f>
        <v>0</v>
      </c>
      <c r="AG208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08" s="190">
        <f>Table5101345411[[#This Row],[الكمية]]+Table5101345411[[#This Row],[عدد الإضافات]]-Table5101345411[[#This Row],[العدد]]</f>
        <v>1</v>
      </c>
      <c r="AI208" s="78">
        <f>Table5101345411[[#This Row],[الإجمالي]]+Table5101345411[[#This Row],[إجمالي الإضافات]]-Table5101345411[[#This Row],[إجمالي المستبعد]]</f>
        <v>87000</v>
      </c>
      <c r="AJ208" s="120">
        <v>0.15</v>
      </c>
      <c r="AK208" s="219"/>
      <c r="AL208" s="58" t="s">
        <v>61</v>
      </c>
      <c r="AM208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13050</v>
      </c>
      <c r="AN208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08" s="79">
        <f>Table5101345411[[#This Row],[اهلاك المستبعد
في 2018]]+Table5101345411[[#This Row],[مجمع إهلاك المستبعد 
01-01-2018]]</f>
        <v>0</v>
      </c>
      <c r="AP208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08" s="220"/>
      <c r="AR208" s="78">
        <f>IF(OR(Table5101345411[[#This Row],[تاريخ الشراء-الاستلام]]="",Table5101345411[[#This Row],[الإجمالي]]="",Table5101345411[[#This Row],[العمر الافتراضي]]=""),"",IF(((T208+AM208)-Table5101345411[[#This Row],[مجمع إهلاك المستبعد 
بتاريخ الأستبعاد]])&lt;=0,0,((T208+AM208)-Table5101345411[[#This Row],[مجمع إهلاك المستبعد 
بتاريخ الأستبعاد]])))</f>
        <v>22226.71232876712</v>
      </c>
      <c r="AS208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الشراء-الاستلام]]&gt;DATE(2018,12,31),0,AI208-AR208)))</f>
        <v>64773.28767123288</v>
      </c>
    </row>
    <row r="209" spans="1:45" s="141" customFormat="1" ht="83.25" customHeight="1">
      <c r="A209" s="118">
        <f>IF(B209="","",SUBTOTAL(3,$B$6:B209))</f>
        <v>204</v>
      </c>
      <c r="B209" s="58" t="s">
        <v>583</v>
      </c>
      <c r="C209" s="59" t="s">
        <v>54</v>
      </c>
      <c r="D209" s="59" t="s">
        <v>84</v>
      </c>
      <c r="E209" s="59" t="s">
        <v>207</v>
      </c>
      <c r="F209" s="226" t="s">
        <v>597</v>
      </c>
      <c r="G209" s="226"/>
      <c r="H209" s="58" t="s">
        <v>57</v>
      </c>
      <c r="I209" s="58" t="s">
        <v>619</v>
      </c>
      <c r="J209" s="58" t="s">
        <v>64</v>
      </c>
      <c r="K209" s="58" t="s">
        <v>86</v>
      </c>
      <c r="L209" s="60" t="s">
        <v>89</v>
      </c>
      <c r="M209" s="77">
        <v>42916</v>
      </c>
      <c r="N209" s="77" t="s">
        <v>65</v>
      </c>
      <c r="O209" s="150" t="s">
        <v>267</v>
      </c>
      <c r="P209" s="122">
        <v>1</v>
      </c>
      <c r="Q209" s="123">
        <v>10317</v>
      </c>
      <c r="R209" s="130">
        <v>87000</v>
      </c>
      <c r="S209" s="130">
        <f t="shared" si="5"/>
        <v>87000</v>
      </c>
      <c r="T209" s="130">
        <v>10964.384</v>
      </c>
      <c r="U209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الشراء-الاستلام]]&lt;DATE(2018,1,1),S209-T209,0))</f>
        <v>76035.615999999995</v>
      </c>
      <c r="V209" s="169"/>
      <c r="W209" s="116"/>
      <c r="X209" s="116"/>
      <c r="Y209" s="117">
        <f>Table5101345411[[#This Row],[عدد الإضافات]]*Table5101345411[[#This Row],[سعر الحبة المضافة]]</f>
        <v>0</v>
      </c>
      <c r="Z209" s="101"/>
      <c r="AA209" s="102"/>
      <c r="AB209" s="103"/>
      <c r="AC209" s="103"/>
      <c r="AD209" s="103"/>
      <c r="AE209" s="103"/>
      <c r="AF209" s="103">
        <f>Table5101345411[[#This Row],[العدد]]*Table5101345411[[#This Row],[قيمة الشراء]]</f>
        <v>0</v>
      </c>
      <c r="AG209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09" s="190">
        <f>Table5101345411[[#This Row],[الكمية]]+Table5101345411[[#This Row],[عدد الإضافات]]-Table5101345411[[#This Row],[العدد]]</f>
        <v>1</v>
      </c>
      <c r="AI209" s="78">
        <f>Table5101345411[[#This Row],[الإجمالي]]+Table5101345411[[#This Row],[إجمالي الإضافات]]-Table5101345411[[#This Row],[إجمالي المستبعد]]</f>
        <v>87000</v>
      </c>
      <c r="AJ209" s="120">
        <v>0.15</v>
      </c>
      <c r="AK209" s="219"/>
      <c r="AL209" s="58" t="s">
        <v>61</v>
      </c>
      <c r="AM209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13050</v>
      </c>
      <c r="AN209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09" s="79">
        <f>Table5101345411[[#This Row],[اهلاك المستبعد
في 2018]]+Table5101345411[[#This Row],[مجمع إهلاك المستبعد 
01-01-2018]]</f>
        <v>0</v>
      </c>
      <c r="AP209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09" s="220"/>
      <c r="AR209" s="78">
        <f>IF(OR(Table5101345411[[#This Row],[تاريخ الشراء-الاستلام]]="",Table5101345411[[#This Row],[الإجمالي]]="",Table5101345411[[#This Row],[العمر الافتراضي]]=""),"",IF(((T209+AM209)-Table5101345411[[#This Row],[مجمع إهلاك المستبعد 
بتاريخ الأستبعاد]])&lt;=0,0,((T209+AM209)-Table5101345411[[#This Row],[مجمع إهلاك المستبعد 
بتاريخ الأستبعاد]])))</f>
        <v>24014.383999999998</v>
      </c>
      <c r="AS209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الشراء-الاستلام]]&gt;DATE(2018,12,31),0,AI209-AR209)))</f>
        <v>62985.616000000002</v>
      </c>
    </row>
    <row r="210" spans="1:45" s="141" customFormat="1" ht="83.25" customHeight="1">
      <c r="A210" s="118">
        <f>IF(B210="","",SUBTOTAL(3,$B$6:B210))</f>
        <v>205</v>
      </c>
      <c r="B210" s="58" t="s">
        <v>207</v>
      </c>
      <c r="C210" s="59" t="s">
        <v>54</v>
      </c>
      <c r="D210" s="59" t="s">
        <v>84</v>
      </c>
      <c r="E210" s="59" t="s">
        <v>207</v>
      </c>
      <c r="F210" s="226" t="s">
        <v>620</v>
      </c>
      <c r="G210" s="226"/>
      <c r="H210" s="58" t="s">
        <v>57</v>
      </c>
      <c r="I210" s="58" t="s">
        <v>619</v>
      </c>
      <c r="J210" s="58" t="s">
        <v>64</v>
      </c>
      <c r="K210" s="58" t="s">
        <v>86</v>
      </c>
      <c r="L210" s="60" t="s">
        <v>100</v>
      </c>
      <c r="M210" s="77">
        <v>42916</v>
      </c>
      <c r="N210" s="77" t="s">
        <v>65</v>
      </c>
      <c r="O210" s="150" t="s">
        <v>267</v>
      </c>
      <c r="P210" s="122">
        <v>1</v>
      </c>
      <c r="Q210" s="123">
        <v>10342</v>
      </c>
      <c r="R210" s="130">
        <v>85000</v>
      </c>
      <c r="S210" s="130">
        <f t="shared" si="5"/>
        <v>85000</v>
      </c>
      <c r="T210" s="130">
        <v>10712.328767123288</v>
      </c>
      <c r="U210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الشراء-الاستلام]]&lt;DATE(2018,1,1),S210-T210,0))</f>
        <v>74287.671232876717</v>
      </c>
      <c r="V210" s="169"/>
      <c r="W210" s="116"/>
      <c r="X210" s="116"/>
      <c r="Y210" s="117">
        <f>Table5101345411[[#This Row],[عدد الإضافات]]*Table5101345411[[#This Row],[سعر الحبة المضافة]]</f>
        <v>0</v>
      </c>
      <c r="Z210" s="101"/>
      <c r="AA210" s="102"/>
      <c r="AB210" s="103"/>
      <c r="AC210" s="103"/>
      <c r="AD210" s="103"/>
      <c r="AE210" s="103"/>
      <c r="AF210" s="103">
        <f>Table5101345411[[#This Row],[العدد]]*Table5101345411[[#This Row],[قيمة الشراء]]</f>
        <v>0</v>
      </c>
      <c r="AG210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10" s="190">
        <f>Table5101345411[[#This Row],[الكمية]]+Table5101345411[[#This Row],[عدد الإضافات]]-Table5101345411[[#This Row],[العدد]]</f>
        <v>1</v>
      </c>
      <c r="AI210" s="78">
        <f>Table5101345411[[#This Row],[الإجمالي]]+Table5101345411[[#This Row],[إجمالي الإضافات]]-Table5101345411[[#This Row],[إجمالي المستبعد]]</f>
        <v>85000</v>
      </c>
      <c r="AJ210" s="120">
        <v>0.15</v>
      </c>
      <c r="AK210" s="219"/>
      <c r="AL210" s="58" t="s">
        <v>61</v>
      </c>
      <c r="AM210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12750</v>
      </c>
      <c r="AN210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10" s="79">
        <f>Table5101345411[[#This Row],[اهلاك المستبعد
في 2018]]+Table5101345411[[#This Row],[مجمع إهلاك المستبعد 
01-01-2018]]</f>
        <v>0</v>
      </c>
      <c r="AP210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10" s="220"/>
      <c r="AR210" s="78">
        <f>IF(OR(Table5101345411[[#This Row],[تاريخ الشراء-الاستلام]]="",Table5101345411[[#This Row],[الإجمالي]]="",Table5101345411[[#This Row],[العمر الافتراضي]]=""),"",IF(((T210+AM210)-Table5101345411[[#This Row],[مجمع إهلاك المستبعد 
بتاريخ الأستبعاد]])&lt;=0,0,((T210+AM210)-Table5101345411[[#This Row],[مجمع إهلاك المستبعد 
بتاريخ الأستبعاد]])))</f>
        <v>23462.32876712329</v>
      </c>
      <c r="AS210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الشراء-الاستلام]]&gt;DATE(2018,12,31),0,AI210-AR210)))</f>
        <v>61537.67123287671</v>
      </c>
    </row>
    <row r="211" spans="1:45" s="141" customFormat="1" ht="83.25" customHeight="1">
      <c r="A211" s="118">
        <f>IF(B211="","",SUBTOTAL(3,$B$6:B211))</f>
        <v>206</v>
      </c>
      <c r="B211" s="58" t="s">
        <v>207</v>
      </c>
      <c r="C211" s="59" t="s">
        <v>54</v>
      </c>
      <c r="D211" s="59" t="s">
        <v>84</v>
      </c>
      <c r="E211" s="59" t="s">
        <v>84</v>
      </c>
      <c r="F211" s="226" t="s">
        <v>84</v>
      </c>
      <c r="G211" s="226"/>
      <c r="H211" s="58"/>
      <c r="I211" s="58" t="s">
        <v>85</v>
      </c>
      <c r="J211" s="58" t="s">
        <v>64</v>
      </c>
      <c r="K211" s="58" t="s">
        <v>86</v>
      </c>
      <c r="L211" s="60" t="s">
        <v>268</v>
      </c>
      <c r="M211" s="77">
        <v>43100</v>
      </c>
      <c r="N211" s="77" t="s">
        <v>65</v>
      </c>
      <c r="O211" s="150" t="s">
        <v>269</v>
      </c>
      <c r="P211" s="122">
        <v>15</v>
      </c>
      <c r="Q211" s="123"/>
      <c r="R211" s="130">
        <v>92000</v>
      </c>
      <c r="S211" s="130">
        <f t="shared" si="5"/>
        <v>1380000</v>
      </c>
      <c r="T211" s="130">
        <v>0</v>
      </c>
      <c r="U211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الشراء-الاستلام]]&lt;DATE(2018,1,1),S211-T211,0))</f>
        <v>1380000</v>
      </c>
      <c r="V211" s="169"/>
      <c r="W211" s="116"/>
      <c r="X211" s="116"/>
      <c r="Y211" s="117">
        <f>Table5101345411[[#This Row],[عدد الإضافات]]*Table5101345411[[#This Row],[سعر الحبة المضافة]]</f>
        <v>0</v>
      </c>
      <c r="Z211" s="101"/>
      <c r="AA211" s="102"/>
      <c r="AB211" s="103"/>
      <c r="AC211" s="103"/>
      <c r="AD211" s="103"/>
      <c r="AE211" s="103"/>
      <c r="AF211" s="103">
        <f>Table5101345411[[#This Row],[العدد]]*Table5101345411[[#This Row],[قيمة الشراء]]</f>
        <v>0</v>
      </c>
      <c r="AG211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11" s="190">
        <f>Table5101345411[[#This Row],[الكمية]]+Table5101345411[[#This Row],[عدد الإضافات]]-Table5101345411[[#This Row],[العدد]]</f>
        <v>15</v>
      </c>
      <c r="AI211" s="78">
        <f>Table5101345411[[#This Row],[الإجمالي]]+Table5101345411[[#This Row],[إجمالي الإضافات]]-Table5101345411[[#This Row],[إجمالي المستبعد]]</f>
        <v>1380000</v>
      </c>
      <c r="AJ211" s="120">
        <v>0.15</v>
      </c>
      <c r="AK211" s="219"/>
      <c r="AL211" s="58" t="s">
        <v>61</v>
      </c>
      <c r="AM211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207000</v>
      </c>
      <c r="AN211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11" s="79">
        <f>Table5101345411[[#This Row],[اهلاك المستبعد
في 2018]]+Table5101345411[[#This Row],[مجمع إهلاك المستبعد 
01-01-2018]]</f>
        <v>0</v>
      </c>
      <c r="AP211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11" s="220"/>
      <c r="AR211" s="78">
        <f>IF(OR(Table5101345411[[#This Row],[تاريخ الشراء-الاستلام]]="",Table5101345411[[#This Row],[الإجمالي]]="",Table5101345411[[#This Row],[العمر الافتراضي]]=""),"",IF(((T211+AM211)-Table5101345411[[#This Row],[مجمع إهلاك المستبعد 
بتاريخ الأستبعاد]])&lt;=0,0,((T211+AM211)-Table5101345411[[#This Row],[مجمع إهلاك المستبعد 
بتاريخ الأستبعاد]])))</f>
        <v>207000</v>
      </c>
      <c r="AS211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الشراء-الاستلام]]&gt;DATE(2018,12,31),0,AI211-AR211)))</f>
        <v>1173000</v>
      </c>
    </row>
    <row r="212" spans="1:45" s="141" customFormat="1" ht="83.25" customHeight="1">
      <c r="A212" s="118">
        <f>IF(B212="","",SUBTOTAL(3,$B$6:B212))</f>
        <v>207</v>
      </c>
      <c r="B212" s="58" t="s">
        <v>79</v>
      </c>
      <c r="C212" s="59" t="s">
        <v>54</v>
      </c>
      <c r="D212" s="59" t="s">
        <v>80</v>
      </c>
      <c r="E212" s="59" t="s">
        <v>158</v>
      </c>
      <c r="F212" s="226" t="s">
        <v>680</v>
      </c>
      <c r="G212" s="223" t="s">
        <v>812</v>
      </c>
      <c r="H212" s="58" t="s">
        <v>96</v>
      </c>
      <c r="I212" s="58" t="s">
        <v>619</v>
      </c>
      <c r="J212" s="58" t="s">
        <v>64</v>
      </c>
      <c r="K212" s="58" t="s">
        <v>220</v>
      </c>
      <c r="L212" s="60" t="s">
        <v>681</v>
      </c>
      <c r="M212" s="77">
        <v>42767</v>
      </c>
      <c r="N212" s="77" t="s">
        <v>270</v>
      </c>
      <c r="O212" s="150" t="s">
        <v>271</v>
      </c>
      <c r="P212" s="122">
        <v>1</v>
      </c>
      <c r="Q212" s="123"/>
      <c r="R212" s="130">
        <v>35500</v>
      </c>
      <c r="S212" s="130">
        <f t="shared" si="5"/>
        <v>35500</v>
      </c>
      <c r="T212" s="130">
        <v>8096.9178082191784</v>
      </c>
      <c r="U212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الشراء-الاستلام]]&lt;DATE(2018,1,1),S212-T212,0))</f>
        <v>27403.082191780821</v>
      </c>
      <c r="V212" s="169"/>
      <c r="W212" s="116"/>
      <c r="X212" s="116"/>
      <c r="Y212" s="117">
        <f>Table5101345411[[#This Row],[عدد الإضافات]]*Table5101345411[[#This Row],[سعر الحبة المضافة]]</f>
        <v>0</v>
      </c>
      <c r="Z212" s="101"/>
      <c r="AA212" s="102"/>
      <c r="AB212" s="103"/>
      <c r="AC212" s="103"/>
      <c r="AD212" s="103"/>
      <c r="AE212" s="103"/>
      <c r="AF212" s="103">
        <f>Table5101345411[[#This Row],[العدد]]*Table5101345411[[#This Row],[قيمة الشراء]]</f>
        <v>0</v>
      </c>
      <c r="AG212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12" s="190">
        <f>Table5101345411[[#This Row],[الكمية]]+Table5101345411[[#This Row],[عدد الإضافات]]-Table5101345411[[#This Row],[العدد]]</f>
        <v>1</v>
      </c>
      <c r="AI212" s="78">
        <f>Table5101345411[[#This Row],[الإجمالي]]+Table5101345411[[#This Row],[إجمالي الإضافات]]-Table5101345411[[#This Row],[إجمالي المستبعد]]</f>
        <v>35500</v>
      </c>
      <c r="AJ212" s="120">
        <v>0.15</v>
      </c>
      <c r="AK212" s="219"/>
      <c r="AL212" s="58" t="s">
        <v>61</v>
      </c>
      <c r="AM212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5325</v>
      </c>
      <c r="AN212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12" s="79">
        <f>Table5101345411[[#This Row],[اهلاك المستبعد
في 2018]]+Table5101345411[[#This Row],[مجمع إهلاك المستبعد 
01-01-2018]]</f>
        <v>0</v>
      </c>
      <c r="AP212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12" s="220"/>
      <c r="AR212" s="78">
        <f>IF(OR(Table5101345411[[#This Row],[تاريخ الشراء-الاستلام]]="",Table5101345411[[#This Row],[الإجمالي]]="",Table5101345411[[#This Row],[العمر الافتراضي]]=""),"",IF(((T212+AM212)-Table5101345411[[#This Row],[مجمع إهلاك المستبعد 
بتاريخ الأستبعاد]])&lt;=0,0,((T212+AM212)-Table5101345411[[#This Row],[مجمع إهلاك المستبعد 
بتاريخ الأستبعاد]])))</f>
        <v>13421.917808219179</v>
      </c>
      <c r="AS212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الشراء-الاستلام]]&gt;DATE(2018,12,31),0,AI212-AR212)))</f>
        <v>22078.082191780821</v>
      </c>
    </row>
    <row r="213" spans="1:45" s="141" customFormat="1" ht="83.25" customHeight="1">
      <c r="A213" s="118">
        <f>IF(B213="","",SUBTOTAL(3,$B$6:B213))</f>
        <v>208</v>
      </c>
      <c r="B213" s="58" t="s">
        <v>79</v>
      </c>
      <c r="C213" s="59" t="s">
        <v>54</v>
      </c>
      <c r="D213" s="59" t="s">
        <v>80</v>
      </c>
      <c r="E213" s="59" t="s">
        <v>158</v>
      </c>
      <c r="F213" s="226" t="s">
        <v>662</v>
      </c>
      <c r="G213" s="223" t="s">
        <v>813</v>
      </c>
      <c r="H213" s="58" t="s">
        <v>57</v>
      </c>
      <c r="I213" s="58" t="s">
        <v>619</v>
      </c>
      <c r="J213" s="58" t="s">
        <v>272</v>
      </c>
      <c r="K213" s="58" t="s">
        <v>800</v>
      </c>
      <c r="L213" s="60" t="s">
        <v>663</v>
      </c>
      <c r="M213" s="77">
        <v>42767</v>
      </c>
      <c r="N213" s="77" t="s">
        <v>270</v>
      </c>
      <c r="O213" s="150" t="s">
        <v>271</v>
      </c>
      <c r="P213" s="122">
        <v>1</v>
      </c>
      <c r="Q213" s="123"/>
      <c r="R213" s="130">
        <v>35500</v>
      </c>
      <c r="S213" s="130">
        <f t="shared" si="5"/>
        <v>35500</v>
      </c>
      <c r="T213" s="130">
        <f>24290.7534246575/3</f>
        <v>8096.9178082191675</v>
      </c>
      <c r="U213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الشراء-الاستلام]]&lt;DATE(2018,1,1),S213-T213,0))</f>
        <v>27403.082191780832</v>
      </c>
      <c r="V213" s="169"/>
      <c r="W213" s="116"/>
      <c r="X213" s="116"/>
      <c r="Y213" s="117">
        <f>Table5101345411[[#This Row],[عدد الإضافات]]*Table5101345411[[#This Row],[سعر الحبة المضافة]]</f>
        <v>0</v>
      </c>
      <c r="Z213" s="101"/>
      <c r="AA213" s="102"/>
      <c r="AB213" s="103"/>
      <c r="AC213" s="103"/>
      <c r="AD213" s="103"/>
      <c r="AE213" s="103"/>
      <c r="AF213" s="103">
        <f>Table5101345411[[#This Row],[العدد]]*Table5101345411[[#This Row],[قيمة الشراء]]</f>
        <v>0</v>
      </c>
      <c r="AG213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13" s="190">
        <f>Table5101345411[[#This Row],[الكمية]]+Table5101345411[[#This Row],[عدد الإضافات]]-Table5101345411[[#This Row],[العدد]]</f>
        <v>1</v>
      </c>
      <c r="AI213" s="78">
        <f>Table5101345411[[#This Row],[الإجمالي]]+Table5101345411[[#This Row],[إجمالي الإضافات]]-Table5101345411[[#This Row],[إجمالي المستبعد]]</f>
        <v>35500</v>
      </c>
      <c r="AJ213" s="120">
        <v>0.15</v>
      </c>
      <c r="AK213" s="219"/>
      <c r="AL213" s="58" t="s">
        <v>61</v>
      </c>
      <c r="AM213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5325</v>
      </c>
      <c r="AN213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13" s="79">
        <f>Table5101345411[[#This Row],[اهلاك المستبعد
في 2018]]+Table5101345411[[#This Row],[مجمع إهلاك المستبعد 
01-01-2018]]</f>
        <v>0</v>
      </c>
      <c r="AP213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13" s="220"/>
      <c r="AR213" s="78">
        <f>IF(OR(Table5101345411[[#This Row],[تاريخ الشراء-الاستلام]]="",Table5101345411[[#This Row],[الإجمالي]]="",Table5101345411[[#This Row],[العمر الافتراضي]]=""),"",IF(((T213+AM213)-Table5101345411[[#This Row],[مجمع إهلاك المستبعد 
بتاريخ الأستبعاد]])&lt;=0,0,((T213+AM213)-Table5101345411[[#This Row],[مجمع إهلاك المستبعد 
بتاريخ الأستبعاد]])))</f>
        <v>13421.917808219168</v>
      </c>
      <c r="AS213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الشراء-الاستلام]]&gt;DATE(2018,12,31),0,AI213-AR213)))</f>
        <v>22078.082191780832</v>
      </c>
    </row>
    <row r="214" spans="1:45" s="141" customFormat="1" ht="83.25" customHeight="1">
      <c r="A214" s="118">
        <f>IF(B214="","",SUBTOTAL(3,$B$6:B214))</f>
        <v>209</v>
      </c>
      <c r="B214" s="58" t="s">
        <v>79</v>
      </c>
      <c r="C214" s="59" t="s">
        <v>54</v>
      </c>
      <c r="D214" s="59" t="s">
        <v>80</v>
      </c>
      <c r="E214" s="59" t="s">
        <v>158</v>
      </c>
      <c r="F214" s="226" t="s">
        <v>666</v>
      </c>
      <c r="G214" s="223" t="s">
        <v>814</v>
      </c>
      <c r="H214" s="58" t="s">
        <v>57</v>
      </c>
      <c r="I214" s="58" t="s">
        <v>619</v>
      </c>
      <c r="J214" s="58" t="s">
        <v>272</v>
      </c>
      <c r="K214" s="58" t="s">
        <v>801</v>
      </c>
      <c r="L214" s="60" t="s">
        <v>664</v>
      </c>
      <c r="M214" s="77">
        <v>42767</v>
      </c>
      <c r="N214" s="77" t="s">
        <v>270</v>
      </c>
      <c r="O214" s="150" t="s">
        <v>271</v>
      </c>
      <c r="P214" s="122">
        <v>1</v>
      </c>
      <c r="Q214" s="123"/>
      <c r="R214" s="130">
        <v>35500</v>
      </c>
      <c r="S214" s="130">
        <f t="shared" si="5"/>
        <v>35500</v>
      </c>
      <c r="T214" s="130">
        <f>24290.7534246575/3</f>
        <v>8096.9178082191675</v>
      </c>
      <c r="U214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الشراء-الاستلام]]&lt;DATE(2018,1,1),S214-T214,0))</f>
        <v>27403.082191780832</v>
      </c>
      <c r="V214" s="169"/>
      <c r="W214" s="116"/>
      <c r="X214" s="116"/>
      <c r="Y214" s="117">
        <f>Table5101345411[[#This Row],[عدد الإضافات]]*Table5101345411[[#This Row],[سعر الحبة المضافة]]</f>
        <v>0</v>
      </c>
      <c r="Z214" s="101"/>
      <c r="AA214" s="102"/>
      <c r="AB214" s="103"/>
      <c r="AC214" s="103"/>
      <c r="AD214" s="103"/>
      <c r="AE214" s="103"/>
      <c r="AF214" s="103">
        <f>Table5101345411[[#This Row],[العدد]]*Table5101345411[[#This Row],[قيمة الشراء]]</f>
        <v>0</v>
      </c>
      <c r="AG214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14" s="190">
        <f>Table5101345411[[#This Row],[الكمية]]+Table5101345411[[#This Row],[عدد الإضافات]]-Table5101345411[[#This Row],[العدد]]</f>
        <v>1</v>
      </c>
      <c r="AI214" s="78">
        <f>Table5101345411[[#This Row],[الإجمالي]]+Table5101345411[[#This Row],[إجمالي الإضافات]]-Table5101345411[[#This Row],[إجمالي المستبعد]]</f>
        <v>35500</v>
      </c>
      <c r="AJ214" s="120">
        <v>0.15</v>
      </c>
      <c r="AK214" s="219"/>
      <c r="AL214" s="58" t="s">
        <v>61</v>
      </c>
      <c r="AM214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5325</v>
      </c>
      <c r="AN214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14" s="79">
        <f>Table5101345411[[#This Row],[اهلاك المستبعد
في 2018]]+Table5101345411[[#This Row],[مجمع إهلاك المستبعد 
01-01-2018]]</f>
        <v>0</v>
      </c>
      <c r="AP214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14" s="220"/>
      <c r="AR214" s="78">
        <f>IF(OR(Table5101345411[[#This Row],[تاريخ الشراء-الاستلام]]="",Table5101345411[[#This Row],[الإجمالي]]="",Table5101345411[[#This Row],[العمر الافتراضي]]=""),"",IF(((T214+AM214)-Table5101345411[[#This Row],[مجمع إهلاك المستبعد 
بتاريخ الأستبعاد]])&lt;=0,0,((T214+AM214)-Table5101345411[[#This Row],[مجمع إهلاك المستبعد 
بتاريخ الأستبعاد]])))</f>
        <v>13421.917808219168</v>
      </c>
      <c r="AS214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الشراء-الاستلام]]&gt;DATE(2018,12,31),0,AI214-AR214)))</f>
        <v>22078.082191780832</v>
      </c>
    </row>
    <row r="215" spans="1:45" s="141" customFormat="1" ht="83.25" customHeight="1">
      <c r="A215" s="118">
        <f>IF(B215="","",SUBTOTAL(3,$B$6:B215))</f>
        <v>210</v>
      </c>
      <c r="B215" s="58" t="s">
        <v>79</v>
      </c>
      <c r="C215" s="59" t="s">
        <v>54</v>
      </c>
      <c r="D215" s="59" t="s">
        <v>80</v>
      </c>
      <c r="E215" s="59" t="s">
        <v>158</v>
      </c>
      <c r="F215" s="226" t="s">
        <v>667</v>
      </c>
      <c r="G215" s="223" t="s">
        <v>815</v>
      </c>
      <c r="H215" s="58" t="s">
        <v>57</v>
      </c>
      <c r="I215" s="58" t="s">
        <v>619</v>
      </c>
      <c r="J215" s="58" t="s">
        <v>272</v>
      </c>
      <c r="K215" s="58" t="s">
        <v>802</v>
      </c>
      <c r="L215" s="60" t="s">
        <v>665</v>
      </c>
      <c r="M215" s="77">
        <v>42767</v>
      </c>
      <c r="N215" s="77" t="s">
        <v>270</v>
      </c>
      <c r="O215" s="150" t="s">
        <v>271</v>
      </c>
      <c r="P215" s="122">
        <v>1</v>
      </c>
      <c r="Q215" s="123"/>
      <c r="R215" s="130">
        <v>35500</v>
      </c>
      <c r="S215" s="130">
        <f t="shared" si="5"/>
        <v>35500</v>
      </c>
      <c r="T215" s="130">
        <f>24290.7534246575/3</f>
        <v>8096.9178082191675</v>
      </c>
      <c r="U215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الشراء-الاستلام]]&lt;DATE(2018,1,1),S215-T215,0))</f>
        <v>27403.082191780832</v>
      </c>
      <c r="V215" s="169"/>
      <c r="W215" s="116"/>
      <c r="X215" s="116"/>
      <c r="Y215" s="117">
        <f>Table5101345411[[#This Row],[عدد الإضافات]]*Table5101345411[[#This Row],[سعر الحبة المضافة]]</f>
        <v>0</v>
      </c>
      <c r="Z215" s="101"/>
      <c r="AA215" s="102"/>
      <c r="AB215" s="103"/>
      <c r="AC215" s="103"/>
      <c r="AD215" s="103"/>
      <c r="AE215" s="103"/>
      <c r="AF215" s="103">
        <f>Table5101345411[[#This Row],[العدد]]*Table5101345411[[#This Row],[قيمة الشراء]]</f>
        <v>0</v>
      </c>
      <c r="AG215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15" s="190">
        <f>Table5101345411[[#This Row],[الكمية]]+Table5101345411[[#This Row],[عدد الإضافات]]-Table5101345411[[#This Row],[العدد]]</f>
        <v>1</v>
      </c>
      <c r="AI215" s="78">
        <f>Table5101345411[[#This Row],[الإجمالي]]+Table5101345411[[#This Row],[إجمالي الإضافات]]-Table5101345411[[#This Row],[إجمالي المستبعد]]</f>
        <v>35500</v>
      </c>
      <c r="AJ215" s="120">
        <v>0.15</v>
      </c>
      <c r="AK215" s="219"/>
      <c r="AL215" s="58" t="s">
        <v>61</v>
      </c>
      <c r="AM215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5325</v>
      </c>
      <c r="AN215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15" s="79">
        <f>Table5101345411[[#This Row],[اهلاك المستبعد
في 2018]]+Table5101345411[[#This Row],[مجمع إهلاك المستبعد 
01-01-2018]]</f>
        <v>0</v>
      </c>
      <c r="AP215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15" s="220"/>
      <c r="AR215" s="78">
        <f>IF(OR(Table5101345411[[#This Row],[تاريخ الشراء-الاستلام]]="",Table5101345411[[#This Row],[الإجمالي]]="",Table5101345411[[#This Row],[العمر الافتراضي]]=""),"",IF(((T215+AM215)-Table5101345411[[#This Row],[مجمع إهلاك المستبعد 
بتاريخ الأستبعاد]])&lt;=0,0,((T215+AM215)-Table5101345411[[#This Row],[مجمع إهلاك المستبعد 
بتاريخ الأستبعاد]])))</f>
        <v>13421.917808219168</v>
      </c>
      <c r="AS215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الشراء-الاستلام]]&gt;DATE(2018,12,31),0,AI215-AR215)))</f>
        <v>22078.082191780832</v>
      </c>
    </row>
    <row r="216" spans="1:45" s="141" customFormat="1" ht="83.25" customHeight="1">
      <c r="A216" s="118">
        <f>IF(B216="","",SUBTOTAL(3,$B$6:B216))</f>
        <v>211</v>
      </c>
      <c r="B216" s="58" t="s">
        <v>273</v>
      </c>
      <c r="C216" s="59" t="s">
        <v>54</v>
      </c>
      <c r="D216" s="59" t="s">
        <v>80</v>
      </c>
      <c r="E216" s="59" t="s">
        <v>654</v>
      </c>
      <c r="F216" s="226" t="s">
        <v>655</v>
      </c>
      <c r="G216" s="226" t="s">
        <v>827</v>
      </c>
      <c r="H216" s="58" t="s">
        <v>57</v>
      </c>
      <c r="I216" s="58" t="s">
        <v>272</v>
      </c>
      <c r="J216" s="58" t="s">
        <v>272</v>
      </c>
      <c r="K216" s="58" t="s">
        <v>833</v>
      </c>
      <c r="L216" s="221" t="s">
        <v>834</v>
      </c>
      <c r="M216" s="77">
        <v>42795</v>
      </c>
      <c r="N216" s="77" t="s">
        <v>270</v>
      </c>
      <c r="O216" s="150" t="s">
        <v>274</v>
      </c>
      <c r="P216" s="122">
        <v>1</v>
      </c>
      <c r="Q216" s="123"/>
      <c r="R216" s="130">
        <v>61000</v>
      </c>
      <c r="S216" s="130">
        <f t="shared" si="5"/>
        <v>61000</v>
      </c>
      <c r="T216" s="130">
        <f>25486.301369863/2</f>
        <v>12743.150684931499</v>
      </c>
      <c r="U216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الشراء-الاستلام]]&lt;DATE(2018,1,1),S216-T216,0))</f>
        <v>48256.849315068503</v>
      </c>
      <c r="V216" s="169"/>
      <c r="W216" s="116"/>
      <c r="X216" s="116"/>
      <c r="Y216" s="117">
        <f>Table5101345411[[#This Row],[عدد الإضافات]]*Table5101345411[[#This Row],[سعر الحبة المضافة]]</f>
        <v>0</v>
      </c>
      <c r="Z216" s="101"/>
      <c r="AA216" s="102"/>
      <c r="AB216" s="103"/>
      <c r="AC216" s="103"/>
      <c r="AD216" s="103"/>
      <c r="AE216" s="103"/>
      <c r="AF216" s="103">
        <f>Table5101345411[[#This Row],[العدد]]*Table5101345411[[#This Row],[قيمة الشراء]]</f>
        <v>0</v>
      </c>
      <c r="AG216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16" s="190">
        <f>Table5101345411[[#This Row],[الكمية]]+Table5101345411[[#This Row],[عدد الإضافات]]-Table5101345411[[#This Row],[العدد]]</f>
        <v>1</v>
      </c>
      <c r="AI216" s="78">
        <f>Table5101345411[[#This Row],[الإجمالي]]+Table5101345411[[#This Row],[إجمالي الإضافات]]-Table5101345411[[#This Row],[إجمالي المستبعد]]</f>
        <v>61000</v>
      </c>
      <c r="AJ216" s="120">
        <v>0.15</v>
      </c>
      <c r="AK216" s="219"/>
      <c r="AL216" s="58" t="s">
        <v>61</v>
      </c>
      <c r="AM216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9150</v>
      </c>
      <c r="AN216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16" s="79">
        <f>Table5101345411[[#This Row],[اهلاك المستبعد
في 2018]]+Table5101345411[[#This Row],[مجمع إهلاك المستبعد 
01-01-2018]]</f>
        <v>0</v>
      </c>
      <c r="AP216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16" s="220"/>
      <c r="AR216" s="78">
        <f>IF(OR(Table5101345411[[#This Row],[تاريخ الشراء-الاستلام]]="",Table5101345411[[#This Row],[الإجمالي]]="",Table5101345411[[#This Row],[العمر الافتراضي]]=""),"",IF(((T216+AM216)-Table5101345411[[#This Row],[مجمع إهلاك المستبعد 
بتاريخ الأستبعاد]])&lt;=0,0,((T216+AM216)-Table5101345411[[#This Row],[مجمع إهلاك المستبعد 
بتاريخ الأستبعاد]])))</f>
        <v>21893.150684931497</v>
      </c>
      <c r="AS216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الشراء-الاستلام]]&gt;DATE(2018,12,31),0,AI216-AR216)))</f>
        <v>39106.849315068503</v>
      </c>
    </row>
    <row r="217" spans="1:45" s="141" customFormat="1" ht="83.25" customHeight="1">
      <c r="A217" s="118">
        <f>IF(B217="","",SUBTOTAL(3,$B$6:B217))</f>
        <v>212</v>
      </c>
      <c r="B217" s="58" t="s">
        <v>277</v>
      </c>
      <c r="C217" s="59" t="s">
        <v>54</v>
      </c>
      <c r="D217" s="59" t="s">
        <v>522</v>
      </c>
      <c r="E217" s="59" t="s">
        <v>120</v>
      </c>
      <c r="F217" s="226" t="s">
        <v>120</v>
      </c>
      <c r="G217" s="226"/>
      <c r="H217" s="58" t="s">
        <v>57</v>
      </c>
      <c r="I217" s="58" t="s">
        <v>85</v>
      </c>
      <c r="J217" s="58" t="s">
        <v>64</v>
      </c>
      <c r="K217" s="58"/>
      <c r="L217" s="60"/>
      <c r="M217" s="77">
        <v>42737</v>
      </c>
      <c r="N217" s="77" t="s">
        <v>278</v>
      </c>
      <c r="O217" s="150" t="s">
        <v>279</v>
      </c>
      <c r="P217" s="122">
        <v>1</v>
      </c>
      <c r="Q217" s="123"/>
      <c r="R217" s="130">
        <v>2300</v>
      </c>
      <c r="S217" s="130">
        <f t="shared" si="5"/>
        <v>2300</v>
      </c>
      <c r="T217" s="130">
        <v>343.10958904109589</v>
      </c>
      <c r="U217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الشراء-الاستلام]]&lt;DATE(2018,1,1),S217-T217,0))</f>
        <v>1956.8904109589041</v>
      </c>
      <c r="V217" s="169"/>
      <c r="W217" s="116"/>
      <c r="X217" s="116"/>
      <c r="Y217" s="117">
        <f>Table5101345411[[#This Row],[عدد الإضافات]]*Table5101345411[[#This Row],[سعر الحبة المضافة]]</f>
        <v>0</v>
      </c>
      <c r="Z217" s="101"/>
      <c r="AA217" s="102"/>
      <c r="AB217" s="103"/>
      <c r="AC217" s="103"/>
      <c r="AD217" s="103"/>
      <c r="AE217" s="103"/>
      <c r="AF217" s="103">
        <f>Table5101345411[[#This Row],[العدد]]*Table5101345411[[#This Row],[قيمة الشراء]]</f>
        <v>0</v>
      </c>
      <c r="AG217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17" s="190">
        <f>Table5101345411[[#This Row],[الكمية]]+Table5101345411[[#This Row],[عدد الإضافات]]-Table5101345411[[#This Row],[العدد]]</f>
        <v>1</v>
      </c>
      <c r="AI217" s="78">
        <f>Table5101345411[[#This Row],[الإجمالي]]+Table5101345411[[#This Row],[إجمالي الإضافات]]-Table5101345411[[#This Row],[إجمالي المستبعد]]</f>
        <v>2300</v>
      </c>
      <c r="AJ217" s="62">
        <v>0.125</v>
      </c>
      <c r="AK217" s="219"/>
      <c r="AL217" s="58" t="s">
        <v>61</v>
      </c>
      <c r="AM217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287.5</v>
      </c>
      <c r="AN217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17" s="79">
        <f>Table5101345411[[#This Row],[اهلاك المستبعد
في 2018]]+Table5101345411[[#This Row],[مجمع إهلاك المستبعد 
01-01-2018]]</f>
        <v>0</v>
      </c>
      <c r="AP217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17" s="220"/>
      <c r="AR217" s="78">
        <f>IF(OR(Table5101345411[[#This Row],[تاريخ الشراء-الاستلام]]="",Table5101345411[[#This Row],[الإجمالي]]="",Table5101345411[[#This Row],[العمر الافتراضي]]=""),"",IF(((T217+AM217)-Table5101345411[[#This Row],[مجمع إهلاك المستبعد 
بتاريخ الأستبعاد]])&lt;=0,0,((T217+AM217)-Table5101345411[[#This Row],[مجمع إهلاك المستبعد 
بتاريخ الأستبعاد]])))</f>
        <v>630.60958904109589</v>
      </c>
      <c r="AS217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الشراء-الاستلام]]&gt;DATE(2018,12,31),0,AI217-AR217)))</f>
        <v>1669.3904109589041</v>
      </c>
    </row>
    <row r="218" spans="1:45" s="141" customFormat="1" ht="83.25" customHeight="1">
      <c r="A218" s="118">
        <f>IF(B218="","",SUBTOTAL(3,$B$6:B218))</f>
        <v>213</v>
      </c>
      <c r="B218" s="58" t="s">
        <v>280</v>
      </c>
      <c r="C218" s="59" t="s">
        <v>54</v>
      </c>
      <c r="D218" s="59" t="s">
        <v>522</v>
      </c>
      <c r="E218" s="59" t="s">
        <v>281</v>
      </c>
      <c r="F218" s="226" t="s">
        <v>281</v>
      </c>
      <c r="G218" s="226"/>
      <c r="H218" s="58" t="s">
        <v>57</v>
      </c>
      <c r="I218" s="58" t="s">
        <v>85</v>
      </c>
      <c r="J218" s="58" t="s">
        <v>64</v>
      </c>
      <c r="K218" s="58"/>
      <c r="L218" s="60"/>
      <c r="M218" s="77">
        <v>42747</v>
      </c>
      <c r="N218" s="77"/>
      <c r="O218" s="150" t="s">
        <v>282</v>
      </c>
      <c r="P218" s="122">
        <v>10</v>
      </c>
      <c r="Q218" s="123">
        <v>9574</v>
      </c>
      <c r="R218" s="130">
        <v>200</v>
      </c>
      <c r="S218" s="130">
        <f t="shared" si="5"/>
        <v>2000</v>
      </c>
      <c r="T218" s="130">
        <v>290.13698630136986</v>
      </c>
      <c r="U218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الشراء-الاستلام]]&lt;DATE(2018,1,1),S218-T218,0))</f>
        <v>1709.8630136986301</v>
      </c>
      <c r="V218" s="169"/>
      <c r="W218" s="116"/>
      <c r="X218" s="116"/>
      <c r="Y218" s="117">
        <f>Table5101345411[[#This Row],[عدد الإضافات]]*Table5101345411[[#This Row],[سعر الحبة المضافة]]</f>
        <v>0</v>
      </c>
      <c r="Z218" s="101"/>
      <c r="AA218" s="102"/>
      <c r="AB218" s="103"/>
      <c r="AC218" s="103"/>
      <c r="AD218" s="103"/>
      <c r="AE218" s="103"/>
      <c r="AF218" s="103">
        <f>Table5101345411[[#This Row],[العدد]]*Table5101345411[[#This Row],[قيمة الشراء]]</f>
        <v>0</v>
      </c>
      <c r="AG218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18" s="190">
        <f>Table5101345411[[#This Row],[الكمية]]+Table5101345411[[#This Row],[عدد الإضافات]]-Table5101345411[[#This Row],[العدد]]</f>
        <v>10</v>
      </c>
      <c r="AI218" s="78">
        <f>Table5101345411[[#This Row],[الإجمالي]]+Table5101345411[[#This Row],[إجمالي الإضافات]]-Table5101345411[[#This Row],[إجمالي المستبعد]]</f>
        <v>2000</v>
      </c>
      <c r="AJ218" s="62">
        <v>0.125</v>
      </c>
      <c r="AK218" s="219"/>
      <c r="AL218" s="58" t="s">
        <v>61</v>
      </c>
      <c r="AM218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250</v>
      </c>
      <c r="AN218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18" s="79">
        <f>Table5101345411[[#This Row],[اهلاك المستبعد
في 2018]]+Table5101345411[[#This Row],[مجمع إهلاك المستبعد 
01-01-2018]]</f>
        <v>0</v>
      </c>
      <c r="AP218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18" s="220"/>
      <c r="AR218" s="78">
        <f>IF(OR(Table5101345411[[#This Row],[تاريخ الشراء-الاستلام]]="",Table5101345411[[#This Row],[الإجمالي]]="",Table5101345411[[#This Row],[العمر الافتراضي]]=""),"",IF(((T218+AM218)-Table5101345411[[#This Row],[مجمع إهلاك المستبعد 
بتاريخ الأستبعاد]])&lt;=0,0,((T218+AM218)-Table5101345411[[#This Row],[مجمع إهلاك المستبعد 
بتاريخ الأستبعاد]])))</f>
        <v>540.13698630136992</v>
      </c>
      <c r="AS218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الشراء-الاستلام]]&gt;DATE(2018,12,31),0,AI218-AR218)))</f>
        <v>1459.8630136986301</v>
      </c>
    </row>
    <row r="219" spans="1:45" s="141" customFormat="1" ht="83.25" customHeight="1">
      <c r="A219" s="118">
        <f>IF(B219="","",SUBTOTAL(3,$B$6:B219))</f>
        <v>214</v>
      </c>
      <c r="B219" s="58" t="s">
        <v>283</v>
      </c>
      <c r="C219" s="59" t="s">
        <v>54</v>
      </c>
      <c r="D219" s="59" t="s">
        <v>522</v>
      </c>
      <c r="E219" s="59" t="s">
        <v>120</v>
      </c>
      <c r="F219" s="226" t="s">
        <v>120</v>
      </c>
      <c r="G219" s="226"/>
      <c r="H219" s="58" t="s">
        <v>57</v>
      </c>
      <c r="I219" s="58" t="s">
        <v>85</v>
      </c>
      <c r="J219" s="58" t="s">
        <v>64</v>
      </c>
      <c r="K219" s="58"/>
      <c r="L219" s="60"/>
      <c r="M219" s="77">
        <v>42739</v>
      </c>
      <c r="N219" s="77" t="s">
        <v>284</v>
      </c>
      <c r="O219" s="150" t="s">
        <v>282</v>
      </c>
      <c r="P219" s="122">
        <v>1</v>
      </c>
      <c r="Q219" s="123" t="s">
        <v>285</v>
      </c>
      <c r="R219" s="130">
        <v>2200</v>
      </c>
      <c r="S219" s="130">
        <f t="shared" si="5"/>
        <v>2200</v>
      </c>
      <c r="T219" s="130">
        <v>326.38356164383561</v>
      </c>
      <c r="U219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الشراء-الاستلام]]&lt;DATE(2018,1,1),S219-T219,0))</f>
        <v>1873.6164383561645</v>
      </c>
      <c r="V219" s="169"/>
      <c r="W219" s="116"/>
      <c r="X219" s="116"/>
      <c r="Y219" s="117">
        <f>Table5101345411[[#This Row],[عدد الإضافات]]*Table5101345411[[#This Row],[سعر الحبة المضافة]]</f>
        <v>0</v>
      </c>
      <c r="Z219" s="101"/>
      <c r="AA219" s="102"/>
      <c r="AB219" s="103"/>
      <c r="AC219" s="103"/>
      <c r="AD219" s="103"/>
      <c r="AE219" s="103"/>
      <c r="AF219" s="103">
        <f>Table5101345411[[#This Row],[العدد]]*Table5101345411[[#This Row],[قيمة الشراء]]</f>
        <v>0</v>
      </c>
      <c r="AG219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19" s="190">
        <f>Table5101345411[[#This Row],[الكمية]]+Table5101345411[[#This Row],[عدد الإضافات]]-Table5101345411[[#This Row],[العدد]]</f>
        <v>1</v>
      </c>
      <c r="AI219" s="78">
        <f>Table5101345411[[#This Row],[الإجمالي]]+Table5101345411[[#This Row],[إجمالي الإضافات]]-Table5101345411[[#This Row],[إجمالي المستبعد]]</f>
        <v>2200</v>
      </c>
      <c r="AJ219" s="62">
        <v>0.125</v>
      </c>
      <c r="AK219" s="219"/>
      <c r="AL219" s="58" t="s">
        <v>61</v>
      </c>
      <c r="AM219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275</v>
      </c>
      <c r="AN219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19" s="79">
        <f>Table5101345411[[#This Row],[اهلاك المستبعد
في 2018]]+Table5101345411[[#This Row],[مجمع إهلاك المستبعد 
01-01-2018]]</f>
        <v>0</v>
      </c>
      <c r="AP219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19" s="220"/>
      <c r="AR219" s="78">
        <f>IF(OR(Table5101345411[[#This Row],[تاريخ الشراء-الاستلام]]="",Table5101345411[[#This Row],[الإجمالي]]="",Table5101345411[[#This Row],[العمر الافتراضي]]=""),"",IF(((T219+AM219)-Table5101345411[[#This Row],[مجمع إهلاك المستبعد 
بتاريخ الأستبعاد]])&lt;=0,0,((T219+AM219)-Table5101345411[[#This Row],[مجمع إهلاك المستبعد 
بتاريخ الأستبعاد]])))</f>
        <v>601.38356164383561</v>
      </c>
      <c r="AS219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الشراء-الاستلام]]&gt;DATE(2018,12,31),0,AI219-AR219)))</f>
        <v>1598.6164383561645</v>
      </c>
    </row>
    <row r="220" spans="1:45" s="141" customFormat="1" ht="83.25" customHeight="1">
      <c r="A220" s="118">
        <f>IF(B220="","",SUBTOTAL(3,$B$6:B220))</f>
        <v>215</v>
      </c>
      <c r="B220" s="58" t="s">
        <v>277</v>
      </c>
      <c r="C220" s="59" t="s">
        <v>54</v>
      </c>
      <c r="D220" s="59" t="s">
        <v>522</v>
      </c>
      <c r="E220" s="59" t="s">
        <v>120</v>
      </c>
      <c r="F220" s="226" t="s">
        <v>120</v>
      </c>
      <c r="G220" s="226"/>
      <c r="H220" s="58" t="s">
        <v>57</v>
      </c>
      <c r="I220" s="58" t="s">
        <v>85</v>
      </c>
      <c r="J220" s="58" t="s">
        <v>64</v>
      </c>
      <c r="K220" s="58"/>
      <c r="L220" s="60"/>
      <c r="M220" s="77">
        <v>42766</v>
      </c>
      <c r="N220" s="77" t="s">
        <v>286</v>
      </c>
      <c r="O220" s="150" t="s">
        <v>287</v>
      </c>
      <c r="P220" s="122">
        <v>42</v>
      </c>
      <c r="Q220" s="123"/>
      <c r="R220" s="130">
        <v>1900</v>
      </c>
      <c r="S220" s="130">
        <f t="shared" si="5"/>
        <v>79800</v>
      </c>
      <c r="T220" s="130">
        <v>10953.369863013699</v>
      </c>
      <c r="U220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الشراء-الاستلام]]&lt;DATE(2018,1,1),S220-T220,0))</f>
        <v>68846.630136986307</v>
      </c>
      <c r="V220" s="169"/>
      <c r="W220" s="116"/>
      <c r="X220" s="116"/>
      <c r="Y220" s="117">
        <f>Table5101345411[[#This Row],[عدد الإضافات]]*Table5101345411[[#This Row],[سعر الحبة المضافة]]</f>
        <v>0</v>
      </c>
      <c r="Z220" s="101"/>
      <c r="AA220" s="102"/>
      <c r="AB220" s="103"/>
      <c r="AC220" s="103"/>
      <c r="AD220" s="103"/>
      <c r="AE220" s="103"/>
      <c r="AF220" s="103">
        <f>Table5101345411[[#This Row],[العدد]]*Table5101345411[[#This Row],[قيمة الشراء]]</f>
        <v>0</v>
      </c>
      <c r="AG220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20" s="190">
        <f>Table5101345411[[#This Row],[الكمية]]+Table5101345411[[#This Row],[عدد الإضافات]]-Table5101345411[[#This Row],[العدد]]</f>
        <v>42</v>
      </c>
      <c r="AI220" s="78">
        <f>Table5101345411[[#This Row],[الإجمالي]]+Table5101345411[[#This Row],[إجمالي الإضافات]]-Table5101345411[[#This Row],[إجمالي المستبعد]]</f>
        <v>79800</v>
      </c>
      <c r="AJ220" s="62">
        <v>0.125</v>
      </c>
      <c r="AK220" s="219"/>
      <c r="AL220" s="58" t="s">
        <v>61</v>
      </c>
      <c r="AM220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9975</v>
      </c>
      <c r="AN220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20" s="79">
        <f>Table5101345411[[#This Row],[اهلاك المستبعد
في 2018]]+Table5101345411[[#This Row],[مجمع إهلاك المستبعد 
01-01-2018]]</f>
        <v>0</v>
      </c>
      <c r="AP220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20" s="220"/>
      <c r="AR220" s="78">
        <f>IF(OR(Table5101345411[[#This Row],[تاريخ الشراء-الاستلام]]="",Table5101345411[[#This Row],[الإجمالي]]="",Table5101345411[[#This Row],[العمر الافتراضي]]=""),"",IF(((T220+AM220)-Table5101345411[[#This Row],[مجمع إهلاك المستبعد 
بتاريخ الأستبعاد]])&lt;=0,0,((T220+AM220)-Table5101345411[[#This Row],[مجمع إهلاك المستبعد 
بتاريخ الأستبعاد]])))</f>
        <v>20928.369863013701</v>
      </c>
      <c r="AS220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الشراء-الاستلام]]&gt;DATE(2018,12,31),0,AI220-AR220)))</f>
        <v>58871.630136986299</v>
      </c>
    </row>
    <row r="221" spans="1:45" s="141" customFormat="1" ht="83.25" customHeight="1">
      <c r="A221" s="118">
        <f>IF(B221="","",SUBTOTAL(3,$B$6:B221))</f>
        <v>216</v>
      </c>
      <c r="B221" s="58" t="s">
        <v>288</v>
      </c>
      <c r="C221" s="59" t="s">
        <v>54</v>
      </c>
      <c r="D221" s="59" t="s">
        <v>522</v>
      </c>
      <c r="E221" s="59" t="s">
        <v>120</v>
      </c>
      <c r="F221" s="226" t="s">
        <v>120</v>
      </c>
      <c r="G221" s="226"/>
      <c r="H221" s="58" t="s">
        <v>57</v>
      </c>
      <c r="I221" s="58" t="s">
        <v>85</v>
      </c>
      <c r="J221" s="58" t="s">
        <v>64</v>
      </c>
      <c r="K221" s="58"/>
      <c r="L221" s="60"/>
      <c r="M221" s="77">
        <v>42766</v>
      </c>
      <c r="N221" s="77" t="s">
        <v>286</v>
      </c>
      <c r="O221" s="150" t="s">
        <v>287</v>
      </c>
      <c r="P221" s="122">
        <v>50</v>
      </c>
      <c r="Q221" s="123"/>
      <c r="R221" s="130">
        <v>1300</v>
      </c>
      <c r="S221" s="130">
        <f t="shared" si="5"/>
        <v>65000</v>
      </c>
      <c r="T221" s="130">
        <v>8921.9178082191793</v>
      </c>
      <c r="U221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الشراء-الاستلام]]&lt;DATE(2018,1,1),S221-T221,0))</f>
        <v>56078.082191780821</v>
      </c>
      <c r="V221" s="169"/>
      <c r="W221" s="116"/>
      <c r="X221" s="116"/>
      <c r="Y221" s="117">
        <f>Table5101345411[[#This Row],[عدد الإضافات]]*Table5101345411[[#This Row],[سعر الحبة المضافة]]</f>
        <v>0</v>
      </c>
      <c r="Z221" s="101"/>
      <c r="AA221" s="102"/>
      <c r="AB221" s="103"/>
      <c r="AC221" s="103"/>
      <c r="AD221" s="103"/>
      <c r="AE221" s="103"/>
      <c r="AF221" s="103">
        <f>Table5101345411[[#This Row],[العدد]]*Table5101345411[[#This Row],[قيمة الشراء]]</f>
        <v>0</v>
      </c>
      <c r="AG221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21" s="190">
        <f>Table5101345411[[#This Row],[الكمية]]+Table5101345411[[#This Row],[عدد الإضافات]]-Table5101345411[[#This Row],[العدد]]</f>
        <v>50</v>
      </c>
      <c r="AI221" s="78">
        <f>Table5101345411[[#This Row],[الإجمالي]]+Table5101345411[[#This Row],[إجمالي الإضافات]]-Table5101345411[[#This Row],[إجمالي المستبعد]]</f>
        <v>65000</v>
      </c>
      <c r="AJ221" s="62">
        <v>0.125</v>
      </c>
      <c r="AK221" s="219"/>
      <c r="AL221" s="58" t="s">
        <v>61</v>
      </c>
      <c r="AM221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8125</v>
      </c>
      <c r="AN221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21" s="79">
        <f>Table5101345411[[#This Row],[اهلاك المستبعد
في 2018]]+Table5101345411[[#This Row],[مجمع إهلاك المستبعد 
01-01-2018]]</f>
        <v>0</v>
      </c>
      <c r="AP221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21" s="220"/>
      <c r="AR221" s="78">
        <f>IF(OR(Table5101345411[[#This Row],[تاريخ الشراء-الاستلام]]="",Table5101345411[[#This Row],[الإجمالي]]="",Table5101345411[[#This Row],[العمر الافتراضي]]=""),"",IF(((T221+AM221)-Table5101345411[[#This Row],[مجمع إهلاك المستبعد 
بتاريخ الأستبعاد]])&lt;=0,0,((T221+AM221)-Table5101345411[[#This Row],[مجمع إهلاك المستبعد 
بتاريخ الأستبعاد]])))</f>
        <v>17046.917808219179</v>
      </c>
      <c r="AS221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الشراء-الاستلام]]&gt;DATE(2018,12,31),0,AI221-AR221)))</f>
        <v>47953.082191780821</v>
      </c>
    </row>
    <row r="222" spans="1:45" s="141" customFormat="1" ht="83.25" customHeight="1">
      <c r="A222" s="118">
        <f>IF(B222="","",SUBTOTAL(3,$B$6:B222))</f>
        <v>217</v>
      </c>
      <c r="B222" s="58" t="s">
        <v>289</v>
      </c>
      <c r="C222" s="59" t="s">
        <v>54</v>
      </c>
      <c r="D222" s="59" t="s">
        <v>522</v>
      </c>
      <c r="E222" s="59" t="s">
        <v>523</v>
      </c>
      <c r="F222" s="226" t="s">
        <v>523</v>
      </c>
      <c r="G222" s="226"/>
      <c r="H222" s="58" t="s">
        <v>63</v>
      </c>
      <c r="I222" s="58"/>
      <c r="J222" s="58" t="s">
        <v>64</v>
      </c>
      <c r="K222" s="58"/>
      <c r="L222" s="60"/>
      <c r="M222" s="77">
        <v>42788</v>
      </c>
      <c r="N222" s="77" t="s">
        <v>286</v>
      </c>
      <c r="O222" s="150" t="s">
        <v>290</v>
      </c>
      <c r="P222" s="122">
        <v>50</v>
      </c>
      <c r="Q222" s="123"/>
      <c r="R222" s="130">
        <v>580</v>
      </c>
      <c r="S222" s="130">
        <f t="shared" si="5"/>
        <v>29000</v>
      </c>
      <c r="T222" s="130">
        <v>3718.3561643835619</v>
      </c>
      <c r="U222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الشراء-الاستلام]]&lt;DATE(2018,1,1),S222-T222,0))</f>
        <v>25281.643835616436</v>
      </c>
      <c r="V222" s="169"/>
      <c r="W222" s="116"/>
      <c r="X222" s="116"/>
      <c r="Y222" s="117">
        <f>Table5101345411[[#This Row],[عدد الإضافات]]*Table5101345411[[#This Row],[سعر الحبة المضافة]]</f>
        <v>0</v>
      </c>
      <c r="Z222" s="101"/>
      <c r="AA222" s="102"/>
      <c r="AB222" s="103"/>
      <c r="AC222" s="103"/>
      <c r="AD222" s="103"/>
      <c r="AE222" s="103"/>
      <c r="AF222" s="103">
        <f>Table5101345411[[#This Row],[العدد]]*Table5101345411[[#This Row],[قيمة الشراء]]</f>
        <v>0</v>
      </c>
      <c r="AG222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22" s="190">
        <f>Table5101345411[[#This Row],[الكمية]]+Table5101345411[[#This Row],[عدد الإضافات]]-Table5101345411[[#This Row],[العدد]]</f>
        <v>50</v>
      </c>
      <c r="AI222" s="78">
        <f>Table5101345411[[#This Row],[الإجمالي]]+Table5101345411[[#This Row],[إجمالي الإضافات]]-Table5101345411[[#This Row],[إجمالي المستبعد]]</f>
        <v>29000</v>
      </c>
      <c r="AJ222" s="62">
        <v>0.125</v>
      </c>
      <c r="AK222" s="219"/>
      <c r="AL222" s="58" t="s">
        <v>61</v>
      </c>
      <c r="AM222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3625</v>
      </c>
      <c r="AN222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22" s="79">
        <f>Table5101345411[[#This Row],[اهلاك المستبعد
في 2018]]+Table5101345411[[#This Row],[مجمع إهلاك المستبعد 
01-01-2018]]</f>
        <v>0</v>
      </c>
      <c r="AP222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22" s="220"/>
      <c r="AR222" s="78">
        <f>IF(OR(Table5101345411[[#This Row],[تاريخ الشراء-الاستلام]]="",Table5101345411[[#This Row],[الإجمالي]]="",Table5101345411[[#This Row],[العمر الافتراضي]]=""),"",IF(((T222+AM222)-Table5101345411[[#This Row],[مجمع إهلاك المستبعد 
بتاريخ الأستبعاد]])&lt;=0,0,((T222+AM222)-Table5101345411[[#This Row],[مجمع إهلاك المستبعد 
بتاريخ الأستبعاد]])))</f>
        <v>7343.3561643835619</v>
      </c>
      <c r="AS222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الشراء-الاستلام]]&gt;DATE(2018,12,31),0,AI222-AR222)))</f>
        <v>21656.643835616436</v>
      </c>
    </row>
    <row r="223" spans="1:45" s="141" customFormat="1" ht="83.25" customHeight="1">
      <c r="A223" s="118">
        <f>IF(B223="","",SUBTOTAL(3,$B$6:B223))</f>
        <v>218</v>
      </c>
      <c r="B223" s="58" t="s">
        <v>291</v>
      </c>
      <c r="C223" s="59" t="s">
        <v>54</v>
      </c>
      <c r="D223" s="59" t="s">
        <v>522</v>
      </c>
      <c r="E223" s="59" t="s">
        <v>523</v>
      </c>
      <c r="F223" s="226" t="s">
        <v>523</v>
      </c>
      <c r="G223" s="226"/>
      <c r="H223" s="58" t="s">
        <v>63</v>
      </c>
      <c r="I223" s="58"/>
      <c r="J223" s="58" t="s">
        <v>64</v>
      </c>
      <c r="K223" s="58"/>
      <c r="L223" s="60"/>
      <c r="M223" s="77">
        <v>42788</v>
      </c>
      <c r="N223" s="77" t="s">
        <v>286</v>
      </c>
      <c r="O223" s="150" t="s">
        <v>290</v>
      </c>
      <c r="P223" s="122">
        <v>50</v>
      </c>
      <c r="Q223" s="123"/>
      <c r="R223" s="130">
        <v>73</v>
      </c>
      <c r="S223" s="130">
        <f t="shared" si="5"/>
        <v>3650</v>
      </c>
      <c r="T223" s="130">
        <v>468</v>
      </c>
      <c r="U223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الشراء-الاستلام]]&lt;DATE(2018,1,1),S223-T223,0))</f>
        <v>3182</v>
      </c>
      <c r="V223" s="169"/>
      <c r="W223" s="116"/>
      <c r="X223" s="116"/>
      <c r="Y223" s="117">
        <f>Table5101345411[[#This Row],[عدد الإضافات]]*Table5101345411[[#This Row],[سعر الحبة المضافة]]</f>
        <v>0</v>
      </c>
      <c r="Z223" s="101"/>
      <c r="AA223" s="102"/>
      <c r="AB223" s="103"/>
      <c r="AC223" s="103"/>
      <c r="AD223" s="103"/>
      <c r="AE223" s="103"/>
      <c r="AF223" s="103">
        <f>Table5101345411[[#This Row],[العدد]]*Table5101345411[[#This Row],[قيمة الشراء]]</f>
        <v>0</v>
      </c>
      <c r="AG223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23" s="190">
        <f>Table5101345411[[#This Row],[الكمية]]+Table5101345411[[#This Row],[عدد الإضافات]]-Table5101345411[[#This Row],[العدد]]</f>
        <v>50</v>
      </c>
      <c r="AI223" s="78">
        <f>Table5101345411[[#This Row],[الإجمالي]]+Table5101345411[[#This Row],[إجمالي الإضافات]]-Table5101345411[[#This Row],[إجمالي المستبعد]]</f>
        <v>3650</v>
      </c>
      <c r="AJ223" s="62">
        <v>0.125</v>
      </c>
      <c r="AK223" s="219"/>
      <c r="AL223" s="58" t="s">
        <v>61</v>
      </c>
      <c r="AM223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456.25</v>
      </c>
      <c r="AN223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23" s="79">
        <f>Table5101345411[[#This Row],[اهلاك المستبعد
في 2018]]+Table5101345411[[#This Row],[مجمع إهلاك المستبعد 
01-01-2018]]</f>
        <v>0</v>
      </c>
      <c r="AP223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23" s="220"/>
      <c r="AR223" s="78">
        <f>IF(OR(Table5101345411[[#This Row],[تاريخ الشراء-الاستلام]]="",Table5101345411[[#This Row],[الإجمالي]]="",Table5101345411[[#This Row],[العمر الافتراضي]]=""),"",IF(((T223+AM223)-Table5101345411[[#This Row],[مجمع إهلاك المستبعد 
بتاريخ الأستبعاد]])&lt;=0,0,((T223+AM223)-Table5101345411[[#This Row],[مجمع إهلاك المستبعد 
بتاريخ الأستبعاد]])))</f>
        <v>924.25</v>
      </c>
      <c r="AS223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الشراء-الاستلام]]&gt;DATE(2018,12,31),0,AI223-AR223)))</f>
        <v>2725.75</v>
      </c>
    </row>
    <row r="224" spans="1:45" s="141" customFormat="1" ht="83.25" customHeight="1">
      <c r="A224" s="118">
        <f>IF(B224="","",SUBTOTAL(3,$B$6:B224))</f>
        <v>219</v>
      </c>
      <c r="B224" s="58" t="s">
        <v>292</v>
      </c>
      <c r="C224" s="59" t="s">
        <v>54</v>
      </c>
      <c r="D224" s="59" t="s">
        <v>522</v>
      </c>
      <c r="E224" s="59" t="s">
        <v>523</v>
      </c>
      <c r="F224" s="226" t="s">
        <v>523</v>
      </c>
      <c r="G224" s="226"/>
      <c r="H224" s="58" t="s">
        <v>93</v>
      </c>
      <c r="I224" s="58"/>
      <c r="J224" s="58" t="s">
        <v>64</v>
      </c>
      <c r="K224" s="58"/>
      <c r="L224" s="60"/>
      <c r="M224" s="77">
        <v>42788</v>
      </c>
      <c r="N224" s="77" t="s">
        <v>286</v>
      </c>
      <c r="O224" s="150" t="s">
        <v>290</v>
      </c>
      <c r="P224" s="122">
        <v>30</v>
      </c>
      <c r="Q224" s="123"/>
      <c r="R224" s="130">
        <v>580</v>
      </c>
      <c r="S224" s="130">
        <f t="shared" si="5"/>
        <v>17400</v>
      </c>
      <c r="T224" s="130">
        <v>2231.0136986301372</v>
      </c>
      <c r="U224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الشراء-الاستلام]]&lt;DATE(2018,1,1),S224-T224,0))</f>
        <v>15168.986301369863</v>
      </c>
      <c r="V224" s="169"/>
      <c r="W224" s="116"/>
      <c r="X224" s="116"/>
      <c r="Y224" s="117">
        <f>Table5101345411[[#This Row],[عدد الإضافات]]*Table5101345411[[#This Row],[سعر الحبة المضافة]]</f>
        <v>0</v>
      </c>
      <c r="Z224" s="101"/>
      <c r="AA224" s="102"/>
      <c r="AB224" s="103"/>
      <c r="AC224" s="103"/>
      <c r="AD224" s="103"/>
      <c r="AE224" s="103"/>
      <c r="AF224" s="103">
        <f>Table5101345411[[#This Row],[العدد]]*Table5101345411[[#This Row],[قيمة الشراء]]</f>
        <v>0</v>
      </c>
      <c r="AG224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24" s="190">
        <f>Table5101345411[[#This Row],[الكمية]]+Table5101345411[[#This Row],[عدد الإضافات]]-Table5101345411[[#This Row],[العدد]]</f>
        <v>30</v>
      </c>
      <c r="AI224" s="78">
        <f>Table5101345411[[#This Row],[الإجمالي]]+Table5101345411[[#This Row],[إجمالي الإضافات]]-Table5101345411[[#This Row],[إجمالي المستبعد]]</f>
        <v>17400</v>
      </c>
      <c r="AJ224" s="62">
        <v>0.125</v>
      </c>
      <c r="AK224" s="219"/>
      <c r="AL224" s="58" t="s">
        <v>61</v>
      </c>
      <c r="AM224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2175</v>
      </c>
      <c r="AN224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24" s="79">
        <f>Table5101345411[[#This Row],[اهلاك المستبعد
في 2018]]+Table5101345411[[#This Row],[مجمع إهلاك المستبعد 
01-01-2018]]</f>
        <v>0</v>
      </c>
      <c r="AP224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24" s="220"/>
      <c r="AR224" s="78">
        <f>IF(OR(Table5101345411[[#This Row],[تاريخ الشراء-الاستلام]]="",Table5101345411[[#This Row],[الإجمالي]]="",Table5101345411[[#This Row],[العمر الافتراضي]]=""),"",IF(((T224+AM224)-Table5101345411[[#This Row],[مجمع إهلاك المستبعد 
بتاريخ الأستبعاد]])&lt;=0,0,((T224+AM224)-Table5101345411[[#This Row],[مجمع إهلاك المستبعد 
بتاريخ الأستبعاد]])))</f>
        <v>4406.0136986301368</v>
      </c>
      <c r="AS224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الشراء-الاستلام]]&gt;DATE(2018,12,31),0,AI224-AR224)))</f>
        <v>12993.986301369863</v>
      </c>
    </row>
    <row r="225" spans="1:45" s="141" customFormat="1" ht="83.25" customHeight="1">
      <c r="A225" s="118">
        <f>IF(B225="","",SUBTOTAL(3,$B$6:B225))</f>
        <v>220</v>
      </c>
      <c r="B225" s="58" t="s">
        <v>291</v>
      </c>
      <c r="C225" s="59" t="s">
        <v>54</v>
      </c>
      <c r="D225" s="59" t="s">
        <v>522</v>
      </c>
      <c r="E225" s="59" t="s">
        <v>523</v>
      </c>
      <c r="F225" s="226" t="s">
        <v>523</v>
      </c>
      <c r="G225" s="226"/>
      <c r="H225" s="58" t="s">
        <v>93</v>
      </c>
      <c r="I225" s="58"/>
      <c r="J225" s="58" t="s">
        <v>64</v>
      </c>
      <c r="K225" s="58"/>
      <c r="L225" s="60"/>
      <c r="M225" s="77">
        <v>42788</v>
      </c>
      <c r="N225" s="77" t="s">
        <v>286</v>
      </c>
      <c r="O225" s="150" t="s">
        <v>290</v>
      </c>
      <c r="P225" s="122">
        <v>1</v>
      </c>
      <c r="Q225" s="123"/>
      <c r="R225" s="130">
        <v>800</v>
      </c>
      <c r="S225" s="130">
        <f t="shared" si="5"/>
        <v>800</v>
      </c>
      <c r="T225" s="130">
        <v>102.57534246575342</v>
      </c>
      <c r="U225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الشراء-الاستلام]]&lt;DATE(2018,1,1),S225-T225,0))</f>
        <v>697.42465753424653</v>
      </c>
      <c r="V225" s="169"/>
      <c r="W225" s="116"/>
      <c r="X225" s="116"/>
      <c r="Y225" s="117">
        <f>Table5101345411[[#This Row],[عدد الإضافات]]*Table5101345411[[#This Row],[سعر الحبة المضافة]]</f>
        <v>0</v>
      </c>
      <c r="Z225" s="101"/>
      <c r="AA225" s="102"/>
      <c r="AB225" s="103"/>
      <c r="AC225" s="103"/>
      <c r="AD225" s="103"/>
      <c r="AE225" s="103"/>
      <c r="AF225" s="103">
        <f>Table5101345411[[#This Row],[العدد]]*Table5101345411[[#This Row],[قيمة الشراء]]</f>
        <v>0</v>
      </c>
      <c r="AG225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25" s="190">
        <f>Table5101345411[[#This Row],[الكمية]]+Table5101345411[[#This Row],[عدد الإضافات]]-Table5101345411[[#This Row],[العدد]]</f>
        <v>1</v>
      </c>
      <c r="AI225" s="78">
        <f>Table5101345411[[#This Row],[الإجمالي]]+Table5101345411[[#This Row],[إجمالي الإضافات]]-Table5101345411[[#This Row],[إجمالي المستبعد]]</f>
        <v>800</v>
      </c>
      <c r="AJ225" s="62">
        <v>0.125</v>
      </c>
      <c r="AK225" s="219"/>
      <c r="AL225" s="58" t="s">
        <v>61</v>
      </c>
      <c r="AM225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100</v>
      </c>
      <c r="AN225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25" s="79">
        <f>Table5101345411[[#This Row],[اهلاك المستبعد
في 2018]]+Table5101345411[[#This Row],[مجمع إهلاك المستبعد 
01-01-2018]]</f>
        <v>0</v>
      </c>
      <c r="AP225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25" s="220"/>
      <c r="AR225" s="78">
        <f>IF(OR(Table5101345411[[#This Row],[تاريخ الشراء-الاستلام]]="",Table5101345411[[#This Row],[الإجمالي]]="",Table5101345411[[#This Row],[العمر الافتراضي]]=""),"",IF(((T225+AM225)-Table5101345411[[#This Row],[مجمع إهلاك المستبعد 
بتاريخ الأستبعاد]])&lt;=0,0,((T225+AM225)-Table5101345411[[#This Row],[مجمع إهلاك المستبعد 
بتاريخ الأستبعاد]])))</f>
        <v>202.57534246575341</v>
      </c>
      <c r="AS225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الشراء-الاستلام]]&gt;DATE(2018,12,31),0,AI225-AR225)))</f>
        <v>597.42465753424653</v>
      </c>
    </row>
    <row r="226" spans="1:45" s="141" customFormat="1" ht="83.25" customHeight="1">
      <c r="A226" s="118">
        <f>IF(B226="","",SUBTOTAL(3,$B$6:B226))</f>
        <v>221</v>
      </c>
      <c r="B226" s="58" t="s">
        <v>293</v>
      </c>
      <c r="C226" s="59" t="s">
        <v>54</v>
      </c>
      <c r="D226" s="59" t="s">
        <v>522</v>
      </c>
      <c r="E226" s="59" t="s">
        <v>524</v>
      </c>
      <c r="F226" s="226" t="s">
        <v>524</v>
      </c>
      <c r="G226" s="226"/>
      <c r="H226" s="58" t="s">
        <v>93</v>
      </c>
      <c r="I226" s="58"/>
      <c r="J226" s="58" t="s">
        <v>64</v>
      </c>
      <c r="K226" s="58"/>
      <c r="L226" s="60"/>
      <c r="M226" s="77">
        <v>42792</v>
      </c>
      <c r="N226" s="77" t="s">
        <v>286</v>
      </c>
      <c r="O226" s="150" t="s">
        <v>290</v>
      </c>
      <c r="P226" s="122">
        <v>50</v>
      </c>
      <c r="Q226" s="123"/>
      <c r="R226" s="130">
        <v>1000</v>
      </c>
      <c r="S226" s="130">
        <f t="shared" si="5"/>
        <v>50000</v>
      </c>
      <c r="T226" s="130">
        <v>6328.767123287671</v>
      </c>
      <c r="U226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الشراء-الاستلام]]&lt;DATE(2018,1,1),S226-T226,0))</f>
        <v>43671.232876712325</v>
      </c>
      <c r="V226" s="169"/>
      <c r="W226" s="116"/>
      <c r="X226" s="116"/>
      <c r="Y226" s="117">
        <f>Table5101345411[[#This Row],[عدد الإضافات]]*Table5101345411[[#This Row],[سعر الحبة المضافة]]</f>
        <v>0</v>
      </c>
      <c r="Z226" s="101"/>
      <c r="AA226" s="102"/>
      <c r="AB226" s="103"/>
      <c r="AC226" s="103"/>
      <c r="AD226" s="103"/>
      <c r="AE226" s="103"/>
      <c r="AF226" s="103">
        <f>Table5101345411[[#This Row],[العدد]]*Table5101345411[[#This Row],[قيمة الشراء]]</f>
        <v>0</v>
      </c>
      <c r="AG226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26" s="190">
        <f>Table5101345411[[#This Row],[الكمية]]+Table5101345411[[#This Row],[عدد الإضافات]]-Table5101345411[[#This Row],[العدد]]</f>
        <v>50</v>
      </c>
      <c r="AI226" s="78">
        <f>Table5101345411[[#This Row],[الإجمالي]]+Table5101345411[[#This Row],[إجمالي الإضافات]]-Table5101345411[[#This Row],[إجمالي المستبعد]]</f>
        <v>50000</v>
      </c>
      <c r="AJ226" s="62">
        <v>0.125</v>
      </c>
      <c r="AK226" s="219"/>
      <c r="AL226" s="58" t="s">
        <v>61</v>
      </c>
      <c r="AM226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6250</v>
      </c>
      <c r="AN226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26" s="79">
        <f>Table5101345411[[#This Row],[اهلاك المستبعد
في 2018]]+Table5101345411[[#This Row],[مجمع إهلاك المستبعد 
01-01-2018]]</f>
        <v>0</v>
      </c>
      <c r="AP226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26" s="220"/>
      <c r="AR226" s="78">
        <f>IF(OR(Table5101345411[[#This Row],[تاريخ الشراء-الاستلام]]="",Table5101345411[[#This Row],[الإجمالي]]="",Table5101345411[[#This Row],[العمر الافتراضي]]=""),"",IF(((T226+AM226)-Table5101345411[[#This Row],[مجمع إهلاك المستبعد 
بتاريخ الأستبعاد]])&lt;=0,0,((T226+AM226)-Table5101345411[[#This Row],[مجمع إهلاك المستبعد 
بتاريخ الأستبعاد]])))</f>
        <v>12578.767123287671</v>
      </c>
      <c r="AS226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الشراء-الاستلام]]&gt;DATE(2018,12,31),0,AI226-AR226)))</f>
        <v>37421.232876712325</v>
      </c>
    </row>
    <row r="227" spans="1:45" s="141" customFormat="1" ht="83.25" customHeight="1">
      <c r="A227" s="118">
        <f>IF(B227="","",SUBTOTAL(3,$B$6:B227))</f>
        <v>222</v>
      </c>
      <c r="B227" s="58" t="s">
        <v>293</v>
      </c>
      <c r="C227" s="59" t="s">
        <v>54</v>
      </c>
      <c r="D227" s="59" t="s">
        <v>522</v>
      </c>
      <c r="E227" s="59" t="s">
        <v>524</v>
      </c>
      <c r="F227" s="226" t="s">
        <v>524</v>
      </c>
      <c r="G227" s="226"/>
      <c r="H227" s="58" t="s">
        <v>63</v>
      </c>
      <c r="I227" s="58"/>
      <c r="J227" s="58" t="s">
        <v>64</v>
      </c>
      <c r="K227" s="58"/>
      <c r="L227" s="60"/>
      <c r="M227" s="77">
        <v>42788</v>
      </c>
      <c r="N227" s="77" t="s">
        <v>286</v>
      </c>
      <c r="O227" s="150" t="s">
        <v>290</v>
      </c>
      <c r="P227" s="122">
        <v>10</v>
      </c>
      <c r="Q227" s="123"/>
      <c r="R227" s="130">
        <v>1000</v>
      </c>
      <c r="S227" s="130">
        <f t="shared" si="5"/>
        <v>10000</v>
      </c>
      <c r="T227" s="130">
        <v>1282.191780821918</v>
      </c>
      <c r="U227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الشراء-الاستلام]]&lt;DATE(2018,1,1),S227-T227,0))</f>
        <v>8717.8082191780813</v>
      </c>
      <c r="V227" s="169"/>
      <c r="W227" s="116"/>
      <c r="X227" s="116"/>
      <c r="Y227" s="117">
        <f>Table5101345411[[#This Row],[عدد الإضافات]]*Table5101345411[[#This Row],[سعر الحبة المضافة]]</f>
        <v>0</v>
      </c>
      <c r="Z227" s="101"/>
      <c r="AA227" s="102"/>
      <c r="AB227" s="103"/>
      <c r="AC227" s="103"/>
      <c r="AD227" s="103"/>
      <c r="AE227" s="103"/>
      <c r="AF227" s="103">
        <f>Table5101345411[[#This Row],[العدد]]*Table5101345411[[#This Row],[قيمة الشراء]]</f>
        <v>0</v>
      </c>
      <c r="AG227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27" s="190">
        <f>Table5101345411[[#This Row],[الكمية]]+Table5101345411[[#This Row],[عدد الإضافات]]-Table5101345411[[#This Row],[العدد]]</f>
        <v>10</v>
      </c>
      <c r="AI227" s="78">
        <f>Table5101345411[[#This Row],[الإجمالي]]+Table5101345411[[#This Row],[إجمالي الإضافات]]-Table5101345411[[#This Row],[إجمالي المستبعد]]</f>
        <v>10000</v>
      </c>
      <c r="AJ227" s="62">
        <v>0.125</v>
      </c>
      <c r="AK227" s="219"/>
      <c r="AL227" s="58" t="s">
        <v>61</v>
      </c>
      <c r="AM227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1250</v>
      </c>
      <c r="AN227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27" s="79">
        <f>Table5101345411[[#This Row],[اهلاك المستبعد
في 2018]]+Table5101345411[[#This Row],[مجمع إهلاك المستبعد 
01-01-2018]]</f>
        <v>0</v>
      </c>
      <c r="AP227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27" s="220"/>
      <c r="AR227" s="78">
        <f>IF(OR(Table5101345411[[#This Row],[تاريخ الشراء-الاستلام]]="",Table5101345411[[#This Row],[الإجمالي]]="",Table5101345411[[#This Row],[العمر الافتراضي]]=""),"",IF(((T227+AM227)-Table5101345411[[#This Row],[مجمع إهلاك المستبعد 
بتاريخ الأستبعاد]])&lt;=0,0,((T227+AM227)-Table5101345411[[#This Row],[مجمع إهلاك المستبعد 
بتاريخ الأستبعاد]])))</f>
        <v>2532.1917808219177</v>
      </c>
      <c r="AS227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الشراء-الاستلام]]&gt;DATE(2018,12,31),0,AI227-AR227)))</f>
        <v>7467.8082191780823</v>
      </c>
    </row>
    <row r="228" spans="1:45" s="141" customFormat="1" ht="83.25" customHeight="1">
      <c r="A228" s="118">
        <f>IF(B228="","",SUBTOTAL(3,$B$6:B228))</f>
        <v>223</v>
      </c>
      <c r="B228" s="58" t="s">
        <v>277</v>
      </c>
      <c r="C228" s="59" t="s">
        <v>54</v>
      </c>
      <c r="D228" s="59" t="s">
        <v>522</v>
      </c>
      <c r="E228" s="59" t="s">
        <v>120</v>
      </c>
      <c r="F228" s="226" t="s">
        <v>120</v>
      </c>
      <c r="G228" s="226"/>
      <c r="H228" s="58" t="s">
        <v>57</v>
      </c>
      <c r="I228" s="58" t="s">
        <v>85</v>
      </c>
      <c r="J228" s="58" t="s">
        <v>64</v>
      </c>
      <c r="K228" s="58"/>
      <c r="L228" s="60"/>
      <c r="M228" s="77">
        <v>42771</v>
      </c>
      <c r="N228" s="77" t="s">
        <v>286</v>
      </c>
      <c r="O228" s="150" t="s">
        <v>290</v>
      </c>
      <c r="P228" s="122">
        <v>8</v>
      </c>
      <c r="Q228" s="123"/>
      <c r="R228" s="130">
        <v>1900</v>
      </c>
      <c r="S228" s="130">
        <f t="shared" si="5"/>
        <v>15200</v>
      </c>
      <c r="T228" s="130">
        <v>2055.1232876712329</v>
      </c>
      <c r="U228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الشراء-الاستلام]]&lt;DATE(2018,1,1),S228-T228,0))</f>
        <v>13144.876712328767</v>
      </c>
      <c r="V228" s="169"/>
      <c r="W228" s="116"/>
      <c r="X228" s="116"/>
      <c r="Y228" s="117">
        <f>Table5101345411[[#This Row],[عدد الإضافات]]*Table5101345411[[#This Row],[سعر الحبة المضافة]]</f>
        <v>0</v>
      </c>
      <c r="Z228" s="101"/>
      <c r="AA228" s="102"/>
      <c r="AB228" s="103"/>
      <c r="AC228" s="103"/>
      <c r="AD228" s="103"/>
      <c r="AE228" s="103"/>
      <c r="AF228" s="103">
        <f>Table5101345411[[#This Row],[العدد]]*Table5101345411[[#This Row],[قيمة الشراء]]</f>
        <v>0</v>
      </c>
      <c r="AG228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28" s="190">
        <f>Table5101345411[[#This Row],[الكمية]]+Table5101345411[[#This Row],[عدد الإضافات]]-Table5101345411[[#This Row],[العدد]]</f>
        <v>8</v>
      </c>
      <c r="AI228" s="78">
        <f>Table5101345411[[#This Row],[الإجمالي]]+Table5101345411[[#This Row],[إجمالي الإضافات]]-Table5101345411[[#This Row],[إجمالي المستبعد]]</f>
        <v>15200</v>
      </c>
      <c r="AJ228" s="62">
        <v>0.125</v>
      </c>
      <c r="AK228" s="219"/>
      <c r="AL228" s="58" t="s">
        <v>61</v>
      </c>
      <c r="AM228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1900</v>
      </c>
      <c r="AN228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28" s="79">
        <f>Table5101345411[[#This Row],[اهلاك المستبعد
في 2018]]+Table5101345411[[#This Row],[مجمع إهلاك المستبعد 
01-01-2018]]</f>
        <v>0</v>
      </c>
      <c r="AP228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28" s="220"/>
      <c r="AR228" s="78">
        <f>IF(OR(Table5101345411[[#This Row],[تاريخ الشراء-الاستلام]]="",Table5101345411[[#This Row],[الإجمالي]]="",Table5101345411[[#This Row],[العمر الافتراضي]]=""),"",IF(((T228+AM228)-Table5101345411[[#This Row],[مجمع إهلاك المستبعد 
بتاريخ الأستبعاد]])&lt;=0,0,((T228+AM228)-Table5101345411[[#This Row],[مجمع إهلاك المستبعد 
بتاريخ الأستبعاد]])))</f>
        <v>3955.1232876712329</v>
      </c>
      <c r="AS228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الشراء-الاستلام]]&gt;DATE(2018,12,31),0,AI228-AR228)))</f>
        <v>11244.876712328767</v>
      </c>
    </row>
    <row r="229" spans="1:45" s="141" customFormat="1" ht="83.25" customHeight="1">
      <c r="A229" s="118">
        <f>IF(B229="","",SUBTOTAL(3,$B$6:B229))</f>
        <v>224</v>
      </c>
      <c r="B229" s="58" t="s">
        <v>294</v>
      </c>
      <c r="C229" s="59" t="s">
        <v>115</v>
      </c>
      <c r="D229" s="59" t="s">
        <v>522</v>
      </c>
      <c r="E229" s="59" t="s">
        <v>523</v>
      </c>
      <c r="F229" s="226" t="s">
        <v>523</v>
      </c>
      <c r="G229" s="226"/>
      <c r="H229" s="58" t="s">
        <v>63</v>
      </c>
      <c r="I229" s="58"/>
      <c r="J229" s="58" t="s">
        <v>64</v>
      </c>
      <c r="K229" s="58"/>
      <c r="L229" s="60"/>
      <c r="M229" s="77">
        <v>42768</v>
      </c>
      <c r="N229" s="77"/>
      <c r="O229" s="150"/>
      <c r="P229" s="122">
        <v>2</v>
      </c>
      <c r="Q229" s="123"/>
      <c r="R229" s="130">
        <v>1200</v>
      </c>
      <c r="S229" s="130">
        <f t="shared" si="5"/>
        <v>2400</v>
      </c>
      <c r="T229" s="130">
        <v>327.45205479452051</v>
      </c>
      <c r="U229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الشراء-الاستلام]]&lt;DATE(2018,1,1),S229-T229,0))</f>
        <v>2072.5479452054797</v>
      </c>
      <c r="V229" s="169"/>
      <c r="W229" s="116"/>
      <c r="X229" s="116"/>
      <c r="Y229" s="117">
        <f>Table5101345411[[#This Row],[عدد الإضافات]]*Table5101345411[[#This Row],[سعر الحبة المضافة]]</f>
        <v>0</v>
      </c>
      <c r="Z229" s="101"/>
      <c r="AA229" s="102"/>
      <c r="AB229" s="103"/>
      <c r="AC229" s="103"/>
      <c r="AD229" s="103"/>
      <c r="AE229" s="103"/>
      <c r="AF229" s="103">
        <f>Table5101345411[[#This Row],[العدد]]*Table5101345411[[#This Row],[قيمة الشراء]]</f>
        <v>0</v>
      </c>
      <c r="AG229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29" s="190">
        <f>Table5101345411[[#This Row],[الكمية]]+Table5101345411[[#This Row],[عدد الإضافات]]-Table5101345411[[#This Row],[العدد]]</f>
        <v>2</v>
      </c>
      <c r="AI229" s="78">
        <f>Table5101345411[[#This Row],[الإجمالي]]+Table5101345411[[#This Row],[إجمالي الإضافات]]-Table5101345411[[#This Row],[إجمالي المستبعد]]</f>
        <v>2400</v>
      </c>
      <c r="AJ229" s="120">
        <v>0.15</v>
      </c>
      <c r="AK229" s="219"/>
      <c r="AL229" s="58" t="s">
        <v>61</v>
      </c>
      <c r="AM229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360</v>
      </c>
      <c r="AN229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29" s="79">
        <f>Table5101345411[[#This Row],[اهلاك المستبعد
في 2018]]+Table5101345411[[#This Row],[مجمع إهلاك المستبعد 
01-01-2018]]</f>
        <v>0</v>
      </c>
      <c r="AP229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29" s="220"/>
      <c r="AR229" s="78">
        <f>IF(OR(Table5101345411[[#This Row],[تاريخ الشراء-الاستلام]]="",Table5101345411[[#This Row],[الإجمالي]]="",Table5101345411[[#This Row],[العمر الافتراضي]]=""),"",IF(((T229+AM229)-Table5101345411[[#This Row],[مجمع إهلاك المستبعد 
بتاريخ الأستبعاد]])&lt;=0,0,((T229+AM229)-Table5101345411[[#This Row],[مجمع إهلاك المستبعد 
بتاريخ الأستبعاد]])))</f>
        <v>687.45205479452056</v>
      </c>
      <c r="AS229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الشراء-الاستلام]]&gt;DATE(2018,12,31),0,AI229-AR229)))</f>
        <v>1712.5479452054794</v>
      </c>
    </row>
    <row r="230" spans="1:45" s="141" customFormat="1" ht="83.25" customHeight="1">
      <c r="A230" s="118">
        <f>IF(B230="","",SUBTOTAL(3,$B$6:B230))</f>
        <v>225</v>
      </c>
      <c r="B230" s="58" t="s">
        <v>295</v>
      </c>
      <c r="C230" s="59" t="s">
        <v>54</v>
      </c>
      <c r="D230" s="59" t="s">
        <v>522</v>
      </c>
      <c r="E230" s="59" t="s">
        <v>120</v>
      </c>
      <c r="F230" s="226" t="s">
        <v>120</v>
      </c>
      <c r="G230" s="226"/>
      <c r="H230" s="58" t="s">
        <v>63</v>
      </c>
      <c r="I230" s="58"/>
      <c r="J230" s="58" t="s">
        <v>64</v>
      </c>
      <c r="K230" s="58"/>
      <c r="L230" s="60"/>
      <c r="M230" s="77">
        <v>42768</v>
      </c>
      <c r="N230" s="77" t="s">
        <v>286</v>
      </c>
      <c r="O230" s="150" t="s">
        <v>290</v>
      </c>
      <c r="P230" s="122">
        <v>10</v>
      </c>
      <c r="Q230" s="123"/>
      <c r="R230" s="130">
        <v>1200</v>
      </c>
      <c r="S230" s="130">
        <f t="shared" si="5"/>
        <v>12000</v>
      </c>
      <c r="T230" s="130">
        <v>1637.2602739726028</v>
      </c>
      <c r="U230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الشراء-الاستلام]]&lt;DATE(2018,1,1),S230-T230,0))</f>
        <v>10362.739726027397</v>
      </c>
      <c r="V230" s="169"/>
      <c r="W230" s="116"/>
      <c r="X230" s="116"/>
      <c r="Y230" s="117">
        <f>Table5101345411[[#This Row],[عدد الإضافات]]*Table5101345411[[#This Row],[سعر الحبة المضافة]]</f>
        <v>0</v>
      </c>
      <c r="Z230" s="101"/>
      <c r="AA230" s="102"/>
      <c r="AB230" s="103"/>
      <c r="AC230" s="103"/>
      <c r="AD230" s="103"/>
      <c r="AE230" s="103"/>
      <c r="AF230" s="103">
        <f>Table5101345411[[#This Row],[العدد]]*Table5101345411[[#This Row],[قيمة الشراء]]</f>
        <v>0</v>
      </c>
      <c r="AG230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30" s="190">
        <f>Table5101345411[[#This Row],[الكمية]]+Table5101345411[[#This Row],[عدد الإضافات]]-Table5101345411[[#This Row],[العدد]]</f>
        <v>10</v>
      </c>
      <c r="AI230" s="78">
        <f>Table5101345411[[#This Row],[الإجمالي]]+Table5101345411[[#This Row],[إجمالي الإضافات]]-Table5101345411[[#This Row],[إجمالي المستبعد]]</f>
        <v>12000</v>
      </c>
      <c r="AJ230" s="62">
        <v>0.125</v>
      </c>
      <c r="AK230" s="219"/>
      <c r="AL230" s="58" t="s">
        <v>61</v>
      </c>
      <c r="AM230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1500</v>
      </c>
      <c r="AN230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30" s="79">
        <f>Table5101345411[[#This Row],[اهلاك المستبعد
في 2018]]+Table5101345411[[#This Row],[مجمع إهلاك المستبعد 
01-01-2018]]</f>
        <v>0</v>
      </c>
      <c r="AP230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30" s="220"/>
      <c r="AR230" s="78">
        <f>IF(OR(Table5101345411[[#This Row],[تاريخ الشراء-الاستلام]]="",Table5101345411[[#This Row],[الإجمالي]]="",Table5101345411[[#This Row],[العمر الافتراضي]]=""),"",IF(((T230+AM230)-Table5101345411[[#This Row],[مجمع إهلاك المستبعد 
بتاريخ الأستبعاد]])&lt;=0,0,((T230+AM230)-Table5101345411[[#This Row],[مجمع إهلاك المستبعد 
بتاريخ الأستبعاد]])))</f>
        <v>3137.2602739726026</v>
      </c>
      <c r="AS230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الشراء-الاستلام]]&gt;DATE(2018,12,31),0,AI230-AR230)))</f>
        <v>8862.7397260273974</v>
      </c>
    </row>
    <row r="231" spans="1:45" s="141" customFormat="1" ht="83.25" customHeight="1">
      <c r="A231" s="118">
        <f>IF(B231="","",SUBTOTAL(3,$B$6:B231))</f>
        <v>226</v>
      </c>
      <c r="B231" s="58" t="s">
        <v>150</v>
      </c>
      <c r="C231" s="59" t="s">
        <v>54</v>
      </c>
      <c r="D231" s="59" t="s">
        <v>522</v>
      </c>
      <c r="E231" s="59" t="s">
        <v>120</v>
      </c>
      <c r="F231" s="226" t="s">
        <v>120</v>
      </c>
      <c r="G231" s="226"/>
      <c r="H231" s="58" t="s">
        <v>57</v>
      </c>
      <c r="I231" s="58" t="s">
        <v>85</v>
      </c>
      <c r="J231" s="58" t="s">
        <v>64</v>
      </c>
      <c r="K231" s="58"/>
      <c r="L231" s="60"/>
      <c r="M231" s="77">
        <v>42788</v>
      </c>
      <c r="N231" s="77" t="s">
        <v>286</v>
      </c>
      <c r="O231" s="150" t="s">
        <v>290</v>
      </c>
      <c r="P231" s="122">
        <v>2</v>
      </c>
      <c r="Q231" s="123"/>
      <c r="R231" s="130">
        <v>400</v>
      </c>
      <c r="S231" s="130">
        <f t="shared" si="5"/>
        <v>800</v>
      </c>
      <c r="T231" s="130">
        <v>102.57534246575342</v>
      </c>
      <c r="U231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الشراء-الاستلام]]&lt;DATE(2018,1,1),S231-T231,0))</f>
        <v>697.42465753424653</v>
      </c>
      <c r="V231" s="169"/>
      <c r="W231" s="116"/>
      <c r="X231" s="116"/>
      <c r="Y231" s="117">
        <f>Table5101345411[[#This Row],[عدد الإضافات]]*Table5101345411[[#This Row],[سعر الحبة المضافة]]</f>
        <v>0</v>
      </c>
      <c r="Z231" s="101"/>
      <c r="AA231" s="102"/>
      <c r="AB231" s="103"/>
      <c r="AC231" s="103"/>
      <c r="AD231" s="103"/>
      <c r="AE231" s="103"/>
      <c r="AF231" s="103">
        <f>Table5101345411[[#This Row],[العدد]]*Table5101345411[[#This Row],[قيمة الشراء]]</f>
        <v>0</v>
      </c>
      <c r="AG231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31" s="190">
        <f>Table5101345411[[#This Row],[الكمية]]+Table5101345411[[#This Row],[عدد الإضافات]]-Table5101345411[[#This Row],[العدد]]</f>
        <v>2</v>
      </c>
      <c r="AI231" s="78">
        <f>Table5101345411[[#This Row],[الإجمالي]]+Table5101345411[[#This Row],[إجمالي الإضافات]]-Table5101345411[[#This Row],[إجمالي المستبعد]]</f>
        <v>800</v>
      </c>
      <c r="AJ231" s="62">
        <v>0.125</v>
      </c>
      <c r="AK231" s="219"/>
      <c r="AL231" s="58" t="s">
        <v>61</v>
      </c>
      <c r="AM231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100</v>
      </c>
      <c r="AN231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31" s="79">
        <f>Table5101345411[[#This Row],[اهلاك المستبعد
في 2018]]+Table5101345411[[#This Row],[مجمع إهلاك المستبعد 
01-01-2018]]</f>
        <v>0</v>
      </c>
      <c r="AP231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31" s="220"/>
      <c r="AR231" s="78">
        <f>IF(OR(Table5101345411[[#This Row],[تاريخ الشراء-الاستلام]]="",Table5101345411[[#This Row],[الإجمالي]]="",Table5101345411[[#This Row],[العمر الافتراضي]]=""),"",IF(((T231+AM231)-Table5101345411[[#This Row],[مجمع إهلاك المستبعد 
بتاريخ الأستبعاد]])&lt;=0,0,((T231+AM231)-Table5101345411[[#This Row],[مجمع إهلاك المستبعد 
بتاريخ الأستبعاد]])))</f>
        <v>202.57534246575341</v>
      </c>
      <c r="AS231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الشراء-الاستلام]]&gt;DATE(2018,12,31),0,AI231-AR231)))</f>
        <v>597.42465753424653</v>
      </c>
    </row>
    <row r="232" spans="1:45" s="141" customFormat="1" ht="83.25" customHeight="1">
      <c r="A232" s="118">
        <f>IF(B232="","",SUBTOTAL(3,$B$6:B232))</f>
        <v>227</v>
      </c>
      <c r="B232" s="58" t="s">
        <v>295</v>
      </c>
      <c r="C232" s="59" t="s">
        <v>54</v>
      </c>
      <c r="D232" s="59" t="s">
        <v>522</v>
      </c>
      <c r="E232" s="59" t="s">
        <v>120</v>
      </c>
      <c r="F232" s="226" t="s">
        <v>120</v>
      </c>
      <c r="G232" s="226"/>
      <c r="H232" s="58" t="s">
        <v>57</v>
      </c>
      <c r="I232" s="58" t="s">
        <v>85</v>
      </c>
      <c r="J232" s="58" t="s">
        <v>64</v>
      </c>
      <c r="K232" s="58"/>
      <c r="L232" s="60"/>
      <c r="M232" s="77">
        <v>42792</v>
      </c>
      <c r="N232" s="77" t="s">
        <v>286</v>
      </c>
      <c r="O232" s="150" t="s">
        <v>290</v>
      </c>
      <c r="P232" s="122">
        <v>50</v>
      </c>
      <c r="Q232" s="123"/>
      <c r="R232" s="130">
        <v>1150</v>
      </c>
      <c r="S232" s="130">
        <f t="shared" si="5"/>
        <v>57500</v>
      </c>
      <c r="T232" s="130">
        <v>7278.0821917808216</v>
      </c>
      <c r="U232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الشراء-الاستلام]]&lt;DATE(2018,1,1),S232-T232,0))</f>
        <v>50221.917808219179</v>
      </c>
      <c r="V232" s="169"/>
      <c r="W232" s="116"/>
      <c r="X232" s="116"/>
      <c r="Y232" s="117">
        <f>Table5101345411[[#This Row],[عدد الإضافات]]*Table5101345411[[#This Row],[سعر الحبة المضافة]]</f>
        <v>0</v>
      </c>
      <c r="Z232" s="101"/>
      <c r="AA232" s="102"/>
      <c r="AB232" s="103"/>
      <c r="AC232" s="103"/>
      <c r="AD232" s="103"/>
      <c r="AE232" s="103"/>
      <c r="AF232" s="103">
        <f>Table5101345411[[#This Row],[العدد]]*Table5101345411[[#This Row],[قيمة الشراء]]</f>
        <v>0</v>
      </c>
      <c r="AG232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32" s="190">
        <f>Table5101345411[[#This Row],[الكمية]]+Table5101345411[[#This Row],[عدد الإضافات]]-Table5101345411[[#This Row],[العدد]]</f>
        <v>50</v>
      </c>
      <c r="AI232" s="78">
        <f>Table5101345411[[#This Row],[الإجمالي]]+Table5101345411[[#This Row],[إجمالي الإضافات]]-Table5101345411[[#This Row],[إجمالي المستبعد]]</f>
        <v>57500</v>
      </c>
      <c r="AJ232" s="62">
        <v>0.125</v>
      </c>
      <c r="AK232" s="219"/>
      <c r="AL232" s="58" t="s">
        <v>61</v>
      </c>
      <c r="AM232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7187.5</v>
      </c>
      <c r="AN232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32" s="79">
        <f>Table5101345411[[#This Row],[اهلاك المستبعد
في 2018]]+Table5101345411[[#This Row],[مجمع إهلاك المستبعد 
01-01-2018]]</f>
        <v>0</v>
      </c>
      <c r="AP232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32" s="220"/>
      <c r="AR232" s="78">
        <f>IF(OR(Table5101345411[[#This Row],[تاريخ الشراء-الاستلام]]="",Table5101345411[[#This Row],[الإجمالي]]="",Table5101345411[[#This Row],[العمر الافتراضي]]=""),"",IF(((T232+AM232)-Table5101345411[[#This Row],[مجمع إهلاك المستبعد 
بتاريخ الأستبعاد]])&lt;=0,0,((T232+AM232)-Table5101345411[[#This Row],[مجمع إهلاك المستبعد 
بتاريخ الأستبعاد]])))</f>
        <v>14465.582191780821</v>
      </c>
      <c r="AS232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الشراء-الاستلام]]&gt;DATE(2018,12,31),0,AI232-AR232)))</f>
        <v>43034.417808219179</v>
      </c>
    </row>
    <row r="233" spans="1:45" s="141" customFormat="1" ht="83.25" customHeight="1">
      <c r="A233" s="118">
        <f>IF(B233="","",SUBTOTAL(3,$B$6:B233))</f>
        <v>228</v>
      </c>
      <c r="B233" s="58" t="s">
        <v>150</v>
      </c>
      <c r="C233" s="59" t="s">
        <v>54</v>
      </c>
      <c r="D233" s="59" t="s">
        <v>522</v>
      </c>
      <c r="E233" s="59" t="s">
        <v>120</v>
      </c>
      <c r="F233" s="226" t="s">
        <v>120</v>
      </c>
      <c r="G233" s="226"/>
      <c r="H233" s="58" t="s">
        <v>57</v>
      </c>
      <c r="I233" s="58" t="s">
        <v>85</v>
      </c>
      <c r="J233" s="58" t="s">
        <v>64</v>
      </c>
      <c r="K233" s="58"/>
      <c r="L233" s="60"/>
      <c r="M233" s="77">
        <v>42802</v>
      </c>
      <c r="N233" s="77" t="s">
        <v>286</v>
      </c>
      <c r="O233" s="150" t="s">
        <v>296</v>
      </c>
      <c r="P233" s="122">
        <v>2</v>
      </c>
      <c r="Q233" s="123"/>
      <c r="R233" s="130">
        <v>400</v>
      </c>
      <c r="S233" s="130">
        <f t="shared" si="5"/>
        <v>800</v>
      </c>
      <c r="T233" s="130">
        <v>97.972602739726028</v>
      </c>
      <c r="U233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الشراء-الاستلام]]&lt;DATE(2018,1,1),S233-T233,0))</f>
        <v>702.02739726027403</v>
      </c>
      <c r="V233" s="169"/>
      <c r="W233" s="116"/>
      <c r="X233" s="116"/>
      <c r="Y233" s="117">
        <f>Table5101345411[[#This Row],[عدد الإضافات]]*Table5101345411[[#This Row],[سعر الحبة المضافة]]</f>
        <v>0</v>
      </c>
      <c r="Z233" s="101"/>
      <c r="AA233" s="102"/>
      <c r="AB233" s="103"/>
      <c r="AC233" s="103"/>
      <c r="AD233" s="103"/>
      <c r="AE233" s="103"/>
      <c r="AF233" s="103">
        <f>Table5101345411[[#This Row],[العدد]]*Table5101345411[[#This Row],[قيمة الشراء]]</f>
        <v>0</v>
      </c>
      <c r="AG233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33" s="190">
        <f>Table5101345411[[#This Row],[الكمية]]+Table5101345411[[#This Row],[عدد الإضافات]]-Table5101345411[[#This Row],[العدد]]</f>
        <v>2</v>
      </c>
      <c r="AI233" s="78">
        <f>Table5101345411[[#This Row],[الإجمالي]]+Table5101345411[[#This Row],[إجمالي الإضافات]]-Table5101345411[[#This Row],[إجمالي المستبعد]]</f>
        <v>800</v>
      </c>
      <c r="AJ233" s="62">
        <v>0.125</v>
      </c>
      <c r="AK233" s="219"/>
      <c r="AL233" s="58" t="s">
        <v>61</v>
      </c>
      <c r="AM233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100</v>
      </c>
      <c r="AN233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33" s="79">
        <f>Table5101345411[[#This Row],[اهلاك المستبعد
في 2018]]+Table5101345411[[#This Row],[مجمع إهلاك المستبعد 
01-01-2018]]</f>
        <v>0</v>
      </c>
      <c r="AP233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33" s="220"/>
      <c r="AR233" s="78">
        <f>IF(OR(Table5101345411[[#This Row],[تاريخ الشراء-الاستلام]]="",Table5101345411[[#This Row],[الإجمالي]]="",Table5101345411[[#This Row],[العمر الافتراضي]]=""),"",IF(((T233+AM233)-Table5101345411[[#This Row],[مجمع إهلاك المستبعد 
بتاريخ الأستبعاد]])&lt;=0,0,((T233+AM233)-Table5101345411[[#This Row],[مجمع إهلاك المستبعد 
بتاريخ الأستبعاد]])))</f>
        <v>197.97260273972603</v>
      </c>
      <c r="AS233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الشراء-الاستلام]]&gt;DATE(2018,12,31),0,AI233-AR233)))</f>
        <v>602.02739726027403</v>
      </c>
    </row>
    <row r="234" spans="1:45" s="141" customFormat="1" ht="83.25" customHeight="1">
      <c r="A234" s="118">
        <f>IF(B234="","",SUBTOTAL(3,$B$6:B234))</f>
        <v>229</v>
      </c>
      <c r="B234" s="58" t="s">
        <v>295</v>
      </c>
      <c r="C234" s="59" t="s">
        <v>54</v>
      </c>
      <c r="D234" s="59" t="s">
        <v>522</v>
      </c>
      <c r="E234" s="59" t="s">
        <v>120</v>
      </c>
      <c r="F234" s="226" t="s">
        <v>120</v>
      </c>
      <c r="G234" s="226"/>
      <c r="H234" s="58" t="s">
        <v>57</v>
      </c>
      <c r="I234" s="58" t="s">
        <v>85</v>
      </c>
      <c r="J234" s="58" t="s">
        <v>64</v>
      </c>
      <c r="K234" s="58"/>
      <c r="L234" s="60"/>
      <c r="M234" s="77">
        <v>42831</v>
      </c>
      <c r="N234" s="77" t="s">
        <v>286</v>
      </c>
      <c r="O234" s="150" t="s">
        <v>296</v>
      </c>
      <c r="P234" s="122">
        <v>31</v>
      </c>
      <c r="Q234" s="123"/>
      <c r="R234" s="130">
        <v>1150</v>
      </c>
      <c r="S234" s="130">
        <f t="shared" si="5"/>
        <v>35650</v>
      </c>
      <c r="T234" s="130">
        <v>3941.0342465753424</v>
      </c>
      <c r="U234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الشراء-الاستلام]]&lt;DATE(2018,1,1),S234-T234,0))</f>
        <v>31708.965753424658</v>
      </c>
      <c r="V234" s="169"/>
      <c r="W234" s="116"/>
      <c r="X234" s="116"/>
      <c r="Y234" s="117">
        <f>Table5101345411[[#This Row],[عدد الإضافات]]*Table5101345411[[#This Row],[سعر الحبة المضافة]]</f>
        <v>0</v>
      </c>
      <c r="Z234" s="101"/>
      <c r="AA234" s="102"/>
      <c r="AB234" s="103"/>
      <c r="AC234" s="103"/>
      <c r="AD234" s="103"/>
      <c r="AE234" s="103"/>
      <c r="AF234" s="103">
        <f>Table5101345411[[#This Row],[العدد]]*Table5101345411[[#This Row],[قيمة الشراء]]</f>
        <v>0</v>
      </c>
      <c r="AG234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34" s="190">
        <f>Table5101345411[[#This Row],[الكمية]]+Table5101345411[[#This Row],[عدد الإضافات]]-Table5101345411[[#This Row],[العدد]]</f>
        <v>31</v>
      </c>
      <c r="AI234" s="78">
        <f>Table5101345411[[#This Row],[الإجمالي]]+Table5101345411[[#This Row],[إجمالي الإضافات]]-Table5101345411[[#This Row],[إجمالي المستبعد]]</f>
        <v>35650</v>
      </c>
      <c r="AJ234" s="62">
        <v>0.125</v>
      </c>
      <c r="AK234" s="219"/>
      <c r="AL234" s="58" t="s">
        <v>61</v>
      </c>
      <c r="AM234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4456.25</v>
      </c>
      <c r="AN234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34" s="79">
        <f>Table5101345411[[#This Row],[اهلاك المستبعد
في 2018]]+Table5101345411[[#This Row],[مجمع إهلاك المستبعد 
01-01-2018]]</f>
        <v>0</v>
      </c>
      <c r="AP234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34" s="220"/>
      <c r="AR234" s="78">
        <f>IF(OR(Table5101345411[[#This Row],[تاريخ الشراء-الاستلام]]="",Table5101345411[[#This Row],[الإجمالي]]="",Table5101345411[[#This Row],[العمر الافتراضي]]=""),"",IF(((T234+AM234)-Table5101345411[[#This Row],[مجمع إهلاك المستبعد 
بتاريخ الأستبعاد]])&lt;=0,0,((T234+AM234)-Table5101345411[[#This Row],[مجمع إهلاك المستبعد 
بتاريخ الأستبعاد]])))</f>
        <v>8397.284246575342</v>
      </c>
      <c r="AS234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الشراء-الاستلام]]&gt;DATE(2018,12,31),0,AI234-AR234)))</f>
        <v>27252.715753424658</v>
      </c>
    </row>
    <row r="235" spans="1:45" s="141" customFormat="1" ht="83.25" customHeight="1">
      <c r="A235" s="118">
        <f>IF(B235="","",SUBTOTAL(3,$B$6:B235))</f>
        <v>230</v>
      </c>
      <c r="B235" s="58" t="s">
        <v>277</v>
      </c>
      <c r="C235" s="59" t="s">
        <v>54</v>
      </c>
      <c r="D235" s="59" t="s">
        <v>522</v>
      </c>
      <c r="E235" s="59" t="s">
        <v>120</v>
      </c>
      <c r="F235" s="226" t="s">
        <v>120</v>
      </c>
      <c r="G235" s="226"/>
      <c r="H235" s="58" t="s">
        <v>57</v>
      </c>
      <c r="I235" s="58" t="s">
        <v>85</v>
      </c>
      <c r="J235" s="58" t="s">
        <v>64</v>
      </c>
      <c r="K235" s="58"/>
      <c r="L235" s="60"/>
      <c r="M235" s="77">
        <v>42843</v>
      </c>
      <c r="N235" s="77" t="s">
        <v>297</v>
      </c>
      <c r="O235" s="150" t="s">
        <v>298</v>
      </c>
      <c r="P235" s="122">
        <v>15</v>
      </c>
      <c r="Q235" s="123"/>
      <c r="R235" s="130">
        <v>1350</v>
      </c>
      <c r="S235" s="130">
        <f t="shared" si="5"/>
        <v>20250</v>
      </c>
      <c r="T235" s="130">
        <v>2138.7328767123286</v>
      </c>
      <c r="U235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الشراء-الاستلام]]&lt;DATE(2018,1,1),S235-T235,0))</f>
        <v>18111.267123287671</v>
      </c>
      <c r="V235" s="169"/>
      <c r="W235" s="116"/>
      <c r="X235" s="116"/>
      <c r="Y235" s="117">
        <f>Table5101345411[[#This Row],[عدد الإضافات]]*Table5101345411[[#This Row],[سعر الحبة المضافة]]</f>
        <v>0</v>
      </c>
      <c r="Z235" s="101"/>
      <c r="AA235" s="102"/>
      <c r="AB235" s="103"/>
      <c r="AC235" s="103"/>
      <c r="AD235" s="103"/>
      <c r="AE235" s="103"/>
      <c r="AF235" s="103">
        <f>Table5101345411[[#This Row],[العدد]]*Table5101345411[[#This Row],[قيمة الشراء]]</f>
        <v>0</v>
      </c>
      <c r="AG235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35" s="190">
        <f>Table5101345411[[#This Row],[الكمية]]+Table5101345411[[#This Row],[عدد الإضافات]]-Table5101345411[[#This Row],[العدد]]</f>
        <v>15</v>
      </c>
      <c r="AI235" s="78">
        <f>Table5101345411[[#This Row],[الإجمالي]]+Table5101345411[[#This Row],[إجمالي الإضافات]]-Table5101345411[[#This Row],[إجمالي المستبعد]]</f>
        <v>20250</v>
      </c>
      <c r="AJ235" s="62">
        <v>0.125</v>
      </c>
      <c r="AK235" s="219"/>
      <c r="AL235" s="58" t="s">
        <v>61</v>
      </c>
      <c r="AM235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2531.25</v>
      </c>
      <c r="AN235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35" s="79">
        <f>Table5101345411[[#This Row],[اهلاك المستبعد
في 2018]]+Table5101345411[[#This Row],[مجمع إهلاك المستبعد 
01-01-2018]]</f>
        <v>0</v>
      </c>
      <c r="AP235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35" s="220"/>
      <c r="AR235" s="78">
        <f>IF(OR(Table5101345411[[#This Row],[تاريخ الشراء-الاستلام]]="",Table5101345411[[#This Row],[الإجمالي]]="",Table5101345411[[#This Row],[العمر الافتراضي]]=""),"",IF(((T235+AM235)-Table5101345411[[#This Row],[مجمع إهلاك المستبعد 
بتاريخ الأستبعاد]])&lt;=0,0,((T235+AM235)-Table5101345411[[#This Row],[مجمع إهلاك المستبعد 
بتاريخ الأستبعاد]])))</f>
        <v>4669.982876712329</v>
      </c>
      <c r="AS235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الشراء-الاستلام]]&gt;DATE(2018,12,31),0,AI235-AR235)))</f>
        <v>15580.017123287671</v>
      </c>
    </row>
    <row r="236" spans="1:45" s="141" customFormat="1" ht="83.25" customHeight="1">
      <c r="A236" s="118">
        <f>IF(B236="","",SUBTOTAL(3,$B$6:B236))</f>
        <v>231</v>
      </c>
      <c r="B236" s="58" t="s">
        <v>299</v>
      </c>
      <c r="C236" s="59" t="s">
        <v>300</v>
      </c>
      <c r="D236" s="59" t="s">
        <v>522</v>
      </c>
      <c r="E236" s="59" t="s">
        <v>523</v>
      </c>
      <c r="F236" s="226" t="s">
        <v>523</v>
      </c>
      <c r="G236" s="226"/>
      <c r="H236" s="58" t="s">
        <v>96</v>
      </c>
      <c r="I236" s="58"/>
      <c r="J236" s="58" t="s">
        <v>64</v>
      </c>
      <c r="K236" s="58"/>
      <c r="L236" s="60"/>
      <c r="M236" s="77">
        <v>40951</v>
      </c>
      <c r="N236" s="77"/>
      <c r="O236" s="150"/>
      <c r="P236" s="122">
        <v>95</v>
      </c>
      <c r="Q236" s="123"/>
      <c r="R236" s="130">
        <v>650</v>
      </c>
      <c r="S236" s="130">
        <f t="shared" si="5"/>
        <v>61750</v>
      </c>
      <c r="T236" s="130">
        <v>61750</v>
      </c>
      <c r="U236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الشراء-الاستلام]]&lt;DATE(2018,1,1),S236-T236,0))</f>
        <v>0</v>
      </c>
      <c r="V236" s="169"/>
      <c r="W236" s="116"/>
      <c r="X236" s="116"/>
      <c r="Y236" s="117">
        <f>Table5101345411[[#This Row],[عدد الإضافات]]*Table5101345411[[#This Row],[سعر الحبة المضافة]]</f>
        <v>0</v>
      </c>
      <c r="Z236" s="101"/>
      <c r="AA236" s="102"/>
      <c r="AB236" s="103"/>
      <c r="AC236" s="103"/>
      <c r="AD236" s="103"/>
      <c r="AE236" s="103"/>
      <c r="AF236" s="103">
        <f>Table5101345411[[#This Row],[العدد]]*Table5101345411[[#This Row],[قيمة الشراء]]</f>
        <v>0</v>
      </c>
      <c r="AG236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36" s="190">
        <f>Table5101345411[[#This Row],[الكمية]]+Table5101345411[[#This Row],[عدد الإضافات]]-Table5101345411[[#This Row],[العدد]]</f>
        <v>95</v>
      </c>
      <c r="AI236" s="78">
        <f>Table5101345411[[#This Row],[الإجمالي]]+Table5101345411[[#This Row],[إجمالي الإضافات]]-Table5101345411[[#This Row],[إجمالي المستبعد]]</f>
        <v>61750</v>
      </c>
      <c r="AJ236" s="120">
        <v>0.15</v>
      </c>
      <c r="AK236" s="219"/>
      <c r="AL236" s="58" t="s">
        <v>61</v>
      </c>
      <c r="AM236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236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36" s="79">
        <f>Table5101345411[[#This Row],[اهلاك المستبعد
في 2018]]+Table5101345411[[#This Row],[مجمع إهلاك المستبعد 
01-01-2018]]</f>
        <v>0</v>
      </c>
      <c r="AP236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36" s="220"/>
      <c r="AR236" s="78">
        <f>IF(OR(Table5101345411[[#This Row],[تاريخ الشراء-الاستلام]]="",Table5101345411[[#This Row],[الإجمالي]]="",Table5101345411[[#This Row],[العمر الافتراضي]]=""),"",IF(((T236+AM236)-Table5101345411[[#This Row],[مجمع إهلاك المستبعد 
بتاريخ الأستبعاد]])&lt;=0,0,((T236+AM236)-Table5101345411[[#This Row],[مجمع إهلاك المستبعد 
بتاريخ الأستبعاد]])))</f>
        <v>61750</v>
      </c>
      <c r="AS236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الشراء-الاستلام]]&gt;DATE(2018,12,31),0,AI236-AR236)))</f>
        <v>0</v>
      </c>
    </row>
    <row r="237" spans="1:45" s="141" customFormat="1" ht="83.25" customHeight="1">
      <c r="A237" s="118">
        <f>IF(B237="","",SUBTOTAL(3,$B$6:B237))</f>
        <v>232</v>
      </c>
      <c r="B237" s="58" t="s">
        <v>301</v>
      </c>
      <c r="C237" s="59" t="s">
        <v>300</v>
      </c>
      <c r="D237" s="59" t="s">
        <v>522</v>
      </c>
      <c r="E237" s="59" t="s">
        <v>120</v>
      </c>
      <c r="F237" s="226" t="s">
        <v>120</v>
      </c>
      <c r="G237" s="226"/>
      <c r="H237" s="58" t="s">
        <v>96</v>
      </c>
      <c r="I237" s="58"/>
      <c r="J237" s="58" t="s">
        <v>64</v>
      </c>
      <c r="K237" s="58"/>
      <c r="L237" s="60"/>
      <c r="M237" s="77">
        <v>40951</v>
      </c>
      <c r="N237" s="77"/>
      <c r="O237" s="150"/>
      <c r="P237" s="122">
        <v>73</v>
      </c>
      <c r="Q237" s="123"/>
      <c r="R237" s="130">
        <v>1200</v>
      </c>
      <c r="S237" s="130">
        <f t="shared" si="5"/>
        <v>87600</v>
      </c>
      <c r="T237" s="130">
        <v>87600</v>
      </c>
      <c r="U237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الشراء-الاستلام]]&lt;DATE(2018,1,1),S237-T237,0))</f>
        <v>0</v>
      </c>
      <c r="V237" s="169"/>
      <c r="W237" s="116"/>
      <c r="X237" s="116"/>
      <c r="Y237" s="117">
        <f>Table5101345411[[#This Row],[عدد الإضافات]]*Table5101345411[[#This Row],[سعر الحبة المضافة]]</f>
        <v>0</v>
      </c>
      <c r="Z237" s="101"/>
      <c r="AA237" s="102"/>
      <c r="AB237" s="103"/>
      <c r="AC237" s="103"/>
      <c r="AD237" s="103"/>
      <c r="AE237" s="103"/>
      <c r="AF237" s="103">
        <f>Table5101345411[[#This Row],[العدد]]*Table5101345411[[#This Row],[قيمة الشراء]]</f>
        <v>0</v>
      </c>
      <c r="AG237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37" s="190">
        <f>Table5101345411[[#This Row],[الكمية]]+Table5101345411[[#This Row],[عدد الإضافات]]-Table5101345411[[#This Row],[العدد]]</f>
        <v>73</v>
      </c>
      <c r="AI237" s="78">
        <f>Table5101345411[[#This Row],[الإجمالي]]+Table5101345411[[#This Row],[إجمالي الإضافات]]-Table5101345411[[#This Row],[إجمالي المستبعد]]</f>
        <v>87600</v>
      </c>
      <c r="AJ237" s="120">
        <v>0.15</v>
      </c>
      <c r="AK237" s="219"/>
      <c r="AL237" s="58" t="s">
        <v>61</v>
      </c>
      <c r="AM237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237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37" s="79">
        <f>Table5101345411[[#This Row],[اهلاك المستبعد
في 2018]]+Table5101345411[[#This Row],[مجمع إهلاك المستبعد 
01-01-2018]]</f>
        <v>0</v>
      </c>
      <c r="AP237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37" s="220"/>
      <c r="AR237" s="78">
        <f>IF(OR(Table5101345411[[#This Row],[تاريخ الشراء-الاستلام]]="",Table5101345411[[#This Row],[الإجمالي]]="",Table5101345411[[#This Row],[العمر الافتراضي]]=""),"",IF(((T237+AM237)-Table5101345411[[#This Row],[مجمع إهلاك المستبعد 
بتاريخ الأستبعاد]])&lt;=0,0,((T237+AM237)-Table5101345411[[#This Row],[مجمع إهلاك المستبعد 
بتاريخ الأستبعاد]])))</f>
        <v>87600</v>
      </c>
      <c r="AS237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الشراء-الاستلام]]&gt;DATE(2018,12,31),0,AI237-AR237)))</f>
        <v>0</v>
      </c>
    </row>
    <row r="238" spans="1:45" s="141" customFormat="1" ht="83.25" customHeight="1">
      <c r="A238" s="118">
        <f>IF(B238="","",SUBTOTAL(3,$B$6:B238))</f>
        <v>233</v>
      </c>
      <c r="B238" s="58" t="s">
        <v>302</v>
      </c>
      <c r="C238" s="59" t="s">
        <v>300</v>
      </c>
      <c r="D238" s="59" t="s">
        <v>522</v>
      </c>
      <c r="E238" s="59" t="s">
        <v>236</v>
      </c>
      <c r="F238" s="226" t="s">
        <v>236</v>
      </c>
      <c r="G238" s="226"/>
      <c r="H238" s="58" t="s">
        <v>96</v>
      </c>
      <c r="I238" s="58"/>
      <c r="J238" s="58" t="s">
        <v>64</v>
      </c>
      <c r="K238" s="58"/>
      <c r="L238" s="60"/>
      <c r="M238" s="77">
        <v>40951</v>
      </c>
      <c r="N238" s="77"/>
      <c r="O238" s="150"/>
      <c r="P238" s="122">
        <v>4</v>
      </c>
      <c r="Q238" s="123"/>
      <c r="R238" s="130">
        <v>7500</v>
      </c>
      <c r="S238" s="130">
        <f t="shared" si="5"/>
        <v>30000</v>
      </c>
      <c r="T238" s="130">
        <v>30000</v>
      </c>
      <c r="U238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الشراء-الاستلام]]&lt;DATE(2018,1,1),S238-T238,0))</f>
        <v>0</v>
      </c>
      <c r="V238" s="169"/>
      <c r="W238" s="116"/>
      <c r="X238" s="116"/>
      <c r="Y238" s="117">
        <f>Table5101345411[[#This Row],[عدد الإضافات]]*Table5101345411[[#This Row],[سعر الحبة المضافة]]</f>
        <v>0</v>
      </c>
      <c r="Z238" s="101"/>
      <c r="AA238" s="102"/>
      <c r="AB238" s="103"/>
      <c r="AC238" s="103"/>
      <c r="AD238" s="103"/>
      <c r="AE238" s="103"/>
      <c r="AF238" s="103">
        <f>Table5101345411[[#This Row],[العدد]]*Table5101345411[[#This Row],[قيمة الشراء]]</f>
        <v>0</v>
      </c>
      <c r="AG238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38" s="190">
        <f>Table5101345411[[#This Row],[الكمية]]+Table5101345411[[#This Row],[عدد الإضافات]]-Table5101345411[[#This Row],[العدد]]</f>
        <v>4</v>
      </c>
      <c r="AI238" s="78">
        <f>Table5101345411[[#This Row],[الإجمالي]]+Table5101345411[[#This Row],[إجمالي الإضافات]]-Table5101345411[[#This Row],[إجمالي المستبعد]]</f>
        <v>30000</v>
      </c>
      <c r="AJ238" s="120">
        <v>0.15</v>
      </c>
      <c r="AK238" s="219"/>
      <c r="AL238" s="58" t="s">
        <v>61</v>
      </c>
      <c r="AM238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238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38" s="79">
        <f>Table5101345411[[#This Row],[اهلاك المستبعد
في 2018]]+Table5101345411[[#This Row],[مجمع إهلاك المستبعد 
01-01-2018]]</f>
        <v>0</v>
      </c>
      <c r="AP238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38" s="220"/>
      <c r="AR238" s="78">
        <f>IF(OR(Table5101345411[[#This Row],[تاريخ الشراء-الاستلام]]="",Table5101345411[[#This Row],[الإجمالي]]="",Table5101345411[[#This Row],[العمر الافتراضي]]=""),"",IF(((T238+AM238)-Table5101345411[[#This Row],[مجمع إهلاك المستبعد 
بتاريخ الأستبعاد]])&lt;=0,0,((T238+AM238)-Table5101345411[[#This Row],[مجمع إهلاك المستبعد 
بتاريخ الأستبعاد]])))</f>
        <v>30000</v>
      </c>
      <c r="AS238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الشراء-الاستلام]]&gt;DATE(2018,12,31),0,AI238-AR238)))</f>
        <v>0</v>
      </c>
    </row>
    <row r="239" spans="1:45" s="141" customFormat="1" ht="83.25" customHeight="1">
      <c r="A239" s="118">
        <f>IF(B239="","",SUBTOTAL(3,$B$6:B239))</f>
        <v>234</v>
      </c>
      <c r="B239" s="58" t="s">
        <v>302</v>
      </c>
      <c r="C239" s="59" t="s">
        <v>54</v>
      </c>
      <c r="D239" s="59" t="s">
        <v>522</v>
      </c>
      <c r="E239" s="59" t="s">
        <v>236</v>
      </c>
      <c r="F239" s="226" t="s">
        <v>236</v>
      </c>
      <c r="G239" s="226"/>
      <c r="H239" s="58" t="s">
        <v>96</v>
      </c>
      <c r="I239" s="58"/>
      <c r="J239" s="58" t="s">
        <v>64</v>
      </c>
      <c r="K239" s="58"/>
      <c r="L239" s="60"/>
      <c r="M239" s="77">
        <v>42836</v>
      </c>
      <c r="N239" s="77" t="s">
        <v>286</v>
      </c>
      <c r="O239" s="150" t="s">
        <v>296</v>
      </c>
      <c r="P239" s="122">
        <v>6</v>
      </c>
      <c r="Q239" s="123"/>
      <c r="R239" s="130">
        <v>7500</v>
      </c>
      <c r="S239" s="130">
        <f t="shared" si="5"/>
        <v>45000</v>
      </c>
      <c r="T239" s="130">
        <v>4882.1917808219177</v>
      </c>
      <c r="U239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الشراء-الاستلام]]&lt;DATE(2018,1,1),S239-T239,0))</f>
        <v>40117.808219178085</v>
      </c>
      <c r="V239" s="169"/>
      <c r="W239" s="116"/>
      <c r="X239" s="116"/>
      <c r="Y239" s="117">
        <f>Table5101345411[[#This Row],[عدد الإضافات]]*Table5101345411[[#This Row],[سعر الحبة المضافة]]</f>
        <v>0</v>
      </c>
      <c r="Z239" s="101"/>
      <c r="AA239" s="102"/>
      <c r="AB239" s="103"/>
      <c r="AC239" s="103"/>
      <c r="AD239" s="103"/>
      <c r="AE239" s="103"/>
      <c r="AF239" s="103">
        <f>Table5101345411[[#This Row],[العدد]]*Table5101345411[[#This Row],[قيمة الشراء]]</f>
        <v>0</v>
      </c>
      <c r="AG239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39" s="190">
        <f>Table5101345411[[#This Row],[الكمية]]+Table5101345411[[#This Row],[عدد الإضافات]]-Table5101345411[[#This Row],[العدد]]</f>
        <v>6</v>
      </c>
      <c r="AI239" s="78">
        <f>Table5101345411[[#This Row],[الإجمالي]]+Table5101345411[[#This Row],[إجمالي الإضافات]]-Table5101345411[[#This Row],[إجمالي المستبعد]]</f>
        <v>45000</v>
      </c>
      <c r="AJ239" s="62">
        <v>0.125</v>
      </c>
      <c r="AK239" s="219"/>
      <c r="AL239" s="58" t="s">
        <v>61</v>
      </c>
      <c r="AM239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5625</v>
      </c>
      <c r="AN239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39" s="79">
        <f>Table5101345411[[#This Row],[اهلاك المستبعد
في 2018]]+Table5101345411[[#This Row],[مجمع إهلاك المستبعد 
01-01-2018]]</f>
        <v>0</v>
      </c>
      <c r="AP239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39" s="220"/>
      <c r="AR239" s="78">
        <f>IF(OR(Table5101345411[[#This Row],[تاريخ الشراء-الاستلام]]="",Table5101345411[[#This Row],[الإجمالي]]="",Table5101345411[[#This Row],[العمر الافتراضي]]=""),"",IF(((T239+AM239)-Table5101345411[[#This Row],[مجمع إهلاك المستبعد 
بتاريخ الأستبعاد]])&lt;=0,0,((T239+AM239)-Table5101345411[[#This Row],[مجمع إهلاك المستبعد 
بتاريخ الأستبعاد]])))</f>
        <v>10507.191780821919</v>
      </c>
      <c r="AS239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الشراء-الاستلام]]&gt;DATE(2018,12,31),0,AI239-AR239)))</f>
        <v>34492.808219178085</v>
      </c>
    </row>
    <row r="240" spans="1:45" s="141" customFormat="1" ht="83.25" customHeight="1">
      <c r="A240" s="118">
        <f>IF(B240="","",SUBTOTAL(3,$B$6:B240))</f>
        <v>235</v>
      </c>
      <c r="B240" s="58" t="s">
        <v>303</v>
      </c>
      <c r="C240" s="59" t="s">
        <v>54</v>
      </c>
      <c r="D240" s="59" t="s">
        <v>522</v>
      </c>
      <c r="E240" s="59" t="s">
        <v>236</v>
      </c>
      <c r="F240" s="226" t="s">
        <v>236</v>
      </c>
      <c r="G240" s="226"/>
      <c r="H240" s="58" t="s">
        <v>57</v>
      </c>
      <c r="I240" s="58" t="s">
        <v>69</v>
      </c>
      <c r="J240" s="58" t="s">
        <v>64</v>
      </c>
      <c r="K240" s="58"/>
      <c r="L240" s="60"/>
      <c r="M240" s="77">
        <v>42802</v>
      </c>
      <c r="N240" s="77" t="s">
        <v>286</v>
      </c>
      <c r="O240" s="150" t="s">
        <v>296</v>
      </c>
      <c r="P240" s="122">
        <v>28</v>
      </c>
      <c r="Q240" s="123"/>
      <c r="R240" s="130">
        <v>100</v>
      </c>
      <c r="S240" s="130">
        <f t="shared" si="5"/>
        <v>2800</v>
      </c>
      <c r="T240" s="130">
        <v>342.90410958904107</v>
      </c>
      <c r="U240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الشراء-الاستلام]]&lt;DATE(2018,1,1),S240-T240,0))</f>
        <v>2457.0958904109589</v>
      </c>
      <c r="V240" s="169"/>
      <c r="W240" s="116"/>
      <c r="X240" s="116"/>
      <c r="Y240" s="117">
        <f>Table5101345411[[#This Row],[عدد الإضافات]]*Table5101345411[[#This Row],[سعر الحبة المضافة]]</f>
        <v>0</v>
      </c>
      <c r="Z240" s="101"/>
      <c r="AA240" s="102"/>
      <c r="AB240" s="103"/>
      <c r="AC240" s="103"/>
      <c r="AD240" s="103"/>
      <c r="AE240" s="103"/>
      <c r="AF240" s="103">
        <f>Table5101345411[[#This Row],[العدد]]*Table5101345411[[#This Row],[قيمة الشراء]]</f>
        <v>0</v>
      </c>
      <c r="AG240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40" s="190">
        <f>Table5101345411[[#This Row],[الكمية]]+Table5101345411[[#This Row],[عدد الإضافات]]-Table5101345411[[#This Row],[العدد]]</f>
        <v>28</v>
      </c>
      <c r="AI240" s="78">
        <f>Table5101345411[[#This Row],[الإجمالي]]+Table5101345411[[#This Row],[إجمالي الإضافات]]-Table5101345411[[#This Row],[إجمالي المستبعد]]</f>
        <v>2800</v>
      </c>
      <c r="AJ240" s="62">
        <v>0.125</v>
      </c>
      <c r="AK240" s="219"/>
      <c r="AL240" s="58" t="s">
        <v>61</v>
      </c>
      <c r="AM240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350</v>
      </c>
      <c r="AN240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40" s="79">
        <f>Table5101345411[[#This Row],[اهلاك المستبعد
في 2018]]+Table5101345411[[#This Row],[مجمع إهلاك المستبعد 
01-01-2018]]</f>
        <v>0</v>
      </c>
      <c r="AP240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40" s="220"/>
      <c r="AR240" s="78">
        <f>IF(OR(Table5101345411[[#This Row],[تاريخ الشراء-الاستلام]]="",Table5101345411[[#This Row],[الإجمالي]]="",Table5101345411[[#This Row],[العمر الافتراضي]]=""),"",IF(((T240+AM240)-Table5101345411[[#This Row],[مجمع إهلاك المستبعد 
بتاريخ الأستبعاد]])&lt;=0,0,((T240+AM240)-Table5101345411[[#This Row],[مجمع إهلاك المستبعد 
بتاريخ الأستبعاد]])))</f>
        <v>692.90410958904113</v>
      </c>
      <c r="AS240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الشراء-الاستلام]]&gt;DATE(2018,12,31),0,AI240-AR240)))</f>
        <v>2107.0958904109589</v>
      </c>
    </row>
    <row r="241" spans="1:45" s="141" customFormat="1" ht="83.25" customHeight="1">
      <c r="A241" s="118">
        <f>IF(B241="","",SUBTOTAL(3,$B$6:B241))</f>
        <v>236</v>
      </c>
      <c r="B241" s="58" t="s">
        <v>295</v>
      </c>
      <c r="C241" s="59" t="s">
        <v>54</v>
      </c>
      <c r="D241" s="59" t="s">
        <v>522</v>
      </c>
      <c r="E241" s="59" t="s">
        <v>120</v>
      </c>
      <c r="F241" s="226" t="s">
        <v>120</v>
      </c>
      <c r="G241" s="226"/>
      <c r="H241" s="58" t="s">
        <v>57</v>
      </c>
      <c r="I241" s="58" t="s">
        <v>85</v>
      </c>
      <c r="J241" s="58" t="s">
        <v>64</v>
      </c>
      <c r="K241" s="58"/>
      <c r="L241" s="60"/>
      <c r="M241" s="77">
        <v>42848</v>
      </c>
      <c r="N241" s="77" t="s">
        <v>286</v>
      </c>
      <c r="O241" s="150" t="s">
        <v>296</v>
      </c>
      <c r="P241" s="122">
        <v>14</v>
      </c>
      <c r="Q241" s="123"/>
      <c r="R241" s="130">
        <v>1200</v>
      </c>
      <c r="S241" s="130">
        <f t="shared" si="5"/>
        <v>16800</v>
      </c>
      <c r="T241" s="130">
        <v>1739.8356164383563</v>
      </c>
      <c r="U241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الشراء-الاستلام]]&lt;DATE(2018,1,1),S241-T241,0))</f>
        <v>15060.164383561643</v>
      </c>
      <c r="V241" s="169"/>
      <c r="W241" s="116"/>
      <c r="X241" s="116"/>
      <c r="Y241" s="117">
        <f>Table5101345411[[#This Row],[عدد الإضافات]]*Table5101345411[[#This Row],[سعر الحبة المضافة]]</f>
        <v>0</v>
      </c>
      <c r="Z241" s="101"/>
      <c r="AA241" s="102"/>
      <c r="AB241" s="103"/>
      <c r="AC241" s="103"/>
      <c r="AD241" s="103"/>
      <c r="AE241" s="103"/>
      <c r="AF241" s="103">
        <f>Table5101345411[[#This Row],[العدد]]*Table5101345411[[#This Row],[قيمة الشراء]]</f>
        <v>0</v>
      </c>
      <c r="AG241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41" s="190">
        <f>Table5101345411[[#This Row],[الكمية]]+Table5101345411[[#This Row],[عدد الإضافات]]-Table5101345411[[#This Row],[العدد]]</f>
        <v>14</v>
      </c>
      <c r="AI241" s="78">
        <f>Table5101345411[[#This Row],[الإجمالي]]+Table5101345411[[#This Row],[إجمالي الإضافات]]-Table5101345411[[#This Row],[إجمالي المستبعد]]</f>
        <v>16800</v>
      </c>
      <c r="AJ241" s="62">
        <v>0.125</v>
      </c>
      <c r="AK241" s="219"/>
      <c r="AL241" s="58" t="s">
        <v>61</v>
      </c>
      <c r="AM241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2100</v>
      </c>
      <c r="AN241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41" s="79">
        <f>Table5101345411[[#This Row],[اهلاك المستبعد
في 2018]]+Table5101345411[[#This Row],[مجمع إهلاك المستبعد 
01-01-2018]]</f>
        <v>0</v>
      </c>
      <c r="AP241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41" s="220"/>
      <c r="AR241" s="78">
        <f>IF(OR(Table5101345411[[#This Row],[تاريخ الشراء-الاستلام]]="",Table5101345411[[#This Row],[الإجمالي]]="",Table5101345411[[#This Row],[العمر الافتراضي]]=""),"",IF(((T241+AM241)-Table5101345411[[#This Row],[مجمع إهلاك المستبعد 
بتاريخ الأستبعاد]])&lt;=0,0,((T241+AM241)-Table5101345411[[#This Row],[مجمع إهلاك المستبعد 
بتاريخ الأستبعاد]])))</f>
        <v>3839.8356164383563</v>
      </c>
      <c r="AS241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الشراء-الاستلام]]&gt;DATE(2018,12,31),0,AI241-AR241)))</f>
        <v>12960.164383561643</v>
      </c>
    </row>
    <row r="242" spans="1:45" s="141" customFormat="1" ht="83.25" customHeight="1">
      <c r="A242" s="118">
        <f>IF(B242="","",SUBTOTAL(3,$B$6:B242))</f>
        <v>237</v>
      </c>
      <c r="B242" s="58" t="s">
        <v>283</v>
      </c>
      <c r="C242" s="59" t="s">
        <v>54</v>
      </c>
      <c r="D242" s="59" t="s">
        <v>522</v>
      </c>
      <c r="E242" s="59" t="s">
        <v>120</v>
      </c>
      <c r="F242" s="226" t="s">
        <v>120</v>
      </c>
      <c r="G242" s="226"/>
      <c r="H242" s="58" t="s">
        <v>57</v>
      </c>
      <c r="I242" s="58" t="s">
        <v>85</v>
      </c>
      <c r="J242" s="58" t="s">
        <v>64</v>
      </c>
      <c r="K242" s="58"/>
      <c r="L242" s="60"/>
      <c r="M242" s="77">
        <v>42866</v>
      </c>
      <c r="N242" s="77" t="s">
        <v>286</v>
      </c>
      <c r="O242" s="150" t="s">
        <v>304</v>
      </c>
      <c r="P242" s="122">
        <v>16</v>
      </c>
      <c r="Q242" s="123"/>
      <c r="R242" s="130">
        <v>1150</v>
      </c>
      <c r="S242" s="130">
        <f t="shared" si="5"/>
        <v>18400</v>
      </c>
      <c r="T242" s="130">
        <v>1769.4246575342465</v>
      </c>
      <c r="U242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الشراء-الاستلام]]&lt;DATE(2018,1,1),S242-T242,0))</f>
        <v>16630.575342465752</v>
      </c>
      <c r="V242" s="169"/>
      <c r="W242" s="116"/>
      <c r="X242" s="116"/>
      <c r="Y242" s="117">
        <f>Table5101345411[[#This Row],[عدد الإضافات]]*Table5101345411[[#This Row],[سعر الحبة المضافة]]</f>
        <v>0</v>
      </c>
      <c r="Z242" s="101"/>
      <c r="AA242" s="102"/>
      <c r="AB242" s="103"/>
      <c r="AC242" s="103"/>
      <c r="AD242" s="103"/>
      <c r="AE242" s="103"/>
      <c r="AF242" s="103">
        <f>Table5101345411[[#This Row],[العدد]]*Table5101345411[[#This Row],[قيمة الشراء]]</f>
        <v>0</v>
      </c>
      <c r="AG242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42" s="190">
        <f>Table5101345411[[#This Row],[الكمية]]+Table5101345411[[#This Row],[عدد الإضافات]]-Table5101345411[[#This Row],[العدد]]</f>
        <v>16</v>
      </c>
      <c r="AI242" s="78">
        <f>Table5101345411[[#This Row],[الإجمالي]]+Table5101345411[[#This Row],[إجمالي الإضافات]]-Table5101345411[[#This Row],[إجمالي المستبعد]]</f>
        <v>18400</v>
      </c>
      <c r="AJ242" s="62">
        <v>0.125</v>
      </c>
      <c r="AK242" s="219"/>
      <c r="AL242" s="58" t="s">
        <v>61</v>
      </c>
      <c r="AM242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2300</v>
      </c>
      <c r="AN242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42" s="79">
        <f>Table5101345411[[#This Row],[اهلاك المستبعد
في 2018]]+Table5101345411[[#This Row],[مجمع إهلاك المستبعد 
01-01-2018]]</f>
        <v>0</v>
      </c>
      <c r="AP242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42" s="220"/>
      <c r="AR242" s="78">
        <f>IF(OR(Table5101345411[[#This Row],[تاريخ الشراء-الاستلام]]="",Table5101345411[[#This Row],[الإجمالي]]="",Table5101345411[[#This Row],[العمر الافتراضي]]=""),"",IF(((T242+AM242)-Table5101345411[[#This Row],[مجمع إهلاك المستبعد 
بتاريخ الأستبعاد]])&lt;=0,0,((T242+AM242)-Table5101345411[[#This Row],[مجمع إهلاك المستبعد 
بتاريخ الأستبعاد]])))</f>
        <v>4069.4246575342468</v>
      </c>
      <c r="AS242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الشراء-الاستلام]]&gt;DATE(2018,12,31),0,AI242-AR242)))</f>
        <v>14330.575342465752</v>
      </c>
    </row>
    <row r="243" spans="1:45" s="141" customFormat="1" ht="83.25" customHeight="1">
      <c r="A243" s="118">
        <f>IF(B243="","",SUBTOTAL(3,$B$6:B243))</f>
        <v>238</v>
      </c>
      <c r="B243" s="58" t="s">
        <v>302</v>
      </c>
      <c r="C243" s="59" t="s">
        <v>54</v>
      </c>
      <c r="D243" s="59" t="s">
        <v>522</v>
      </c>
      <c r="E243" s="59" t="s">
        <v>236</v>
      </c>
      <c r="F243" s="226" t="s">
        <v>236</v>
      </c>
      <c r="G243" s="226"/>
      <c r="H243" s="58" t="s">
        <v>57</v>
      </c>
      <c r="I243" s="58" t="s">
        <v>69</v>
      </c>
      <c r="J243" s="58" t="s">
        <v>64</v>
      </c>
      <c r="K243" s="58"/>
      <c r="L243" s="60"/>
      <c r="M243" s="77">
        <v>42900</v>
      </c>
      <c r="N243" s="77" t="s">
        <v>305</v>
      </c>
      <c r="O243" s="150" t="s">
        <v>263</v>
      </c>
      <c r="P243" s="122">
        <v>8</v>
      </c>
      <c r="Q243" s="123"/>
      <c r="R243" s="130">
        <v>4500</v>
      </c>
      <c r="S243" s="130">
        <f t="shared" si="5"/>
        <v>36000</v>
      </c>
      <c r="T243" s="130">
        <v>2958.9041095890411</v>
      </c>
      <c r="U243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الشراء-الاستلام]]&lt;DATE(2018,1,1),S243-T243,0))</f>
        <v>33041.095890410958</v>
      </c>
      <c r="V243" s="169"/>
      <c r="W243" s="116"/>
      <c r="X243" s="116"/>
      <c r="Y243" s="117">
        <f>Table5101345411[[#This Row],[عدد الإضافات]]*Table5101345411[[#This Row],[سعر الحبة المضافة]]</f>
        <v>0</v>
      </c>
      <c r="Z243" s="101"/>
      <c r="AA243" s="102"/>
      <c r="AB243" s="103"/>
      <c r="AC243" s="103"/>
      <c r="AD243" s="103"/>
      <c r="AE243" s="103"/>
      <c r="AF243" s="103">
        <f>Table5101345411[[#This Row],[العدد]]*Table5101345411[[#This Row],[قيمة الشراء]]</f>
        <v>0</v>
      </c>
      <c r="AG243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43" s="190">
        <f>Table5101345411[[#This Row],[الكمية]]+Table5101345411[[#This Row],[عدد الإضافات]]-Table5101345411[[#This Row],[العدد]]</f>
        <v>8</v>
      </c>
      <c r="AI243" s="78">
        <f>Table5101345411[[#This Row],[الإجمالي]]+Table5101345411[[#This Row],[إجمالي الإضافات]]-Table5101345411[[#This Row],[إجمالي المستبعد]]</f>
        <v>36000</v>
      </c>
      <c r="AJ243" s="62">
        <v>0.125</v>
      </c>
      <c r="AK243" s="219"/>
      <c r="AL243" s="58" t="s">
        <v>61</v>
      </c>
      <c r="AM243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4500</v>
      </c>
      <c r="AN243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43" s="79">
        <f>Table5101345411[[#This Row],[اهلاك المستبعد
في 2018]]+Table5101345411[[#This Row],[مجمع إهلاك المستبعد 
01-01-2018]]</f>
        <v>0</v>
      </c>
      <c r="AP243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43" s="220"/>
      <c r="AR243" s="78">
        <f>IF(OR(Table5101345411[[#This Row],[تاريخ الشراء-الاستلام]]="",Table5101345411[[#This Row],[الإجمالي]]="",Table5101345411[[#This Row],[العمر الافتراضي]]=""),"",IF(((T243+AM243)-Table5101345411[[#This Row],[مجمع إهلاك المستبعد 
بتاريخ الأستبعاد]])&lt;=0,0,((T243+AM243)-Table5101345411[[#This Row],[مجمع إهلاك المستبعد 
بتاريخ الأستبعاد]])))</f>
        <v>7458.9041095890407</v>
      </c>
      <c r="AS243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الشراء-الاستلام]]&gt;DATE(2018,12,31),0,AI243-AR243)))</f>
        <v>28541.095890410958</v>
      </c>
    </row>
    <row r="244" spans="1:45" s="141" customFormat="1" ht="83.25" customHeight="1">
      <c r="A244" s="118">
        <f>IF(B244="","",SUBTOTAL(3,$B$6:B244))</f>
        <v>239</v>
      </c>
      <c r="B244" s="58" t="s">
        <v>283</v>
      </c>
      <c r="C244" s="59" t="s">
        <v>54</v>
      </c>
      <c r="D244" s="59" t="s">
        <v>522</v>
      </c>
      <c r="E244" s="59" t="s">
        <v>120</v>
      </c>
      <c r="F244" s="226" t="s">
        <v>120</v>
      </c>
      <c r="G244" s="226"/>
      <c r="H244" s="58" t="s">
        <v>57</v>
      </c>
      <c r="I244" s="58" t="s">
        <v>85</v>
      </c>
      <c r="J244" s="58" t="s">
        <v>64</v>
      </c>
      <c r="K244" s="58"/>
      <c r="L244" s="60"/>
      <c r="M244" s="77">
        <v>42886</v>
      </c>
      <c r="N244" s="77" t="s">
        <v>286</v>
      </c>
      <c r="O244" s="150" t="s">
        <v>304</v>
      </c>
      <c r="P244" s="122">
        <v>37</v>
      </c>
      <c r="Q244" s="123"/>
      <c r="R244" s="130">
        <v>1200</v>
      </c>
      <c r="S244" s="130">
        <f t="shared" si="5"/>
        <v>44400</v>
      </c>
      <c r="T244" s="130">
        <v>3904.7671232876714</v>
      </c>
      <c r="U244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الشراء-الاستلام]]&lt;DATE(2018,1,1),S244-T244,0))</f>
        <v>40495.232876712325</v>
      </c>
      <c r="V244" s="169"/>
      <c r="W244" s="116"/>
      <c r="X244" s="116"/>
      <c r="Y244" s="117">
        <f>Table5101345411[[#This Row],[عدد الإضافات]]*Table5101345411[[#This Row],[سعر الحبة المضافة]]</f>
        <v>0</v>
      </c>
      <c r="Z244" s="101"/>
      <c r="AA244" s="102"/>
      <c r="AB244" s="103"/>
      <c r="AC244" s="103"/>
      <c r="AD244" s="103"/>
      <c r="AE244" s="103"/>
      <c r="AF244" s="103">
        <f>Table5101345411[[#This Row],[العدد]]*Table5101345411[[#This Row],[قيمة الشراء]]</f>
        <v>0</v>
      </c>
      <c r="AG244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44" s="190">
        <f>Table5101345411[[#This Row],[الكمية]]+Table5101345411[[#This Row],[عدد الإضافات]]-Table5101345411[[#This Row],[العدد]]</f>
        <v>37</v>
      </c>
      <c r="AI244" s="78">
        <f>Table5101345411[[#This Row],[الإجمالي]]+Table5101345411[[#This Row],[إجمالي الإضافات]]-Table5101345411[[#This Row],[إجمالي المستبعد]]</f>
        <v>44400</v>
      </c>
      <c r="AJ244" s="62">
        <v>0.125</v>
      </c>
      <c r="AK244" s="219"/>
      <c r="AL244" s="58" t="s">
        <v>61</v>
      </c>
      <c r="AM244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5550</v>
      </c>
      <c r="AN244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44" s="79">
        <f>Table5101345411[[#This Row],[اهلاك المستبعد
في 2018]]+Table5101345411[[#This Row],[مجمع إهلاك المستبعد 
01-01-2018]]</f>
        <v>0</v>
      </c>
      <c r="AP244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44" s="220"/>
      <c r="AR244" s="78">
        <f>IF(OR(Table5101345411[[#This Row],[تاريخ الشراء-الاستلام]]="",Table5101345411[[#This Row],[الإجمالي]]="",Table5101345411[[#This Row],[العمر الافتراضي]]=""),"",IF(((T244+AM244)-Table5101345411[[#This Row],[مجمع إهلاك المستبعد 
بتاريخ الأستبعاد]])&lt;=0,0,((T244+AM244)-Table5101345411[[#This Row],[مجمع إهلاك المستبعد 
بتاريخ الأستبعاد]])))</f>
        <v>9454.767123287671</v>
      </c>
      <c r="AS244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الشراء-الاستلام]]&gt;DATE(2018,12,31),0,AI244-AR244)))</f>
        <v>34945.232876712325</v>
      </c>
    </row>
    <row r="245" spans="1:45" s="141" customFormat="1" ht="83.25" customHeight="1">
      <c r="A245" s="118">
        <f>IF(B245="","",SUBTOTAL(3,$B$6:B245))</f>
        <v>240</v>
      </c>
      <c r="B245" s="58" t="s">
        <v>306</v>
      </c>
      <c r="C245" s="59" t="s">
        <v>54</v>
      </c>
      <c r="D245" s="59" t="s">
        <v>522</v>
      </c>
      <c r="E245" s="59" t="s">
        <v>523</v>
      </c>
      <c r="F245" s="226" t="s">
        <v>523</v>
      </c>
      <c r="G245" s="226"/>
      <c r="H245" s="58" t="s">
        <v>111</v>
      </c>
      <c r="I245" s="58"/>
      <c r="J245" s="58" t="s">
        <v>64</v>
      </c>
      <c r="K245" s="58"/>
      <c r="L245" s="60"/>
      <c r="M245" s="77">
        <v>42903</v>
      </c>
      <c r="N245" s="77" t="s">
        <v>65</v>
      </c>
      <c r="O245" s="150" t="s">
        <v>267</v>
      </c>
      <c r="P245" s="122">
        <v>100</v>
      </c>
      <c r="Q245" s="123">
        <v>10337</v>
      </c>
      <c r="R245" s="130">
        <v>650</v>
      </c>
      <c r="S245" s="130">
        <f t="shared" si="5"/>
        <v>65000</v>
      </c>
      <c r="T245" s="130">
        <v>5262.3287671232874</v>
      </c>
      <c r="U245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الشراء-الاستلام]]&lt;DATE(2018,1,1),S245-T245,0))</f>
        <v>59737.67123287671</v>
      </c>
      <c r="V245" s="169"/>
      <c r="W245" s="116"/>
      <c r="X245" s="116"/>
      <c r="Y245" s="117">
        <f>Table5101345411[[#This Row],[عدد الإضافات]]*Table5101345411[[#This Row],[سعر الحبة المضافة]]</f>
        <v>0</v>
      </c>
      <c r="Z245" s="101"/>
      <c r="AA245" s="102"/>
      <c r="AB245" s="103"/>
      <c r="AC245" s="103"/>
      <c r="AD245" s="103"/>
      <c r="AE245" s="103"/>
      <c r="AF245" s="103">
        <f>Table5101345411[[#This Row],[العدد]]*Table5101345411[[#This Row],[قيمة الشراء]]</f>
        <v>0</v>
      </c>
      <c r="AG245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45" s="190">
        <f>Table5101345411[[#This Row],[الكمية]]+Table5101345411[[#This Row],[عدد الإضافات]]-Table5101345411[[#This Row],[العدد]]</f>
        <v>100</v>
      </c>
      <c r="AI245" s="78">
        <f>Table5101345411[[#This Row],[الإجمالي]]+Table5101345411[[#This Row],[إجمالي الإضافات]]-Table5101345411[[#This Row],[إجمالي المستبعد]]</f>
        <v>65000</v>
      </c>
      <c r="AJ245" s="62">
        <v>0.125</v>
      </c>
      <c r="AK245" s="219"/>
      <c r="AL245" s="58" t="s">
        <v>61</v>
      </c>
      <c r="AM245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8125</v>
      </c>
      <c r="AN245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45" s="79">
        <f>Table5101345411[[#This Row],[اهلاك المستبعد
في 2018]]+Table5101345411[[#This Row],[مجمع إهلاك المستبعد 
01-01-2018]]</f>
        <v>0</v>
      </c>
      <c r="AP245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45" s="220"/>
      <c r="AR245" s="78">
        <f>IF(OR(Table5101345411[[#This Row],[تاريخ الشراء-الاستلام]]="",Table5101345411[[#This Row],[الإجمالي]]="",Table5101345411[[#This Row],[العمر الافتراضي]]=""),"",IF(((T245+AM245)-Table5101345411[[#This Row],[مجمع إهلاك المستبعد 
بتاريخ الأستبعاد]])&lt;=0,0,((T245+AM245)-Table5101345411[[#This Row],[مجمع إهلاك المستبعد 
بتاريخ الأستبعاد]])))</f>
        <v>13387.328767123287</v>
      </c>
      <c r="AS245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الشراء-الاستلام]]&gt;DATE(2018,12,31),0,AI245-AR245)))</f>
        <v>51612.671232876717</v>
      </c>
    </row>
    <row r="246" spans="1:45" s="141" customFormat="1" ht="83.25" customHeight="1">
      <c r="A246" s="118">
        <f>IF(B246="","",SUBTOTAL(3,$B$6:B246))</f>
        <v>241</v>
      </c>
      <c r="B246" s="58" t="s">
        <v>302</v>
      </c>
      <c r="C246" s="59" t="s">
        <v>54</v>
      </c>
      <c r="D246" s="59" t="s">
        <v>522</v>
      </c>
      <c r="E246" s="59" t="s">
        <v>236</v>
      </c>
      <c r="F246" s="226" t="s">
        <v>236</v>
      </c>
      <c r="G246" s="226"/>
      <c r="H246" s="58" t="s">
        <v>57</v>
      </c>
      <c r="I246" s="58" t="s">
        <v>69</v>
      </c>
      <c r="J246" s="58" t="s">
        <v>64</v>
      </c>
      <c r="K246" s="58"/>
      <c r="L246" s="60"/>
      <c r="M246" s="77">
        <v>43024</v>
      </c>
      <c r="N246" s="77" t="s">
        <v>286</v>
      </c>
      <c r="O246" s="150" t="s">
        <v>307</v>
      </c>
      <c r="P246" s="122">
        <v>4</v>
      </c>
      <c r="Q246" s="123">
        <v>1942</v>
      </c>
      <c r="R246" s="130">
        <v>7500</v>
      </c>
      <c r="S246" s="130">
        <f t="shared" si="5"/>
        <v>30000</v>
      </c>
      <c r="T246" s="130">
        <v>936.98630136986299</v>
      </c>
      <c r="U246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الشراء-الاستلام]]&lt;DATE(2018,1,1),S246-T246,0))</f>
        <v>29063.013698630137</v>
      </c>
      <c r="V246" s="169"/>
      <c r="W246" s="116"/>
      <c r="X246" s="116"/>
      <c r="Y246" s="117">
        <f>Table5101345411[[#This Row],[عدد الإضافات]]*Table5101345411[[#This Row],[سعر الحبة المضافة]]</f>
        <v>0</v>
      </c>
      <c r="Z246" s="101"/>
      <c r="AA246" s="102"/>
      <c r="AB246" s="103"/>
      <c r="AC246" s="103"/>
      <c r="AD246" s="103"/>
      <c r="AE246" s="103"/>
      <c r="AF246" s="103">
        <f>Table5101345411[[#This Row],[العدد]]*Table5101345411[[#This Row],[قيمة الشراء]]</f>
        <v>0</v>
      </c>
      <c r="AG246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46" s="190">
        <f>Table5101345411[[#This Row],[الكمية]]+Table5101345411[[#This Row],[عدد الإضافات]]-Table5101345411[[#This Row],[العدد]]</f>
        <v>4</v>
      </c>
      <c r="AI246" s="78">
        <f>Table5101345411[[#This Row],[الإجمالي]]+Table5101345411[[#This Row],[إجمالي الإضافات]]-Table5101345411[[#This Row],[إجمالي المستبعد]]</f>
        <v>30000</v>
      </c>
      <c r="AJ246" s="62">
        <v>0.125</v>
      </c>
      <c r="AK246" s="219"/>
      <c r="AL246" s="58" t="s">
        <v>61</v>
      </c>
      <c r="AM246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3750</v>
      </c>
      <c r="AN246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46" s="79">
        <f>Table5101345411[[#This Row],[اهلاك المستبعد
في 2018]]+Table5101345411[[#This Row],[مجمع إهلاك المستبعد 
01-01-2018]]</f>
        <v>0</v>
      </c>
      <c r="AP246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46" s="220"/>
      <c r="AR246" s="78">
        <f>IF(OR(Table5101345411[[#This Row],[تاريخ الشراء-الاستلام]]="",Table5101345411[[#This Row],[الإجمالي]]="",Table5101345411[[#This Row],[العمر الافتراضي]]=""),"",IF(((T246+AM246)-Table5101345411[[#This Row],[مجمع إهلاك المستبعد 
بتاريخ الأستبعاد]])&lt;=0,0,((T246+AM246)-Table5101345411[[#This Row],[مجمع إهلاك المستبعد 
بتاريخ الأستبعاد]])))</f>
        <v>4686.9863013698632</v>
      </c>
      <c r="AS246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الشراء-الاستلام]]&gt;DATE(2018,12,31),0,AI246-AR246)))</f>
        <v>25313.013698630137</v>
      </c>
    </row>
    <row r="247" spans="1:45" s="141" customFormat="1" ht="83.25" customHeight="1">
      <c r="A247" s="118">
        <f>IF(B247="","",SUBTOTAL(3,$B$6:B247))</f>
        <v>242</v>
      </c>
      <c r="B247" s="58" t="s">
        <v>62</v>
      </c>
      <c r="C247" s="59" t="s">
        <v>54</v>
      </c>
      <c r="D247" s="59" t="s">
        <v>522</v>
      </c>
      <c r="E247" s="59" t="s">
        <v>523</v>
      </c>
      <c r="F247" s="226" t="s">
        <v>523</v>
      </c>
      <c r="G247" s="226"/>
      <c r="H247" s="58" t="s">
        <v>57</v>
      </c>
      <c r="I247" s="58" t="s">
        <v>85</v>
      </c>
      <c r="J247" s="58" t="s">
        <v>64</v>
      </c>
      <c r="K247" s="58"/>
      <c r="L247" s="60"/>
      <c r="M247" s="77">
        <v>42916</v>
      </c>
      <c r="N247" s="77"/>
      <c r="O247" s="150" t="s">
        <v>308</v>
      </c>
      <c r="P247" s="122">
        <v>12</v>
      </c>
      <c r="Q247" s="123"/>
      <c r="R247" s="130">
        <v>350</v>
      </c>
      <c r="S247" s="130">
        <f t="shared" si="5"/>
        <v>4200</v>
      </c>
      <c r="T247" s="130">
        <v>317.58904109589042</v>
      </c>
      <c r="U247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الشراء-الاستلام]]&lt;DATE(2018,1,1),S247-T247,0))</f>
        <v>3882.4109589041095</v>
      </c>
      <c r="V247" s="169"/>
      <c r="W247" s="116"/>
      <c r="X247" s="116"/>
      <c r="Y247" s="117">
        <f>Table5101345411[[#This Row],[عدد الإضافات]]*Table5101345411[[#This Row],[سعر الحبة المضافة]]</f>
        <v>0</v>
      </c>
      <c r="Z247" s="101"/>
      <c r="AA247" s="102"/>
      <c r="AB247" s="103"/>
      <c r="AC247" s="103"/>
      <c r="AD247" s="103"/>
      <c r="AE247" s="103"/>
      <c r="AF247" s="103">
        <f>Table5101345411[[#This Row],[العدد]]*Table5101345411[[#This Row],[قيمة الشراء]]</f>
        <v>0</v>
      </c>
      <c r="AG247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47" s="190">
        <f>Table5101345411[[#This Row],[الكمية]]+Table5101345411[[#This Row],[عدد الإضافات]]-Table5101345411[[#This Row],[العدد]]</f>
        <v>12</v>
      </c>
      <c r="AI247" s="78">
        <f>Table5101345411[[#This Row],[الإجمالي]]+Table5101345411[[#This Row],[إجمالي الإضافات]]-Table5101345411[[#This Row],[إجمالي المستبعد]]</f>
        <v>4200</v>
      </c>
      <c r="AJ247" s="62">
        <v>0.125</v>
      </c>
      <c r="AK247" s="219"/>
      <c r="AL247" s="58" t="s">
        <v>61</v>
      </c>
      <c r="AM247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525</v>
      </c>
      <c r="AN247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47" s="79">
        <f>Table5101345411[[#This Row],[اهلاك المستبعد
في 2018]]+Table5101345411[[#This Row],[مجمع إهلاك المستبعد 
01-01-2018]]</f>
        <v>0</v>
      </c>
      <c r="AP247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47" s="220"/>
      <c r="AR247" s="78">
        <f>IF(OR(Table5101345411[[#This Row],[تاريخ الشراء-الاستلام]]="",Table5101345411[[#This Row],[الإجمالي]]="",Table5101345411[[#This Row],[العمر الافتراضي]]=""),"",IF(((T247+AM247)-Table5101345411[[#This Row],[مجمع إهلاك المستبعد 
بتاريخ الأستبعاد]])&lt;=0,0,((T247+AM247)-Table5101345411[[#This Row],[مجمع إهلاك المستبعد 
بتاريخ الأستبعاد]])))</f>
        <v>842.58904109589048</v>
      </c>
      <c r="AS247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الشراء-الاستلام]]&gt;DATE(2018,12,31),0,AI247-AR247)))</f>
        <v>3357.4109589041095</v>
      </c>
    </row>
    <row r="248" spans="1:45" s="141" customFormat="1" ht="83.25" customHeight="1">
      <c r="A248" s="118">
        <f>IF(B248="","",SUBTOTAL(3,$B$6:B248))</f>
        <v>243</v>
      </c>
      <c r="B248" s="58" t="s">
        <v>283</v>
      </c>
      <c r="C248" s="59" t="s">
        <v>54</v>
      </c>
      <c r="D248" s="59" t="s">
        <v>522</v>
      </c>
      <c r="E248" s="59" t="s">
        <v>120</v>
      </c>
      <c r="F248" s="226" t="s">
        <v>120</v>
      </c>
      <c r="G248" s="226"/>
      <c r="H248" s="58" t="s">
        <v>57</v>
      </c>
      <c r="I248" s="58" t="s">
        <v>85</v>
      </c>
      <c r="J248" s="58" t="s">
        <v>64</v>
      </c>
      <c r="K248" s="58"/>
      <c r="L248" s="60"/>
      <c r="M248" s="77">
        <v>42903</v>
      </c>
      <c r="N248" s="77" t="s">
        <v>65</v>
      </c>
      <c r="O248" s="150" t="s">
        <v>267</v>
      </c>
      <c r="P248" s="122">
        <v>81</v>
      </c>
      <c r="Q248" s="123"/>
      <c r="R248" s="130">
        <v>1200</v>
      </c>
      <c r="S248" s="130">
        <f t="shared" si="5"/>
        <v>97200</v>
      </c>
      <c r="T248" s="130">
        <v>7869.2054794520554</v>
      </c>
      <c r="U248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الشراء-الاستلام]]&lt;DATE(2018,1,1),S248-T248,0))</f>
        <v>89330.794520547948</v>
      </c>
      <c r="V248" s="169"/>
      <c r="W248" s="116"/>
      <c r="X248" s="116"/>
      <c r="Y248" s="117">
        <f>Table5101345411[[#This Row],[عدد الإضافات]]*Table5101345411[[#This Row],[سعر الحبة المضافة]]</f>
        <v>0</v>
      </c>
      <c r="Z248" s="101"/>
      <c r="AA248" s="102"/>
      <c r="AB248" s="103"/>
      <c r="AC248" s="103"/>
      <c r="AD248" s="103"/>
      <c r="AE248" s="103"/>
      <c r="AF248" s="103">
        <f>Table5101345411[[#This Row],[العدد]]*Table5101345411[[#This Row],[قيمة الشراء]]</f>
        <v>0</v>
      </c>
      <c r="AG248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48" s="190">
        <f>Table5101345411[[#This Row],[الكمية]]+Table5101345411[[#This Row],[عدد الإضافات]]-Table5101345411[[#This Row],[العدد]]</f>
        <v>81</v>
      </c>
      <c r="AI248" s="78">
        <f>Table5101345411[[#This Row],[الإجمالي]]+Table5101345411[[#This Row],[إجمالي الإضافات]]-Table5101345411[[#This Row],[إجمالي المستبعد]]</f>
        <v>97200</v>
      </c>
      <c r="AJ248" s="62">
        <v>0.125</v>
      </c>
      <c r="AK248" s="219"/>
      <c r="AL248" s="58" t="s">
        <v>61</v>
      </c>
      <c r="AM248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12150</v>
      </c>
      <c r="AN248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48" s="79">
        <f>Table5101345411[[#This Row],[اهلاك المستبعد
في 2018]]+Table5101345411[[#This Row],[مجمع إهلاك المستبعد 
01-01-2018]]</f>
        <v>0</v>
      </c>
      <c r="AP248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48" s="220"/>
      <c r="AR248" s="78">
        <f>IF(OR(Table5101345411[[#This Row],[تاريخ الشراء-الاستلام]]="",Table5101345411[[#This Row],[الإجمالي]]="",Table5101345411[[#This Row],[العمر الافتراضي]]=""),"",IF(((T248+AM248)-Table5101345411[[#This Row],[مجمع إهلاك المستبعد 
بتاريخ الأستبعاد]])&lt;=0,0,((T248+AM248)-Table5101345411[[#This Row],[مجمع إهلاك المستبعد 
بتاريخ الأستبعاد]])))</f>
        <v>20019.205479452055</v>
      </c>
      <c r="AS248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الشراء-الاستلام]]&gt;DATE(2018,12,31),0,AI248-AR248)))</f>
        <v>77180.794520547948</v>
      </c>
    </row>
    <row r="249" spans="1:45" s="141" customFormat="1" ht="83.25" customHeight="1">
      <c r="A249" s="118">
        <f>IF(B249="","",SUBTOTAL(3,$B$6:B249))</f>
        <v>244</v>
      </c>
      <c r="B249" s="58" t="s">
        <v>62</v>
      </c>
      <c r="C249" s="59" t="s">
        <v>54</v>
      </c>
      <c r="D249" s="59" t="s">
        <v>522</v>
      </c>
      <c r="E249" s="59" t="s">
        <v>523</v>
      </c>
      <c r="F249" s="226" t="s">
        <v>523</v>
      </c>
      <c r="G249" s="226"/>
      <c r="H249" s="58" t="s">
        <v>57</v>
      </c>
      <c r="I249" s="58" t="s">
        <v>85</v>
      </c>
      <c r="J249" s="58" t="s">
        <v>64</v>
      </c>
      <c r="K249" s="58"/>
      <c r="L249" s="60"/>
      <c r="M249" s="77">
        <v>43030</v>
      </c>
      <c r="N249" s="77" t="s">
        <v>309</v>
      </c>
      <c r="O249" s="150" t="s">
        <v>310</v>
      </c>
      <c r="P249" s="122">
        <v>40</v>
      </c>
      <c r="Q249" s="123">
        <v>27363</v>
      </c>
      <c r="R249" s="130">
        <v>750</v>
      </c>
      <c r="S249" s="130">
        <f t="shared" si="5"/>
        <v>30000</v>
      </c>
      <c r="T249" s="130">
        <v>863.0136986301369</v>
      </c>
      <c r="U249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الشراء-الاستلام]]&lt;DATE(2018,1,1),S249-T249,0))</f>
        <v>29136.986301369863</v>
      </c>
      <c r="V249" s="169"/>
      <c r="W249" s="116"/>
      <c r="X249" s="116"/>
      <c r="Y249" s="117">
        <f>Table5101345411[[#This Row],[عدد الإضافات]]*Table5101345411[[#This Row],[سعر الحبة المضافة]]</f>
        <v>0</v>
      </c>
      <c r="Z249" s="101"/>
      <c r="AA249" s="102"/>
      <c r="AB249" s="103"/>
      <c r="AC249" s="103"/>
      <c r="AD249" s="103"/>
      <c r="AE249" s="103"/>
      <c r="AF249" s="103">
        <f>Table5101345411[[#This Row],[العدد]]*Table5101345411[[#This Row],[قيمة الشراء]]</f>
        <v>0</v>
      </c>
      <c r="AG249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49" s="190">
        <f>Table5101345411[[#This Row],[الكمية]]+Table5101345411[[#This Row],[عدد الإضافات]]-Table5101345411[[#This Row],[العدد]]</f>
        <v>40</v>
      </c>
      <c r="AI249" s="78">
        <f>Table5101345411[[#This Row],[الإجمالي]]+Table5101345411[[#This Row],[إجمالي الإضافات]]-Table5101345411[[#This Row],[إجمالي المستبعد]]</f>
        <v>30000</v>
      </c>
      <c r="AJ249" s="62">
        <v>0.125</v>
      </c>
      <c r="AK249" s="219"/>
      <c r="AL249" s="58" t="s">
        <v>61</v>
      </c>
      <c r="AM249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3750</v>
      </c>
      <c r="AN249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49" s="79">
        <f>Table5101345411[[#This Row],[اهلاك المستبعد
في 2018]]+Table5101345411[[#This Row],[مجمع إهلاك المستبعد 
01-01-2018]]</f>
        <v>0</v>
      </c>
      <c r="AP249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49" s="220"/>
      <c r="AR249" s="78">
        <f>IF(OR(Table5101345411[[#This Row],[تاريخ الشراء-الاستلام]]="",Table5101345411[[#This Row],[الإجمالي]]="",Table5101345411[[#This Row],[العمر الافتراضي]]=""),"",IF(((T249+AM249)-Table5101345411[[#This Row],[مجمع إهلاك المستبعد 
بتاريخ الأستبعاد]])&lt;=0,0,((T249+AM249)-Table5101345411[[#This Row],[مجمع إهلاك المستبعد 
بتاريخ الأستبعاد]])))</f>
        <v>4613.0136986301368</v>
      </c>
      <c r="AS249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الشراء-الاستلام]]&gt;DATE(2018,12,31),0,AI249-AR249)))</f>
        <v>25386.986301369863</v>
      </c>
    </row>
    <row r="250" spans="1:45" s="141" customFormat="1" ht="83.25" customHeight="1">
      <c r="A250" s="118">
        <f>IF(B250="","",SUBTOTAL(3,$B$6:B250))</f>
        <v>245</v>
      </c>
      <c r="B250" s="58" t="s">
        <v>283</v>
      </c>
      <c r="C250" s="59" t="s">
        <v>54</v>
      </c>
      <c r="D250" s="59" t="s">
        <v>522</v>
      </c>
      <c r="E250" s="59" t="s">
        <v>120</v>
      </c>
      <c r="F250" s="226" t="s">
        <v>120</v>
      </c>
      <c r="G250" s="226"/>
      <c r="H250" s="58" t="s">
        <v>57</v>
      </c>
      <c r="I250" s="58" t="s">
        <v>85</v>
      </c>
      <c r="J250" s="58" t="s">
        <v>64</v>
      </c>
      <c r="K250" s="58"/>
      <c r="L250" s="60"/>
      <c r="M250" s="77">
        <v>42916</v>
      </c>
      <c r="N250" s="77" t="s">
        <v>278</v>
      </c>
      <c r="O250" s="150" t="s">
        <v>279</v>
      </c>
      <c r="P250" s="122">
        <v>150</v>
      </c>
      <c r="Q250" s="123"/>
      <c r="R250" s="130">
        <v>1200</v>
      </c>
      <c r="S250" s="130">
        <f t="shared" si="5"/>
        <v>180000</v>
      </c>
      <c r="T250" s="130">
        <v>13610.95890410959</v>
      </c>
      <c r="U250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الشراء-الاستلام]]&lt;DATE(2018,1,1),S250-T250,0))</f>
        <v>166389.0410958904</v>
      </c>
      <c r="V250" s="169"/>
      <c r="W250" s="116"/>
      <c r="X250" s="116"/>
      <c r="Y250" s="117">
        <f>Table5101345411[[#This Row],[عدد الإضافات]]*Table5101345411[[#This Row],[سعر الحبة المضافة]]</f>
        <v>0</v>
      </c>
      <c r="Z250" s="101"/>
      <c r="AA250" s="102"/>
      <c r="AB250" s="103"/>
      <c r="AC250" s="103"/>
      <c r="AD250" s="103"/>
      <c r="AE250" s="103"/>
      <c r="AF250" s="103">
        <f>Table5101345411[[#This Row],[العدد]]*Table5101345411[[#This Row],[قيمة الشراء]]</f>
        <v>0</v>
      </c>
      <c r="AG250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50" s="190">
        <f>Table5101345411[[#This Row],[الكمية]]+Table5101345411[[#This Row],[عدد الإضافات]]-Table5101345411[[#This Row],[العدد]]</f>
        <v>150</v>
      </c>
      <c r="AI250" s="78">
        <f>Table5101345411[[#This Row],[الإجمالي]]+Table5101345411[[#This Row],[إجمالي الإضافات]]-Table5101345411[[#This Row],[إجمالي المستبعد]]</f>
        <v>180000</v>
      </c>
      <c r="AJ250" s="62">
        <v>0.125</v>
      </c>
      <c r="AK250" s="219"/>
      <c r="AL250" s="58" t="s">
        <v>61</v>
      </c>
      <c r="AM250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22500</v>
      </c>
      <c r="AN250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50" s="79">
        <f>Table5101345411[[#This Row],[اهلاك المستبعد
في 2018]]+Table5101345411[[#This Row],[مجمع إهلاك المستبعد 
01-01-2018]]</f>
        <v>0</v>
      </c>
      <c r="AP250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50" s="220"/>
      <c r="AR250" s="78">
        <f>IF(OR(Table5101345411[[#This Row],[تاريخ الشراء-الاستلام]]="",Table5101345411[[#This Row],[الإجمالي]]="",Table5101345411[[#This Row],[العمر الافتراضي]]=""),"",IF(((T250+AM250)-Table5101345411[[#This Row],[مجمع إهلاك المستبعد 
بتاريخ الأستبعاد]])&lt;=0,0,((T250+AM250)-Table5101345411[[#This Row],[مجمع إهلاك المستبعد 
بتاريخ الأستبعاد]])))</f>
        <v>36110.95890410959</v>
      </c>
      <c r="AS250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الشراء-الاستلام]]&gt;DATE(2018,12,31),0,AI250-AR250)))</f>
        <v>143889.0410958904</v>
      </c>
    </row>
    <row r="251" spans="1:45" s="141" customFormat="1" ht="83.25" customHeight="1">
      <c r="A251" s="118">
        <f>IF(B251="","",SUBTOTAL(3,$B$6:B251))</f>
        <v>246</v>
      </c>
      <c r="B251" s="58" t="s">
        <v>62</v>
      </c>
      <c r="C251" s="59" t="s">
        <v>54</v>
      </c>
      <c r="D251" s="59" t="s">
        <v>522</v>
      </c>
      <c r="E251" s="59" t="s">
        <v>523</v>
      </c>
      <c r="F251" s="226" t="s">
        <v>523</v>
      </c>
      <c r="G251" s="226"/>
      <c r="H251" s="58" t="s">
        <v>57</v>
      </c>
      <c r="I251" s="58" t="s">
        <v>85</v>
      </c>
      <c r="J251" s="58" t="s">
        <v>64</v>
      </c>
      <c r="K251" s="58"/>
      <c r="L251" s="60"/>
      <c r="M251" s="77">
        <v>43040</v>
      </c>
      <c r="N251" s="77" t="s">
        <v>309</v>
      </c>
      <c r="O251" s="150" t="s">
        <v>310</v>
      </c>
      <c r="P251" s="122">
        <v>20</v>
      </c>
      <c r="Q251" s="123">
        <v>27184</v>
      </c>
      <c r="R251" s="130">
        <v>750</v>
      </c>
      <c r="S251" s="130">
        <f t="shared" si="5"/>
        <v>15000</v>
      </c>
      <c r="T251" s="130">
        <v>369.86301369863014</v>
      </c>
      <c r="U251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الشراء-الاستلام]]&lt;DATE(2018,1,1),S251-T251,0))</f>
        <v>14630.13698630137</v>
      </c>
      <c r="V251" s="169"/>
      <c r="W251" s="116"/>
      <c r="X251" s="116"/>
      <c r="Y251" s="117">
        <f>Table5101345411[[#This Row],[عدد الإضافات]]*Table5101345411[[#This Row],[سعر الحبة المضافة]]</f>
        <v>0</v>
      </c>
      <c r="Z251" s="101"/>
      <c r="AA251" s="102"/>
      <c r="AB251" s="103"/>
      <c r="AC251" s="103"/>
      <c r="AD251" s="103"/>
      <c r="AE251" s="103"/>
      <c r="AF251" s="103">
        <f>Table5101345411[[#This Row],[العدد]]*Table5101345411[[#This Row],[قيمة الشراء]]</f>
        <v>0</v>
      </c>
      <c r="AG251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51" s="190">
        <f>Table5101345411[[#This Row],[الكمية]]+Table5101345411[[#This Row],[عدد الإضافات]]-Table5101345411[[#This Row],[العدد]]</f>
        <v>20</v>
      </c>
      <c r="AI251" s="78">
        <f>Table5101345411[[#This Row],[الإجمالي]]+Table5101345411[[#This Row],[إجمالي الإضافات]]-Table5101345411[[#This Row],[إجمالي المستبعد]]</f>
        <v>15000</v>
      </c>
      <c r="AJ251" s="62">
        <v>0.125</v>
      </c>
      <c r="AK251" s="219"/>
      <c r="AL251" s="58" t="s">
        <v>61</v>
      </c>
      <c r="AM251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1875</v>
      </c>
      <c r="AN251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51" s="79">
        <f>Table5101345411[[#This Row],[اهلاك المستبعد
في 2018]]+Table5101345411[[#This Row],[مجمع إهلاك المستبعد 
01-01-2018]]</f>
        <v>0</v>
      </c>
      <c r="AP251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51" s="220"/>
      <c r="AR251" s="78">
        <f>IF(OR(Table5101345411[[#This Row],[تاريخ الشراء-الاستلام]]="",Table5101345411[[#This Row],[الإجمالي]]="",Table5101345411[[#This Row],[العمر الافتراضي]]=""),"",IF(((T251+AM251)-Table5101345411[[#This Row],[مجمع إهلاك المستبعد 
بتاريخ الأستبعاد]])&lt;=0,0,((T251+AM251)-Table5101345411[[#This Row],[مجمع إهلاك المستبعد 
بتاريخ الأستبعاد]])))</f>
        <v>2244.8630136986303</v>
      </c>
      <c r="AS251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الشراء-الاستلام]]&gt;DATE(2018,12,31),0,AI251-AR251)))</f>
        <v>12755.13698630137</v>
      </c>
    </row>
    <row r="252" spans="1:45" s="141" customFormat="1" ht="83.25" customHeight="1">
      <c r="A252" s="118">
        <f>IF(B252="","",SUBTOTAL(3,$B$6:B252))</f>
        <v>247</v>
      </c>
      <c r="B252" s="58" t="s">
        <v>283</v>
      </c>
      <c r="C252" s="59" t="s">
        <v>54</v>
      </c>
      <c r="D252" s="59" t="s">
        <v>522</v>
      </c>
      <c r="E252" s="59" t="s">
        <v>120</v>
      </c>
      <c r="F252" s="226" t="s">
        <v>120</v>
      </c>
      <c r="G252" s="226"/>
      <c r="H252" s="58" t="s">
        <v>57</v>
      </c>
      <c r="I252" s="58" t="s">
        <v>85</v>
      </c>
      <c r="J252" s="58" t="s">
        <v>64</v>
      </c>
      <c r="K252" s="58"/>
      <c r="L252" s="60"/>
      <c r="M252" s="77">
        <v>42960</v>
      </c>
      <c r="N252" s="77" t="s">
        <v>278</v>
      </c>
      <c r="O252" s="150" t="s">
        <v>279</v>
      </c>
      <c r="P252" s="122">
        <v>50</v>
      </c>
      <c r="Q252" s="123"/>
      <c r="R252" s="130">
        <v>1200</v>
      </c>
      <c r="S252" s="130">
        <f t="shared" si="5"/>
        <v>60000</v>
      </c>
      <c r="T252" s="130">
        <v>3452.0547945205476</v>
      </c>
      <c r="U252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الشراء-الاستلام]]&lt;DATE(2018,1,1),S252-T252,0))</f>
        <v>56547.945205479453</v>
      </c>
      <c r="V252" s="169"/>
      <c r="W252" s="116"/>
      <c r="X252" s="116"/>
      <c r="Y252" s="117">
        <f>Table5101345411[[#This Row],[عدد الإضافات]]*Table5101345411[[#This Row],[سعر الحبة المضافة]]</f>
        <v>0</v>
      </c>
      <c r="Z252" s="101"/>
      <c r="AA252" s="102"/>
      <c r="AB252" s="103"/>
      <c r="AC252" s="103"/>
      <c r="AD252" s="103"/>
      <c r="AE252" s="103"/>
      <c r="AF252" s="103">
        <f>Table5101345411[[#This Row],[العدد]]*Table5101345411[[#This Row],[قيمة الشراء]]</f>
        <v>0</v>
      </c>
      <c r="AG252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52" s="190">
        <f>Table5101345411[[#This Row],[الكمية]]+Table5101345411[[#This Row],[عدد الإضافات]]-Table5101345411[[#This Row],[العدد]]</f>
        <v>50</v>
      </c>
      <c r="AI252" s="78">
        <f>Table5101345411[[#This Row],[الإجمالي]]+Table5101345411[[#This Row],[إجمالي الإضافات]]-Table5101345411[[#This Row],[إجمالي المستبعد]]</f>
        <v>60000</v>
      </c>
      <c r="AJ252" s="62">
        <v>0.125</v>
      </c>
      <c r="AK252" s="219"/>
      <c r="AL252" s="58" t="s">
        <v>61</v>
      </c>
      <c r="AM252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7500</v>
      </c>
      <c r="AN252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52" s="79">
        <f>Table5101345411[[#This Row],[اهلاك المستبعد
في 2018]]+Table5101345411[[#This Row],[مجمع إهلاك المستبعد 
01-01-2018]]</f>
        <v>0</v>
      </c>
      <c r="AP252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52" s="220"/>
      <c r="AR252" s="78">
        <f>IF(OR(Table5101345411[[#This Row],[تاريخ الشراء-الاستلام]]="",Table5101345411[[#This Row],[الإجمالي]]="",Table5101345411[[#This Row],[العمر الافتراضي]]=""),"",IF(((T252+AM252)-Table5101345411[[#This Row],[مجمع إهلاك المستبعد 
بتاريخ الأستبعاد]])&lt;=0,0,((T252+AM252)-Table5101345411[[#This Row],[مجمع إهلاك المستبعد 
بتاريخ الأستبعاد]])))</f>
        <v>10952.054794520547</v>
      </c>
      <c r="AS252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الشراء-الاستلام]]&gt;DATE(2018,12,31),0,AI252-AR252)))</f>
        <v>49047.945205479453</v>
      </c>
    </row>
    <row r="253" spans="1:45" s="141" customFormat="1" ht="83.25" customHeight="1">
      <c r="A253" s="118">
        <f>IF(B253="","",SUBTOTAL(3,$B$6:B253))</f>
        <v>248</v>
      </c>
      <c r="B253" s="58" t="s">
        <v>283</v>
      </c>
      <c r="C253" s="59" t="s">
        <v>54</v>
      </c>
      <c r="D253" s="59" t="s">
        <v>522</v>
      </c>
      <c r="E253" s="59" t="s">
        <v>120</v>
      </c>
      <c r="F253" s="226" t="s">
        <v>120</v>
      </c>
      <c r="G253" s="226"/>
      <c r="H253" s="58" t="s">
        <v>57</v>
      </c>
      <c r="I253" s="58" t="s">
        <v>85</v>
      </c>
      <c r="J253" s="58" t="s">
        <v>64</v>
      </c>
      <c r="K253" s="58"/>
      <c r="L253" s="60"/>
      <c r="M253" s="77">
        <v>43030</v>
      </c>
      <c r="N253" s="77" t="s">
        <v>309</v>
      </c>
      <c r="O253" s="150" t="s">
        <v>310</v>
      </c>
      <c r="P253" s="122">
        <v>40</v>
      </c>
      <c r="Q253" s="123"/>
      <c r="R253" s="130">
        <v>1400</v>
      </c>
      <c r="S253" s="130">
        <f t="shared" si="5"/>
        <v>56000</v>
      </c>
      <c r="T253" s="130">
        <v>1610.958904109589</v>
      </c>
      <c r="U253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الشراء-الاستلام]]&lt;DATE(2018,1,1),S253-T253,0))</f>
        <v>54389.04109589041</v>
      </c>
      <c r="V253" s="169"/>
      <c r="W253" s="116"/>
      <c r="X253" s="116"/>
      <c r="Y253" s="117">
        <f>Table5101345411[[#This Row],[عدد الإضافات]]*Table5101345411[[#This Row],[سعر الحبة المضافة]]</f>
        <v>0</v>
      </c>
      <c r="Z253" s="101"/>
      <c r="AA253" s="102"/>
      <c r="AB253" s="103"/>
      <c r="AC253" s="103"/>
      <c r="AD253" s="103"/>
      <c r="AE253" s="103"/>
      <c r="AF253" s="103">
        <f>Table5101345411[[#This Row],[العدد]]*Table5101345411[[#This Row],[قيمة الشراء]]</f>
        <v>0</v>
      </c>
      <c r="AG253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53" s="190">
        <f>Table5101345411[[#This Row],[الكمية]]+Table5101345411[[#This Row],[عدد الإضافات]]-Table5101345411[[#This Row],[العدد]]</f>
        <v>40</v>
      </c>
      <c r="AI253" s="78">
        <f>Table5101345411[[#This Row],[الإجمالي]]+Table5101345411[[#This Row],[إجمالي الإضافات]]-Table5101345411[[#This Row],[إجمالي المستبعد]]</f>
        <v>56000</v>
      </c>
      <c r="AJ253" s="62">
        <v>0.125</v>
      </c>
      <c r="AK253" s="219"/>
      <c r="AL253" s="58" t="s">
        <v>61</v>
      </c>
      <c r="AM253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7000</v>
      </c>
      <c r="AN253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53" s="79">
        <f>Table5101345411[[#This Row],[اهلاك المستبعد
في 2018]]+Table5101345411[[#This Row],[مجمع إهلاك المستبعد 
01-01-2018]]</f>
        <v>0</v>
      </c>
      <c r="AP253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53" s="220"/>
      <c r="AR253" s="78">
        <f>IF(OR(Table5101345411[[#This Row],[تاريخ الشراء-الاستلام]]="",Table5101345411[[#This Row],[الإجمالي]]="",Table5101345411[[#This Row],[العمر الافتراضي]]=""),"",IF(((T253+AM253)-Table5101345411[[#This Row],[مجمع إهلاك المستبعد 
بتاريخ الأستبعاد]])&lt;=0,0,((T253+AM253)-Table5101345411[[#This Row],[مجمع إهلاك المستبعد 
بتاريخ الأستبعاد]])))</f>
        <v>8610.9589041095896</v>
      </c>
      <c r="AS253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الشراء-الاستلام]]&gt;DATE(2018,12,31),0,AI253-AR253)))</f>
        <v>47389.04109589041</v>
      </c>
    </row>
    <row r="254" spans="1:45" s="141" customFormat="1" ht="83.25" customHeight="1">
      <c r="A254" s="118">
        <f>IF(B254="","",SUBTOTAL(3,$B$6:B254))</f>
        <v>249</v>
      </c>
      <c r="B254" s="58" t="s">
        <v>283</v>
      </c>
      <c r="C254" s="59" t="s">
        <v>54</v>
      </c>
      <c r="D254" s="59" t="s">
        <v>522</v>
      </c>
      <c r="E254" s="59" t="s">
        <v>120</v>
      </c>
      <c r="F254" s="226" t="s">
        <v>120</v>
      </c>
      <c r="G254" s="226"/>
      <c r="H254" s="58" t="s">
        <v>57</v>
      </c>
      <c r="I254" s="58" t="s">
        <v>85</v>
      </c>
      <c r="J254" s="58" t="s">
        <v>64</v>
      </c>
      <c r="K254" s="58"/>
      <c r="L254" s="60"/>
      <c r="M254" s="77">
        <v>43040</v>
      </c>
      <c r="N254" s="77" t="s">
        <v>309</v>
      </c>
      <c r="O254" s="150" t="s">
        <v>310</v>
      </c>
      <c r="P254" s="122">
        <v>20</v>
      </c>
      <c r="Q254" s="123">
        <v>27184</v>
      </c>
      <c r="R254" s="130">
        <v>1400</v>
      </c>
      <c r="S254" s="130">
        <f t="shared" si="5"/>
        <v>28000</v>
      </c>
      <c r="T254" s="130">
        <v>690.41095890410952</v>
      </c>
      <c r="U254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الشراء-الاستلام]]&lt;DATE(2018,1,1),S254-T254,0))</f>
        <v>27309.589041095889</v>
      </c>
      <c r="V254" s="169"/>
      <c r="W254" s="116"/>
      <c r="X254" s="116"/>
      <c r="Y254" s="117">
        <f>Table5101345411[[#This Row],[عدد الإضافات]]*Table5101345411[[#This Row],[سعر الحبة المضافة]]</f>
        <v>0</v>
      </c>
      <c r="Z254" s="101"/>
      <c r="AA254" s="102"/>
      <c r="AB254" s="103"/>
      <c r="AC254" s="103"/>
      <c r="AD254" s="103"/>
      <c r="AE254" s="103"/>
      <c r="AF254" s="103">
        <f>Table5101345411[[#This Row],[العدد]]*Table5101345411[[#This Row],[قيمة الشراء]]</f>
        <v>0</v>
      </c>
      <c r="AG254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54" s="190">
        <f>Table5101345411[[#This Row],[الكمية]]+Table5101345411[[#This Row],[عدد الإضافات]]-Table5101345411[[#This Row],[العدد]]</f>
        <v>20</v>
      </c>
      <c r="AI254" s="78">
        <f>Table5101345411[[#This Row],[الإجمالي]]+Table5101345411[[#This Row],[إجمالي الإضافات]]-Table5101345411[[#This Row],[إجمالي المستبعد]]</f>
        <v>28000</v>
      </c>
      <c r="AJ254" s="62">
        <v>0.125</v>
      </c>
      <c r="AK254" s="219"/>
      <c r="AL254" s="58" t="s">
        <v>61</v>
      </c>
      <c r="AM254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3500</v>
      </c>
      <c r="AN254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54" s="79">
        <f>Table5101345411[[#This Row],[اهلاك المستبعد
في 2018]]+Table5101345411[[#This Row],[مجمع إهلاك المستبعد 
01-01-2018]]</f>
        <v>0</v>
      </c>
      <c r="AP254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54" s="220"/>
      <c r="AR254" s="78">
        <f>IF(OR(Table5101345411[[#This Row],[تاريخ الشراء-الاستلام]]="",Table5101345411[[#This Row],[الإجمالي]]="",Table5101345411[[#This Row],[العمر الافتراضي]]=""),"",IF(((T254+AM254)-Table5101345411[[#This Row],[مجمع إهلاك المستبعد 
بتاريخ الأستبعاد]])&lt;=0,0,((T254+AM254)-Table5101345411[[#This Row],[مجمع إهلاك المستبعد 
بتاريخ الأستبعاد]])))</f>
        <v>4190.4109589041091</v>
      </c>
      <c r="AS254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الشراء-الاستلام]]&gt;DATE(2018,12,31),0,AI254-AR254)))</f>
        <v>23809.589041095889</v>
      </c>
    </row>
    <row r="255" spans="1:45" s="141" customFormat="1" ht="83.25" customHeight="1">
      <c r="A255" s="118">
        <f>IF(B255="","",SUBTOTAL(3,$B$6:B255))</f>
        <v>250</v>
      </c>
      <c r="B255" s="58" t="s">
        <v>283</v>
      </c>
      <c r="C255" s="59" t="s">
        <v>54</v>
      </c>
      <c r="D255" s="59" t="s">
        <v>522</v>
      </c>
      <c r="E255" s="59" t="s">
        <v>120</v>
      </c>
      <c r="F255" s="226" t="s">
        <v>120</v>
      </c>
      <c r="G255" s="226"/>
      <c r="H255" s="58" t="s">
        <v>57</v>
      </c>
      <c r="I255" s="58" t="s">
        <v>85</v>
      </c>
      <c r="J255" s="58" t="s">
        <v>64</v>
      </c>
      <c r="K255" s="58"/>
      <c r="L255" s="60"/>
      <c r="M255" s="77">
        <v>43040</v>
      </c>
      <c r="N255" s="77" t="s">
        <v>309</v>
      </c>
      <c r="O255" s="150" t="s">
        <v>310</v>
      </c>
      <c r="P255" s="122">
        <v>20</v>
      </c>
      <c r="Q255" s="123">
        <v>27155</v>
      </c>
      <c r="R255" s="130">
        <v>1400</v>
      </c>
      <c r="S255" s="130">
        <f t="shared" si="5"/>
        <v>28000</v>
      </c>
      <c r="T255" s="130">
        <v>690.41095890410952</v>
      </c>
      <c r="U255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الشراء-الاستلام]]&lt;DATE(2018,1,1),S255-T255,0))</f>
        <v>27309.589041095889</v>
      </c>
      <c r="V255" s="169"/>
      <c r="W255" s="116"/>
      <c r="X255" s="116"/>
      <c r="Y255" s="117">
        <f>Table5101345411[[#This Row],[عدد الإضافات]]*Table5101345411[[#This Row],[سعر الحبة المضافة]]</f>
        <v>0</v>
      </c>
      <c r="Z255" s="101"/>
      <c r="AA255" s="102"/>
      <c r="AB255" s="103"/>
      <c r="AC255" s="103"/>
      <c r="AD255" s="103"/>
      <c r="AE255" s="103"/>
      <c r="AF255" s="103">
        <f>Table5101345411[[#This Row],[العدد]]*Table5101345411[[#This Row],[قيمة الشراء]]</f>
        <v>0</v>
      </c>
      <c r="AG255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55" s="190">
        <f>Table5101345411[[#This Row],[الكمية]]+Table5101345411[[#This Row],[عدد الإضافات]]-Table5101345411[[#This Row],[العدد]]</f>
        <v>20</v>
      </c>
      <c r="AI255" s="78">
        <f>Table5101345411[[#This Row],[الإجمالي]]+Table5101345411[[#This Row],[إجمالي الإضافات]]-Table5101345411[[#This Row],[إجمالي المستبعد]]</f>
        <v>28000</v>
      </c>
      <c r="AJ255" s="62">
        <v>0.125</v>
      </c>
      <c r="AK255" s="219"/>
      <c r="AL255" s="58" t="s">
        <v>61</v>
      </c>
      <c r="AM255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3500</v>
      </c>
      <c r="AN255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55" s="79">
        <f>Table5101345411[[#This Row],[اهلاك المستبعد
في 2018]]+Table5101345411[[#This Row],[مجمع إهلاك المستبعد 
01-01-2018]]</f>
        <v>0</v>
      </c>
      <c r="AP255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55" s="220"/>
      <c r="AR255" s="78">
        <f>IF(OR(Table5101345411[[#This Row],[تاريخ الشراء-الاستلام]]="",Table5101345411[[#This Row],[الإجمالي]]="",Table5101345411[[#This Row],[العمر الافتراضي]]=""),"",IF(((T255+AM255)-Table5101345411[[#This Row],[مجمع إهلاك المستبعد 
بتاريخ الأستبعاد]])&lt;=0,0,((T255+AM255)-Table5101345411[[#This Row],[مجمع إهلاك المستبعد 
بتاريخ الأستبعاد]])))</f>
        <v>4190.4109589041091</v>
      </c>
      <c r="AS255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الشراء-الاستلام]]&gt;DATE(2018,12,31),0,AI255-AR255)))</f>
        <v>23809.589041095889</v>
      </c>
    </row>
    <row r="256" spans="1:45" s="141" customFormat="1" ht="83.25" customHeight="1">
      <c r="A256" s="118">
        <f>IF(B256="","",SUBTOTAL(3,$B$6:B256))</f>
        <v>251</v>
      </c>
      <c r="B256" s="58" t="s">
        <v>62</v>
      </c>
      <c r="C256" s="59" t="s">
        <v>54</v>
      </c>
      <c r="D256" s="59" t="s">
        <v>522</v>
      </c>
      <c r="E256" s="59" t="s">
        <v>523</v>
      </c>
      <c r="F256" s="226" t="s">
        <v>523</v>
      </c>
      <c r="G256" s="226"/>
      <c r="H256" s="58" t="s">
        <v>57</v>
      </c>
      <c r="I256" s="58" t="s">
        <v>85</v>
      </c>
      <c r="J256" s="58" t="s">
        <v>64</v>
      </c>
      <c r="K256" s="58"/>
      <c r="L256" s="60"/>
      <c r="M256" s="77">
        <v>43040</v>
      </c>
      <c r="N256" s="77" t="s">
        <v>309</v>
      </c>
      <c r="O256" s="150" t="s">
        <v>310</v>
      </c>
      <c r="P256" s="122">
        <v>20</v>
      </c>
      <c r="Q256" s="123">
        <v>27155</v>
      </c>
      <c r="R256" s="130">
        <v>750</v>
      </c>
      <c r="S256" s="130">
        <f t="shared" si="5"/>
        <v>15000</v>
      </c>
      <c r="T256" s="130">
        <v>369.86301369863014</v>
      </c>
      <c r="U256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الشراء-الاستلام]]&lt;DATE(2018,1,1),S256-T256,0))</f>
        <v>14630.13698630137</v>
      </c>
      <c r="V256" s="169"/>
      <c r="W256" s="116"/>
      <c r="X256" s="116"/>
      <c r="Y256" s="117">
        <f>Table5101345411[[#This Row],[عدد الإضافات]]*Table5101345411[[#This Row],[سعر الحبة المضافة]]</f>
        <v>0</v>
      </c>
      <c r="Z256" s="101"/>
      <c r="AA256" s="102"/>
      <c r="AB256" s="103"/>
      <c r="AC256" s="103"/>
      <c r="AD256" s="103"/>
      <c r="AE256" s="103"/>
      <c r="AF256" s="103">
        <f>Table5101345411[[#This Row],[العدد]]*Table5101345411[[#This Row],[قيمة الشراء]]</f>
        <v>0</v>
      </c>
      <c r="AG256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56" s="190">
        <f>Table5101345411[[#This Row],[الكمية]]+Table5101345411[[#This Row],[عدد الإضافات]]-Table5101345411[[#This Row],[العدد]]</f>
        <v>20</v>
      </c>
      <c r="AI256" s="78">
        <f>Table5101345411[[#This Row],[الإجمالي]]+Table5101345411[[#This Row],[إجمالي الإضافات]]-Table5101345411[[#This Row],[إجمالي المستبعد]]</f>
        <v>15000</v>
      </c>
      <c r="AJ256" s="62">
        <v>0.125</v>
      </c>
      <c r="AK256" s="219"/>
      <c r="AL256" s="58" t="s">
        <v>61</v>
      </c>
      <c r="AM256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1875</v>
      </c>
      <c r="AN256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56" s="79">
        <f>Table5101345411[[#This Row],[اهلاك المستبعد
في 2018]]+Table5101345411[[#This Row],[مجمع إهلاك المستبعد 
01-01-2018]]</f>
        <v>0</v>
      </c>
      <c r="AP256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56" s="220"/>
      <c r="AR256" s="78">
        <f>IF(OR(Table5101345411[[#This Row],[تاريخ الشراء-الاستلام]]="",Table5101345411[[#This Row],[الإجمالي]]="",Table5101345411[[#This Row],[العمر الافتراضي]]=""),"",IF(((T256+AM256)-Table5101345411[[#This Row],[مجمع إهلاك المستبعد 
بتاريخ الأستبعاد]])&lt;=0,0,((T256+AM256)-Table5101345411[[#This Row],[مجمع إهلاك المستبعد 
بتاريخ الأستبعاد]])))</f>
        <v>2244.8630136986303</v>
      </c>
      <c r="AS256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الشراء-الاستلام]]&gt;DATE(2018,12,31),0,AI256-AR256)))</f>
        <v>12755.13698630137</v>
      </c>
    </row>
    <row r="257" spans="1:45" s="141" customFormat="1" ht="83.25" customHeight="1">
      <c r="A257" s="118">
        <f>IF(B257="","",SUBTOTAL(3,$B$6:B257))</f>
        <v>252</v>
      </c>
      <c r="B257" s="58" t="s">
        <v>306</v>
      </c>
      <c r="C257" s="59" t="s">
        <v>54</v>
      </c>
      <c r="D257" s="59" t="s">
        <v>522</v>
      </c>
      <c r="E257" s="59" t="s">
        <v>523</v>
      </c>
      <c r="F257" s="226" t="s">
        <v>523</v>
      </c>
      <c r="G257" s="226"/>
      <c r="H257" s="58" t="s">
        <v>93</v>
      </c>
      <c r="I257" s="58"/>
      <c r="J257" s="58" t="s">
        <v>64</v>
      </c>
      <c r="K257" s="58"/>
      <c r="L257" s="60"/>
      <c r="M257" s="77">
        <v>43042</v>
      </c>
      <c r="N257" s="77" t="s">
        <v>278</v>
      </c>
      <c r="O257" s="150" t="s">
        <v>279</v>
      </c>
      <c r="P257" s="122">
        <v>30</v>
      </c>
      <c r="Q257" s="123"/>
      <c r="R257" s="130">
        <v>750</v>
      </c>
      <c r="S257" s="130">
        <f t="shared" si="5"/>
        <v>22500</v>
      </c>
      <c r="T257" s="130">
        <v>536.30136986301375</v>
      </c>
      <c r="U257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الشراء-الاستلام]]&lt;DATE(2018,1,1),S257-T257,0))</f>
        <v>21963.698630136987</v>
      </c>
      <c r="V257" s="169"/>
      <c r="W257" s="116"/>
      <c r="X257" s="116"/>
      <c r="Y257" s="117">
        <f>Table5101345411[[#This Row],[عدد الإضافات]]*Table5101345411[[#This Row],[سعر الحبة المضافة]]</f>
        <v>0</v>
      </c>
      <c r="Z257" s="101"/>
      <c r="AA257" s="102"/>
      <c r="AB257" s="103"/>
      <c r="AC257" s="103"/>
      <c r="AD257" s="103"/>
      <c r="AE257" s="103"/>
      <c r="AF257" s="103">
        <f>Table5101345411[[#This Row],[العدد]]*Table5101345411[[#This Row],[قيمة الشراء]]</f>
        <v>0</v>
      </c>
      <c r="AG257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57" s="190">
        <f>Table5101345411[[#This Row],[الكمية]]+Table5101345411[[#This Row],[عدد الإضافات]]-Table5101345411[[#This Row],[العدد]]</f>
        <v>30</v>
      </c>
      <c r="AI257" s="78">
        <f>Table5101345411[[#This Row],[الإجمالي]]+Table5101345411[[#This Row],[إجمالي الإضافات]]-Table5101345411[[#This Row],[إجمالي المستبعد]]</f>
        <v>22500</v>
      </c>
      <c r="AJ257" s="62">
        <v>0.125</v>
      </c>
      <c r="AK257" s="219"/>
      <c r="AL257" s="58" t="s">
        <v>61</v>
      </c>
      <c r="AM257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2812.5</v>
      </c>
      <c r="AN257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57" s="79">
        <f>Table5101345411[[#This Row],[اهلاك المستبعد
في 2018]]+Table5101345411[[#This Row],[مجمع إهلاك المستبعد 
01-01-2018]]</f>
        <v>0</v>
      </c>
      <c r="AP257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57" s="220"/>
      <c r="AR257" s="78">
        <f>IF(OR(Table5101345411[[#This Row],[تاريخ الشراء-الاستلام]]="",Table5101345411[[#This Row],[الإجمالي]]="",Table5101345411[[#This Row],[العمر الافتراضي]]=""),"",IF(((T257+AM257)-Table5101345411[[#This Row],[مجمع إهلاك المستبعد 
بتاريخ الأستبعاد]])&lt;=0,0,((T257+AM257)-Table5101345411[[#This Row],[مجمع إهلاك المستبعد 
بتاريخ الأستبعاد]])))</f>
        <v>3348.8013698630139</v>
      </c>
      <c r="AS257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الشراء-الاستلام]]&gt;DATE(2018,12,31),0,AI257-AR257)))</f>
        <v>19151.198630136987</v>
      </c>
    </row>
    <row r="258" spans="1:45" s="141" customFormat="1" ht="83.25" customHeight="1">
      <c r="A258" s="118">
        <f>IF(B258="","",SUBTOTAL(3,$B$6:B258))</f>
        <v>253</v>
      </c>
      <c r="B258" s="58" t="s">
        <v>311</v>
      </c>
      <c r="C258" s="59" t="s">
        <v>54</v>
      </c>
      <c r="D258" s="59" t="s">
        <v>522</v>
      </c>
      <c r="E258" s="59" t="s">
        <v>524</v>
      </c>
      <c r="F258" s="226" t="s">
        <v>524</v>
      </c>
      <c r="G258" s="226"/>
      <c r="H258" s="58" t="s">
        <v>93</v>
      </c>
      <c r="I258" s="58"/>
      <c r="J258" s="58" t="s">
        <v>64</v>
      </c>
      <c r="K258" s="58"/>
      <c r="L258" s="60"/>
      <c r="M258" s="77">
        <v>43042</v>
      </c>
      <c r="N258" s="77" t="s">
        <v>278</v>
      </c>
      <c r="O258" s="150" t="s">
        <v>279</v>
      </c>
      <c r="P258" s="122">
        <v>70</v>
      </c>
      <c r="Q258" s="123"/>
      <c r="R258" s="130">
        <v>1000</v>
      </c>
      <c r="S258" s="130">
        <f t="shared" si="5"/>
        <v>70000</v>
      </c>
      <c r="T258" s="130">
        <v>1668.4931506849314</v>
      </c>
      <c r="U258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الشراء-الاستلام]]&lt;DATE(2018,1,1),S258-T258,0))</f>
        <v>68331.506849315076</v>
      </c>
      <c r="V258" s="169"/>
      <c r="W258" s="116"/>
      <c r="X258" s="116"/>
      <c r="Y258" s="117">
        <f>Table5101345411[[#This Row],[عدد الإضافات]]*Table5101345411[[#This Row],[سعر الحبة المضافة]]</f>
        <v>0</v>
      </c>
      <c r="Z258" s="101"/>
      <c r="AA258" s="102"/>
      <c r="AB258" s="103"/>
      <c r="AC258" s="103"/>
      <c r="AD258" s="103"/>
      <c r="AE258" s="103"/>
      <c r="AF258" s="103">
        <f>Table5101345411[[#This Row],[العدد]]*Table5101345411[[#This Row],[قيمة الشراء]]</f>
        <v>0</v>
      </c>
      <c r="AG258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58" s="190">
        <f>Table5101345411[[#This Row],[الكمية]]+Table5101345411[[#This Row],[عدد الإضافات]]-Table5101345411[[#This Row],[العدد]]</f>
        <v>70</v>
      </c>
      <c r="AI258" s="78">
        <f>Table5101345411[[#This Row],[الإجمالي]]+Table5101345411[[#This Row],[إجمالي الإضافات]]-Table5101345411[[#This Row],[إجمالي المستبعد]]</f>
        <v>70000</v>
      </c>
      <c r="AJ258" s="62">
        <v>0.125</v>
      </c>
      <c r="AK258" s="219"/>
      <c r="AL258" s="58" t="s">
        <v>61</v>
      </c>
      <c r="AM258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8750</v>
      </c>
      <c r="AN258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58" s="79">
        <f>Table5101345411[[#This Row],[اهلاك المستبعد
في 2018]]+Table5101345411[[#This Row],[مجمع إهلاك المستبعد 
01-01-2018]]</f>
        <v>0</v>
      </c>
      <c r="AP258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58" s="220"/>
      <c r="AR258" s="78">
        <f>IF(OR(Table5101345411[[#This Row],[تاريخ الشراء-الاستلام]]="",Table5101345411[[#This Row],[الإجمالي]]="",Table5101345411[[#This Row],[العمر الافتراضي]]=""),"",IF(((T258+AM258)-Table5101345411[[#This Row],[مجمع إهلاك المستبعد 
بتاريخ الأستبعاد]])&lt;=0,0,((T258+AM258)-Table5101345411[[#This Row],[مجمع إهلاك المستبعد 
بتاريخ الأستبعاد]])))</f>
        <v>10418.493150684932</v>
      </c>
      <c r="AS258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الشراء-الاستلام]]&gt;DATE(2018,12,31),0,AI258-AR258)))</f>
        <v>59581.506849315068</v>
      </c>
    </row>
    <row r="259" spans="1:45" s="141" customFormat="1" ht="83.25" customHeight="1">
      <c r="A259" s="118">
        <f>IF(B259="","",SUBTOTAL(3,$B$6:B259))</f>
        <v>254</v>
      </c>
      <c r="B259" s="58" t="s">
        <v>283</v>
      </c>
      <c r="C259" s="59" t="s">
        <v>54</v>
      </c>
      <c r="D259" s="59" t="s">
        <v>522</v>
      </c>
      <c r="E259" s="59" t="s">
        <v>120</v>
      </c>
      <c r="F259" s="226" t="s">
        <v>120</v>
      </c>
      <c r="G259" s="226"/>
      <c r="H259" s="58" t="s">
        <v>93</v>
      </c>
      <c r="I259" s="58"/>
      <c r="J259" s="58" t="s">
        <v>64</v>
      </c>
      <c r="K259" s="58"/>
      <c r="L259" s="60"/>
      <c r="M259" s="77">
        <v>43042</v>
      </c>
      <c r="N259" s="77" t="s">
        <v>278</v>
      </c>
      <c r="O259" s="150" t="s">
        <v>279</v>
      </c>
      <c r="P259" s="122">
        <v>10</v>
      </c>
      <c r="Q259" s="123"/>
      <c r="R259" s="130">
        <v>1250</v>
      </c>
      <c r="S259" s="130">
        <f t="shared" si="5"/>
        <v>12500</v>
      </c>
      <c r="T259" s="130">
        <v>297.94520547945206</v>
      </c>
      <c r="U259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الشراء-الاستلام]]&lt;DATE(2018,1,1),S259-T259,0))</f>
        <v>12202.054794520547</v>
      </c>
      <c r="V259" s="169"/>
      <c r="W259" s="116"/>
      <c r="X259" s="116"/>
      <c r="Y259" s="117">
        <f>Table5101345411[[#This Row],[عدد الإضافات]]*Table5101345411[[#This Row],[سعر الحبة المضافة]]</f>
        <v>0</v>
      </c>
      <c r="Z259" s="101"/>
      <c r="AA259" s="102"/>
      <c r="AB259" s="103"/>
      <c r="AC259" s="103"/>
      <c r="AD259" s="103"/>
      <c r="AE259" s="103"/>
      <c r="AF259" s="103">
        <f>Table5101345411[[#This Row],[العدد]]*Table5101345411[[#This Row],[قيمة الشراء]]</f>
        <v>0</v>
      </c>
      <c r="AG259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59" s="190">
        <f>Table5101345411[[#This Row],[الكمية]]+Table5101345411[[#This Row],[عدد الإضافات]]-Table5101345411[[#This Row],[العدد]]</f>
        <v>10</v>
      </c>
      <c r="AI259" s="78">
        <f>Table5101345411[[#This Row],[الإجمالي]]+Table5101345411[[#This Row],[إجمالي الإضافات]]-Table5101345411[[#This Row],[إجمالي المستبعد]]</f>
        <v>12500</v>
      </c>
      <c r="AJ259" s="62">
        <v>0.125</v>
      </c>
      <c r="AK259" s="219"/>
      <c r="AL259" s="58" t="s">
        <v>61</v>
      </c>
      <c r="AM259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1562.5</v>
      </c>
      <c r="AN259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59" s="79">
        <f>Table5101345411[[#This Row],[اهلاك المستبعد
في 2018]]+Table5101345411[[#This Row],[مجمع إهلاك المستبعد 
01-01-2018]]</f>
        <v>0</v>
      </c>
      <c r="AP259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59" s="220"/>
      <c r="AR259" s="78">
        <f>IF(OR(Table5101345411[[#This Row],[تاريخ الشراء-الاستلام]]="",Table5101345411[[#This Row],[الإجمالي]]="",Table5101345411[[#This Row],[العمر الافتراضي]]=""),"",IF(((T259+AM259)-Table5101345411[[#This Row],[مجمع إهلاك المستبعد 
بتاريخ الأستبعاد]])&lt;=0,0,((T259+AM259)-Table5101345411[[#This Row],[مجمع إهلاك المستبعد 
بتاريخ الأستبعاد]])))</f>
        <v>1860.4452054794519</v>
      </c>
      <c r="AS259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الشراء-الاستلام]]&gt;DATE(2018,12,31),0,AI259-AR259)))</f>
        <v>10639.554794520547</v>
      </c>
    </row>
    <row r="260" spans="1:45" s="141" customFormat="1" ht="83.25" customHeight="1">
      <c r="A260" s="118">
        <f>IF(B260="","",SUBTOTAL(3,$B$6:B260))</f>
        <v>255</v>
      </c>
      <c r="B260" s="58" t="s">
        <v>62</v>
      </c>
      <c r="C260" s="59" t="s">
        <v>54</v>
      </c>
      <c r="D260" s="59" t="s">
        <v>522</v>
      </c>
      <c r="E260" s="59" t="s">
        <v>523</v>
      </c>
      <c r="F260" s="226" t="s">
        <v>523</v>
      </c>
      <c r="G260" s="226"/>
      <c r="H260" s="58" t="s">
        <v>154</v>
      </c>
      <c r="I260" s="58"/>
      <c r="J260" s="58" t="s">
        <v>64</v>
      </c>
      <c r="K260" s="58"/>
      <c r="L260" s="60"/>
      <c r="M260" s="77">
        <v>42858</v>
      </c>
      <c r="N260" s="77" t="s">
        <v>278</v>
      </c>
      <c r="O260" s="150" t="s">
        <v>279</v>
      </c>
      <c r="P260" s="122">
        <v>20</v>
      </c>
      <c r="Q260" s="123"/>
      <c r="R260" s="130">
        <v>580</v>
      </c>
      <c r="S260" s="130">
        <f t="shared" si="5"/>
        <v>11600</v>
      </c>
      <c r="T260" s="130">
        <v>1153.6438356164385</v>
      </c>
      <c r="U260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الشراء-الاستلام]]&lt;DATE(2018,1,1),S260-T260,0))</f>
        <v>10446.356164383562</v>
      </c>
      <c r="V260" s="169"/>
      <c r="W260" s="116"/>
      <c r="X260" s="116"/>
      <c r="Y260" s="117">
        <f>Table5101345411[[#This Row],[عدد الإضافات]]*Table5101345411[[#This Row],[سعر الحبة المضافة]]</f>
        <v>0</v>
      </c>
      <c r="Z260" s="101"/>
      <c r="AA260" s="102"/>
      <c r="AB260" s="103"/>
      <c r="AC260" s="103"/>
      <c r="AD260" s="103"/>
      <c r="AE260" s="103"/>
      <c r="AF260" s="103">
        <f>Table5101345411[[#This Row],[العدد]]*Table5101345411[[#This Row],[قيمة الشراء]]</f>
        <v>0</v>
      </c>
      <c r="AG260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60" s="190">
        <f>Table5101345411[[#This Row],[الكمية]]+Table5101345411[[#This Row],[عدد الإضافات]]-Table5101345411[[#This Row],[العدد]]</f>
        <v>20</v>
      </c>
      <c r="AI260" s="78">
        <f>Table5101345411[[#This Row],[الإجمالي]]+Table5101345411[[#This Row],[إجمالي الإضافات]]-Table5101345411[[#This Row],[إجمالي المستبعد]]</f>
        <v>11600</v>
      </c>
      <c r="AJ260" s="62">
        <v>0.125</v>
      </c>
      <c r="AK260" s="219"/>
      <c r="AL260" s="58" t="s">
        <v>61</v>
      </c>
      <c r="AM260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1450</v>
      </c>
      <c r="AN260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60" s="79">
        <f>Table5101345411[[#This Row],[اهلاك المستبعد
في 2018]]+Table5101345411[[#This Row],[مجمع إهلاك المستبعد 
01-01-2018]]</f>
        <v>0</v>
      </c>
      <c r="AP260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60" s="220"/>
      <c r="AR260" s="78">
        <f>IF(OR(Table5101345411[[#This Row],[تاريخ الشراء-الاستلام]]="",Table5101345411[[#This Row],[الإجمالي]]="",Table5101345411[[#This Row],[العمر الافتراضي]]=""),"",IF(((T260+AM260)-Table5101345411[[#This Row],[مجمع إهلاك المستبعد 
بتاريخ الأستبعاد]])&lt;=0,0,((T260+AM260)-Table5101345411[[#This Row],[مجمع إهلاك المستبعد 
بتاريخ الأستبعاد]])))</f>
        <v>2603.6438356164385</v>
      </c>
      <c r="AS260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الشراء-الاستلام]]&gt;DATE(2018,12,31),0,AI260-AR260)))</f>
        <v>8996.3561643835619</v>
      </c>
    </row>
    <row r="261" spans="1:45" s="141" customFormat="1" ht="83.25" customHeight="1">
      <c r="A261" s="118">
        <f>IF(B261="","",SUBTOTAL(3,$B$6:B261))</f>
        <v>256</v>
      </c>
      <c r="B261" s="58" t="s">
        <v>118</v>
      </c>
      <c r="C261" s="59" t="s">
        <v>54</v>
      </c>
      <c r="D261" s="59" t="s">
        <v>522</v>
      </c>
      <c r="E261" s="59" t="s">
        <v>524</v>
      </c>
      <c r="F261" s="226" t="s">
        <v>524</v>
      </c>
      <c r="G261" s="226"/>
      <c r="H261" s="58" t="s">
        <v>154</v>
      </c>
      <c r="I261" s="58"/>
      <c r="J261" s="58" t="s">
        <v>64</v>
      </c>
      <c r="K261" s="58"/>
      <c r="L261" s="60"/>
      <c r="M261" s="77">
        <v>42858</v>
      </c>
      <c r="N261" s="77" t="s">
        <v>278</v>
      </c>
      <c r="O261" s="150" t="s">
        <v>279</v>
      </c>
      <c r="P261" s="122">
        <v>20</v>
      </c>
      <c r="Q261" s="123"/>
      <c r="R261" s="130">
        <v>1000</v>
      </c>
      <c r="S261" s="130">
        <f t="shared" si="5"/>
        <v>20000</v>
      </c>
      <c r="T261" s="130">
        <v>1989.0410958904113</v>
      </c>
      <c r="U261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الشراء-الاستلام]]&lt;DATE(2018,1,1),S261-T261,0))</f>
        <v>18010.95890410959</v>
      </c>
      <c r="V261" s="169"/>
      <c r="W261" s="116"/>
      <c r="X261" s="116"/>
      <c r="Y261" s="117">
        <f>Table5101345411[[#This Row],[عدد الإضافات]]*Table5101345411[[#This Row],[سعر الحبة المضافة]]</f>
        <v>0</v>
      </c>
      <c r="Z261" s="101"/>
      <c r="AA261" s="102"/>
      <c r="AB261" s="103"/>
      <c r="AC261" s="103"/>
      <c r="AD261" s="103"/>
      <c r="AE261" s="103"/>
      <c r="AF261" s="103">
        <f>Table5101345411[[#This Row],[العدد]]*Table5101345411[[#This Row],[قيمة الشراء]]</f>
        <v>0</v>
      </c>
      <c r="AG261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61" s="190">
        <f>Table5101345411[[#This Row],[الكمية]]+Table5101345411[[#This Row],[عدد الإضافات]]-Table5101345411[[#This Row],[العدد]]</f>
        <v>20</v>
      </c>
      <c r="AI261" s="78">
        <f>Table5101345411[[#This Row],[الإجمالي]]+Table5101345411[[#This Row],[إجمالي الإضافات]]-Table5101345411[[#This Row],[إجمالي المستبعد]]</f>
        <v>20000</v>
      </c>
      <c r="AJ261" s="62">
        <v>0.125</v>
      </c>
      <c r="AK261" s="219"/>
      <c r="AL261" s="58" t="s">
        <v>61</v>
      </c>
      <c r="AM261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2500</v>
      </c>
      <c r="AN261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61" s="79">
        <f>Table5101345411[[#This Row],[اهلاك المستبعد
في 2018]]+Table5101345411[[#This Row],[مجمع إهلاك المستبعد 
01-01-2018]]</f>
        <v>0</v>
      </c>
      <c r="AP261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61" s="220"/>
      <c r="AR261" s="78">
        <f>IF(OR(Table5101345411[[#This Row],[تاريخ الشراء-الاستلام]]="",Table5101345411[[#This Row],[الإجمالي]]="",Table5101345411[[#This Row],[العمر الافتراضي]]=""),"",IF(((T261+AM261)-Table5101345411[[#This Row],[مجمع إهلاك المستبعد 
بتاريخ الأستبعاد]])&lt;=0,0,((T261+AM261)-Table5101345411[[#This Row],[مجمع إهلاك المستبعد 
بتاريخ الأستبعاد]])))</f>
        <v>4489.0410958904113</v>
      </c>
      <c r="AS261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الشراء-الاستلام]]&gt;DATE(2018,12,31),0,AI261-AR261)))</f>
        <v>15510.95890410959</v>
      </c>
    </row>
    <row r="262" spans="1:45" s="141" customFormat="1" ht="83.25" customHeight="1">
      <c r="A262" s="118">
        <f>IF(B262="","",SUBTOTAL(3,$B$6:B262))</f>
        <v>257</v>
      </c>
      <c r="B262" s="58" t="s">
        <v>143</v>
      </c>
      <c r="C262" s="59" t="s">
        <v>54</v>
      </c>
      <c r="D262" s="59" t="s">
        <v>522</v>
      </c>
      <c r="E262" s="59" t="s">
        <v>120</v>
      </c>
      <c r="F262" s="226" t="s">
        <v>120</v>
      </c>
      <c r="G262" s="226"/>
      <c r="H262" s="58" t="s">
        <v>154</v>
      </c>
      <c r="I262" s="58"/>
      <c r="J262" s="58" t="s">
        <v>64</v>
      </c>
      <c r="K262" s="58"/>
      <c r="L262" s="60"/>
      <c r="M262" s="77">
        <v>42858</v>
      </c>
      <c r="N262" s="77" t="s">
        <v>278</v>
      </c>
      <c r="O262" s="150" t="s">
        <v>279</v>
      </c>
      <c r="P262" s="122">
        <v>15</v>
      </c>
      <c r="Q262" s="123"/>
      <c r="R262" s="130">
        <v>1200</v>
      </c>
      <c r="S262" s="130">
        <f t="shared" si="5"/>
        <v>18000</v>
      </c>
      <c r="T262" s="130">
        <v>1790.1369863013699</v>
      </c>
      <c r="U262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الشراء-الاستلام]]&lt;DATE(2018,1,1),S262-T262,0))</f>
        <v>16209.86301369863</v>
      </c>
      <c r="V262" s="169"/>
      <c r="W262" s="116"/>
      <c r="X262" s="116"/>
      <c r="Y262" s="117">
        <f>Table5101345411[[#This Row],[عدد الإضافات]]*Table5101345411[[#This Row],[سعر الحبة المضافة]]</f>
        <v>0</v>
      </c>
      <c r="Z262" s="101"/>
      <c r="AA262" s="102"/>
      <c r="AB262" s="103"/>
      <c r="AC262" s="103"/>
      <c r="AD262" s="103"/>
      <c r="AE262" s="103"/>
      <c r="AF262" s="103">
        <f>Table5101345411[[#This Row],[العدد]]*Table5101345411[[#This Row],[قيمة الشراء]]</f>
        <v>0</v>
      </c>
      <c r="AG262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62" s="190">
        <f>Table5101345411[[#This Row],[الكمية]]+Table5101345411[[#This Row],[عدد الإضافات]]-Table5101345411[[#This Row],[العدد]]</f>
        <v>15</v>
      </c>
      <c r="AI262" s="78">
        <f>Table5101345411[[#This Row],[الإجمالي]]+Table5101345411[[#This Row],[إجمالي الإضافات]]-Table5101345411[[#This Row],[إجمالي المستبعد]]</f>
        <v>18000</v>
      </c>
      <c r="AJ262" s="62">
        <v>0.125</v>
      </c>
      <c r="AK262" s="219"/>
      <c r="AL262" s="58" t="s">
        <v>61</v>
      </c>
      <c r="AM262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2250</v>
      </c>
      <c r="AN262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62" s="79">
        <f>Table5101345411[[#This Row],[اهلاك المستبعد
في 2018]]+Table5101345411[[#This Row],[مجمع إهلاك المستبعد 
01-01-2018]]</f>
        <v>0</v>
      </c>
      <c r="AP262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62" s="220"/>
      <c r="AR262" s="78">
        <f>IF(OR(Table5101345411[[#This Row],[تاريخ الشراء-الاستلام]]="",Table5101345411[[#This Row],[الإجمالي]]="",Table5101345411[[#This Row],[العمر الافتراضي]]=""),"",IF(((T262+AM262)-Table5101345411[[#This Row],[مجمع إهلاك المستبعد 
بتاريخ الأستبعاد]])&lt;=0,0,((T262+AM262)-Table5101345411[[#This Row],[مجمع إهلاك المستبعد 
بتاريخ الأستبعاد]])))</f>
        <v>4040.1369863013697</v>
      </c>
      <c r="AS262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الشراء-الاستلام]]&gt;DATE(2018,12,31),0,AI262-AR262)))</f>
        <v>13959.86301369863</v>
      </c>
    </row>
    <row r="263" spans="1:45" s="141" customFormat="1" ht="83.25" customHeight="1">
      <c r="A263" s="118">
        <f>IF(B263="","",SUBTOTAL(3,$B$6:B263))</f>
        <v>258</v>
      </c>
      <c r="B263" s="58" t="s">
        <v>312</v>
      </c>
      <c r="C263" s="59" t="s">
        <v>54</v>
      </c>
      <c r="D263" s="59" t="s">
        <v>522</v>
      </c>
      <c r="E263" s="59" t="s">
        <v>120</v>
      </c>
      <c r="F263" s="226" t="s">
        <v>120</v>
      </c>
      <c r="G263" s="226"/>
      <c r="H263" s="58" t="s">
        <v>154</v>
      </c>
      <c r="I263" s="58"/>
      <c r="J263" s="58" t="s">
        <v>64</v>
      </c>
      <c r="K263" s="58"/>
      <c r="L263" s="60"/>
      <c r="M263" s="77">
        <v>42858</v>
      </c>
      <c r="N263" s="77" t="s">
        <v>278</v>
      </c>
      <c r="O263" s="150" t="s">
        <v>279</v>
      </c>
      <c r="P263" s="122">
        <v>2</v>
      </c>
      <c r="Q263" s="123"/>
      <c r="R263" s="130">
        <v>2200</v>
      </c>
      <c r="S263" s="130">
        <f t="shared" si="5"/>
        <v>4400</v>
      </c>
      <c r="T263" s="130">
        <v>437.58904109589037</v>
      </c>
      <c r="U263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الشراء-الاستلام]]&lt;DATE(2018,1,1),S263-T263,0))</f>
        <v>3962.4109589041095</v>
      </c>
      <c r="V263" s="169"/>
      <c r="W263" s="116"/>
      <c r="X263" s="116"/>
      <c r="Y263" s="117">
        <f>Table5101345411[[#This Row],[عدد الإضافات]]*Table5101345411[[#This Row],[سعر الحبة المضافة]]</f>
        <v>0</v>
      </c>
      <c r="Z263" s="101"/>
      <c r="AA263" s="102"/>
      <c r="AB263" s="103"/>
      <c r="AC263" s="103"/>
      <c r="AD263" s="103"/>
      <c r="AE263" s="103"/>
      <c r="AF263" s="103">
        <f>Table5101345411[[#This Row],[العدد]]*Table5101345411[[#This Row],[قيمة الشراء]]</f>
        <v>0</v>
      </c>
      <c r="AG263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63" s="190">
        <f>Table5101345411[[#This Row],[الكمية]]+Table5101345411[[#This Row],[عدد الإضافات]]-Table5101345411[[#This Row],[العدد]]</f>
        <v>2</v>
      </c>
      <c r="AI263" s="78">
        <f>Table5101345411[[#This Row],[الإجمالي]]+Table5101345411[[#This Row],[إجمالي الإضافات]]-Table5101345411[[#This Row],[إجمالي المستبعد]]</f>
        <v>4400</v>
      </c>
      <c r="AJ263" s="62">
        <v>0.125</v>
      </c>
      <c r="AK263" s="219"/>
      <c r="AL263" s="58" t="s">
        <v>61</v>
      </c>
      <c r="AM263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550</v>
      </c>
      <c r="AN263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63" s="79">
        <f>Table5101345411[[#This Row],[اهلاك المستبعد
في 2018]]+Table5101345411[[#This Row],[مجمع إهلاك المستبعد 
01-01-2018]]</f>
        <v>0</v>
      </c>
      <c r="AP263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63" s="220"/>
      <c r="AR263" s="78">
        <f>IF(OR(Table5101345411[[#This Row],[تاريخ الشراء-الاستلام]]="",Table5101345411[[#This Row],[الإجمالي]]="",Table5101345411[[#This Row],[العمر الافتراضي]]=""),"",IF(((T263+AM263)-Table5101345411[[#This Row],[مجمع إهلاك المستبعد 
بتاريخ الأستبعاد]])&lt;=0,0,((T263+AM263)-Table5101345411[[#This Row],[مجمع إهلاك المستبعد 
بتاريخ الأستبعاد]])))</f>
        <v>987.58904109589037</v>
      </c>
      <c r="AS263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الشراء-الاستلام]]&gt;DATE(2018,12,31),0,AI263-AR263)))</f>
        <v>3412.4109589041095</v>
      </c>
    </row>
    <row r="264" spans="1:45" s="141" customFormat="1" ht="83.25" customHeight="1">
      <c r="A264" s="118">
        <f>IF(B264="","",SUBTOTAL(3,$B$6:B264))</f>
        <v>259</v>
      </c>
      <c r="B264" s="58" t="s">
        <v>313</v>
      </c>
      <c r="C264" s="59" t="s">
        <v>54</v>
      </c>
      <c r="D264" s="59" t="s">
        <v>157</v>
      </c>
      <c r="E264" s="59" t="s">
        <v>157</v>
      </c>
      <c r="F264" s="226" t="s">
        <v>157</v>
      </c>
      <c r="G264" s="226"/>
      <c r="H264" s="58" t="s">
        <v>57</v>
      </c>
      <c r="I264" s="58" t="s">
        <v>85</v>
      </c>
      <c r="J264" s="58" t="s">
        <v>64</v>
      </c>
      <c r="K264" s="58"/>
      <c r="L264" s="60"/>
      <c r="M264" s="77">
        <v>42807</v>
      </c>
      <c r="N264" s="77"/>
      <c r="O264" s="150" t="s">
        <v>246</v>
      </c>
      <c r="P264" s="122">
        <v>1</v>
      </c>
      <c r="Q264" s="123"/>
      <c r="R264" s="130">
        <v>1190</v>
      </c>
      <c r="S264" s="130">
        <f t="shared" ref="S264:S327" si="6">R264*P264</f>
        <v>1190</v>
      </c>
      <c r="T264" s="130">
        <v>143.28904109589041</v>
      </c>
      <c r="U264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الشراء-الاستلام]]&lt;DATE(2018,1,1),S264-T264,0))</f>
        <v>1046.7109589041097</v>
      </c>
      <c r="V264" s="169"/>
      <c r="W264" s="116"/>
      <c r="X264" s="116"/>
      <c r="Y264" s="117">
        <f>Table5101345411[[#This Row],[عدد الإضافات]]*Table5101345411[[#This Row],[سعر الحبة المضافة]]</f>
        <v>0</v>
      </c>
      <c r="Z264" s="101"/>
      <c r="AA264" s="102"/>
      <c r="AB264" s="103"/>
      <c r="AC264" s="103"/>
      <c r="AD264" s="103"/>
      <c r="AE264" s="103"/>
      <c r="AF264" s="103">
        <f>Table5101345411[[#This Row],[العدد]]*Table5101345411[[#This Row],[قيمة الشراء]]</f>
        <v>0</v>
      </c>
      <c r="AG264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64" s="190">
        <f>Table5101345411[[#This Row],[الكمية]]+Table5101345411[[#This Row],[عدد الإضافات]]-Table5101345411[[#This Row],[العدد]]</f>
        <v>1</v>
      </c>
      <c r="AI264" s="78">
        <f>Table5101345411[[#This Row],[الإجمالي]]+Table5101345411[[#This Row],[إجمالي الإضافات]]-Table5101345411[[#This Row],[إجمالي المستبعد]]</f>
        <v>1190</v>
      </c>
      <c r="AJ264" s="62">
        <v>0.125</v>
      </c>
      <c r="AK264" s="219"/>
      <c r="AL264" s="58" t="s">
        <v>61</v>
      </c>
      <c r="AM264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148.75</v>
      </c>
      <c r="AN264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64" s="79">
        <f>Table5101345411[[#This Row],[اهلاك المستبعد
في 2018]]+Table5101345411[[#This Row],[مجمع إهلاك المستبعد 
01-01-2018]]</f>
        <v>0</v>
      </c>
      <c r="AP264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64" s="220"/>
      <c r="AR264" s="78">
        <f>IF(OR(Table5101345411[[#This Row],[تاريخ الشراء-الاستلام]]="",Table5101345411[[#This Row],[الإجمالي]]="",Table5101345411[[#This Row],[العمر الافتراضي]]=""),"",IF(((T264+AM264)-Table5101345411[[#This Row],[مجمع إهلاك المستبعد 
بتاريخ الأستبعاد]])&lt;=0,0,((T264+AM264)-Table5101345411[[#This Row],[مجمع إهلاك المستبعد 
بتاريخ الأستبعاد]])))</f>
        <v>292.03904109589041</v>
      </c>
      <c r="AS264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الشراء-الاستلام]]&gt;DATE(2018,12,31),0,AI264-AR264)))</f>
        <v>897.96095890410959</v>
      </c>
    </row>
    <row r="265" spans="1:45" s="141" customFormat="1" ht="83.25" customHeight="1">
      <c r="A265" s="118">
        <f>IF(B265="","",SUBTOTAL(3,$B$6:B265))</f>
        <v>260</v>
      </c>
      <c r="B265" s="58" t="s">
        <v>314</v>
      </c>
      <c r="C265" s="59" t="s">
        <v>54</v>
      </c>
      <c r="D265" s="59" t="s">
        <v>157</v>
      </c>
      <c r="E265" s="59" t="s">
        <v>157</v>
      </c>
      <c r="F265" s="226" t="s">
        <v>157</v>
      </c>
      <c r="G265" s="226"/>
      <c r="H265" s="58" t="s">
        <v>57</v>
      </c>
      <c r="I265" s="58" t="s">
        <v>85</v>
      </c>
      <c r="J265" s="58" t="s">
        <v>64</v>
      </c>
      <c r="K265" s="58"/>
      <c r="L265" s="60"/>
      <c r="M265" s="77">
        <v>42821</v>
      </c>
      <c r="N265" s="77" t="s">
        <v>315</v>
      </c>
      <c r="O265" s="150" t="s">
        <v>316</v>
      </c>
      <c r="P265" s="122">
        <v>1</v>
      </c>
      <c r="Q265" s="123"/>
      <c r="R265" s="130">
        <v>4700</v>
      </c>
      <c r="S265" s="130">
        <f t="shared" si="6"/>
        <v>4700</v>
      </c>
      <c r="T265" s="130">
        <v>538.89041095890411</v>
      </c>
      <c r="U265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الشراء-الاستلام]]&lt;DATE(2018,1,1),S265-T265,0))</f>
        <v>4161.1095890410961</v>
      </c>
      <c r="V265" s="169"/>
      <c r="W265" s="116"/>
      <c r="X265" s="116"/>
      <c r="Y265" s="117">
        <f>Table5101345411[[#This Row],[عدد الإضافات]]*Table5101345411[[#This Row],[سعر الحبة المضافة]]</f>
        <v>0</v>
      </c>
      <c r="Z265" s="101"/>
      <c r="AA265" s="102"/>
      <c r="AB265" s="103"/>
      <c r="AC265" s="103"/>
      <c r="AD265" s="103"/>
      <c r="AE265" s="103"/>
      <c r="AF265" s="103">
        <f>Table5101345411[[#This Row],[العدد]]*Table5101345411[[#This Row],[قيمة الشراء]]</f>
        <v>0</v>
      </c>
      <c r="AG265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65" s="190">
        <f>Table5101345411[[#This Row],[الكمية]]+Table5101345411[[#This Row],[عدد الإضافات]]-Table5101345411[[#This Row],[العدد]]</f>
        <v>1</v>
      </c>
      <c r="AI265" s="78">
        <f>Table5101345411[[#This Row],[الإجمالي]]+Table5101345411[[#This Row],[إجمالي الإضافات]]-Table5101345411[[#This Row],[إجمالي المستبعد]]</f>
        <v>4700</v>
      </c>
      <c r="AJ265" s="62">
        <v>0.125</v>
      </c>
      <c r="AK265" s="219"/>
      <c r="AL265" s="58" t="s">
        <v>61</v>
      </c>
      <c r="AM265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587.5</v>
      </c>
      <c r="AN265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65" s="79">
        <f>Table5101345411[[#This Row],[اهلاك المستبعد
في 2018]]+Table5101345411[[#This Row],[مجمع إهلاك المستبعد 
01-01-2018]]</f>
        <v>0</v>
      </c>
      <c r="AP265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65" s="220"/>
      <c r="AR265" s="78">
        <f>IF(OR(Table5101345411[[#This Row],[تاريخ الشراء-الاستلام]]="",Table5101345411[[#This Row],[الإجمالي]]="",Table5101345411[[#This Row],[العمر الافتراضي]]=""),"",IF(((T265+AM265)-Table5101345411[[#This Row],[مجمع إهلاك المستبعد 
بتاريخ الأستبعاد]])&lt;=0,0,((T265+AM265)-Table5101345411[[#This Row],[مجمع إهلاك المستبعد 
بتاريخ الأستبعاد]])))</f>
        <v>1126.3904109589041</v>
      </c>
      <c r="AS265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الشراء-الاستلام]]&gt;DATE(2018,12,31),0,AI265-AR265)))</f>
        <v>3573.6095890410961</v>
      </c>
    </row>
    <row r="266" spans="1:45" s="141" customFormat="1" ht="83.25" customHeight="1">
      <c r="A266" s="118">
        <f>IF(B266="","",SUBTOTAL(3,$B$6:B266))</f>
        <v>261</v>
      </c>
      <c r="B266" s="58" t="s">
        <v>317</v>
      </c>
      <c r="C266" s="59" t="s">
        <v>54</v>
      </c>
      <c r="D266" s="59" t="s">
        <v>157</v>
      </c>
      <c r="E266" s="59" t="s">
        <v>157</v>
      </c>
      <c r="F266" s="226" t="s">
        <v>157</v>
      </c>
      <c r="G266" s="226"/>
      <c r="H266" s="58" t="s">
        <v>57</v>
      </c>
      <c r="I266" s="58" t="s">
        <v>85</v>
      </c>
      <c r="J266" s="58" t="s">
        <v>64</v>
      </c>
      <c r="K266" s="58"/>
      <c r="L266" s="60"/>
      <c r="M266" s="77">
        <v>42821</v>
      </c>
      <c r="N266" s="77"/>
      <c r="O266" s="150" t="s">
        <v>316</v>
      </c>
      <c r="P266" s="122">
        <v>1</v>
      </c>
      <c r="Q266" s="123"/>
      <c r="R266" s="130">
        <v>6580</v>
      </c>
      <c r="S266" s="130">
        <f t="shared" si="6"/>
        <v>6580</v>
      </c>
      <c r="T266" s="130">
        <v>754.44657534246574</v>
      </c>
      <c r="U266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الشراء-الاستلام]]&lt;DATE(2018,1,1),S266-T266,0))</f>
        <v>5825.5534246575344</v>
      </c>
      <c r="V266" s="169"/>
      <c r="W266" s="116"/>
      <c r="X266" s="116"/>
      <c r="Y266" s="117">
        <f>Table5101345411[[#This Row],[عدد الإضافات]]*Table5101345411[[#This Row],[سعر الحبة المضافة]]</f>
        <v>0</v>
      </c>
      <c r="Z266" s="101"/>
      <c r="AA266" s="102"/>
      <c r="AB266" s="103"/>
      <c r="AC266" s="103"/>
      <c r="AD266" s="103"/>
      <c r="AE266" s="103"/>
      <c r="AF266" s="103">
        <f>Table5101345411[[#This Row],[العدد]]*Table5101345411[[#This Row],[قيمة الشراء]]</f>
        <v>0</v>
      </c>
      <c r="AG266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66" s="190">
        <f>Table5101345411[[#This Row],[الكمية]]+Table5101345411[[#This Row],[عدد الإضافات]]-Table5101345411[[#This Row],[العدد]]</f>
        <v>1</v>
      </c>
      <c r="AI266" s="78">
        <f>Table5101345411[[#This Row],[الإجمالي]]+Table5101345411[[#This Row],[إجمالي الإضافات]]-Table5101345411[[#This Row],[إجمالي المستبعد]]</f>
        <v>6580</v>
      </c>
      <c r="AJ266" s="62">
        <v>0.125</v>
      </c>
      <c r="AK266" s="219"/>
      <c r="AL266" s="58" t="s">
        <v>61</v>
      </c>
      <c r="AM266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822.5</v>
      </c>
      <c r="AN266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66" s="79">
        <f>Table5101345411[[#This Row],[اهلاك المستبعد
في 2018]]+Table5101345411[[#This Row],[مجمع إهلاك المستبعد 
01-01-2018]]</f>
        <v>0</v>
      </c>
      <c r="AP266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66" s="220"/>
      <c r="AR266" s="78">
        <f>IF(OR(Table5101345411[[#This Row],[تاريخ الشراء-الاستلام]]="",Table5101345411[[#This Row],[الإجمالي]]="",Table5101345411[[#This Row],[العمر الافتراضي]]=""),"",IF(((T266+AM266)-Table5101345411[[#This Row],[مجمع إهلاك المستبعد 
بتاريخ الأستبعاد]])&lt;=0,0,((T266+AM266)-Table5101345411[[#This Row],[مجمع إهلاك المستبعد 
بتاريخ الأستبعاد]])))</f>
        <v>1576.9465753424656</v>
      </c>
      <c r="AS266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الشراء-الاستلام]]&gt;DATE(2018,12,31),0,AI266-AR266)))</f>
        <v>5003.0534246575344</v>
      </c>
    </row>
    <row r="267" spans="1:45" s="141" customFormat="1" ht="83.25" customHeight="1">
      <c r="A267" s="118">
        <f>IF(B267="","",SUBTOTAL(3,$B$6:B267))</f>
        <v>262</v>
      </c>
      <c r="B267" s="58" t="s">
        <v>318</v>
      </c>
      <c r="C267" s="59" t="s">
        <v>54</v>
      </c>
      <c r="D267" s="59" t="s">
        <v>157</v>
      </c>
      <c r="E267" s="59" t="s">
        <v>157</v>
      </c>
      <c r="F267" s="226" t="s">
        <v>157</v>
      </c>
      <c r="G267" s="226"/>
      <c r="H267" s="58" t="s">
        <v>57</v>
      </c>
      <c r="I267" s="58" t="s">
        <v>85</v>
      </c>
      <c r="J267" s="58" t="s">
        <v>64</v>
      </c>
      <c r="K267" s="58"/>
      <c r="L267" s="60"/>
      <c r="M267" s="77">
        <v>42858</v>
      </c>
      <c r="N267" s="77"/>
      <c r="O267" s="150" t="s">
        <v>319</v>
      </c>
      <c r="P267" s="122">
        <v>1</v>
      </c>
      <c r="Q267" s="123"/>
      <c r="R267" s="130">
        <v>3070</v>
      </c>
      <c r="S267" s="130">
        <f t="shared" si="6"/>
        <v>3070</v>
      </c>
      <c r="T267" s="130">
        <v>305.31780821917806</v>
      </c>
      <c r="U267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الشراء-الاستلام]]&lt;DATE(2018,1,1),S267-T267,0))</f>
        <v>2764.682191780822</v>
      </c>
      <c r="V267" s="169"/>
      <c r="W267" s="116"/>
      <c r="X267" s="116"/>
      <c r="Y267" s="117">
        <f>Table5101345411[[#This Row],[عدد الإضافات]]*Table5101345411[[#This Row],[سعر الحبة المضافة]]</f>
        <v>0</v>
      </c>
      <c r="Z267" s="101"/>
      <c r="AA267" s="102"/>
      <c r="AB267" s="103"/>
      <c r="AC267" s="103"/>
      <c r="AD267" s="103"/>
      <c r="AE267" s="103"/>
      <c r="AF267" s="103">
        <f>Table5101345411[[#This Row],[العدد]]*Table5101345411[[#This Row],[قيمة الشراء]]</f>
        <v>0</v>
      </c>
      <c r="AG267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67" s="190">
        <f>Table5101345411[[#This Row],[الكمية]]+Table5101345411[[#This Row],[عدد الإضافات]]-Table5101345411[[#This Row],[العدد]]</f>
        <v>1</v>
      </c>
      <c r="AI267" s="78">
        <f>Table5101345411[[#This Row],[الإجمالي]]+Table5101345411[[#This Row],[إجمالي الإضافات]]-Table5101345411[[#This Row],[إجمالي المستبعد]]</f>
        <v>3070</v>
      </c>
      <c r="AJ267" s="62">
        <v>0.125</v>
      </c>
      <c r="AK267" s="219"/>
      <c r="AL267" s="58" t="s">
        <v>61</v>
      </c>
      <c r="AM267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383.75</v>
      </c>
      <c r="AN267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67" s="79">
        <f>Table5101345411[[#This Row],[اهلاك المستبعد
في 2018]]+Table5101345411[[#This Row],[مجمع إهلاك المستبعد 
01-01-2018]]</f>
        <v>0</v>
      </c>
      <c r="AP267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67" s="220"/>
      <c r="AR267" s="78">
        <f>IF(OR(Table5101345411[[#This Row],[تاريخ الشراء-الاستلام]]="",Table5101345411[[#This Row],[الإجمالي]]="",Table5101345411[[#This Row],[العمر الافتراضي]]=""),"",IF(((T267+AM267)-Table5101345411[[#This Row],[مجمع إهلاك المستبعد 
بتاريخ الأستبعاد]])&lt;=0,0,((T267+AM267)-Table5101345411[[#This Row],[مجمع إهلاك المستبعد 
بتاريخ الأستبعاد]])))</f>
        <v>689.067808219178</v>
      </c>
      <c r="AS267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الشراء-الاستلام]]&gt;DATE(2018,12,31),0,AI267-AR267)))</f>
        <v>2380.932191780822</v>
      </c>
    </row>
    <row r="268" spans="1:45" s="141" customFormat="1" ht="83.25" customHeight="1">
      <c r="A268" s="118">
        <f>IF(B268="","",SUBTOTAL(3,$B$6:B268))</f>
        <v>263</v>
      </c>
      <c r="B268" s="58" t="s">
        <v>62</v>
      </c>
      <c r="C268" s="59" t="s">
        <v>54</v>
      </c>
      <c r="D268" s="59" t="s">
        <v>522</v>
      </c>
      <c r="E268" s="59" t="s">
        <v>523</v>
      </c>
      <c r="F268" s="226" t="s">
        <v>523</v>
      </c>
      <c r="G268" s="226"/>
      <c r="H268" s="58" t="s">
        <v>57</v>
      </c>
      <c r="I268" s="58" t="s">
        <v>85</v>
      </c>
      <c r="J268" s="58" t="s">
        <v>64</v>
      </c>
      <c r="K268" s="58"/>
      <c r="L268" s="60"/>
      <c r="M268" s="77">
        <v>43085</v>
      </c>
      <c r="N268" s="77" t="s">
        <v>278</v>
      </c>
      <c r="O268" s="150" t="s">
        <v>279</v>
      </c>
      <c r="P268" s="122">
        <v>47</v>
      </c>
      <c r="Q268" s="123"/>
      <c r="R268" s="130">
        <v>750</v>
      </c>
      <c r="S268" s="130">
        <f t="shared" si="6"/>
        <v>35250</v>
      </c>
      <c r="T268" s="130">
        <v>217.29452054794521</v>
      </c>
      <c r="U268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الشراء-الاستلام]]&lt;DATE(2018,1,1),S268-T268,0))</f>
        <v>35032.705479452052</v>
      </c>
      <c r="V268" s="169"/>
      <c r="W268" s="116"/>
      <c r="X268" s="116"/>
      <c r="Y268" s="117">
        <f>Table5101345411[[#This Row],[عدد الإضافات]]*Table5101345411[[#This Row],[سعر الحبة المضافة]]</f>
        <v>0</v>
      </c>
      <c r="Z268" s="101"/>
      <c r="AA268" s="102"/>
      <c r="AB268" s="103"/>
      <c r="AC268" s="103"/>
      <c r="AD268" s="103"/>
      <c r="AE268" s="103"/>
      <c r="AF268" s="103">
        <f>Table5101345411[[#This Row],[العدد]]*Table5101345411[[#This Row],[قيمة الشراء]]</f>
        <v>0</v>
      </c>
      <c r="AG268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68" s="190">
        <f>Table5101345411[[#This Row],[الكمية]]+Table5101345411[[#This Row],[عدد الإضافات]]-Table5101345411[[#This Row],[العدد]]</f>
        <v>47</v>
      </c>
      <c r="AI268" s="78">
        <f>Table5101345411[[#This Row],[الإجمالي]]+Table5101345411[[#This Row],[إجمالي الإضافات]]-Table5101345411[[#This Row],[إجمالي المستبعد]]</f>
        <v>35250</v>
      </c>
      <c r="AJ268" s="62">
        <v>0.125</v>
      </c>
      <c r="AK268" s="219"/>
      <c r="AL268" s="58" t="s">
        <v>61</v>
      </c>
      <c r="AM268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4406.25</v>
      </c>
      <c r="AN268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68" s="79">
        <f>Table5101345411[[#This Row],[اهلاك المستبعد
في 2018]]+Table5101345411[[#This Row],[مجمع إهلاك المستبعد 
01-01-2018]]</f>
        <v>0</v>
      </c>
      <c r="AP268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68" s="220"/>
      <c r="AR268" s="78">
        <f>IF(OR(Table5101345411[[#This Row],[تاريخ الشراء-الاستلام]]="",Table5101345411[[#This Row],[الإجمالي]]="",Table5101345411[[#This Row],[العمر الافتراضي]]=""),"",IF(((T268+AM268)-Table5101345411[[#This Row],[مجمع إهلاك المستبعد 
بتاريخ الأستبعاد]])&lt;=0,0,((T268+AM268)-Table5101345411[[#This Row],[مجمع إهلاك المستبعد 
بتاريخ الأستبعاد]])))</f>
        <v>4623.5445205479455</v>
      </c>
      <c r="AS268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الشراء-الاستلام]]&gt;DATE(2018,12,31),0,AI268-AR268)))</f>
        <v>30626.455479452055</v>
      </c>
    </row>
    <row r="269" spans="1:45" s="140" customFormat="1" ht="83.25" customHeight="1">
      <c r="A269" s="118">
        <f>IF(B269="","",SUBTOTAL(3,$B$6:B269))</f>
        <v>264</v>
      </c>
      <c r="B269" s="58" t="s">
        <v>320</v>
      </c>
      <c r="C269" s="59" t="s">
        <v>54</v>
      </c>
      <c r="D269" s="59" t="s">
        <v>56</v>
      </c>
      <c r="E269" s="59" t="s">
        <v>55</v>
      </c>
      <c r="F269" s="226" t="s">
        <v>55</v>
      </c>
      <c r="G269" s="226"/>
      <c r="H269" s="58" t="s">
        <v>58</v>
      </c>
      <c r="I269" s="58" t="s">
        <v>58</v>
      </c>
      <c r="J269" s="58" t="s">
        <v>74</v>
      </c>
      <c r="K269" s="58"/>
      <c r="L269" s="60"/>
      <c r="M269" s="77">
        <v>42757</v>
      </c>
      <c r="N269" s="77"/>
      <c r="O269" s="150" t="s">
        <v>321</v>
      </c>
      <c r="P269" s="122">
        <v>5</v>
      </c>
      <c r="Q269" s="123"/>
      <c r="R269" s="130">
        <v>1250</v>
      </c>
      <c r="S269" s="130">
        <f t="shared" si="6"/>
        <v>6250</v>
      </c>
      <c r="T269" s="130">
        <v>880.99315068493149</v>
      </c>
      <c r="U269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الشراء-الاستلام]]&lt;DATE(2018,1,1),S269-T269,0))</f>
        <v>5369.0068493150684</v>
      </c>
      <c r="V269" s="169"/>
      <c r="W269" s="116"/>
      <c r="X269" s="116"/>
      <c r="Y269" s="117">
        <f>Table5101345411[[#This Row],[عدد الإضافات]]*Table5101345411[[#This Row],[سعر الحبة المضافة]]</f>
        <v>0</v>
      </c>
      <c r="Z269" s="101"/>
      <c r="AA269" s="102"/>
      <c r="AB269" s="103"/>
      <c r="AC269" s="103"/>
      <c r="AD269" s="103"/>
      <c r="AE269" s="103"/>
      <c r="AF269" s="103">
        <f>Table5101345411[[#This Row],[العدد]]*Table5101345411[[#This Row],[قيمة الشراء]]</f>
        <v>0</v>
      </c>
      <c r="AG269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69" s="190">
        <f>Table5101345411[[#This Row],[الكمية]]+Table5101345411[[#This Row],[عدد الإضافات]]-Table5101345411[[#This Row],[العدد]]</f>
        <v>5</v>
      </c>
      <c r="AI269" s="78">
        <f>Table5101345411[[#This Row],[الإجمالي]]+Table5101345411[[#This Row],[إجمالي الإضافات]]-Table5101345411[[#This Row],[إجمالي المستبعد]]</f>
        <v>6250</v>
      </c>
      <c r="AJ269" s="62">
        <v>0.125</v>
      </c>
      <c r="AK269" s="219"/>
      <c r="AL269" s="58" t="s">
        <v>61</v>
      </c>
      <c r="AM269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781.25</v>
      </c>
      <c r="AN269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69" s="79">
        <f>Table5101345411[[#This Row],[اهلاك المستبعد
في 2018]]+Table5101345411[[#This Row],[مجمع إهلاك المستبعد 
01-01-2018]]</f>
        <v>0</v>
      </c>
      <c r="AP269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69" s="220"/>
      <c r="AR269" s="78">
        <f>IF(OR(Table5101345411[[#This Row],[تاريخ الشراء-الاستلام]]="",Table5101345411[[#This Row],[الإجمالي]]="",Table5101345411[[#This Row],[العمر الافتراضي]]=""),"",IF(((T269+AM269)-Table5101345411[[#This Row],[مجمع إهلاك المستبعد 
بتاريخ الأستبعاد]])&lt;=0,0,((T269+AM269)-Table5101345411[[#This Row],[مجمع إهلاك المستبعد 
بتاريخ الأستبعاد]])))</f>
        <v>1662.2431506849316</v>
      </c>
      <c r="AS269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الشراء-الاستلام]]&gt;DATE(2018,12,31),0,AI269-AR269)))</f>
        <v>4587.7568493150684</v>
      </c>
    </row>
    <row r="270" spans="1:45" s="140" customFormat="1" ht="83.25" customHeight="1">
      <c r="A270" s="118">
        <f>IF(B270="","",SUBTOTAL(3,$B$6:B270))</f>
        <v>265</v>
      </c>
      <c r="B270" s="58" t="s">
        <v>322</v>
      </c>
      <c r="C270" s="59" t="s">
        <v>54</v>
      </c>
      <c r="D270" s="59" t="s">
        <v>56</v>
      </c>
      <c r="E270" s="59" t="s">
        <v>55</v>
      </c>
      <c r="F270" s="226" t="s">
        <v>55</v>
      </c>
      <c r="G270" s="226"/>
      <c r="H270" s="58" t="s">
        <v>58</v>
      </c>
      <c r="I270" s="58" t="s">
        <v>58</v>
      </c>
      <c r="J270" s="58" t="s">
        <v>74</v>
      </c>
      <c r="K270" s="58"/>
      <c r="L270" s="60"/>
      <c r="M270" s="77">
        <v>42757</v>
      </c>
      <c r="N270" s="77"/>
      <c r="O270" s="150" t="s">
        <v>321</v>
      </c>
      <c r="P270" s="122">
        <v>5</v>
      </c>
      <c r="Q270" s="123"/>
      <c r="R270" s="130">
        <v>550</v>
      </c>
      <c r="S270" s="130">
        <f t="shared" si="6"/>
        <v>2750</v>
      </c>
      <c r="T270" s="130">
        <v>387.63698630136992</v>
      </c>
      <c r="U270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الشراء-الاستلام]]&lt;DATE(2018,1,1),S270-T270,0))</f>
        <v>2362.3630136986303</v>
      </c>
      <c r="V270" s="169"/>
      <c r="W270" s="116"/>
      <c r="X270" s="116"/>
      <c r="Y270" s="117">
        <f>Table5101345411[[#This Row],[عدد الإضافات]]*Table5101345411[[#This Row],[سعر الحبة المضافة]]</f>
        <v>0</v>
      </c>
      <c r="Z270" s="101"/>
      <c r="AA270" s="102"/>
      <c r="AB270" s="103"/>
      <c r="AC270" s="103"/>
      <c r="AD270" s="103"/>
      <c r="AE270" s="103"/>
      <c r="AF270" s="103">
        <f>Table5101345411[[#This Row],[العدد]]*Table5101345411[[#This Row],[قيمة الشراء]]</f>
        <v>0</v>
      </c>
      <c r="AG270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70" s="190">
        <f>Table5101345411[[#This Row],[الكمية]]+Table5101345411[[#This Row],[عدد الإضافات]]-Table5101345411[[#This Row],[العدد]]</f>
        <v>5</v>
      </c>
      <c r="AI270" s="78">
        <f>Table5101345411[[#This Row],[الإجمالي]]+Table5101345411[[#This Row],[إجمالي الإضافات]]-Table5101345411[[#This Row],[إجمالي المستبعد]]</f>
        <v>2750</v>
      </c>
      <c r="AJ270" s="62">
        <v>0.125</v>
      </c>
      <c r="AK270" s="219"/>
      <c r="AL270" s="58" t="s">
        <v>61</v>
      </c>
      <c r="AM270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343.75</v>
      </c>
      <c r="AN270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70" s="79">
        <f>Table5101345411[[#This Row],[اهلاك المستبعد
في 2018]]+Table5101345411[[#This Row],[مجمع إهلاك المستبعد 
01-01-2018]]</f>
        <v>0</v>
      </c>
      <c r="AP270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70" s="220"/>
      <c r="AR270" s="78">
        <f>IF(OR(Table5101345411[[#This Row],[تاريخ الشراء-الاستلام]]="",Table5101345411[[#This Row],[الإجمالي]]="",Table5101345411[[#This Row],[العمر الافتراضي]]=""),"",IF(((T270+AM270)-Table5101345411[[#This Row],[مجمع إهلاك المستبعد 
بتاريخ الأستبعاد]])&lt;=0,0,((T270+AM270)-Table5101345411[[#This Row],[مجمع إهلاك المستبعد 
بتاريخ الأستبعاد]])))</f>
        <v>731.38698630136992</v>
      </c>
      <c r="AS270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الشراء-الاستلام]]&gt;DATE(2018,12,31),0,AI270-AR270)))</f>
        <v>2018.6130136986301</v>
      </c>
    </row>
    <row r="271" spans="1:45" s="140" customFormat="1" ht="83.25" customHeight="1">
      <c r="A271" s="118">
        <f>IF(B271="","",SUBTOTAL(3,$B$6:B271))</f>
        <v>266</v>
      </c>
      <c r="B271" s="58" t="s">
        <v>323</v>
      </c>
      <c r="C271" s="59" t="s">
        <v>54</v>
      </c>
      <c r="D271" s="59" t="s">
        <v>56</v>
      </c>
      <c r="E271" s="59" t="s">
        <v>55</v>
      </c>
      <c r="F271" s="226" t="s">
        <v>55</v>
      </c>
      <c r="G271" s="226"/>
      <c r="H271" s="58" t="s">
        <v>58</v>
      </c>
      <c r="I271" s="58" t="s">
        <v>58</v>
      </c>
      <c r="J271" s="58" t="s">
        <v>74</v>
      </c>
      <c r="K271" s="58"/>
      <c r="L271" s="60"/>
      <c r="M271" s="77">
        <v>42757</v>
      </c>
      <c r="N271" s="77"/>
      <c r="O271" s="150" t="s">
        <v>321</v>
      </c>
      <c r="P271" s="122">
        <v>5</v>
      </c>
      <c r="Q271" s="123"/>
      <c r="R271" s="130">
        <v>450</v>
      </c>
      <c r="S271" s="130">
        <f t="shared" si="6"/>
        <v>2250</v>
      </c>
      <c r="T271" s="130">
        <v>317.15753424657538</v>
      </c>
      <c r="U271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الشراء-الاستلام]]&lt;DATE(2018,1,1),S271-T271,0))</f>
        <v>1932.8424657534247</v>
      </c>
      <c r="V271" s="169"/>
      <c r="W271" s="116"/>
      <c r="X271" s="116"/>
      <c r="Y271" s="117">
        <f>Table5101345411[[#This Row],[عدد الإضافات]]*Table5101345411[[#This Row],[سعر الحبة المضافة]]</f>
        <v>0</v>
      </c>
      <c r="Z271" s="101"/>
      <c r="AA271" s="102"/>
      <c r="AB271" s="103"/>
      <c r="AC271" s="103"/>
      <c r="AD271" s="103"/>
      <c r="AE271" s="103"/>
      <c r="AF271" s="103">
        <f>Table5101345411[[#This Row],[العدد]]*Table5101345411[[#This Row],[قيمة الشراء]]</f>
        <v>0</v>
      </c>
      <c r="AG271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71" s="190">
        <f>Table5101345411[[#This Row],[الكمية]]+Table5101345411[[#This Row],[عدد الإضافات]]-Table5101345411[[#This Row],[العدد]]</f>
        <v>5</v>
      </c>
      <c r="AI271" s="78">
        <f>Table5101345411[[#This Row],[الإجمالي]]+Table5101345411[[#This Row],[إجمالي الإضافات]]-Table5101345411[[#This Row],[إجمالي المستبعد]]</f>
        <v>2250</v>
      </c>
      <c r="AJ271" s="62">
        <v>0.125</v>
      </c>
      <c r="AK271" s="219"/>
      <c r="AL271" s="58" t="s">
        <v>61</v>
      </c>
      <c r="AM271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281.25</v>
      </c>
      <c r="AN271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71" s="79">
        <f>Table5101345411[[#This Row],[اهلاك المستبعد
في 2018]]+Table5101345411[[#This Row],[مجمع إهلاك المستبعد 
01-01-2018]]</f>
        <v>0</v>
      </c>
      <c r="AP271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71" s="220"/>
      <c r="AR271" s="78">
        <f>IF(OR(Table5101345411[[#This Row],[تاريخ الشراء-الاستلام]]="",Table5101345411[[#This Row],[الإجمالي]]="",Table5101345411[[#This Row],[العمر الافتراضي]]=""),"",IF(((T271+AM271)-Table5101345411[[#This Row],[مجمع إهلاك المستبعد 
بتاريخ الأستبعاد]])&lt;=0,0,((T271+AM271)-Table5101345411[[#This Row],[مجمع إهلاك المستبعد 
بتاريخ الأستبعاد]])))</f>
        <v>598.40753424657532</v>
      </c>
      <c r="AS271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الشراء-الاستلام]]&gt;DATE(2018,12,31),0,AI271-AR271)))</f>
        <v>1651.5924657534247</v>
      </c>
    </row>
    <row r="272" spans="1:45" s="140" customFormat="1" ht="83.25" customHeight="1">
      <c r="A272" s="118">
        <f>IF(B272="","",SUBTOTAL(3,$B$6:B272))</f>
        <v>267</v>
      </c>
      <c r="B272" s="58" t="s">
        <v>324</v>
      </c>
      <c r="C272" s="59" t="s">
        <v>54</v>
      </c>
      <c r="D272" s="59" t="s">
        <v>56</v>
      </c>
      <c r="E272" s="59" t="s">
        <v>55</v>
      </c>
      <c r="F272" s="226" t="s">
        <v>55</v>
      </c>
      <c r="G272" s="226"/>
      <c r="H272" s="58" t="s">
        <v>58</v>
      </c>
      <c r="I272" s="58" t="s">
        <v>58</v>
      </c>
      <c r="J272" s="58" t="s">
        <v>74</v>
      </c>
      <c r="K272" s="58"/>
      <c r="L272" s="60"/>
      <c r="M272" s="77">
        <v>42757</v>
      </c>
      <c r="N272" s="77"/>
      <c r="O272" s="150" t="s">
        <v>321</v>
      </c>
      <c r="P272" s="122">
        <v>2</v>
      </c>
      <c r="Q272" s="123"/>
      <c r="R272" s="130">
        <v>600</v>
      </c>
      <c r="S272" s="130">
        <f t="shared" si="6"/>
        <v>1200</v>
      </c>
      <c r="T272" s="130">
        <v>169.15068493150685</v>
      </c>
      <c r="U272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الشراء-الاستلام]]&lt;DATE(2018,1,1),S272-T272,0))</f>
        <v>1030.8493150684931</v>
      </c>
      <c r="V272" s="169"/>
      <c r="W272" s="116"/>
      <c r="X272" s="116"/>
      <c r="Y272" s="117">
        <f>Table5101345411[[#This Row],[عدد الإضافات]]*Table5101345411[[#This Row],[سعر الحبة المضافة]]</f>
        <v>0</v>
      </c>
      <c r="Z272" s="101"/>
      <c r="AA272" s="102"/>
      <c r="AB272" s="103"/>
      <c r="AC272" s="103"/>
      <c r="AD272" s="103"/>
      <c r="AE272" s="103"/>
      <c r="AF272" s="103">
        <f>Table5101345411[[#This Row],[العدد]]*Table5101345411[[#This Row],[قيمة الشراء]]</f>
        <v>0</v>
      </c>
      <c r="AG272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72" s="190">
        <f>Table5101345411[[#This Row],[الكمية]]+Table5101345411[[#This Row],[عدد الإضافات]]-Table5101345411[[#This Row],[العدد]]</f>
        <v>2</v>
      </c>
      <c r="AI272" s="78">
        <f>Table5101345411[[#This Row],[الإجمالي]]+Table5101345411[[#This Row],[إجمالي الإضافات]]-Table5101345411[[#This Row],[إجمالي المستبعد]]</f>
        <v>1200</v>
      </c>
      <c r="AJ272" s="62">
        <v>0.125</v>
      </c>
      <c r="AK272" s="219"/>
      <c r="AL272" s="58" t="s">
        <v>61</v>
      </c>
      <c r="AM272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150</v>
      </c>
      <c r="AN272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72" s="79">
        <f>Table5101345411[[#This Row],[اهلاك المستبعد
في 2018]]+Table5101345411[[#This Row],[مجمع إهلاك المستبعد 
01-01-2018]]</f>
        <v>0</v>
      </c>
      <c r="AP272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72" s="220"/>
      <c r="AR272" s="78">
        <f>IF(OR(Table5101345411[[#This Row],[تاريخ الشراء-الاستلام]]="",Table5101345411[[#This Row],[الإجمالي]]="",Table5101345411[[#This Row],[العمر الافتراضي]]=""),"",IF(((T272+AM272)-Table5101345411[[#This Row],[مجمع إهلاك المستبعد 
بتاريخ الأستبعاد]])&lt;=0,0,((T272+AM272)-Table5101345411[[#This Row],[مجمع إهلاك المستبعد 
بتاريخ الأستبعاد]])))</f>
        <v>319.15068493150682</v>
      </c>
      <c r="AS272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الشراء-الاستلام]]&gt;DATE(2018,12,31),0,AI272-AR272)))</f>
        <v>880.84931506849318</v>
      </c>
    </row>
    <row r="273" spans="1:45" s="141" customFormat="1" ht="83.25" customHeight="1">
      <c r="A273" s="118">
        <f>IF(B273="","",SUBTOTAL(3,$B$6:B273))</f>
        <v>268</v>
      </c>
      <c r="B273" s="58" t="s">
        <v>325</v>
      </c>
      <c r="C273" s="59" t="s">
        <v>54</v>
      </c>
      <c r="D273" s="59" t="s">
        <v>367</v>
      </c>
      <c r="E273" s="59" t="s">
        <v>516</v>
      </c>
      <c r="F273" s="226" t="s">
        <v>516</v>
      </c>
      <c r="G273" s="226"/>
      <c r="H273" s="58" t="s">
        <v>58</v>
      </c>
      <c r="I273" s="58" t="s">
        <v>58</v>
      </c>
      <c r="J273" s="58" t="s">
        <v>74</v>
      </c>
      <c r="K273" s="58"/>
      <c r="L273" s="60"/>
      <c r="M273" s="77">
        <v>43017</v>
      </c>
      <c r="N273" s="77"/>
      <c r="O273" s="150" t="s">
        <v>326</v>
      </c>
      <c r="P273" s="122">
        <v>6</v>
      </c>
      <c r="Q273" s="123"/>
      <c r="R273" s="130">
        <v>1300</v>
      </c>
      <c r="S273" s="130">
        <f t="shared" si="6"/>
        <v>7800</v>
      </c>
      <c r="T273" s="130">
        <v>266.05479452054794</v>
      </c>
      <c r="U273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الشراء-الاستلام]]&lt;DATE(2018,1,1),S273-T273,0))</f>
        <v>7533.9452054794519</v>
      </c>
      <c r="V273" s="169"/>
      <c r="W273" s="116"/>
      <c r="X273" s="116"/>
      <c r="Y273" s="117">
        <f>Table5101345411[[#This Row],[عدد الإضافات]]*Table5101345411[[#This Row],[سعر الحبة المضافة]]</f>
        <v>0</v>
      </c>
      <c r="Z273" s="101"/>
      <c r="AA273" s="102"/>
      <c r="AB273" s="103"/>
      <c r="AC273" s="103"/>
      <c r="AD273" s="103"/>
      <c r="AE273" s="103"/>
      <c r="AF273" s="103">
        <f>Table5101345411[[#This Row],[العدد]]*Table5101345411[[#This Row],[قيمة الشراء]]</f>
        <v>0</v>
      </c>
      <c r="AG273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73" s="190">
        <f>Table5101345411[[#This Row],[الكمية]]+Table5101345411[[#This Row],[عدد الإضافات]]-Table5101345411[[#This Row],[العدد]]</f>
        <v>6</v>
      </c>
      <c r="AI273" s="78">
        <f>Table5101345411[[#This Row],[الإجمالي]]+Table5101345411[[#This Row],[إجمالي الإضافات]]-Table5101345411[[#This Row],[إجمالي المستبعد]]</f>
        <v>7800</v>
      </c>
      <c r="AJ273" s="62">
        <v>0.125</v>
      </c>
      <c r="AK273" s="219"/>
      <c r="AL273" s="58" t="s">
        <v>61</v>
      </c>
      <c r="AM273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975</v>
      </c>
      <c r="AN273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73" s="79">
        <f>Table5101345411[[#This Row],[اهلاك المستبعد
في 2018]]+Table5101345411[[#This Row],[مجمع إهلاك المستبعد 
01-01-2018]]</f>
        <v>0</v>
      </c>
      <c r="AP273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73" s="220"/>
      <c r="AR273" s="78">
        <f>IF(OR(Table5101345411[[#This Row],[تاريخ الشراء-الاستلام]]="",Table5101345411[[#This Row],[الإجمالي]]="",Table5101345411[[#This Row],[العمر الافتراضي]]=""),"",IF(((T273+AM273)-Table5101345411[[#This Row],[مجمع إهلاك المستبعد 
بتاريخ الأستبعاد]])&lt;=0,0,((T273+AM273)-Table5101345411[[#This Row],[مجمع إهلاك المستبعد 
بتاريخ الأستبعاد]])))</f>
        <v>1241.0547945205481</v>
      </c>
      <c r="AS273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الشراء-الاستلام]]&gt;DATE(2018,12,31),0,AI273-AR273)))</f>
        <v>6558.9452054794519</v>
      </c>
    </row>
    <row r="274" spans="1:45" s="141" customFormat="1" ht="83.25" customHeight="1">
      <c r="A274" s="118">
        <f>IF(B274="","",SUBTOTAL(3,$B$6:B274))</f>
        <v>269</v>
      </c>
      <c r="B274" s="58" t="s">
        <v>327</v>
      </c>
      <c r="C274" s="59" t="s">
        <v>54</v>
      </c>
      <c r="D274" s="59" t="s">
        <v>367</v>
      </c>
      <c r="E274" s="59" t="s">
        <v>516</v>
      </c>
      <c r="F274" s="226" t="s">
        <v>516</v>
      </c>
      <c r="G274" s="226"/>
      <c r="H274" s="58" t="s">
        <v>58</v>
      </c>
      <c r="I274" s="58" t="s">
        <v>58</v>
      </c>
      <c r="J274" s="58" t="s">
        <v>74</v>
      </c>
      <c r="K274" s="58"/>
      <c r="L274" s="60"/>
      <c r="M274" s="77">
        <v>43017</v>
      </c>
      <c r="N274" s="77"/>
      <c r="O274" s="150" t="s">
        <v>326</v>
      </c>
      <c r="P274" s="122">
        <v>4</v>
      </c>
      <c r="Q274" s="123"/>
      <c r="R274" s="130">
        <v>1300</v>
      </c>
      <c r="S274" s="130">
        <f t="shared" si="6"/>
        <v>5200</v>
      </c>
      <c r="T274" s="130">
        <v>177.36986301369865</v>
      </c>
      <c r="U274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الشراء-الاستلام]]&lt;DATE(2018,1,1),S274-T274,0))</f>
        <v>5022.6301369863013</v>
      </c>
      <c r="V274" s="169"/>
      <c r="W274" s="116"/>
      <c r="X274" s="116"/>
      <c r="Y274" s="117">
        <f>Table5101345411[[#This Row],[عدد الإضافات]]*Table5101345411[[#This Row],[سعر الحبة المضافة]]</f>
        <v>0</v>
      </c>
      <c r="Z274" s="101"/>
      <c r="AA274" s="102"/>
      <c r="AB274" s="103"/>
      <c r="AC274" s="103"/>
      <c r="AD274" s="103"/>
      <c r="AE274" s="103"/>
      <c r="AF274" s="103">
        <f>Table5101345411[[#This Row],[العدد]]*Table5101345411[[#This Row],[قيمة الشراء]]</f>
        <v>0</v>
      </c>
      <c r="AG274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74" s="190">
        <f>Table5101345411[[#This Row],[الكمية]]+Table5101345411[[#This Row],[عدد الإضافات]]-Table5101345411[[#This Row],[العدد]]</f>
        <v>4</v>
      </c>
      <c r="AI274" s="78">
        <f>Table5101345411[[#This Row],[الإجمالي]]+Table5101345411[[#This Row],[إجمالي الإضافات]]-Table5101345411[[#This Row],[إجمالي المستبعد]]</f>
        <v>5200</v>
      </c>
      <c r="AJ274" s="62">
        <v>0.125</v>
      </c>
      <c r="AK274" s="219"/>
      <c r="AL274" s="58" t="s">
        <v>61</v>
      </c>
      <c r="AM274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650</v>
      </c>
      <c r="AN274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74" s="79">
        <f>Table5101345411[[#This Row],[اهلاك المستبعد
في 2018]]+Table5101345411[[#This Row],[مجمع إهلاك المستبعد 
01-01-2018]]</f>
        <v>0</v>
      </c>
      <c r="AP274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74" s="220"/>
      <c r="AR274" s="78">
        <f>IF(OR(Table5101345411[[#This Row],[تاريخ الشراء-الاستلام]]="",Table5101345411[[#This Row],[الإجمالي]]="",Table5101345411[[#This Row],[العمر الافتراضي]]=""),"",IF(((T274+AM274)-Table5101345411[[#This Row],[مجمع إهلاك المستبعد 
بتاريخ الأستبعاد]])&lt;=0,0,((T274+AM274)-Table5101345411[[#This Row],[مجمع إهلاك المستبعد 
بتاريخ الأستبعاد]])))</f>
        <v>827.3698630136987</v>
      </c>
      <c r="AS274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الشراء-الاستلام]]&gt;DATE(2018,12,31),0,AI274-AR274)))</f>
        <v>4372.6301369863013</v>
      </c>
    </row>
    <row r="275" spans="1:45" s="140" customFormat="1" ht="83.25" customHeight="1">
      <c r="A275" s="118">
        <f>IF(B275="","",SUBTOTAL(3,$B$6:B275))</f>
        <v>270</v>
      </c>
      <c r="B275" s="58" t="s">
        <v>328</v>
      </c>
      <c r="C275" s="59" t="s">
        <v>54</v>
      </c>
      <c r="D275" s="59" t="s">
        <v>56</v>
      </c>
      <c r="E275" s="59" t="s">
        <v>55</v>
      </c>
      <c r="F275" s="226" t="s">
        <v>55</v>
      </c>
      <c r="G275" s="226"/>
      <c r="H275" s="58" t="s">
        <v>58</v>
      </c>
      <c r="I275" s="58" t="s">
        <v>58</v>
      </c>
      <c r="J275" s="58" t="s">
        <v>74</v>
      </c>
      <c r="K275" s="58"/>
      <c r="L275" s="60"/>
      <c r="M275" s="77">
        <v>43016</v>
      </c>
      <c r="N275" s="77"/>
      <c r="O275" s="150" t="s">
        <v>329</v>
      </c>
      <c r="P275" s="122">
        <v>1</v>
      </c>
      <c r="Q275" s="123"/>
      <c r="R275" s="130">
        <v>3500</v>
      </c>
      <c r="S275" s="130">
        <f t="shared" si="6"/>
        <v>3500</v>
      </c>
      <c r="T275" s="130">
        <v>120.82191780821918</v>
      </c>
      <c r="U275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الشراء-الاستلام]]&lt;DATE(2018,1,1),S275-T275,0))</f>
        <v>3379.178082191781</v>
      </c>
      <c r="V275" s="169"/>
      <c r="W275" s="116"/>
      <c r="X275" s="116"/>
      <c r="Y275" s="117">
        <f>Table5101345411[[#This Row],[عدد الإضافات]]*Table5101345411[[#This Row],[سعر الحبة المضافة]]</f>
        <v>0</v>
      </c>
      <c r="Z275" s="101"/>
      <c r="AA275" s="102"/>
      <c r="AB275" s="103"/>
      <c r="AC275" s="103"/>
      <c r="AD275" s="103"/>
      <c r="AE275" s="103"/>
      <c r="AF275" s="103">
        <f>Table5101345411[[#This Row],[العدد]]*Table5101345411[[#This Row],[قيمة الشراء]]</f>
        <v>0</v>
      </c>
      <c r="AG275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75" s="190">
        <f>Table5101345411[[#This Row],[الكمية]]+Table5101345411[[#This Row],[عدد الإضافات]]-Table5101345411[[#This Row],[العدد]]</f>
        <v>1</v>
      </c>
      <c r="AI275" s="78">
        <f>Table5101345411[[#This Row],[الإجمالي]]+Table5101345411[[#This Row],[إجمالي الإضافات]]-Table5101345411[[#This Row],[إجمالي المستبعد]]</f>
        <v>3500</v>
      </c>
      <c r="AJ275" s="62">
        <v>0.125</v>
      </c>
      <c r="AK275" s="219"/>
      <c r="AL275" s="58" t="s">
        <v>61</v>
      </c>
      <c r="AM275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437.5</v>
      </c>
      <c r="AN275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75" s="79">
        <f>Table5101345411[[#This Row],[اهلاك المستبعد
في 2018]]+Table5101345411[[#This Row],[مجمع إهلاك المستبعد 
01-01-2018]]</f>
        <v>0</v>
      </c>
      <c r="AP275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75" s="220"/>
      <c r="AR275" s="78">
        <f>IF(OR(Table5101345411[[#This Row],[تاريخ الشراء-الاستلام]]="",Table5101345411[[#This Row],[الإجمالي]]="",Table5101345411[[#This Row],[العمر الافتراضي]]=""),"",IF(((T275+AM275)-Table5101345411[[#This Row],[مجمع إهلاك المستبعد 
بتاريخ الأستبعاد]])&lt;=0,0,((T275+AM275)-Table5101345411[[#This Row],[مجمع إهلاك المستبعد 
بتاريخ الأستبعاد]])))</f>
        <v>558.32191780821915</v>
      </c>
      <c r="AS275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الشراء-الاستلام]]&gt;DATE(2018,12,31),0,AI275-AR275)))</f>
        <v>2941.678082191781</v>
      </c>
    </row>
    <row r="276" spans="1:45" s="140" customFormat="1" ht="83.25" customHeight="1">
      <c r="A276" s="118">
        <f>IF(B276="","",SUBTOTAL(3,$B$6:B276))</f>
        <v>271</v>
      </c>
      <c r="B276" s="58" t="s">
        <v>330</v>
      </c>
      <c r="C276" s="59" t="s">
        <v>54</v>
      </c>
      <c r="D276" s="59" t="s">
        <v>56</v>
      </c>
      <c r="E276" s="59" t="s">
        <v>55</v>
      </c>
      <c r="F276" s="226" t="s">
        <v>55</v>
      </c>
      <c r="G276" s="226"/>
      <c r="H276" s="58" t="s">
        <v>58</v>
      </c>
      <c r="I276" s="58" t="s">
        <v>58</v>
      </c>
      <c r="J276" s="58" t="s">
        <v>74</v>
      </c>
      <c r="K276" s="58"/>
      <c r="L276" s="60"/>
      <c r="M276" s="77">
        <v>43016</v>
      </c>
      <c r="N276" s="77"/>
      <c r="O276" s="150" t="s">
        <v>329</v>
      </c>
      <c r="P276" s="122">
        <v>1</v>
      </c>
      <c r="Q276" s="123"/>
      <c r="R276" s="130">
        <v>650</v>
      </c>
      <c r="S276" s="130">
        <f t="shared" si="6"/>
        <v>650</v>
      </c>
      <c r="T276" s="130">
        <v>22.438356164383563</v>
      </c>
      <c r="U276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الشراء-الاستلام]]&lt;DATE(2018,1,1),S276-T276,0))</f>
        <v>627.56164383561645</v>
      </c>
      <c r="V276" s="169"/>
      <c r="W276" s="116"/>
      <c r="X276" s="116"/>
      <c r="Y276" s="117">
        <f>Table5101345411[[#This Row],[عدد الإضافات]]*Table5101345411[[#This Row],[سعر الحبة المضافة]]</f>
        <v>0</v>
      </c>
      <c r="Z276" s="101"/>
      <c r="AA276" s="102"/>
      <c r="AB276" s="103"/>
      <c r="AC276" s="103"/>
      <c r="AD276" s="103"/>
      <c r="AE276" s="103"/>
      <c r="AF276" s="103">
        <f>Table5101345411[[#This Row],[العدد]]*Table5101345411[[#This Row],[قيمة الشراء]]</f>
        <v>0</v>
      </c>
      <c r="AG276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76" s="190">
        <f>Table5101345411[[#This Row],[الكمية]]+Table5101345411[[#This Row],[عدد الإضافات]]-Table5101345411[[#This Row],[العدد]]</f>
        <v>1</v>
      </c>
      <c r="AI276" s="78">
        <f>Table5101345411[[#This Row],[الإجمالي]]+Table5101345411[[#This Row],[إجمالي الإضافات]]-Table5101345411[[#This Row],[إجمالي المستبعد]]</f>
        <v>650</v>
      </c>
      <c r="AJ276" s="62">
        <v>0.125</v>
      </c>
      <c r="AK276" s="219"/>
      <c r="AL276" s="58" t="s">
        <v>61</v>
      </c>
      <c r="AM276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81.25</v>
      </c>
      <c r="AN276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76" s="79">
        <f>Table5101345411[[#This Row],[اهلاك المستبعد
في 2018]]+Table5101345411[[#This Row],[مجمع إهلاك المستبعد 
01-01-2018]]</f>
        <v>0</v>
      </c>
      <c r="AP276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76" s="220"/>
      <c r="AR276" s="78">
        <f>IF(OR(Table5101345411[[#This Row],[تاريخ الشراء-الاستلام]]="",Table5101345411[[#This Row],[الإجمالي]]="",Table5101345411[[#This Row],[العمر الافتراضي]]=""),"",IF(((T276+AM276)-Table5101345411[[#This Row],[مجمع إهلاك المستبعد 
بتاريخ الأستبعاد]])&lt;=0,0,((T276+AM276)-Table5101345411[[#This Row],[مجمع إهلاك المستبعد 
بتاريخ الأستبعاد]])))</f>
        <v>103.68835616438356</v>
      </c>
      <c r="AS276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الشراء-الاستلام]]&gt;DATE(2018,12,31),0,AI276-AR276)))</f>
        <v>546.31164383561645</v>
      </c>
    </row>
    <row r="277" spans="1:45" s="140" customFormat="1" ht="83.25" customHeight="1">
      <c r="A277" s="118">
        <f>IF(B277="","",SUBTOTAL(3,$B$6:B277))</f>
        <v>272</v>
      </c>
      <c r="B277" s="58" t="s">
        <v>331</v>
      </c>
      <c r="C277" s="59" t="s">
        <v>54</v>
      </c>
      <c r="D277" s="59" t="s">
        <v>56</v>
      </c>
      <c r="E277" s="59" t="s">
        <v>55</v>
      </c>
      <c r="F277" s="226" t="s">
        <v>55</v>
      </c>
      <c r="G277" s="226"/>
      <c r="H277" s="58" t="s">
        <v>58</v>
      </c>
      <c r="I277" s="58" t="s">
        <v>58</v>
      </c>
      <c r="J277" s="58" t="s">
        <v>74</v>
      </c>
      <c r="K277" s="58"/>
      <c r="L277" s="60"/>
      <c r="M277" s="77">
        <v>43016</v>
      </c>
      <c r="N277" s="77"/>
      <c r="O277" s="150" t="s">
        <v>329</v>
      </c>
      <c r="P277" s="122">
        <v>2</v>
      </c>
      <c r="Q277" s="123"/>
      <c r="R277" s="130">
        <v>450</v>
      </c>
      <c r="S277" s="130">
        <f t="shared" si="6"/>
        <v>900</v>
      </c>
      <c r="T277" s="130">
        <v>31.06849315068493</v>
      </c>
      <c r="U277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الشراء-الاستلام]]&lt;DATE(2018,1,1),S277-T277,0))</f>
        <v>868.93150684931504</v>
      </c>
      <c r="V277" s="169"/>
      <c r="W277" s="116"/>
      <c r="X277" s="116"/>
      <c r="Y277" s="117">
        <f>Table5101345411[[#This Row],[عدد الإضافات]]*Table5101345411[[#This Row],[سعر الحبة المضافة]]</f>
        <v>0</v>
      </c>
      <c r="Z277" s="101"/>
      <c r="AA277" s="102"/>
      <c r="AB277" s="103"/>
      <c r="AC277" s="103"/>
      <c r="AD277" s="103"/>
      <c r="AE277" s="103"/>
      <c r="AF277" s="103">
        <f>Table5101345411[[#This Row],[العدد]]*Table5101345411[[#This Row],[قيمة الشراء]]</f>
        <v>0</v>
      </c>
      <c r="AG277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77" s="190">
        <f>Table5101345411[[#This Row],[الكمية]]+Table5101345411[[#This Row],[عدد الإضافات]]-Table5101345411[[#This Row],[العدد]]</f>
        <v>2</v>
      </c>
      <c r="AI277" s="78">
        <f>Table5101345411[[#This Row],[الإجمالي]]+Table5101345411[[#This Row],[إجمالي الإضافات]]-Table5101345411[[#This Row],[إجمالي المستبعد]]</f>
        <v>900</v>
      </c>
      <c r="AJ277" s="62">
        <v>0.125</v>
      </c>
      <c r="AK277" s="219"/>
      <c r="AL277" s="58" t="s">
        <v>61</v>
      </c>
      <c r="AM277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112.5</v>
      </c>
      <c r="AN277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77" s="79">
        <f>Table5101345411[[#This Row],[اهلاك المستبعد
في 2018]]+Table5101345411[[#This Row],[مجمع إهلاك المستبعد 
01-01-2018]]</f>
        <v>0</v>
      </c>
      <c r="AP277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77" s="220"/>
      <c r="AR277" s="78">
        <f>IF(OR(Table5101345411[[#This Row],[تاريخ الشراء-الاستلام]]="",Table5101345411[[#This Row],[الإجمالي]]="",Table5101345411[[#This Row],[العمر الافتراضي]]=""),"",IF(((T277+AM277)-Table5101345411[[#This Row],[مجمع إهلاك المستبعد 
بتاريخ الأستبعاد]])&lt;=0,0,((T277+AM277)-Table5101345411[[#This Row],[مجمع إهلاك المستبعد 
بتاريخ الأستبعاد]])))</f>
        <v>143.56849315068493</v>
      </c>
      <c r="AS277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الشراء-الاستلام]]&gt;DATE(2018,12,31),0,AI277-AR277)))</f>
        <v>756.43150684931504</v>
      </c>
    </row>
    <row r="278" spans="1:45" s="140" customFormat="1" ht="83.25" customHeight="1">
      <c r="A278" s="118">
        <f>IF(B278="","",SUBTOTAL(3,$B$6:B278))</f>
        <v>273</v>
      </c>
      <c r="B278" s="58" t="s">
        <v>332</v>
      </c>
      <c r="C278" s="59" t="s">
        <v>54</v>
      </c>
      <c r="D278" s="59" t="s">
        <v>56</v>
      </c>
      <c r="E278" s="59" t="s">
        <v>55</v>
      </c>
      <c r="F278" s="226" t="s">
        <v>55</v>
      </c>
      <c r="G278" s="226"/>
      <c r="H278" s="58" t="s">
        <v>58</v>
      </c>
      <c r="I278" s="58" t="s">
        <v>58</v>
      </c>
      <c r="J278" s="58" t="s">
        <v>74</v>
      </c>
      <c r="K278" s="58"/>
      <c r="L278" s="60"/>
      <c r="M278" s="77">
        <v>43016</v>
      </c>
      <c r="N278" s="77"/>
      <c r="O278" s="150" t="s">
        <v>329</v>
      </c>
      <c r="P278" s="122">
        <v>2</v>
      </c>
      <c r="Q278" s="123"/>
      <c r="R278" s="130">
        <v>2375</v>
      </c>
      <c r="S278" s="130">
        <f t="shared" si="6"/>
        <v>4750</v>
      </c>
      <c r="T278" s="130">
        <v>163.97260273972603</v>
      </c>
      <c r="U278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الشراء-الاستلام]]&lt;DATE(2018,1,1),S278-T278,0))</f>
        <v>4586.0273972602736</v>
      </c>
      <c r="V278" s="169"/>
      <c r="W278" s="116"/>
      <c r="X278" s="116"/>
      <c r="Y278" s="117">
        <f>Table5101345411[[#This Row],[عدد الإضافات]]*Table5101345411[[#This Row],[سعر الحبة المضافة]]</f>
        <v>0</v>
      </c>
      <c r="Z278" s="101"/>
      <c r="AA278" s="102"/>
      <c r="AB278" s="103"/>
      <c r="AC278" s="103"/>
      <c r="AD278" s="103"/>
      <c r="AE278" s="103"/>
      <c r="AF278" s="103">
        <f>Table5101345411[[#This Row],[العدد]]*Table5101345411[[#This Row],[قيمة الشراء]]</f>
        <v>0</v>
      </c>
      <c r="AG278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78" s="190">
        <f>Table5101345411[[#This Row],[الكمية]]+Table5101345411[[#This Row],[عدد الإضافات]]-Table5101345411[[#This Row],[العدد]]</f>
        <v>2</v>
      </c>
      <c r="AI278" s="78">
        <f>Table5101345411[[#This Row],[الإجمالي]]+Table5101345411[[#This Row],[إجمالي الإضافات]]-Table5101345411[[#This Row],[إجمالي المستبعد]]</f>
        <v>4750</v>
      </c>
      <c r="AJ278" s="62">
        <v>0.125</v>
      </c>
      <c r="AK278" s="219"/>
      <c r="AL278" s="58" t="s">
        <v>61</v>
      </c>
      <c r="AM278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593.75</v>
      </c>
      <c r="AN278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78" s="79">
        <f>Table5101345411[[#This Row],[اهلاك المستبعد
في 2018]]+Table5101345411[[#This Row],[مجمع إهلاك المستبعد 
01-01-2018]]</f>
        <v>0</v>
      </c>
      <c r="AP278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78" s="220"/>
      <c r="AR278" s="78">
        <f>IF(OR(Table5101345411[[#This Row],[تاريخ الشراء-الاستلام]]="",Table5101345411[[#This Row],[الإجمالي]]="",Table5101345411[[#This Row],[العمر الافتراضي]]=""),"",IF(((T278+AM278)-Table5101345411[[#This Row],[مجمع إهلاك المستبعد 
بتاريخ الأستبعاد]])&lt;=0,0,((T278+AM278)-Table5101345411[[#This Row],[مجمع إهلاك المستبعد 
بتاريخ الأستبعاد]])))</f>
        <v>757.72260273972597</v>
      </c>
      <c r="AS278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الشراء-الاستلام]]&gt;DATE(2018,12,31),0,AI278-AR278)))</f>
        <v>3992.277397260274</v>
      </c>
    </row>
    <row r="279" spans="1:45" s="140" customFormat="1" ht="83.25" customHeight="1">
      <c r="A279" s="118">
        <f>IF(B279="","",SUBTOTAL(3,$B$6:B279))</f>
        <v>274</v>
      </c>
      <c r="B279" s="58" t="s">
        <v>333</v>
      </c>
      <c r="C279" s="59" t="s">
        <v>54</v>
      </c>
      <c r="D279" s="59" t="s">
        <v>56</v>
      </c>
      <c r="E279" s="59" t="s">
        <v>55</v>
      </c>
      <c r="F279" s="226" t="s">
        <v>55</v>
      </c>
      <c r="G279" s="226"/>
      <c r="H279" s="58" t="s">
        <v>58</v>
      </c>
      <c r="I279" s="58" t="s">
        <v>58</v>
      </c>
      <c r="J279" s="58" t="s">
        <v>74</v>
      </c>
      <c r="K279" s="58"/>
      <c r="L279" s="60"/>
      <c r="M279" s="77">
        <v>43016</v>
      </c>
      <c r="N279" s="77"/>
      <c r="O279" s="150" t="s">
        <v>329</v>
      </c>
      <c r="P279" s="122">
        <v>4</v>
      </c>
      <c r="Q279" s="123"/>
      <c r="R279" s="130">
        <v>550</v>
      </c>
      <c r="S279" s="130">
        <f t="shared" si="6"/>
        <v>2200</v>
      </c>
      <c r="T279" s="130">
        <v>75.945205479452056</v>
      </c>
      <c r="U279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الشراء-الاستلام]]&lt;DATE(2018,1,1),S279-T279,0))</f>
        <v>2124.0547945205481</v>
      </c>
      <c r="V279" s="169"/>
      <c r="W279" s="116"/>
      <c r="X279" s="116"/>
      <c r="Y279" s="117">
        <f>Table5101345411[[#This Row],[عدد الإضافات]]*Table5101345411[[#This Row],[سعر الحبة المضافة]]</f>
        <v>0</v>
      </c>
      <c r="Z279" s="101"/>
      <c r="AA279" s="102"/>
      <c r="AB279" s="103"/>
      <c r="AC279" s="103"/>
      <c r="AD279" s="103"/>
      <c r="AE279" s="103"/>
      <c r="AF279" s="103">
        <f>Table5101345411[[#This Row],[العدد]]*Table5101345411[[#This Row],[قيمة الشراء]]</f>
        <v>0</v>
      </c>
      <c r="AG279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79" s="190">
        <f>Table5101345411[[#This Row],[الكمية]]+Table5101345411[[#This Row],[عدد الإضافات]]-Table5101345411[[#This Row],[العدد]]</f>
        <v>4</v>
      </c>
      <c r="AI279" s="78">
        <f>Table5101345411[[#This Row],[الإجمالي]]+Table5101345411[[#This Row],[إجمالي الإضافات]]-Table5101345411[[#This Row],[إجمالي المستبعد]]</f>
        <v>2200</v>
      </c>
      <c r="AJ279" s="62">
        <v>0.125</v>
      </c>
      <c r="AK279" s="219"/>
      <c r="AL279" s="58" t="s">
        <v>61</v>
      </c>
      <c r="AM279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275</v>
      </c>
      <c r="AN279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79" s="79">
        <f>Table5101345411[[#This Row],[اهلاك المستبعد
في 2018]]+Table5101345411[[#This Row],[مجمع إهلاك المستبعد 
01-01-2018]]</f>
        <v>0</v>
      </c>
      <c r="AP279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79" s="220"/>
      <c r="AR279" s="78">
        <f>IF(OR(Table5101345411[[#This Row],[تاريخ الشراء-الاستلام]]="",Table5101345411[[#This Row],[الإجمالي]]="",Table5101345411[[#This Row],[العمر الافتراضي]]=""),"",IF(((T279+AM279)-Table5101345411[[#This Row],[مجمع إهلاك المستبعد 
بتاريخ الأستبعاد]])&lt;=0,0,((T279+AM279)-Table5101345411[[#This Row],[مجمع إهلاك المستبعد 
بتاريخ الأستبعاد]])))</f>
        <v>350.94520547945206</v>
      </c>
      <c r="AS279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الشراء-الاستلام]]&gt;DATE(2018,12,31),0,AI279-AR279)))</f>
        <v>1849.0547945205481</v>
      </c>
    </row>
    <row r="280" spans="1:45" s="140" customFormat="1" ht="83.25" customHeight="1">
      <c r="A280" s="118">
        <f>IF(B280="","",SUBTOTAL(3,$B$6:B280))</f>
        <v>275</v>
      </c>
      <c r="B280" s="58" t="s">
        <v>334</v>
      </c>
      <c r="C280" s="59" t="s">
        <v>54</v>
      </c>
      <c r="D280" s="59" t="s">
        <v>56</v>
      </c>
      <c r="E280" s="59" t="s">
        <v>55</v>
      </c>
      <c r="F280" s="226" t="s">
        <v>55</v>
      </c>
      <c r="G280" s="226"/>
      <c r="H280" s="58" t="s">
        <v>58</v>
      </c>
      <c r="I280" s="58" t="s">
        <v>58</v>
      </c>
      <c r="J280" s="58" t="s">
        <v>74</v>
      </c>
      <c r="K280" s="58"/>
      <c r="L280" s="60"/>
      <c r="M280" s="77">
        <v>43044</v>
      </c>
      <c r="N280" s="77"/>
      <c r="O280" s="150" t="s">
        <v>335</v>
      </c>
      <c r="P280" s="122">
        <v>1</v>
      </c>
      <c r="Q280" s="123"/>
      <c r="R280" s="130">
        <v>1000</v>
      </c>
      <c r="S280" s="130">
        <f t="shared" si="6"/>
        <v>1000</v>
      </c>
      <c r="T280" s="130">
        <v>23.013698630136986</v>
      </c>
      <c r="U280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الشراء-الاستلام]]&lt;DATE(2018,1,1),S280-T280,0))</f>
        <v>976.98630136986299</v>
      </c>
      <c r="V280" s="169"/>
      <c r="W280" s="116"/>
      <c r="X280" s="116"/>
      <c r="Y280" s="117">
        <f>Table5101345411[[#This Row],[عدد الإضافات]]*Table5101345411[[#This Row],[سعر الحبة المضافة]]</f>
        <v>0</v>
      </c>
      <c r="Z280" s="101"/>
      <c r="AA280" s="102"/>
      <c r="AB280" s="103"/>
      <c r="AC280" s="103"/>
      <c r="AD280" s="103"/>
      <c r="AE280" s="103"/>
      <c r="AF280" s="103">
        <f>Table5101345411[[#This Row],[العدد]]*Table5101345411[[#This Row],[قيمة الشراء]]</f>
        <v>0</v>
      </c>
      <c r="AG280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80" s="190">
        <f>Table5101345411[[#This Row],[الكمية]]+Table5101345411[[#This Row],[عدد الإضافات]]-Table5101345411[[#This Row],[العدد]]</f>
        <v>1</v>
      </c>
      <c r="AI280" s="78">
        <f>Table5101345411[[#This Row],[الإجمالي]]+Table5101345411[[#This Row],[إجمالي الإضافات]]-Table5101345411[[#This Row],[إجمالي المستبعد]]</f>
        <v>1000</v>
      </c>
      <c r="AJ280" s="62">
        <v>0.125</v>
      </c>
      <c r="AK280" s="219"/>
      <c r="AL280" s="58" t="s">
        <v>61</v>
      </c>
      <c r="AM280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125</v>
      </c>
      <c r="AN280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80" s="79">
        <f>Table5101345411[[#This Row],[اهلاك المستبعد
في 2018]]+Table5101345411[[#This Row],[مجمع إهلاك المستبعد 
01-01-2018]]</f>
        <v>0</v>
      </c>
      <c r="AP280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80" s="220"/>
      <c r="AR280" s="78">
        <f>IF(OR(Table5101345411[[#This Row],[تاريخ الشراء-الاستلام]]="",Table5101345411[[#This Row],[الإجمالي]]="",Table5101345411[[#This Row],[العمر الافتراضي]]=""),"",IF(((T280+AM280)-Table5101345411[[#This Row],[مجمع إهلاك المستبعد 
بتاريخ الأستبعاد]])&lt;=0,0,((T280+AM280)-Table5101345411[[#This Row],[مجمع إهلاك المستبعد 
بتاريخ الأستبعاد]])))</f>
        <v>148.01369863013699</v>
      </c>
      <c r="AS280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الشراء-الاستلام]]&gt;DATE(2018,12,31),0,AI280-AR280)))</f>
        <v>851.98630136986299</v>
      </c>
    </row>
    <row r="281" spans="1:45" s="140" customFormat="1" ht="83.25" customHeight="1">
      <c r="A281" s="118">
        <f>IF(B281="","",SUBTOTAL(3,$B$6:B281))</f>
        <v>276</v>
      </c>
      <c r="B281" s="58" t="s">
        <v>334</v>
      </c>
      <c r="C281" s="59" t="s">
        <v>54</v>
      </c>
      <c r="D281" s="59" t="s">
        <v>56</v>
      </c>
      <c r="E281" s="59" t="s">
        <v>55</v>
      </c>
      <c r="F281" s="226" t="s">
        <v>55</v>
      </c>
      <c r="G281" s="226"/>
      <c r="H281" s="58" t="s">
        <v>58</v>
      </c>
      <c r="I281" s="58" t="s">
        <v>58</v>
      </c>
      <c r="J281" s="58" t="s">
        <v>74</v>
      </c>
      <c r="K281" s="58"/>
      <c r="L281" s="60"/>
      <c r="M281" s="77">
        <v>43044</v>
      </c>
      <c r="N281" s="77"/>
      <c r="O281" s="150" t="s">
        <v>336</v>
      </c>
      <c r="P281" s="122">
        <v>1</v>
      </c>
      <c r="Q281" s="123"/>
      <c r="R281" s="130">
        <v>1400</v>
      </c>
      <c r="S281" s="130">
        <f t="shared" si="6"/>
        <v>1400</v>
      </c>
      <c r="T281" s="130">
        <v>32.219178082191782</v>
      </c>
      <c r="U281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الشراء-الاستلام]]&lt;DATE(2018,1,1),S281-T281,0))</f>
        <v>1367.7808219178082</v>
      </c>
      <c r="V281" s="169"/>
      <c r="W281" s="116"/>
      <c r="X281" s="116"/>
      <c r="Y281" s="117">
        <f>Table5101345411[[#This Row],[عدد الإضافات]]*Table5101345411[[#This Row],[سعر الحبة المضافة]]</f>
        <v>0</v>
      </c>
      <c r="Z281" s="101"/>
      <c r="AA281" s="102"/>
      <c r="AB281" s="103"/>
      <c r="AC281" s="103"/>
      <c r="AD281" s="103"/>
      <c r="AE281" s="103"/>
      <c r="AF281" s="103">
        <f>Table5101345411[[#This Row],[العدد]]*Table5101345411[[#This Row],[قيمة الشراء]]</f>
        <v>0</v>
      </c>
      <c r="AG281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81" s="190">
        <f>Table5101345411[[#This Row],[الكمية]]+Table5101345411[[#This Row],[عدد الإضافات]]-Table5101345411[[#This Row],[العدد]]</f>
        <v>1</v>
      </c>
      <c r="AI281" s="78">
        <f>Table5101345411[[#This Row],[الإجمالي]]+Table5101345411[[#This Row],[إجمالي الإضافات]]-Table5101345411[[#This Row],[إجمالي المستبعد]]</f>
        <v>1400</v>
      </c>
      <c r="AJ281" s="62">
        <v>0.125</v>
      </c>
      <c r="AK281" s="219"/>
      <c r="AL281" s="58" t="s">
        <v>61</v>
      </c>
      <c r="AM281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175</v>
      </c>
      <c r="AN281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81" s="79">
        <f>Table5101345411[[#This Row],[اهلاك المستبعد
في 2018]]+Table5101345411[[#This Row],[مجمع إهلاك المستبعد 
01-01-2018]]</f>
        <v>0</v>
      </c>
      <c r="AP281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81" s="220"/>
      <c r="AR281" s="78">
        <f>IF(OR(Table5101345411[[#This Row],[تاريخ الشراء-الاستلام]]="",Table5101345411[[#This Row],[الإجمالي]]="",Table5101345411[[#This Row],[العمر الافتراضي]]=""),"",IF(((T281+AM281)-Table5101345411[[#This Row],[مجمع إهلاك المستبعد 
بتاريخ الأستبعاد]])&lt;=0,0,((T281+AM281)-Table5101345411[[#This Row],[مجمع إهلاك المستبعد 
بتاريخ الأستبعاد]])))</f>
        <v>207.21917808219177</v>
      </c>
      <c r="AS281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الشراء-الاستلام]]&gt;DATE(2018,12,31),0,AI281-AR281)))</f>
        <v>1192.7808219178082</v>
      </c>
    </row>
    <row r="282" spans="1:45" s="140" customFormat="1" ht="83.25" customHeight="1">
      <c r="A282" s="118">
        <f>IF(B282="","",SUBTOTAL(3,$B$6:B282))</f>
        <v>277</v>
      </c>
      <c r="B282" s="58" t="s">
        <v>337</v>
      </c>
      <c r="C282" s="59" t="s">
        <v>54</v>
      </c>
      <c r="D282" s="59" t="s">
        <v>56</v>
      </c>
      <c r="E282" s="59" t="s">
        <v>55</v>
      </c>
      <c r="F282" s="226" t="s">
        <v>55</v>
      </c>
      <c r="G282" s="226"/>
      <c r="H282" s="58" t="s">
        <v>58</v>
      </c>
      <c r="I282" s="58" t="s">
        <v>58</v>
      </c>
      <c r="J282" s="58" t="s">
        <v>74</v>
      </c>
      <c r="K282" s="58"/>
      <c r="L282" s="60"/>
      <c r="M282" s="77">
        <v>43058</v>
      </c>
      <c r="N282" s="77"/>
      <c r="O282" s="150" t="s">
        <v>338</v>
      </c>
      <c r="P282" s="122">
        <v>1</v>
      </c>
      <c r="Q282" s="123"/>
      <c r="R282" s="130">
        <v>550</v>
      </c>
      <c r="S282" s="130">
        <f t="shared" si="6"/>
        <v>550</v>
      </c>
      <c r="T282" s="130">
        <v>9.493150684931507</v>
      </c>
      <c r="U282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الشراء-الاستلام]]&lt;DATE(2018,1,1),S282-T282,0))</f>
        <v>540.50684931506851</v>
      </c>
      <c r="V282" s="169"/>
      <c r="W282" s="116"/>
      <c r="X282" s="116"/>
      <c r="Y282" s="117">
        <f>Table5101345411[[#This Row],[عدد الإضافات]]*Table5101345411[[#This Row],[سعر الحبة المضافة]]</f>
        <v>0</v>
      </c>
      <c r="Z282" s="101"/>
      <c r="AA282" s="102"/>
      <c r="AB282" s="103"/>
      <c r="AC282" s="103"/>
      <c r="AD282" s="103"/>
      <c r="AE282" s="103"/>
      <c r="AF282" s="103">
        <f>Table5101345411[[#This Row],[العدد]]*Table5101345411[[#This Row],[قيمة الشراء]]</f>
        <v>0</v>
      </c>
      <c r="AG282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82" s="190">
        <f>Table5101345411[[#This Row],[الكمية]]+Table5101345411[[#This Row],[عدد الإضافات]]-Table5101345411[[#This Row],[العدد]]</f>
        <v>1</v>
      </c>
      <c r="AI282" s="78">
        <f>Table5101345411[[#This Row],[الإجمالي]]+Table5101345411[[#This Row],[إجمالي الإضافات]]-Table5101345411[[#This Row],[إجمالي المستبعد]]</f>
        <v>550</v>
      </c>
      <c r="AJ282" s="62">
        <v>0.125</v>
      </c>
      <c r="AK282" s="219"/>
      <c r="AL282" s="58" t="s">
        <v>61</v>
      </c>
      <c r="AM282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68.75</v>
      </c>
      <c r="AN282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82" s="79">
        <f>Table5101345411[[#This Row],[اهلاك المستبعد
في 2018]]+Table5101345411[[#This Row],[مجمع إهلاك المستبعد 
01-01-2018]]</f>
        <v>0</v>
      </c>
      <c r="AP282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82" s="220"/>
      <c r="AR282" s="78">
        <f>IF(OR(Table5101345411[[#This Row],[تاريخ الشراء-الاستلام]]="",Table5101345411[[#This Row],[الإجمالي]]="",Table5101345411[[#This Row],[العمر الافتراضي]]=""),"",IF(((T282+AM282)-Table5101345411[[#This Row],[مجمع إهلاك المستبعد 
بتاريخ الأستبعاد]])&lt;=0,0,((T282+AM282)-Table5101345411[[#This Row],[مجمع إهلاك المستبعد 
بتاريخ الأستبعاد]])))</f>
        <v>78.243150684931507</v>
      </c>
      <c r="AS282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الشراء-الاستلام]]&gt;DATE(2018,12,31),0,AI282-AR282)))</f>
        <v>471.75684931506851</v>
      </c>
    </row>
    <row r="283" spans="1:45" s="140" customFormat="1" ht="83.25" customHeight="1">
      <c r="A283" s="118">
        <f>IF(B283="","",SUBTOTAL(3,$B$6:B283))</f>
        <v>278</v>
      </c>
      <c r="B283" s="58" t="s">
        <v>339</v>
      </c>
      <c r="C283" s="59" t="s">
        <v>54</v>
      </c>
      <c r="D283" s="59" t="s">
        <v>56</v>
      </c>
      <c r="E283" s="59" t="s">
        <v>55</v>
      </c>
      <c r="F283" s="226" t="s">
        <v>55</v>
      </c>
      <c r="G283" s="226"/>
      <c r="H283" s="58" t="s">
        <v>58</v>
      </c>
      <c r="I283" s="58" t="s">
        <v>58</v>
      </c>
      <c r="J283" s="58" t="s">
        <v>74</v>
      </c>
      <c r="K283" s="58"/>
      <c r="L283" s="60"/>
      <c r="M283" s="77">
        <v>43058</v>
      </c>
      <c r="N283" s="77"/>
      <c r="O283" s="150" t="s">
        <v>338</v>
      </c>
      <c r="P283" s="122">
        <v>1</v>
      </c>
      <c r="Q283" s="123"/>
      <c r="R283" s="130">
        <v>280</v>
      </c>
      <c r="S283" s="130">
        <f t="shared" si="6"/>
        <v>280</v>
      </c>
      <c r="T283" s="130">
        <v>4.8328767123287673</v>
      </c>
      <c r="U283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الشراء-الاستلام]]&lt;DATE(2018,1,1),S283-T283,0))</f>
        <v>275.16712328767125</v>
      </c>
      <c r="V283" s="169"/>
      <c r="W283" s="116"/>
      <c r="X283" s="116"/>
      <c r="Y283" s="117">
        <f>Table5101345411[[#This Row],[عدد الإضافات]]*Table5101345411[[#This Row],[سعر الحبة المضافة]]</f>
        <v>0</v>
      </c>
      <c r="Z283" s="101"/>
      <c r="AA283" s="102"/>
      <c r="AB283" s="103"/>
      <c r="AC283" s="103"/>
      <c r="AD283" s="103"/>
      <c r="AE283" s="103"/>
      <c r="AF283" s="103">
        <f>Table5101345411[[#This Row],[العدد]]*Table5101345411[[#This Row],[قيمة الشراء]]</f>
        <v>0</v>
      </c>
      <c r="AG283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83" s="190">
        <f>Table5101345411[[#This Row],[الكمية]]+Table5101345411[[#This Row],[عدد الإضافات]]-Table5101345411[[#This Row],[العدد]]</f>
        <v>1</v>
      </c>
      <c r="AI283" s="78">
        <f>Table5101345411[[#This Row],[الإجمالي]]+Table5101345411[[#This Row],[إجمالي الإضافات]]-Table5101345411[[#This Row],[إجمالي المستبعد]]</f>
        <v>280</v>
      </c>
      <c r="AJ283" s="62">
        <v>0.125</v>
      </c>
      <c r="AK283" s="219"/>
      <c r="AL283" s="58" t="s">
        <v>61</v>
      </c>
      <c r="AM283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35</v>
      </c>
      <c r="AN283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83" s="79">
        <f>Table5101345411[[#This Row],[اهلاك المستبعد
في 2018]]+Table5101345411[[#This Row],[مجمع إهلاك المستبعد 
01-01-2018]]</f>
        <v>0</v>
      </c>
      <c r="AP283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83" s="220"/>
      <c r="AR283" s="78">
        <f>IF(OR(Table5101345411[[#This Row],[تاريخ الشراء-الاستلام]]="",Table5101345411[[#This Row],[الإجمالي]]="",Table5101345411[[#This Row],[العمر الافتراضي]]=""),"",IF(((T283+AM283)-Table5101345411[[#This Row],[مجمع إهلاك المستبعد 
بتاريخ الأستبعاد]])&lt;=0,0,((T283+AM283)-Table5101345411[[#This Row],[مجمع إهلاك المستبعد 
بتاريخ الأستبعاد]])))</f>
        <v>39.832876712328769</v>
      </c>
      <c r="AS283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الشراء-الاستلام]]&gt;DATE(2018,12,31),0,AI283-AR283)))</f>
        <v>240.16712328767125</v>
      </c>
    </row>
    <row r="284" spans="1:45" s="140" customFormat="1" ht="83.25" customHeight="1">
      <c r="A284" s="118">
        <f>IF(B284="","",SUBTOTAL(3,$B$6:B284))</f>
        <v>279</v>
      </c>
      <c r="B284" s="58" t="s">
        <v>340</v>
      </c>
      <c r="C284" s="59" t="s">
        <v>54</v>
      </c>
      <c r="D284" s="59" t="s">
        <v>56</v>
      </c>
      <c r="E284" s="59" t="s">
        <v>55</v>
      </c>
      <c r="F284" s="226" t="s">
        <v>55</v>
      </c>
      <c r="G284" s="226"/>
      <c r="H284" s="58" t="s">
        <v>58</v>
      </c>
      <c r="I284" s="58" t="s">
        <v>58</v>
      </c>
      <c r="J284" s="58" t="s">
        <v>74</v>
      </c>
      <c r="K284" s="58"/>
      <c r="L284" s="60"/>
      <c r="M284" s="77">
        <v>43058</v>
      </c>
      <c r="N284" s="77"/>
      <c r="O284" s="150" t="s">
        <v>338</v>
      </c>
      <c r="P284" s="122">
        <v>1</v>
      </c>
      <c r="Q284" s="123"/>
      <c r="R284" s="130">
        <v>1430</v>
      </c>
      <c r="S284" s="130">
        <f t="shared" si="6"/>
        <v>1430</v>
      </c>
      <c r="T284" s="130">
        <v>24.682191780821917</v>
      </c>
      <c r="U284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الشراء-الاستلام]]&lt;DATE(2018,1,1),S284-T284,0))</f>
        <v>1405.317808219178</v>
      </c>
      <c r="V284" s="169"/>
      <c r="W284" s="116"/>
      <c r="X284" s="116"/>
      <c r="Y284" s="117">
        <f>Table5101345411[[#This Row],[عدد الإضافات]]*Table5101345411[[#This Row],[سعر الحبة المضافة]]</f>
        <v>0</v>
      </c>
      <c r="Z284" s="101"/>
      <c r="AA284" s="102"/>
      <c r="AB284" s="103"/>
      <c r="AC284" s="103"/>
      <c r="AD284" s="103"/>
      <c r="AE284" s="103"/>
      <c r="AF284" s="103">
        <f>Table5101345411[[#This Row],[العدد]]*Table5101345411[[#This Row],[قيمة الشراء]]</f>
        <v>0</v>
      </c>
      <c r="AG284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84" s="190">
        <f>Table5101345411[[#This Row],[الكمية]]+Table5101345411[[#This Row],[عدد الإضافات]]-Table5101345411[[#This Row],[العدد]]</f>
        <v>1</v>
      </c>
      <c r="AI284" s="78">
        <f>Table5101345411[[#This Row],[الإجمالي]]+Table5101345411[[#This Row],[إجمالي الإضافات]]-Table5101345411[[#This Row],[إجمالي المستبعد]]</f>
        <v>1430</v>
      </c>
      <c r="AJ284" s="62">
        <v>0.125</v>
      </c>
      <c r="AK284" s="219"/>
      <c r="AL284" s="58" t="s">
        <v>61</v>
      </c>
      <c r="AM284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178.75</v>
      </c>
      <c r="AN284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84" s="79">
        <f>Table5101345411[[#This Row],[اهلاك المستبعد
في 2018]]+Table5101345411[[#This Row],[مجمع إهلاك المستبعد 
01-01-2018]]</f>
        <v>0</v>
      </c>
      <c r="AP284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84" s="220"/>
      <c r="AR284" s="78">
        <f>IF(OR(Table5101345411[[#This Row],[تاريخ الشراء-الاستلام]]="",Table5101345411[[#This Row],[الإجمالي]]="",Table5101345411[[#This Row],[العمر الافتراضي]]=""),"",IF(((T284+AM284)-Table5101345411[[#This Row],[مجمع إهلاك المستبعد 
بتاريخ الأستبعاد]])&lt;=0,0,((T284+AM284)-Table5101345411[[#This Row],[مجمع إهلاك المستبعد 
بتاريخ الأستبعاد]])))</f>
        <v>203.43219178082191</v>
      </c>
      <c r="AS284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الشراء-الاستلام]]&gt;DATE(2018,12,31),0,AI284-AR284)))</f>
        <v>1226.567808219178</v>
      </c>
    </row>
    <row r="285" spans="1:45" s="140" customFormat="1" ht="83.25" customHeight="1">
      <c r="A285" s="118">
        <f>IF(B285="","",SUBTOTAL(3,$B$6:B285))</f>
        <v>280</v>
      </c>
      <c r="B285" s="58" t="s">
        <v>341</v>
      </c>
      <c r="C285" s="59" t="s">
        <v>54</v>
      </c>
      <c r="D285" s="59" t="s">
        <v>56</v>
      </c>
      <c r="E285" s="59" t="s">
        <v>55</v>
      </c>
      <c r="F285" s="226" t="s">
        <v>55</v>
      </c>
      <c r="G285" s="226"/>
      <c r="H285" s="58" t="s">
        <v>58</v>
      </c>
      <c r="I285" s="58" t="s">
        <v>58</v>
      </c>
      <c r="J285" s="58" t="s">
        <v>74</v>
      </c>
      <c r="K285" s="58"/>
      <c r="L285" s="60"/>
      <c r="M285" s="77">
        <v>42829</v>
      </c>
      <c r="N285" s="77"/>
      <c r="O285" s="150" t="s">
        <v>342</v>
      </c>
      <c r="P285" s="122">
        <v>1</v>
      </c>
      <c r="Q285" s="123"/>
      <c r="R285" s="130">
        <v>600</v>
      </c>
      <c r="S285" s="130">
        <f t="shared" si="6"/>
        <v>600</v>
      </c>
      <c r="T285" s="130">
        <v>66.821917808219169</v>
      </c>
      <c r="U285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الشراء-الاستلام]]&lt;DATE(2018,1,1),S285-T285,0))</f>
        <v>533.17808219178085</v>
      </c>
      <c r="V285" s="169"/>
      <c r="W285" s="116"/>
      <c r="X285" s="116"/>
      <c r="Y285" s="117">
        <f>Table5101345411[[#This Row],[عدد الإضافات]]*Table5101345411[[#This Row],[سعر الحبة المضافة]]</f>
        <v>0</v>
      </c>
      <c r="Z285" s="101"/>
      <c r="AA285" s="102"/>
      <c r="AB285" s="103"/>
      <c r="AC285" s="103"/>
      <c r="AD285" s="103"/>
      <c r="AE285" s="103"/>
      <c r="AF285" s="103">
        <f>Table5101345411[[#This Row],[العدد]]*Table5101345411[[#This Row],[قيمة الشراء]]</f>
        <v>0</v>
      </c>
      <c r="AG285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85" s="190">
        <f>Table5101345411[[#This Row],[الكمية]]+Table5101345411[[#This Row],[عدد الإضافات]]-Table5101345411[[#This Row],[العدد]]</f>
        <v>1</v>
      </c>
      <c r="AI285" s="78">
        <f>Table5101345411[[#This Row],[الإجمالي]]+Table5101345411[[#This Row],[إجمالي الإضافات]]-Table5101345411[[#This Row],[إجمالي المستبعد]]</f>
        <v>600</v>
      </c>
      <c r="AJ285" s="62">
        <v>0.125</v>
      </c>
      <c r="AK285" s="219"/>
      <c r="AL285" s="58" t="s">
        <v>61</v>
      </c>
      <c r="AM285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75</v>
      </c>
      <c r="AN285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85" s="79">
        <f>Table5101345411[[#This Row],[اهلاك المستبعد
في 2018]]+Table5101345411[[#This Row],[مجمع إهلاك المستبعد 
01-01-2018]]</f>
        <v>0</v>
      </c>
      <c r="AP285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85" s="220"/>
      <c r="AR285" s="78">
        <f>IF(OR(Table5101345411[[#This Row],[تاريخ الشراء-الاستلام]]="",Table5101345411[[#This Row],[الإجمالي]]="",Table5101345411[[#This Row],[العمر الافتراضي]]=""),"",IF(((T285+AM285)-Table5101345411[[#This Row],[مجمع إهلاك المستبعد 
بتاريخ الأستبعاد]])&lt;=0,0,((T285+AM285)-Table5101345411[[#This Row],[مجمع إهلاك المستبعد 
بتاريخ الأستبعاد]])))</f>
        <v>141.82191780821915</v>
      </c>
      <c r="AS285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الشراء-الاستلام]]&gt;DATE(2018,12,31),0,AI285-AR285)))</f>
        <v>458.17808219178085</v>
      </c>
    </row>
    <row r="286" spans="1:45" s="141" customFormat="1" ht="83.25" customHeight="1">
      <c r="A286" s="118">
        <f>IF(B286="","",SUBTOTAL(3,$B$6:B286))</f>
        <v>281</v>
      </c>
      <c r="B286" s="58" t="s">
        <v>343</v>
      </c>
      <c r="C286" s="59" t="s">
        <v>54</v>
      </c>
      <c r="D286" s="59" t="s">
        <v>367</v>
      </c>
      <c r="E286" s="59" t="s">
        <v>399</v>
      </c>
      <c r="F286" s="226" t="s">
        <v>399</v>
      </c>
      <c r="G286" s="226"/>
      <c r="H286" s="58" t="s">
        <v>58</v>
      </c>
      <c r="I286" s="58" t="s">
        <v>58</v>
      </c>
      <c r="J286" s="58" t="s">
        <v>74</v>
      </c>
      <c r="K286" s="58"/>
      <c r="L286" s="60"/>
      <c r="M286" s="77">
        <v>43047</v>
      </c>
      <c r="N286" s="77"/>
      <c r="O286" s="150" t="s">
        <v>344</v>
      </c>
      <c r="P286" s="122">
        <v>1</v>
      </c>
      <c r="Q286" s="123"/>
      <c r="R286" s="130">
        <v>3800</v>
      </c>
      <c r="S286" s="130">
        <f t="shared" si="6"/>
        <v>3800</v>
      </c>
      <c r="T286" s="130">
        <v>82.767123287671239</v>
      </c>
      <c r="U286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الشراء-الاستلام]]&lt;DATE(2018,1,1),S286-T286,0))</f>
        <v>3717.2328767123286</v>
      </c>
      <c r="V286" s="169"/>
      <c r="W286" s="116"/>
      <c r="X286" s="116"/>
      <c r="Y286" s="117">
        <f>Table5101345411[[#This Row],[عدد الإضافات]]*Table5101345411[[#This Row],[سعر الحبة المضافة]]</f>
        <v>0</v>
      </c>
      <c r="Z286" s="101"/>
      <c r="AA286" s="102"/>
      <c r="AB286" s="103"/>
      <c r="AC286" s="103"/>
      <c r="AD286" s="103"/>
      <c r="AE286" s="103"/>
      <c r="AF286" s="103">
        <f>Table5101345411[[#This Row],[العدد]]*Table5101345411[[#This Row],[قيمة الشراء]]</f>
        <v>0</v>
      </c>
      <c r="AG286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86" s="190">
        <f>Table5101345411[[#This Row],[الكمية]]+Table5101345411[[#This Row],[عدد الإضافات]]-Table5101345411[[#This Row],[العدد]]</f>
        <v>1</v>
      </c>
      <c r="AI286" s="78">
        <f>Table5101345411[[#This Row],[الإجمالي]]+Table5101345411[[#This Row],[إجمالي الإضافات]]-Table5101345411[[#This Row],[إجمالي المستبعد]]</f>
        <v>3800</v>
      </c>
      <c r="AJ286" s="62">
        <v>0.125</v>
      </c>
      <c r="AK286" s="219"/>
      <c r="AL286" s="58" t="s">
        <v>61</v>
      </c>
      <c r="AM286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475</v>
      </c>
      <c r="AN286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86" s="79">
        <f>Table5101345411[[#This Row],[اهلاك المستبعد
في 2018]]+Table5101345411[[#This Row],[مجمع إهلاك المستبعد 
01-01-2018]]</f>
        <v>0</v>
      </c>
      <c r="AP286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86" s="220"/>
      <c r="AR286" s="78">
        <f>IF(OR(Table5101345411[[#This Row],[تاريخ الشراء-الاستلام]]="",Table5101345411[[#This Row],[الإجمالي]]="",Table5101345411[[#This Row],[العمر الافتراضي]]=""),"",IF(((T286+AM286)-Table5101345411[[#This Row],[مجمع إهلاك المستبعد 
بتاريخ الأستبعاد]])&lt;=0,0,((T286+AM286)-Table5101345411[[#This Row],[مجمع إهلاك المستبعد 
بتاريخ الأستبعاد]])))</f>
        <v>557.76712328767121</v>
      </c>
      <c r="AS286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الشراء-الاستلام]]&gt;DATE(2018,12,31),0,AI286-AR286)))</f>
        <v>3242.232876712329</v>
      </c>
    </row>
    <row r="287" spans="1:45" s="140" customFormat="1" ht="83.25" customHeight="1">
      <c r="A287" s="118">
        <f>IF(B287="","",SUBTOTAL(3,$B$6:B287))</f>
        <v>282</v>
      </c>
      <c r="B287" s="58" t="s">
        <v>345</v>
      </c>
      <c r="C287" s="59" t="s">
        <v>54</v>
      </c>
      <c r="D287" s="59" t="s">
        <v>56</v>
      </c>
      <c r="E287" s="59" t="s">
        <v>55</v>
      </c>
      <c r="F287" s="226" t="s">
        <v>55</v>
      </c>
      <c r="G287" s="226"/>
      <c r="H287" s="58" t="s">
        <v>58</v>
      </c>
      <c r="I287" s="58" t="s">
        <v>58</v>
      </c>
      <c r="J287" s="58" t="s">
        <v>74</v>
      </c>
      <c r="K287" s="58"/>
      <c r="L287" s="60"/>
      <c r="M287" s="77">
        <v>43070</v>
      </c>
      <c r="N287" s="77"/>
      <c r="O287" s="150" t="s">
        <v>346</v>
      </c>
      <c r="P287" s="122">
        <v>1</v>
      </c>
      <c r="Q287" s="123"/>
      <c r="R287" s="130">
        <v>900</v>
      </c>
      <c r="S287" s="130">
        <f t="shared" si="6"/>
        <v>900</v>
      </c>
      <c r="T287" s="130">
        <v>11.095890410958903</v>
      </c>
      <c r="U287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الشراء-الاستلام]]&lt;DATE(2018,1,1),S287-T287,0))</f>
        <v>888.90410958904113</v>
      </c>
      <c r="V287" s="169"/>
      <c r="W287" s="116"/>
      <c r="X287" s="116"/>
      <c r="Y287" s="117">
        <f>Table5101345411[[#This Row],[عدد الإضافات]]*Table5101345411[[#This Row],[سعر الحبة المضافة]]</f>
        <v>0</v>
      </c>
      <c r="Z287" s="101"/>
      <c r="AA287" s="102"/>
      <c r="AB287" s="103"/>
      <c r="AC287" s="103"/>
      <c r="AD287" s="103"/>
      <c r="AE287" s="103"/>
      <c r="AF287" s="103">
        <f>Table5101345411[[#This Row],[العدد]]*Table5101345411[[#This Row],[قيمة الشراء]]</f>
        <v>0</v>
      </c>
      <c r="AG287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87" s="190">
        <f>Table5101345411[[#This Row],[الكمية]]+Table5101345411[[#This Row],[عدد الإضافات]]-Table5101345411[[#This Row],[العدد]]</f>
        <v>1</v>
      </c>
      <c r="AI287" s="78">
        <f>Table5101345411[[#This Row],[الإجمالي]]+Table5101345411[[#This Row],[إجمالي الإضافات]]-Table5101345411[[#This Row],[إجمالي المستبعد]]</f>
        <v>900</v>
      </c>
      <c r="AJ287" s="62">
        <v>0.125</v>
      </c>
      <c r="AK287" s="219"/>
      <c r="AL287" s="58" t="s">
        <v>61</v>
      </c>
      <c r="AM287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112.5</v>
      </c>
      <c r="AN287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87" s="79">
        <f>Table5101345411[[#This Row],[اهلاك المستبعد
في 2018]]+Table5101345411[[#This Row],[مجمع إهلاك المستبعد 
01-01-2018]]</f>
        <v>0</v>
      </c>
      <c r="AP287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87" s="220"/>
      <c r="AR287" s="78">
        <f>IF(OR(Table5101345411[[#This Row],[تاريخ الشراء-الاستلام]]="",Table5101345411[[#This Row],[الإجمالي]]="",Table5101345411[[#This Row],[العمر الافتراضي]]=""),"",IF(((T287+AM287)-Table5101345411[[#This Row],[مجمع إهلاك المستبعد 
بتاريخ الأستبعاد]])&lt;=0,0,((T287+AM287)-Table5101345411[[#This Row],[مجمع إهلاك المستبعد 
بتاريخ الأستبعاد]])))</f>
        <v>123.5958904109589</v>
      </c>
      <c r="AS287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الشراء-الاستلام]]&gt;DATE(2018,12,31),0,AI287-AR287)))</f>
        <v>776.40410958904113</v>
      </c>
    </row>
    <row r="288" spans="1:45" s="141" customFormat="1" ht="83.25" customHeight="1">
      <c r="A288" s="118">
        <f>IF(B288="","",SUBTOTAL(3,$B$6:B288))</f>
        <v>283</v>
      </c>
      <c r="B288" s="58" t="s">
        <v>347</v>
      </c>
      <c r="C288" s="59" t="s">
        <v>54</v>
      </c>
      <c r="D288" s="59" t="s">
        <v>367</v>
      </c>
      <c r="E288" s="59" t="s">
        <v>516</v>
      </c>
      <c r="F288" s="226" t="s">
        <v>516</v>
      </c>
      <c r="G288" s="226"/>
      <c r="H288" s="58" t="s">
        <v>58</v>
      </c>
      <c r="I288" s="58" t="s">
        <v>58</v>
      </c>
      <c r="J288" s="58" t="s">
        <v>74</v>
      </c>
      <c r="K288" s="58"/>
      <c r="L288" s="60"/>
      <c r="M288" s="77">
        <v>43070</v>
      </c>
      <c r="N288" s="77"/>
      <c r="O288" s="150" t="s">
        <v>338</v>
      </c>
      <c r="P288" s="122">
        <v>1</v>
      </c>
      <c r="Q288" s="123"/>
      <c r="R288" s="130">
        <v>480</v>
      </c>
      <c r="S288" s="130">
        <f t="shared" si="6"/>
        <v>480</v>
      </c>
      <c r="T288" s="130">
        <v>5.9178082191780819</v>
      </c>
      <c r="U288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الشراء-الاستلام]]&lt;DATE(2018,1,1),S288-T288,0))</f>
        <v>474.08219178082192</v>
      </c>
      <c r="V288" s="169"/>
      <c r="W288" s="116"/>
      <c r="X288" s="116"/>
      <c r="Y288" s="117">
        <f>Table5101345411[[#This Row],[عدد الإضافات]]*Table5101345411[[#This Row],[سعر الحبة المضافة]]</f>
        <v>0</v>
      </c>
      <c r="Z288" s="101"/>
      <c r="AA288" s="102"/>
      <c r="AB288" s="103"/>
      <c r="AC288" s="103"/>
      <c r="AD288" s="103"/>
      <c r="AE288" s="103"/>
      <c r="AF288" s="103">
        <f>Table5101345411[[#This Row],[العدد]]*Table5101345411[[#This Row],[قيمة الشراء]]</f>
        <v>0</v>
      </c>
      <c r="AG288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88" s="190">
        <f>Table5101345411[[#This Row],[الكمية]]+Table5101345411[[#This Row],[عدد الإضافات]]-Table5101345411[[#This Row],[العدد]]</f>
        <v>1</v>
      </c>
      <c r="AI288" s="78">
        <f>Table5101345411[[#This Row],[الإجمالي]]+Table5101345411[[#This Row],[إجمالي الإضافات]]-Table5101345411[[#This Row],[إجمالي المستبعد]]</f>
        <v>480</v>
      </c>
      <c r="AJ288" s="62">
        <v>0.125</v>
      </c>
      <c r="AK288" s="219"/>
      <c r="AL288" s="58" t="s">
        <v>61</v>
      </c>
      <c r="AM288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60</v>
      </c>
      <c r="AN288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88" s="79">
        <f>Table5101345411[[#This Row],[اهلاك المستبعد
في 2018]]+Table5101345411[[#This Row],[مجمع إهلاك المستبعد 
01-01-2018]]</f>
        <v>0</v>
      </c>
      <c r="AP288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88" s="220"/>
      <c r="AR288" s="78">
        <f>IF(OR(Table5101345411[[#This Row],[تاريخ الشراء-الاستلام]]="",Table5101345411[[#This Row],[الإجمالي]]="",Table5101345411[[#This Row],[العمر الافتراضي]]=""),"",IF(((T288+AM288)-Table5101345411[[#This Row],[مجمع إهلاك المستبعد 
بتاريخ الأستبعاد]])&lt;=0,0,((T288+AM288)-Table5101345411[[#This Row],[مجمع إهلاك المستبعد 
بتاريخ الأستبعاد]])))</f>
        <v>65.917808219178085</v>
      </c>
      <c r="AS288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الشراء-الاستلام]]&gt;DATE(2018,12,31),0,AI288-AR288)))</f>
        <v>414.08219178082192</v>
      </c>
    </row>
    <row r="289" spans="1:45" s="141" customFormat="1" ht="83.25" customHeight="1">
      <c r="A289" s="118">
        <f>IF(B289="","",SUBTOTAL(3,$B$6:B289))</f>
        <v>284</v>
      </c>
      <c r="B289" s="58" t="s">
        <v>348</v>
      </c>
      <c r="C289" s="59" t="s">
        <v>54</v>
      </c>
      <c r="D289" s="59" t="s">
        <v>56</v>
      </c>
      <c r="E289" s="59" t="s">
        <v>349</v>
      </c>
      <c r="F289" s="226" t="s">
        <v>349</v>
      </c>
      <c r="G289" s="226"/>
      <c r="H289" s="58" t="s">
        <v>58</v>
      </c>
      <c r="I289" s="58" t="s">
        <v>58</v>
      </c>
      <c r="J289" s="58" t="s">
        <v>74</v>
      </c>
      <c r="K289" s="58"/>
      <c r="L289" s="60"/>
      <c r="M289" s="77">
        <v>42791</v>
      </c>
      <c r="N289" s="77"/>
      <c r="O289" s="150" t="s">
        <v>350</v>
      </c>
      <c r="P289" s="122">
        <v>1</v>
      </c>
      <c r="Q289" s="123"/>
      <c r="R289" s="130">
        <v>11000</v>
      </c>
      <c r="S289" s="130">
        <f t="shared" si="6"/>
        <v>11000</v>
      </c>
      <c r="T289" s="130">
        <v>1396.8493150684933</v>
      </c>
      <c r="U289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الشراء-الاستلام]]&lt;DATE(2018,1,1),S289-T289,0))</f>
        <v>9603.1506849315065</v>
      </c>
      <c r="V289" s="169"/>
      <c r="W289" s="116"/>
      <c r="X289" s="116"/>
      <c r="Y289" s="117">
        <f>Table5101345411[[#This Row],[عدد الإضافات]]*Table5101345411[[#This Row],[سعر الحبة المضافة]]</f>
        <v>0</v>
      </c>
      <c r="Z289" s="101"/>
      <c r="AA289" s="102"/>
      <c r="AB289" s="103"/>
      <c r="AC289" s="103"/>
      <c r="AD289" s="103"/>
      <c r="AE289" s="103"/>
      <c r="AF289" s="103">
        <f>Table5101345411[[#This Row],[العدد]]*Table5101345411[[#This Row],[قيمة الشراء]]</f>
        <v>0</v>
      </c>
      <c r="AG289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89" s="190">
        <f>Table5101345411[[#This Row],[الكمية]]+Table5101345411[[#This Row],[عدد الإضافات]]-Table5101345411[[#This Row],[العدد]]</f>
        <v>1</v>
      </c>
      <c r="AI289" s="78">
        <f>Table5101345411[[#This Row],[الإجمالي]]+Table5101345411[[#This Row],[إجمالي الإضافات]]-Table5101345411[[#This Row],[إجمالي المستبعد]]</f>
        <v>11000</v>
      </c>
      <c r="AJ289" s="62">
        <v>0.125</v>
      </c>
      <c r="AK289" s="219"/>
      <c r="AL289" s="58" t="s">
        <v>61</v>
      </c>
      <c r="AM289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1375</v>
      </c>
      <c r="AN289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89" s="79">
        <f>Table5101345411[[#This Row],[اهلاك المستبعد
في 2018]]+Table5101345411[[#This Row],[مجمع إهلاك المستبعد 
01-01-2018]]</f>
        <v>0</v>
      </c>
      <c r="AP289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89" s="220"/>
      <c r="AR289" s="78">
        <f>IF(OR(Table5101345411[[#This Row],[تاريخ الشراء-الاستلام]]="",Table5101345411[[#This Row],[الإجمالي]]="",Table5101345411[[#This Row],[العمر الافتراضي]]=""),"",IF(((T289+AM289)-Table5101345411[[#This Row],[مجمع إهلاك المستبعد 
بتاريخ الأستبعاد]])&lt;=0,0,((T289+AM289)-Table5101345411[[#This Row],[مجمع إهلاك المستبعد 
بتاريخ الأستبعاد]])))</f>
        <v>2771.8493150684935</v>
      </c>
      <c r="AS289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الشراء-الاستلام]]&gt;DATE(2018,12,31),0,AI289-AR289)))</f>
        <v>8228.1506849315065</v>
      </c>
    </row>
    <row r="290" spans="1:45" s="140" customFormat="1" ht="83.25" customHeight="1">
      <c r="A290" s="118">
        <f>IF(B290="","",SUBTOTAL(3,$B$6:B290))</f>
        <v>285</v>
      </c>
      <c r="B290" s="58" t="s">
        <v>351</v>
      </c>
      <c r="C290" s="59" t="s">
        <v>54</v>
      </c>
      <c r="D290" s="59" t="s">
        <v>56</v>
      </c>
      <c r="E290" s="59" t="s">
        <v>352</v>
      </c>
      <c r="F290" s="226" t="s">
        <v>352</v>
      </c>
      <c r="G290" s="226"/>
      <c r="H290" s="58" t="s">
        <v>58</v>
      </c>
      <c r="I290" s="58" t="s">
        <v>64</v>
      </c>
      <c r="J290" s="58" t="s">
        <v>64</v>
      </c>
      <c r="K290" s="58"/>
      <c r="L290" s="60"/>
      <c r="M290" s="77">
        <v>42791</v>
      </c>
      <c r="N290" s="77"/>
      <c r="O290" s="150" t="s">
        <v>350</v>
      </c>
      <c r="P290" s="122">
        <v>1</v>
      </c>
      <c r="Q290" s="123"/>
      <c r="R290" s="130">
        <v>449</v>
      </c>
      <c r="S290" s="130">
        <f t="shared" si="6"/>
        <v>449</v>
      </c>
      <c r="T290" s="130">
        <v>57.016849315068491</v>
      </c>
      <c r="U290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الشراء-الاستلام]]&lt;DATE(2018,1,1),S290-T290,0))</f>
        <v>391.9831506849315</v>
      </c>
      <c r="V290" s="169"/>
      <c r="W290" s="116"/>
      <c r="X290" s="116"/>
      <c r="Y290" s="117">
        <f>Table5101345411[[#This Row],[عدد الإضافات]]*Table5101345411[[#This Row],[سعر الحبة المضافة]]</f>
        <v>0</v>
      </c>
      <c r="Z290" s="101"/>
      <c r="AA290" s="102"/>
      <c r="AB290" s="103"/>
      <c r="AC290" s="103"/>
      <c r="AD290" s="103"/>
      <c r="AE290" s="103"/>
      <c r="AF290" s="103">
        <f>Table5101345411[[#This Row],[العدد]]*Table5101345411[[#This Row],[قيمة الشراء]]</f>
        <v>0</v>
      </c>
      <c r="AG290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90" s="190">
        <f>Table5101345411[[#This Row],[الكمية]]+Table5101345411[[#This Row],[عدد الإضافات]]-Table5101345411[[#This Row],[العدد]]</f>
        <v>1</v>
      </c>
      <c r="AI290" s="78">
        <f>Table5101345411[[#This Row],[الإجمالي]]+Table5101345411[[#This Row],[إجمالي الإضافات]]-Table5101345411[[#This Row],[إجمالي المستبعد]]</f>
        <v>449</v>
      </c>
      <c r="AJ290" s="62">
        <v>0.125</v>
      </c>
      <c r="AK290" s="219"/>
      <c r="AL290" s="58" t="s">
        <v>61</v>
      </c>
      <c r="AM290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56.125</v>
      </c>
      <c r="AN290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90" s="79">
        <f>Table5101345411[[#This Row],[اهلاك المستبعد
في 2018]]+Table5101345411[[#This Row],[مجمع إهلاك المستبعد 
01-01-2018]]</f>
        <v>0</v>
      </c>
      <c r="AP290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90" s="220"/>
      <c r="AR290" s="78">
        <f>IF(OR(Table5101345411[[#This Row],[تاريخ الشراء-الاستلام]]="",Table5101345411[[#This Row],[الإجمالي]]="",Table5101345411[[#This Row],[العمر الافتراضي]]=""),"",IF(((T290+AM290)-Table5101345411[[#This Row],[مجمع إهلاك المستبعد 
بتاريخ الأستبعاد]])&lt;=0,0,((T290+AM290)-Table5101345411[[#This Row],[مجمع إهلاك المستبعد 
بتاريخ الأستبعاد]])))</f>
        <v>113.1418493150685</v>
      </c>
      <c r="AS290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الشراء-الاستلام]]&gt;DATE(2018,12,31),0,AI290-AR290)))</f>
        <v>335.8581506849315</v>
      </c>
    </row>
    <row r="291" spans="1:45" s="140" customFormat="1" ht="83.25" customHeight="1">
      <c r="A291" s="118">
        <f>IF(B291="","",SUBTOTAL(3,$B$6:B291))</f>
        <v>286</v>
      </c>
      <c r="B291" s="58" t="s">
        <v>353</v>
      </c>
      <c r="C291" s="59" t="s">
        <v>54</v>
      </c>
      <c r="D291" s="59" t="s">
        <v>56</v>
      </c>
      <c r="E291" s="59" t="s">
        <v>352</v>
      </c>
      <c r="F291" s="226" t="s">
        <v>352</v>
      </c>
      <c r="G291" s="226"/>
      <c r="H291" s="58" t="s">
        <v>58</v>
      </c>
      <c r="I291" s="58" t="s">
        <v>64</v>
      </c>
      <c r="J291" s="58" t="s">
        <v>64</v>
      </c>
      <c r="K291" s="58"/>
      <c r="L291" s="60"/>
      <c r="M291" s="77">
        <v>42791</v>
      </c>
      <c r="N291" s="77"/>
      <c r="O291" s="150" t="s">
        <v>350</v>
      </c>
      <c r="P291" s="122">
        <v>1</v>
      </c>
      <c r="Q291" s="123"/>
      <c r="R291" s="130">
        <v>649</v>
      </c>
      <c r="S291" s="130">
        <f t="shared" si="6"/>
        <v>649</v>
      </c>
      <c r="T291" s="130">
        <v>82.41410958904109</v>
      </c>
      <c r="U291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الشراء-الاستلام]]&lt;DATE(2018,1,1),S291-T291,0))</f>
        <v>566.58589041095888</v>
      </c>
      <c r="V291" s="169"/>
      <c r="W291" s="116"/>
      <c r="X291" s="116"/>
      <c r="Y291" s="117">
        <f>Table5101345411[[#This Row],[عدد الإضافات]]*Table5101345411[[#This Row],[سعر الحبة المضافة]]</f>
        <v>0</v>
      </c>
      <c r="Z291" s="101"/>
      <c r="AA291" s="102"/>
      <c r="AB291" s="103"/>
      <c r="AC291" s="103"/>
      <c r="AD291" s="103"/>
      <c r="AE291" s="103"/>
      <c r="AF291" s="103">
        <f>Table5101345411[[#This Row],[العدد]]*Table5101345411[[#This Row],[قيمة الشراء]]</f>
        <v>0</v>
      </c>
      <c r="AG291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91" s="190">
        <f>Table5101345411[[#This Row],[الكمية]]+Table5101345411[[#This Row],[عدد الإضافات]]-Table5101345411[[#This Row],[العدد]]</f>
        <v>1</v>
      </c>
      <c r="AI291" s="78">
        <f>Table5101345411[[#This Row],[الإجمالي]]+Table5101345411[[#This Row],[إجمالي الإضافات]]-Table5101345411[[#This Row],[إجمالي المستبعد]]</f>
        <v>649</v>
      </c>
      <c r="AJ291" s="62">
        <v>0.125</v>
      </c>
      <c r="AK291" s="219"/>
      <c r="AL291" s="58" t="s">
        <v>61</v>
      </c>
      <c r="AM291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81.125</v>
      </c>
      <c r="AN291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91" s="79">
        <f>Table5101345411[[#This Row],[اهلاك المستبعد
في 2018]]+Table5101345411[[#This Row],[مجمع إهلاك المستبعد 
01-01-2018]]</f>
        <v>0</v>
      </c>
      <c r="AP291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91" s="220"/>
      <c r="AR291" s="78">
        <f>IF(OR(Table5101345411[[#This Row],[تاريخ الشراء-الاستلام]]="",Table5101345411[[#This Row],[الإجمالي]]="",Table5101345411[[#This Row],[العمر الافتراضي]]=""),"",IF(((T291+AM291)-Table5101345411[[#This Row],[مجمع إهلاك المستبعد 
بتاريخ الأستبعاد]])&lt;=0,0,((T291+AM291)-Table5101345411[[#This Row],[مجمع إهلاك المستبعد 
بتاريخ الأستبعاد]])))</f>
        <v>163.53910958904109</v>
      </c>
      <c r="AS291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الشراء-الاستلام]]&gt;DATE(2018,12,31),0,AI291-AR291)))</f>
        <v>485.46089041095888</v>
      </c>
    </row>
    <row r="292" spans="1:45" s="140" customFormat="1" ht="83.25" customHeight="1">
      <c r="A292" s="118">
        <f>IF(B292="","",SUBTOTAL(3,$B$6:B292))</f>
        <v>287</v>
      </c>
      <c r="B292" s="58" t="s">
        <v>354</v>
      </c>
      <c r="C292" s="59" t="s">
        <v>54</v>
      </c>
      <c r="D292" s="59" t="s">
        <v>56</v>
      </c>
      <c r="E292" s="59" t="s">
        <v>352</v>
      </c>
      <c r="F292" s="226" t="s">
        <v>352</v>
      </c>
      <c r="G292" s="226"/>
      <c r="H292" s="58" t="s">
        <v>57</v>
      </c>
      <c r="I292" s="58" t="s">
        <v>64</v>
      </c>
      <c r="J292" s="58" t="s">
        <v>64</v>
      </c>
      <c r="K292" s="58"/>
      <c r="L292" s="60"/>
      <c r="M292" s="77">
        <v>42807</v>
      </c>
      <c r="N292" s="77"/>
      <c r="O292" s="150" t="s">
        <v>246</v>
      </c>
      <c r="P292" s="122">
        <v>5</v>
      </c>
      <c r="Q292" s="123"/>
      <c r="R292" s="130">
        <v>440</v>
      </c>
      <c r="S292" s="130">
        <f t="shared" si="6"/>
        <v>2200</v>
      </c>
      <c r="T292" s="130">
        <v>264.90410958904107</v>
      </c>
      <c r="U292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الشراء-الاستلام]]&lt;DATE(2018,1,1),S292-T292,0))</f>
        <v>1935.0958904109589</v>
      </c>
      <c r="V292" s="169"/>
      <c r="W292" s="116"/>
      <c r="X292" s="116"/>
      <c r="Y292" s="117">
        <f>Table5101345411[[#This Row],[عدد الإضافات]]*Table5101345411[[#This Row],[سعر الحبة المضافة]]</f>
        <v>0</v>
      </c>
      <c r="Z292" s="101"/>
      <c r="AA292" s="102"/>
      <c r="AB292" s="103"/>
      <c r="AC292" s="103"/>
      <c r="AD292" s="103"/>
      <c r="AE292" s="103"/>
      <c r="AF292" s="103">
        <f>Table5101345411[[#This Row],[العدد]]*Table5101345411[[#This Row],[قيمة الشراء]]</f>
        <v>0</v>
      </c>
      <c r="AG292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92" s="190">
        <f>Table5101345411[[#This Row],[الكمية]]+Table5101345411[[#This Row],[عدد الإضافات]]-Table5101345411[[#This Row],[العدد]]</f>
        <v>5</v>
      </c>
      <c r="AI292" s="78">
        <f>Table5101345411[[#This Row],[الإجمالي]]+Table5101345411[[#This Row],[إجمالي الإضافات]]-Table5101345411[[#This Row],[إجمالي المستبعد]]</f>
        <v>2200</v>
      </c>
      <c r="AJ292" s="62">
        <v>0.125</v>
      </c>
      <c r="AK292" s="219"/>
      <c r="AL292" s="58" t="s">
        <v>61</v>
      </c>
      <c r="AM292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275</v>
      </c>
      <c r="AN292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92" s="79">
        <f>Table5101345411[[#This Row],[اهلاك المستبعد
في 2018]]+Table5101345411[[#This Row],[مجمع إهلاك المستبعد 
01-01-2018]]</f>
        <v>0</v>
      </c>
      <c r="AP292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92" s="220"/>
      <c r="AR292" s="78">
        <f>IF(OR(Table5101345411[[#This Row],[تاريخ الشراء-الاستلام]]="",Table5101345411[[#This Row],[الإجمالي]]="",Table5101345411[[#This Row],[العمر الافتراضي]]=""),"",IF(((T292+AM292)-Table5101345411[[#This Row],[مجمع إهلاك المستبعد 
بتاريخ الأستبعاد]])&lt;=0,0,((T292+AM292)-Table5101345411[[#This Row],[مجمع إهلاك المستبعد 
بتاريخ الأستبعاد]])))</f>
        <v>539.90410958904113</v>
      </c>
      <c r="AS292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الشراء-الاستلام]]&gt;DATE(2018,12,31),0,AI292-AR292)))</f>
        <v>1660.0958904109589</v>
      </c>
    </row>
    <row r="293" spans="1:45" s="140" customFormat="1" ht="83.25" customHeight="1">
      <c r="A293" s="118">
        <f>IF(B293="","",SUBTOTAL(3,$B$6:B293))</f>
        <v>288</v>
      </c>
      <c r="B293" s="58" t="s">
        <v>355</v>
      </c>
      <c r="C293" s="59" t="s">
        <v>54</v>
      </c>
      <c r="D293" s="59" t="s">
        <v>56</v>
      </c>
      <c r="E293" s="59" t="s">
        <v>352</v>
      </c>
      <c r="F293" s="226" t="s">
        <v>352</v>
      </c>
      <c r="G293" s="226"/>
      <c r="H293" s="58" t="s">
        <v>96</v>
      </c>
      <c r="I293" s="58"/>
      <c r="J293" s="58" t="s">
        <v>64</v>
      </c>
      <c r="K293" s="58"/>
      <c r="L293" s="60"/>
      <c r="M293" s="77">
        <v>42809</v>
      </c>
      <c r="N293" s="77"/>
      <c r="O293" s="150" t="s">
        <v>356</v>
      </c>
      <c r="P293" s="122">
        <v>1</v>
      </c>
      <c r="Q293" s="123"/>
      <c r="R293" s="130">
        <v>1050</v>
      </c>
      <c r="S293" s="130">
        <f t="shared" si="6"/>
        <v>1050</v>
      </c>
      <c r="T293" s="130">
        <v>125.56849315068493</v>
      </c>
      <c r="U293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الشراء-الاستلام]]&lt;DATE(2018,1,1),S293-T293,0))</f>
        <v>924.43150684931504</v>
      </c>
      <c r="V293" s="169"/>
      <c r="W293" s="116"/>
      <c r="X293" s="116"/>
      <c r="Y293" s="117">
        <f>Table5101345411[[#This Row],[عدد الإضافات]]*Table5101345411[[#This Row],[سعر الحبة المضافة]]</f>
        <v>0</v>
      </c>
      <c r="Z293" s="101"/>
      <c r="AA293" s="102"/>
      <c r="AB293" s="103"/>
      <c r="AC293" s="103"/>
      <c r="AD293" s="103"/>
      <c r="AE293" s="103"/>
      <c r="AF293" s="103">
        <f>Table5101345411[[#This Row],[العدد]]*Table5101345411[[#This Row],[قيمة الشراء]]</f>
        <v>0</v>
      </c>
      <c r="AG293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93" s="190">
        <f>Table5101345411[[#This Row],[الكمية]]+Table5101345411[[#This Row],[عدد الإضافات]]-Table5101345411[[#This Row],[العدد]]</f>
        <v>1</v>
      </c>
      <c r="AI293" s="78">
        <f>Table5101345411[[#This Row],[الإجمالي]]+Table5101345411[[#This Row],[إجمالي الإضافات]]-Table5101345411[[#This Row],[إجمالي المستبعد]]</f>
        <v>1050</v>
      </c>
      <c r="AJ293" s="62">
        <v>0.125</v>
      </c>
      <c r="AK293" s="219"/>
      <c r="AL293" s="58" t="s">
        <v>61</v>
      </c>
      <c r="AM293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131.25</v>
      </c>
      <c r="AN293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93" s="79">
        <f>Table5101345411[[#This Row],[اهلاك المستبعد
في 2018]]+Table5101345411[[#This Row],[مجمع إهلاك المستبعد 
01-01-2018]]</f>
        <v>0</v>
      </c>
      <c r="AP293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93" s="220"/>
      <c r="AR293" s="78">
        <f>IF(OR(Table5101345411[[#This Row],[تاريخ الشراء-الاستلام]]="",Table5101345411[[#This Row],[الإجمالي]]="",Table5101345411[[#This Row],[العمر الافتراضي]]=""),"",IF(((T293+AM293)-Table5101345411[[#This Row],[مجمع إهلاك المستبعد 
بتاريخ الأستبعاد]])&lt;=0,0,((T293+AM293)-Table5101345411[[#This Row],[مجمع إهلاك المستبعد 
بتاريخ الأستبعاد]])))</f>
        <v>256.81849315068496</v>
      </c>
      <c r="AS293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الشراء-الاستلام]]&gt;DATE(2018,12,31),0,AI293-AR293)))</f>
        <v>793.18150684931504</v>
      </c>
    </row>
    <row r="294" spans="1:45" s="140" customFormat="1" ht="83.25" customHeight="1">
      <c r="A294" s="118">
        <f>IF(B294="","",SUBTOTAL(3,$B$6:B294))</f>
        <v>289</v>
      </c>
      <c r="B294" s="58" t="s">
        <v>357</v>
      </c>
      <c r="C294" s="59" t="s">
        <v>54</v>
      </c>
      <c r="D294" s="59" t="s">
        <v>56</v>
      </c>
      <c r="E294" s="59" t="s">
        <v>352</v>
      </c>
      <c r="F294" s="226" t="s">
        <v>352</v>
      </c>
      <c r="G294" s="226"/>
      <c r="H294" s="58" t="s">
        <v>96</v>
      </c>
      <c r="I294" s="58"/>
      <c r="J294" s="58" t="s">
        <v>64</v>
      </c>
      <c r="K294" s="58"/>
      <c r="L294" s="60"/>
      <c r="M294" s="77">
        <v>42809</v>
      </c>
      <c r="N294" s="77"/>
      <c r="O294" s="150" t="s">
        <v>356</v>
      </c>
      <c r="P294" s="122">
        <v>1</v>
      </c>
      <c r="Q294" s="123"/>
      <c r="R294" s="130">
        <v>500</v>
      </c>
      <c r="S294" s="130">
        <f t="shared" si="6"/>
        <v>500</v>
      </c>
      <c r="T294" s="130">
        <v>59.794520547945204</v>
      </c>
      <c r="U294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الشراء-الاستلام]]&lt;DATE(2018,1,1),S294-T294,0))</f>
        <v>440.20547945205482</v>
      </c>
      <c r="V294" s="169"/>
      <c r="W294" s="116"/>
      <c r="X294" s="116"/>
      <c r="Y294" s="117">
        <f>Table5101345411[[#This Row],[عدد الإضافات]]*Table5101345411[[#This Row],[سعر الحبة المضافة]]</f>
        <v>0</v>
      </c>
      <c r="Z294" s="101"/>
      <c r="AA294" s="102"/>
      <c r="AB294" s="103"/>
      <c r="AC294" s="103"/>
      <c r="AD294" s="103"/>
      <c r="AE294" s="103"/>
      <c r="AF294" s="103">
        <f>Table5101345411[[#This Row],[العدد]]*Table5101345411[[#This Row],[قيمة الشراء]]</f>
        <v>0</v>
      </c>
      <c r="AG294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94" s="190">
        <f>Table5101345411[[#This Row],[الكمية]]+Table5101345411[[#This Row],[عدد الإضافات]]-Table5101345411[[#This Row],[العدد]]</f>
        <v>1</v>
      </c>
      <c r="AI294" s="78">
        <f>Table5101345411[[#This Row],[الإجمالي]]+Table5101345411[[#This Row],[إجمالي الإضافات]]-Table5101345411[[#This Row],[إجمالي المستبعد]]</f>
        <v>500</v>
      </c>
      <c r="AJ294" s="62">
        <v>0.125</v>
      </c>
      <c r="AK294" s="219"/>
      <c r="AL294" s="58" t="s">
        <v>61</v>
      </c>
      <c r="AM294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62.5</v>
      </c>
      <c r="AN294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94" s="79">
        <f>Table5101345411[[#This Row],[اهلاك المستبعد
في 2018]]+Table5101345411[[#This Row],[مجمع إهلاك المستبعد 
01-01-2018]]</f>
        <v>0</v>
      </c>
      <c r="AP294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94" s="220"/>
      <c r="AR294" s="78">
        <f>IF(OR(Table5101345411[[#This Row],[تاريخ الشراء-الاستلام]]="",Table5101345411[[#This Row],[الإجمالي]]="",Table5101345411[[#This Row],[العمر الافتراضي]]=""),"",IF(((T294+AM294)-Table5101345411[[#This Row],[مجمع إهلاك المستبعد 
بتاريخ الأستبعاد]])&lt;=0,0,((T294+AM294)-Table5101345411[[#This Row],[مجمع إهلاك المستبعد 
بتاريخ الأستبعاد]])))</f>
        <v>122.29452054794521</v>
      </c>
      <c r="AS294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الشراء-الاستلام]]&gt;DATE(2018,12,31),0,AI294-AR294)))</f>
        <v>377.70547945205476</v>
      </c>
    </row>
    <row r="295" spans="1:45" s="140" customFormat="1" ht="83.25" customHeight="1">
      <c r="A295" s="118">
        <f>IF(B295="","",SUBTOTAL(3,$B$6:B295))</f>
        <v>290</v>
      </c>
      <c r="B295" s="58" t="s">
        <v>358</v>
      </c>
      <c r="C295" s="59" t="s">
        <v>54</v>
      </c>
      <c r="D295" s="59" t="s">
        <v>56</v>
      </c>
      <c r="E295" s="59" t="s">
        <v>352</v>
      </c>
      <c r="F295" s="226" t="s">
        <v>352</v>
      </c>
      <c r="G295" s="226"/>
      <c r="H295" s="58" t="s">
        <v>96</v>
      </c>
      <c r="I295" s="58"/>
      <c r="J295" s="58" t="s">
        <v>64</v>
      </c>
      <c r="K295" s="58"/>
      <c r="L295" s="60"/>
      <c r="M295" s="77">
        <v>42809</v>
      </c>
      <c r="N295" s="77"/>
      <c r="O295" s="150" t="s">
        <v>356</v>
      </c>
      <c r="P295" s="122">
        <v>1</v>
      </c>
      <c r="Q295" s="123"/>
      <c r="R295" s="130">
        <v>1350</v>
      </c>
      <c r="S295" s="130">
        <f t="shared" si="6"/>
        <v>1350</v>
      </c>
      <c r="T295" s="130">
        <v>161.44520547945206</v>
      </c>
      <c r="U295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الشراء-الاستلام]]&lt;DATE(2018,1,1),S295-T295,0))</f>
        <v>1188.5547945205481</v>
      </c>
      <c r="V295" s="169"/>
      <c r="W295" s="116"/>
      <c r="X295" s="116"/>
      <c r="Y295" s="117">
        <f>Table5101345411[[#This Row],[عدد الإضافات]]*Table5101345411[[#This Row],[سعر الحبة المضافة]]</f>
        <v>0</v>
      </c>
      <c r="Z295" s="101"/>
      <c r="AA295" s="102"/>
      <c r="AB295" s="103"/>
      <c r="AC295" s="103"/>
      <c r="AD295" s="103"/>
      <c r="AE295" s="103"/>
      <c r="AF295" s="103">
        <f>Table5101345411[[#This Row],[العدد]]*Table5101345411[[#This Row],[قيمة الشراء]]</f>
        <v>0</v>
      </c>
      <c r="AG295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95" s="190">
        <f>Table5101345411[[#This Row],[الكمية]]+Table5101345411[[#This Row],[عدد الإضافات]]-Table5101345411[[#This Row],[العدد]]</f>
        <v>1</v>
      </c>
      <c r="AI295" s="78">
        <f>Table5101345411[[#This Row],[الإجمالي]]+Table5101345411[[#This Row],[إجمالي الإضافات]]-Table5101345411[[#This Row],[إجمالي المستبعد]]</f>
        <v>1350</v>
      </c>
      <c r="AJ295" s="62">
        <v>0.125</v>
      </c>
      <c r="AK295" s="219"/>
      <c r="AL295" s="58" t="s">
        <v>61</v>
      </c>
      <c r="AM295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168.75</v>
      </c>
      <c r="AN295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95" s="79">
        <f>Table5101345411[[#This Row],[اهلاك المستبعد
في 2018]]+Table5101345411[[#This Row],[مجمع إهلاك المستبعد 
01-01-2018]]</f>
        <v>0</v>
      </c>
      <c r="AP295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95" s="220"/>
      <c r="AR295" s="78">
        <f>IF(OR(Table5101345411[[#This Row],[تاريخ الشراء-الاستلام]]="",Table5101345411[[#This Row],[الإجمالي]]="",Table5101345411[[#This Row],[العمر الافتراضي]]=""),"",IF(((T295+AM295)-Table5101345411[[#This Row],[مجمع إهلاك المستبعد 
بتاريخ الأستبعاد]])&lt;=0,0,((T295+AM295)-Table5101345411[[#This Row],[مجمع إهلاك المستبعد 
بتاريخ الأستبعاد]])))</f>
        <v>330.19520547945206</v>
      </c>
      <c r="AS295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الشراء-الاستلام]]&gt;DATE(2018,12,31),0,AI295-AR295)))</f>
        <v>1019.8047945205479</v>
      </c>
    </row>
    <row r="296" spans="1:45" s="140" customFormat="1" ht="83.25" customHeight="1">
      <c r="A296" s="118">
        <f>IF(B296="","",SUBTOTAL(3,$B$6:B296))</f>
        <v>291</v>
      </c>
      <c r="B296" s="58" t="s">
        <v>359</v>
      </c>
      <c r="C296" s="59" t="s">
        <v>54</v>
      </c>
      <c r="D296" s="59" t="s">
        <v>56</v>
      </c>
      <c r="E296" s="59" t="s">
        <v>352</v>
      </c>
      <c r="F296" s="226" t="s">
        <v>352</v>
      </c>
      <c r="G296" s="226"/>
      <c r="H296" s="58" t="s">
        <v>93</v>
      </c>
      <c r="I296" s="58"/>
      <c r="J296" s="58" t="s">
        <v>64</v>
      </c>
      <c r="K296" s="58"/>
      <c r="L296" s="60"/>
      <c r="M296" s="77">
        <v>42838</v>
      </c>
      <c r="N296" s="77"/>
      <c r="O296" s="150" t="s">
        <v>360</v>
      </c>
      <c r="P296" s="122">
        <v>1</v>
      </c>
      <c r="Q296" s="123"/>
      <c r="R296" s="130">
        <v>2200</v>
      </c>
      <c r="S296" s="130">
        <f t="shared" si="6"/>
        <v>2200</v>
      </c>
      <c r="T296" s="130">
        <v>236.8767123287671</v>
      </c>
      <c r="U296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الشراء-الاستلام]]&lt;DATE(2018,1,1),S296-T296,0))</f>
        <v>1963.1232876712329</v>
      </c>
      <c r="V296" s="169"/>
      <c r="W296" s="116"/>
      <c r="X296" s="116"/>
      <c r="Y296" s="117">
        <f>Table5101345411[[#This Row],[عدد الإضافات]]*Table5101345411[[#This Row],[سعر الحبة المضافة]]</f>
        <v>0</v>
      </c>
      <c r="Z296" s="101"/>
      <c r="AA296" s="102"/>
      <c r="AB296" s="103"/>
      <c r="AC296" s="103"/>
      <c r="AD296" s="103"/>
      <c r="AE296" s="103"/>
      <c r="AF296" s="103">
        <f>Table5101345411[[#This Row],[العدد]]*Table5101345411[[#This Row],[قيمة الشراء]]</f>
        <v>0</v>
      </c>
      <c r="AG296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96" s="190">
        <f>Table5101345411[[#This Row],[الكمية]]+Table5101345411[[#This Row],[عدد الإضافات]]-Table5101345411[[#This Row],[العدد]]</f>
        <v>1</v>
      </c>
      <c r="AI296" s="78">
        <f>Table5101345411[[#This Row],[الإجمالي]]+Table5101345411[[#This Row],[إجمالي الإضافات]]-Table5101345411[[#This Row],[إجمالي المستبعد]]</f>
        <v>2200</v>
      </c>
      <c r="AJ296" s="62">
        <v>0.125</v>
      </c>
      <c r="AK296" s="219"/>
      <c r="AL296" s="58" t="s">
        <v>61</v>
      </c>
      <c r="AM296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275</v>
      </c>
      <c r="AN296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96" s="79">
        <f>Table5101345411[[#This Row],[اهلاك المستبعد
في 2018]]+Table5101345411[[#This Row],[مجمع إهلاك المستبعد 
01-01-2018]]</f>
        <v>0</v>
      </c>
      <c r="AP296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96" s="220"/>
      <c r="AR296" s="78">
        <f>IF(OR(Table5101345411[[#This Row],[تاريخ الشراء-الاستلام]]="",Table5101345411[[#This Row],[الإجمالي]]="",Table5101345411[[#This Row],[العمر الافتراضي]]=""),"",IF(((T296+AM296)-Table5101345411[[#This Row],[مجمع إهلاك المستبعد 
بتاريخ الأستبعاد]])&lt;=0,0,((T296+AM296)-Table5101345411[[#This Row],[مجمع إهلاك المستبعد 
بتاريخ الأستبعاد]])))</f>
        <v>511.8767123287671</v>
      </c>
      <c r="AS296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الشراء-الاستلام]]&gt;DATE(2018,12,31),0,AI296-AR296)))</f>
        <v>1688.1232876712329</v>
      </c>
    </row>
    <row r="297" spans="1:45" s="140" customFormat="1" ht="83.25" customHeight="1">
      <c r="A297" s="118">
        <f>IF(B297="","",SUBTOTAL(3,$B$6:B297))</f>
        <v>292</v>
      </c>
      <c r="B297" s="58" t="s">
        <v>361</v>
      </c>
      <c r="C297" s="59" t="s">
        <v>54</v>
      </c>
      <c r="D297" s="59" t="s">
        <v>56</v>
      </c>
      <c r="E297" s="59" t="s">
        <v>352</v>
      </c>
      <c r="F297" s="226" t="s">
        <v>352</v>
      </c>
      <c r="G297" s="226"/>
      <c r="H297" s="58" t="s">
        <v>57</v>
      </c>
      <c r="I297" s="58" t="s">
        <v>64</v>
      </c>
      <c r="J297" s="58" t="s">
        <v>64</v>
      </c>
      <c r="K297" s="58"/>
      <c r="L297" s="60"/>
      <c r="M297" s="77">
        <v>42870</v>
      </c>
      <c r="N297" s="77"/>
      <c r="O297" s="150" t="s">
        <v>319</v>
      </c>
      <c r="P297" s="122">
        <v>5</v>
      </c>
      <c r="Q297" s="123"/>
      <c r="R297" s="130">
        <v>1260</v>
      </c>
      <c r="S297" s="130">
        <f t="shared" si="6"/>
        <v>6300</v>
      </c>
      <c r="T297" s="130">
        <v>595.47945205479459</v>
      </c>
      <c r="U297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الشراء-الاستلام]]&lt;DATE(2018,1,1),S297-T297,0))</f>
        <v>5704.5205479452052</v>
      </c>
      <c r="V297" s="169"/>
      <c r="W297" s="116"/>
      <c r="X297" s="116"/>
      <c r="Y297" s="117">
        <f>Table5101345411[[#This Row],[عدد الإضافات]]*Table5101345411[[#This Row],[سعر الحبة المضافة]]</f>
        <v>0</v>
      </c>
      <c r="Z297" s="101"/>
      <c r="AA297" s="102"/>
      <c r="AB297" s="103"/>
      <c r="AC297" s="103"/>
      <c r="AD297" s="103"/>
      <c r="AE297" s="103"/>
      <c r="AF297" s="103">
        <f>Table5101345411[[#This Row],[العدد]]*Table5101345411[[#This Row],[قيمة الشراء]]</f>
        <v>0</v>
      </c>
      <c r="AG297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97" s="190">
        <f>Table5101345411[[#This Row],[الكمية]]+Table5101345411[[#This Row],[عدد الإضافات]]-Table5101345411[[#This Row],[العدد]]</f>
        <v>5</v>
      </c>
      <c r="AI297" s="78">
        <f>Table5101345411[[#This Row],[الإجمالي]]+Table5101345411[[#This Row],[إجمالي الإضافات]]-Table5101345411[[#This Row],[إجمالي المستبعد]]</f>
        <v>6300</v>
      </c>
      <c r="AJ297" s="62">
        <v>0.125</v>
      </c>
      <c r="AK297" s="219"/>
      <c r="AL297" s="58" t="s">
        <v>61</v>
      </c>
      <c r="AM297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787.5</v>
      </c>
      <c r="AN297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97" s="79">
        <f>Table5101345411[[#This Row],[اهلاك المستبعد
في 2018]]+Table5101345411[[#This Row],[مجمع إهلاك المستبعد 
01-01-2018]]</f>
        <v>0</v>
      </c>
      <c r="AP297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97" s="220"/>
      <c r="AR297" s="78">
        <f>IF(OR(Table5101345411[[#This Row],[تاريخ الشراء-الاستلام]]="",Table5101345411[[#This Row],[الإجمالي]]="",Table5101345411[[#This Row],[العمر الافتراضي]]=""),"",IF(((T297+AM297)-Table5101345411[[#This Row],[مجمع إهلاك المستبعد 
بتاريخ الأستبعاد]])&lt;=0,0,((T297+AM297)-Table5101345411[[#This Row],[مجمع إهلاك المستبعد 
بتاريخ الأستبعاد]])))</f>
        <v>1382.9794520547946</v>
      </c>
      <c r="AS297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الشراء-الاستلام]]&gt;DATE(2018,12,31),0,AI297-AR297)))</f>
        <v>4917.0205479452052</v>
      </c>
    </row>
    <row r="298" spans="1:45" s="140" customFormat="1" ht="83.25" customHeight="1">
      <c r="A298" s="118">
        <f>IF(B298="","",SUBTOTAL(3,$B$6:B298))</f>
        <v>293</v>
      </c>
      <c r="B298" s="58" t="s">
        <v>362</v>
      </c>
      <c r="C298" s="59" t="s">
        <v>54</v>
      </c>
      <c r="D298" s="59" t="s">
        <v>56</v>
      </c>
      <c r="E298" s="59" t="s">
        <v>352</v>
      </c>
      <c r="F298" s="226" t="s">
        <v>352</v>
      </c>
      <c r="G298" s="226"/>
      <c r="H298" s="58" t="s">
        <v>58</v>
      </c>
      <c r="I298" s="58" t="s">
        <v>64</v>
      </c>
      <c r="J298" s="58" t="s">
        <v>64</v>
      </c>
      <c r="K298" s="58"/>
      <c r="L298" s="60"/>
      <c r="M298" s="77">
        <v>42870</v>
      </c>
      <c r="N298" s="77"/>
      <c r="O298" s="150" t="s">
        <v>319</v>
      </c>
      <c r="P298" s="122">
        <v>2</v>
      </c>
      <c r="Q298" s="123"/>
      <c r="R298" s="130">
        <v>900</v>
      </c>
      <c r="S298" s="130">
        <f t="shared" si="6"/>
        <v>1800</v>
      </c>
      <c r="T298" s="130">
        <v>170.13698630136986</v>
      </c>
      <c r="U298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الشراء-الاستلام]]&lt;DATE(2018,1,1),S298-T298,0))</f>
        <v>1629.8630136986301</v>
      </c>
      <c r="V298" s="169"/>
      <c r="W298" s="116"/>
      <c r="X298" s="116"/>
      <c r="Y298" s="117">
        <f>Table5101345411[[#This Row],[عدد الإضافات]]*Table5101345411[[#This Row],[سعر الحبة المضافة]]</f>
        <v>0</v>
      </c>
      <c r="Z298" s="101"/>
      <c r="AA298" s="102"/>
      <c r="AB298" s="103"/>
      <c r="AC298" s="103"/>
      <c r="AD298" s="103"/>
      <c r="AE298" s="103"/>
      <c r="AF298" s="103">
        <f>Table5101345411[[#This Row],[العدد]]*Table5101345411[[#This Row],[قيمة الشراء]]</f>
        <v>0</v>
      </c>
      <c r="AG298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98" s="190">
        <f>Table5101345411[[#This Row],[الكمية]]+Table5101345411[[#This Row],[عدد الإضافات]]-Table5101345411[[#This Row],[العدد]]</f>
        <v>2</v>
      </c>
      <c r="AI298" s="78">
        <f>Table5101345411[[#This Row],[الإجمالي]]+Table5101345411[[#This Row],[إجمالي الإضافات]]-Table5101345411[[#This Row],[إجمالي المستبعد]]</f>
        <v>1800</v>
      </c>
      <c r="AJ298" s="62">
        <v>0.125</v>
      </c>
      <c r="AK298" s="219"/>
      <c r="AL298" s="58" t="s">
        <v>61</v>
      </c>
      <c r="AM298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225</v>
      </c>
      <c r="AN298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98" s="79">
        <f>Table5101345411[[#This Row],[اهلاك المستبعد
في 2018]]+Table5101345411[[#This Row],[مجمع إهلاك المستبعد 
01-01-2018]]</f>
        <v>0</v>
      </c>
      <c r="AP298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98" s="220"/>
      <c r="AR298" s="78">
        <f>IF(OR(Table5101345411[[#This Row],[تاريخ الشراء-الاستلام]]="",Table5101345411[[#This Row],[الإجمالي]]="",Table5101345411[[#This Row],[العمر الافتراضي]]=""),"",IF(((T298+AM298)-Table5101345411[[#This Row],[مجمع إهلاك المستبعد 
بتاريخ الأستبعاد]])&lt;=0,0,((T298+AM298)-Table5101345411[[#This Row],[مجمع إهلاك المستبعد 
بتاريخ الأستبعاد]])))</f>
        <v>395.13698630136986</v>
      </c>
      <c r="AS298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الشراء-الاستلام]]&gt;DATE(2018,12,31),0,AI298-AR298)))</f>
        <v>1404.8630136986301</v>
      </c>
    </row>
    <row r="299" spans="1:45" s="140" customFormat="1" ht="83.25" customHeight="1">
      <c r="A299" s="118">
        <f>IF(B299="","",SUBTOTAL(3,$B$6:B299))</f>
        <v>294</v>
      </c>
      <c r="B299" s="58" t="s">
        <v>363</v>
      </c>
      <c r="C299" s="59" t="s">
        <v>54</v>
      </c>
      <c r="D299" s="59" t="s">
        <v>56</v>
      </c>
      <c r="E299" s="59" t="s">
        <v>352</v>
      </c>
      <c r="F299" s="226" t="s">
        <v>352</v>
      </c>
      <c r="G299" s="226"/>
      <c r="H299" s="58" t="s">
        <v>58</v>
      </c>
      <c r="I299" s="58" t="s">
        <v>64</v>
      </c>
      <c r="J299" s="58" t="s">
        <v>64</v>
      </c>
      <c r="K299" s="58"/>
      <c r="L299" s="60"/>
      <c r="M299" s="77">
        <v>42870</v>
      </c>
      <c r="N299" s="77"/>
      <c r="O299" s="150" t="s">
        <v>319</v>
      </c>
      <c r="P299" s="122">
        <v>4</v>
      </c>
      <c r="Q299" s="123"/>
      <c r="R299" s="130">
        <v>412.5</v>
      </c>
      <c r="S299" s="130">
        <f t="shared" si="6"/>
        <v>1650</v>
      </c>
      <c r="T299" s="130">
        <v>155.95890410958904</v>
      </c>
      <c r="U299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الشراء-الاستلام]]&lt;DATE(2018,1,1),S299-T299,0))</f>
        <v>1494.041095890411</v>
      </c>
      <c r="V299" s="169"/>
      <c r="W299" s="116"/>
      <c r="X299" s="116"/>
      <c r="Y299" s="117">
        <f>Table5101345411[[#This Row],[عدد الإضافات]]*Table5101345411[[#This Row],[سعر الحبة المضافة]]</f>
        <v>0</v>
      </c>
      <c r="Z299" s="101"/>
      <c r="AA299" s="102"/>
      <c r="AB299" s="103"/>
      <c r="AC299" s="103"/>
      <c r="AD299" s="103"/>
      <c r="AE299" s="103"/>
      <c r="AF299" s="103">
        <f>Table5101345411[[#This Row],[العدد]]*Table5101345411[[#This Row],[قيمة الشراء]]</f>
        <v>0</v>
      </c>
      <c r="AG299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299" s="190">
        <f>Table5101345411[[#This Row],[الكمية]]+Table5101345411[[#This Row],[عدد الإضافات]]-Table5101345411[[#This Row],[العدد]]</f>
        <v>4</v>
      </c>
      <c r="AI299" s="78">
        <f>Table5101345411[[#This Row],[الإجمالي]]+Table5101345411[[#This Row],[إجمالي الإضافات]]-Table5101345411[[#This Row],[إجمالي المستبعد]]</f>
        <v>1650</v>
      </c>
      <c r="AJ299" s="62">
        <v>0.125</v>
      </c>
      <c r="AK299" s="219"/>
      <c r="AL299" s="58" t="s">
        <v>61</v>
      </c>
      <c r="AM299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206.25</v>
      </c>
      <c r="AN299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299" s="79">
        <f>Table5101345411[[#This Row],[اهلاك المستبعد
في 2018]]+Table5101345411[[#This Row],[مجمع إهلاك المستبعد 
01-01-2018]]</f>
        <v>0</v>
      </c>
      <c r="AP299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299" s="220"/>
      <c r="AR299" s="78">
        <f>IF(OR(Table5101345411[[#This Row],[تاريخ الشراء-الاستلام]]="",Table5101345411[[#This Row],[الإجمالي]]="",Table5101345411[[#This Row],[العمر الافتراضي]]=""),"",IF(((T299+AM299)-Table5101345411[[#This Row],[مجمع إهلاك المستبعد 
بتاريخ الأستبعاد]])&lt;=0,0,((T299+AM299)-Table5101345411[[#This Row],[مجمع إهلاك المستبعد 
بتاريخ الأستبعاد]])))</f>
        <v>362.20890410958907</v>
      </c>
      <c r="AS299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الشراء-الاستلام]]&gt;DATE(2018,12,31),0,AI299-AR299)))</f>
        <v>1287.7910958904108</v>
      </c>
    </row>
    <row r="300" spans="1:45" s="140" customFormat="1" ht="83.25" customHeight="1">
      <c r="A300" s="118">
        <f>IF(B300="","",SUBTOTAL(3,$B$6:B300))</f>
        <v>295</v>
      </c>
      <c r="B300" s="58" t="s">
        <v>364</v>
      </c>
      <c r="C300" s="59" t="s">
        <v>54</v>
      </c>
      <c r="D300" s="59" t="s">
        <v>56</v>
      </c>
      <c r="E300" s="59" t="s">
        <v>352</v>
      </c>
      <c r="F300" s="226" t="s">
        <v>352</v>
      </c>
      <c r="G300" s="226"/>
      <c r="H300" s="58" t="s">
        <v>93</v>
      </c>
      <c r="I300" s="58"/>
      <c r="J300" s="58" t="s">
        <v>64</v>
      </c>
      <c r="K300" s="58"/>
      <c r="L300" s="60"/>
      <c r="M300" s="77">
        <v>43021</v>
      </c>
      <c r="N300" s="77"/>
      <c r="O300" s="150" t="s">
        <v>365</v>
      </c>
      <c r="P300" s="122">
        <v>1</v>
      </c>
      <c r="Q300" s="123"/>
      <c r="R300" s="130">
        <v>2500</v>
      </c>
      <c r="S300" s="130">
        <f t="shared" si="6"/>
        <v>2500</v>
      </c>
      <c r="T300" s="130">
        <v>81.164383561643845</v>
      </c>
      <c r="U300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الشراء-الاستلام]]&lt;DATE(2018,1,1),S300-T300,0))</f>
        <v>2418.8356164383563</v>
      </c>
      <c r="V300" s="169"/>
      <c r="W300" s="116"/>
      <c r="X300" s="116"/>
      <c r="Y300" s="117">
        <f>Table5101345411[[#This Row],[عدد الإضافات]]*Table5101345411[[#This Row],[سعر الحبة المضافة]]</f>
        <v>0</v>
      </c>
      <c r="Z300" s="101"/>
      <c r="AA300" s="102"/>
      <c r="AB300" s="103"/>
      <c r="AC300" s="103"/>
      <c r="AD300" s="103"/>
      <c r="AE300" s="103"/>
      <c r="AF300" s="103">
        <f>Table5101345411[[#This Row],[العدد]]*Table5101345411[[#This Row],[قيمة الشراء]]</f>
        <v>0</v>
      </c>
      <c r="AG300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00" s="190">
        <f>Table5101345411[[#This Row],[الكمية]]+Table5101345411[[#This Row],[عدد الإضافات]]-Table5101345411[[#This Row],[العدد]]</f>
        <v>1</v>
      </c>
      <c r="AI300" s="78">
        <f>Table5101345411[[#This Row],[الإجمالي]]+Table5101345411[[#This Row],[إجمالي الإضافات]]-Table5101345411[[#This Row],[إجمالي المستبعد]]</f>
        <v>2500</v>
      </c>
      <c r="AJ300" s="62">
        <v>0.125</v>
      </c>
      <c r="AK300" s="219"/>
      <c r="AL300" s="58" t="s">
        <v>61</v>
      </c>
      <c r="AM300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312.5</v>
      </c>
      <c r="AN300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00" s="79">
        <f>Table5101345411[[#This Row],[اهلاك المستبعد
في 2018]]+Table5101345411[[#This Row],[مجمع إهلاك المستبعد 
01-01-2018]]</f>
        <v>0</v>
      </c>
      <c r="AP300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00" s="220"/>
      <c r="AR300" s="78">
        <f>IF(OR(Table5101345411[[#This Row],[تاريخ الشراء-الاستلام]]="",Table5101345411[[#This Row],[الإجمالي]]="",Table5101345411[[#This Row],[العمر الافتراضي]]=""),"",IF(((T300+AM300)-Table5101345411[[#This Row],[مجمع إهلاك المستبعد 
بتاريخ الأستبعاد]])&lt;=0,0,((T300+AM300)-Table5101345411[[#This Row],[مجمع إهلاك المستبعد 
بتاريخ الأستبعاد]])))</f>
        <v>393.66438356164383</v>
      </c>
      <c r="AS300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الشراء-الاستلام]]&gt;DATE(2018,12,31),0,AI300-AR300)))</f>
        <v>2106.3356164383563</v>
      </c>
    </row>
    <row r="301" spans="1:45" s="141" customFormat="1" ht="83.25" customHeight="1">
      <c r="A301" s="118">
        <f>IF(B301="","",SUBTOTAL(3,$B$6:B301))</f>
        <v>296</v>
      </c>
      <c r="B301" s="58" t="s">
        <v>366</v>
      </c>
      <c r="C301" s="59" t="s">
        <v>54</v>
      </c>
      <c r="D301" s="59" t="s">
        <v>367</v>
      </c>
      <c r="E301" s="59" t="s">
        <v>518</v>
      </c>
      <c r="F301" s="226" t="s">
        <v>518</v>
      </c>
      <c r="G301" s="226"/>
      <c r="H301" s="58" t="s">
        <v>58</v>
      </c>
      <c r="I301" s="58" t="s">
        <v>58</v>
      </c>
      <c r="J301" s="58" t="s">
        <v>74</v>
      </c>
      <c r="K301" s="58"/>
      <c r="L301" s="60"/>
      <c r="M301" s="77">
        <v>43070</v>
      </c>
      <c r="N301" s="77"/>
      <c r="O301" s="150" t="s">
        <v>368</v>
      </c>
      <c r="P301" s="122">
        <v>1</v>
      </c>
      <c r="Q301" s="123"/>
      <c r="R301" s="130">
        <v>300</v>
      </c>
      <c r="S301" s="130">
        <f t="shared" si="6"/>
        <v>300</v>
      </c>
      <c r="T301" s="130">
        <v>3.6986301369863011</v>
      </c>
      <c r="U301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الشراء-الاستلام]]&lt;DATE(2018,1,1),S301-T301,0))</f>
        <v>296.30136986301369</v>
      </c>
      <c r="V301" s="169"/>
      <c r="W301" s="116"/>
      <c r="X301" s="116"/>
      <c r="Y301" s="117">
        <f>Table5101345411[[#This Row],[عدد الإضافات]]*Table5101345411[[#This Row],[سعر الحبة المضافة]]</f>
        <v>0</v>
      </c>
      <c r="Z301" s="101"/>
      <c r="AA301" s="102"/>
      <c r="AB301" s="103"/>
      <c r="AC301" s="103"/>
      <c r="AD301" s="103"/>
      <c r="AE301" s="103"/>
      <c r="AF301" s="103">
        <f>Table5101345411[[#This Row],[العدد]]*Table5101345411[[#This Row],[قيمة الشراء]]</f>
        <v>0</v>
      </c>
      <c r="AG301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01" s="190">
        <f>Table5101345411[[#This Row],[الكمية]]+Table5101345411[[#This Row],[عدد الإضافات]]-Table5101345411[[#This Row],[العدد]]</f>
        <v>1</v>
      </c>
      <c r="AI301" s="78">
        <f>Table5101345411[[#This Row],[الإجمالي]]+Table5101345411[[#This Row],[إجمالي الإضافات]]-Table5101345411[[#This Row],[إجمالي المستبعد]]</f>
        <v>300</v>
      </c>
      <c r="AJ301" s="62">
        <v>0.125</v>
      </c>
      <c r="AK301" s="219"/>
      <c r="AL301" s="58" t="s">
        <v>61</v>
      </c>
      <c r="AM301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37.5</v>
      </c>
      <c r="AN301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01" s="79">
        <f>Table5101345411[[#This Row],[اهلاك المستبعد
في 2018]]+Table5101345411[[#This Row],[مجمع إهلاك المستبعد 
01-01-2018]]</f>
        <v>0</v>
      </c>
      <c r="AP301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01" s="220"/>
      <c r="AR301" s="78">
        <f>IF(OR(Table5101345411[[#This Row],[تاريخ الشراء-الاستلام]]="",Table5101345411[[#This Row],[الإجمالي]]="",Table5101345411[[#This Row],[العمر الافتراضي]]=""),"",IF(((T301+AM301)-Table5101345411[[#This Row],[مجمع إهلاك المستبعد 
بتاريخ الأستبعاد]])&lt;=0,0,((T301+AM301)-Table5101345411[[#This Row],[مجمع إهلاك المستبعد 
بتاريخ الأستبعاد]])))</f>
        <v>41.198630136986303</v>
      </c>
      <c r="AS301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الشراء-الاستلام]]&gt;DATE(2018,12,31),0,AI301-AR301)))</f>
        <v>258.80136986301369</v>
      </c>
    </row>
    <row r="302" spans="1:45" s="141" customFormat="1" ht="83.25" customHeight="1">
      <c r="A302" s="118">
        <f>IF(B302="","",SUBTOTAL(3,$B$6:B302))</f>
        <v>297</v>
      </c>
      <c r="B302" s="58" t="s">
        <v>519</v>
      </c>
      <c r="C302" s="59" t="s">
        <v>54</v>
      </c>
      <c r="D302" s="59" t="s">
        <v>367</v>
      </c>
      <c r="E302" s="59" t="s">
        <v>518</v>
      </c>
      <c r="F302" s="226" t="s">
        <v>518</v>
      </c>
      <c r="G302" s="226"/>
      <c r="H302" s="58" t="s">
        <v>58</v>
      </c>
      <c r="I302" s="58" t="s">
        <v>58</v>
      </c>
      <c r="J302" s="58" t="s">
        <v>74</v>
      </c>
      <c r="K302" s="58"/>
      <c r="L302" s="60"/>
      <c r="M302" s="77">
        <v>42752</v>
      </c>
      <c r="N302" s="77"/>
      <c r="O302" s="150" t="s">
        <v>282</v>
      </c>
      <c r="P302" s="122">
        <v>1</v>
      </c>
      <c r="Q302" s="123"/>
      <c r="R302" s="130">
        <v>650</v>
      </c>
      <c r="S302" s="130">
        <f t="shared" si="6"/>
        <v>650</v>
      </c>
      <c r="T302" s="130">
        <v>92.958904109589042</v>
      </c>
      <c r="U302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الشراء-الاستلام]]&lt;DATE(2018,1,1),S302-T302,0))</f>
        <v>557.04109589041093</v>
      </c>
      <c r="V302" s="169"/>
      <c r="W302" s="116"/>
      <c r="X302" s="116"/>
      <c r="Y302" s="117">
        <f>Table5101345411[[#This Row],[عدد الإضافات]]*Table5101345411[[#This Row],[سعر الحبة المضافة]]</f>
        <v>0</v>
      </c>
      <c r="Z302" s="101"/>
      <c r="AA302" s="102"/>
      <c r="AB302" s="103"/>
      <c r="AC302" s="103"/>
      <c r="AD302" s="103"/>
      <c r="AE302" s="103"/>
      <c r="AF302" s="103">
        <f>Table5101345411[[#This Row],[العدد]]*Table5101345411[[#This Row],[قيمة الشراء]]</f>
        <v>0</v>
      </c>
      <c r="AG302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02" s="190">
        <f>Table5101345411[[#This Row],[الكمية]]+Table5101345411[[#This Row],[عدد الإضافات]]-Table5101345411[[#This Row],[العدد]]</f>
        <v>1</v>
      </c>
      <c r="AI302" s="78">
        <f>Table5101345411[[#This Row],[الإجمالي]]+Table5101345411[[#This Row],[إجمالي الإضافات]]-Table5101345411[[#This Row],[إجمالي المستبعد]]</f>
        <v>650</v>
      </c>
      <c r="AJ302" s="62">
        <v>0.125</v>
      </c>
      <c r="AK302" s="219"/>
      <c r="AL302" s="58" t="s">
        <v>61</v>
      </c>
      <c r="AM302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81.25</v>
      </c>
      <c r="AN302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02" s="79">
        <f>Table5101345411[[#This Row],[اهلاك المستبعد
في 2018]]+Table5101345411[[#This Row],[مجمع إهلاك المستبعد 
01-01-2018]]</f>
        <v>0</v>
      </c>
      <c r="AP302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02" s="220"/>
      <c r="AR302" s="78">
        <f>IF(OR(Table5101345411[[#This Row],[تاريخ الشراء-الاستلام]]="",Table5101345411[[#This Row],[الإجمالي]]="",Table5101345411[[#This Row],[العمر الافتراضي]]=""),"",IF(((T302+AM302)-Table5101345411[[#This Row],[مجمع إهلاك المستبعد 
بتاريخ الأستبعاد]])&lt;=0,0,((T302+AM302)-Table5101345411[[#This Row],[مجمع إهلاك المستبعد 
بتاريخ الأستبعاد]])))</f>
        <v>174.20890410958904</v>
      </c>
      <c r="AS302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الشراء-الاستلام]]&gt;DATE(2018,12,31),0,AI302-AR302)))</f>
        <v>475.79109589041093</v>
      </c>
    </row>
    <row r="303" spans="1:45" s="141" customFormat="1" ht="83.25" customHeight="1">
      <c r="A303" s="118">
        <f>IF(B303="","",SUBTOTAL(3,$B$6:B303))</f>
        <v>298</v>
      </c>
      <c r="B303" s="58" t="s">
        <v>369</v>
      </c>
      <c r="C303" s="59" t="s">
        <v>54</v>
      </c>
      <c r="D303" s="59" t="s">
        <v>367</v>
      </c>
      <c r="E303" s="59" t="s">
        <v>517</v>
      </c>
      <c r="F303" s="226" t="s">
        <v>517</v>
      </c>
      <c r="G303" s="226"/>
      <c r="H303" s="58" t="s">
        <v>58</v>
      </c>
      <c r="I303" s="58" t="s">
        <v>58</v>
      </c>
      <c r="J303" s="58" t="s">
        <v>74</v>
      </c>
      <c r="K303" s="58"/>
      <c r="L303" s="60"/>
      <c r="M303" s="77">
        <v>42752</v>
      </c>
      <c r="N303" s="77"/>
      <c r="O303" s="150" t="s">
        <v>282</v>
      </c>
      <c r="P303" s="122">
        <v>10</v>
      </c>
      <c r="Q303" s="123"/>
      <c r="R303" s="130">
        <v>399</v>
      </c>
      <c r="S303" s="130">
        <f t="shared" si="6"/>
        <v>3990</v>
      </c>
      <c r="T303" s="130">
        <v>570.62465753424658</v>
      </c>
      <c r="U303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الشراء-الاستلام]]&lt;DATE(2018,1,1),S303-T303,0))</f>
        <v>3419.3753424657534</v>
      </c>
      <c r="V303" s="169"/>
      <c r="W303" s="116"/>
      <c r="X303" s="116"/>
      <c r="Y303" s="117">
        <f>Table5101345411[[#This Row],[عدد الإضافات]]*Table5101345411[[#This Row],[سعر الحبة المضافة]]</f>
        <v>0</v>
      </c>
      <c r="Z303" s="101"/>
      <c r="AA303" s="102"/>
      <c r="AB303" s="103"/>
      <c r="AC303" s="103"/>
      <c r="AD303" s="103"/>
      <c r="AE303" s="103"/>
      <c r="AF303" s="103">
        <f>Table5101345411[[#This Row],[العدد]]*Table5101345411[[#This Row],[قيمة الشراء]]</f>
        <v>0</v>
      </c>
      <c r="AG303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03" s="190">
        <f>Table5101345411[[#This Row],[الكمية]]+Table5101345411[[#This Row],[عدد الإضافات]]-Table5101345411[[#This Row],[العدد]]</f>
        <v>10</v>
      </c>
      <c r="AI303" s="78">
        <f>Table5101345411[[#This Row],[الإجمالي]]+Table5101345411[[#This Row],[إجمالي الإضافات]]-Table5101345411[[#This Row],[إجمالي المستبعد]]</f>
        <v>3990</v>
      </c>
      <c r="AJ303" s="62">
        <v>0.125</v>
      </c>
      <c r="AK303" s="219"/>
      <c r="AL303" s="58" t="s">
        <v>61</v>
      </c>
      <c r="AM303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498.75</v>
      </c>
      <c r="AN303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03" s="79">
        <f>Table5101345411[[#This Row],[اهلاك المستبعد
في 2018]]+Table5101345411[[#This Row],[مجمع إهلاك المستبعد 
01-01-2018]]</f>
        <v>0</v>
      </c>
      <c r="AP303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03" s="220"/>
      <c r="AR303" s="78">
        <f>IF(OR(Table5101345411[[#This Row],[تاريخ الشراء-الاستلام]]="",Table5101345411[[#This Row],[الإجمالي]]="",Table5101345411[[#This Row],[العمر الافتراضي]]=""),"",IF(((T303+AM303)-Table5101345411[[#This Row],[مجمع إهلاك المستبعد 
بتاريخ الأستبعاد]])&lt;=0,0,((T303+AM303)-Table5101345411[[#This Row],[مجمع إهلاك المستبعد 
بتاريخ الأستبعاد]])))</f>
        <v>1069.3746575342466</v>
      </c>
      <c r="AS303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الشراء-الاستلام]]&gt;DATE(2018,12,31),0,AI303-AR303)))</f>
        <v>2920.6253424657534</v>
      </c>
    </row>
    <row r="304" spans="1:45" s="141" customFormat="1" ht="83.25" customHeight="1">
      <c r="A304" s="118">
        <f>IF(B304="","",SUBTOTAL(3,$B$6:B304))</f>
        <v>299</v>
      </c>
      <c r="B304" s="58" t="s">
        <v>370</v>
      </c>
      <c r="C304" s="59" t="s">
        <v>54</v>
      </c>
      <c r="D304" s="59" t="s">
        <v>367</v>
      </c>
      <c r="E304" s="59" t="s">
        <v>403</v>
      </c>
      <c r="F304" s="226" t="s">
        <v>403</v>
      </c>
      <c r="G304" s="226"/>
      <c r="H304" s="58" t="s">
        <v>58</v>
      </c>
      <c r="I304" s="58" t="s">
        <v>58</v>
      </c>
      <c r="J304" s="58" t="s">
        <v>74</v>
      </c>
      <c r="K304" s="58"/>
      <c r="L304" s="60"/>
      <c r="M304" s="77">
        <v>42858</v>
      </c>
      <c r="N304" s="77"/>
      <c r="O304" s="150" t="s">
        <v>319</v>
      </c>
      <c r="P304" s="122">
        <v>4</v>
      </c>
      <c r="Q304" s="123"/>
      <c r="R304" s="130">
        <v>1414</v>
      </c>
      <c r="S304" s="130">
        <f t="shared" si="6"/>
        <v>5656</v>
      </c>
      <c r="T304" s="130">
        <v>562.50082191780825</v>
      </c>
      <c r="U304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الشراء-الاستلام]]&lt;DATE(2018,1,1),S304-T304,0))</f>
        <v>5093.499178082192</v>
      </c>
      <c r="V304" s="169"/>
      <c r="W304" s="116"/>
      <c r="X304" s="116"/>
      <c r="Y304" s="117">
        <f>Table5101345411[[#This Row],[عدد الإضافات]]*Table5101345411[[#This Row],[سعر الحبة المضافة]]</f>
        <v>0</v>
      </c>
      <c r="Z304" s="101"/>
      <c r="AA304" s="102"/>
      <c r="AB304" s="103"/>
      <c r="AC304" s="103"/>
      <c r="AD304" s="103"/>
      <c r="AE304" s="103"/>
      <c r="AF304" s="103">
        <f>Table5101345411[[#This Row],[العدد]]*Table5101345411[[#This Row],[قيمة الشراء]]</f>
        <v>0</v>
      </c>
      <c r="AG304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04" s="190">
        <f>Table5101345411[[#This Row],[الكمية]]+Table5101345411[[#This Row],[عدد الإضافات]]-Table5101345411[[#This Row],[العدد]]</f>
        <v>4</v>
      </c>
      <c r="AI304" s="78">
        <f>Table5101345411[[#This Row],[الإجمالي]]+Table5101345411[[#This Row],[إجمالي الإضافات]]-Table5101345411[[#This Row],[إجمالي المستبعد]]</f>
        <v>5656</v>
      </c>
      <c r="AJ304" s="62">
        <v>0.125</v>
      </c>
      <c r="AK304" s="219"/>
      <c r="AL304" s="58" t="s">
        <v>61</v>
      </c>
      <c r="AM304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707</v>
      </c>
      <c r="AN304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04" s="79">
        <f>Table5101345411[[#This Row],[اهلاك المستبعد
في 2018]]+Table5101345411[[#This Row],[مجمع إهلاك المستبعد 
01-01-2018]]</f>
        <v>0</v>
      </c>
      <c r="AP304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04" s="220"/>
      <c r="AR304" s="78">
        <f>IF(OR(Table5101345411[[#This Row],[تاريخ الشراء-الاستلام]]="",Table5101345411[[#This Row],[الإجمالي]]="",Table5101345411[[#This Row],[العمر الافتراضي]]=""),"",IF(((T304+AM304)-Table5101345411[[#This Row],[مجمع إهلاك المستبعد 
بتاريخ الأستبعاد]])&lt;=0,0,((T304+AM304)-Table5101345411[[#This Row],[مجمع إهلاك المستبعد 
بتاريخ الأستبعاد]])))</f>
        <v>1269.5008219178083</v>
      </c>
      <c r="AS304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الشراء-الاستلام]]&gt;DATE(2018,12,31),0,AI304-AR304)))</f>
        <v>4386.499178082192</v>
      </c>
    </row>
    <row r="305" spans="1:45" s="141" customFormat="1" ht="83.25" customHeight="1">
      <c r="A305" s="118">
        <f>IF(B305="","",SUBTOTAL(3,$B$6:B305))</f>
        <v>300</v>
      </c>
      <c r="B305" s="58" t="s">
        <v>369</v>
      </c>
      <c r="C305" s="59" t="s">
        <v>54</v>
      </c>
      <c r="D305" s="59" t="s">
        <v>367</v>
      </c>
      <c r="E305" s="59" t="s">
        <v>517</v>
      </c>
      <c r="F305" s="226" t="s">
        <v>517</v>
      </c>
      <c r="G305" s="226"/>
      <c r="H305" s="58" t="s">
        <v>58</v>
      </c>
      <c r="I305" s="58" t="s">
        <v>58</v>
      </c>
      <c r="J305" s="58" t="s">
        <v>74</v>
      </c>
      <c r="K305" s="58"/>
      <c r="L305" s="60"/>
      <c r="M305" s="77">
        <v>42858</v>
      </c>
      <c r="N305" s="77"/>
      <c r="O305" s="150" t="s">
        <v>371</v>
      </c>
      <c r="P305" s="122">
        <v>5</v>
      </c>
      <c r="Q305" s="123"/>
      <c r="R305" s="130">
        <v>399</v>
      </c>
      <c r="S305" s="130">
        <f t="shared" si="6"/>
        <v>1995</v>
      </c>
      <c r="T305" s="130">
        <v>198.40684931506848</v>
      </c>
      <c r="U305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الشراء-الاستلام]]&lt;DATE(2018,1,1),S305-T305,0))</f>
        <v>1796.5931506849315</v>
      </c>
      <c r="V305" s="169"/>
      <c r="W305" s="116"/>
      <c r="X305" s="116"/>
      <c r="Y305" s="117">
        <f>Table5101345411[[#This Row],[عدد الإضافات]]*Table5101345411[[#This Row],[سعر الحبة المضافة]]</f>
        <v>0</v>
      </c>
      <c r="Z305" s="101"/>
      <c r="AA305" s="102"/>
      <c r="AB305" s="103"/>
      <c r="AC305" s="103"/>
      <c r="AD305" s="103"/>
      <c r="AE305" s="103"/>
      <c r="AF305" s="103">
        <f>Table5101345411[[#This Row],[العدد]]*Table5101345411[[#This Row],[قيمة الشراء]]</f>
        <v>0</v>
      </c>
      <c r="AG305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05" s="190">
        <f>Table5101345411[[#This Row],[الكمية]]+Table5101345411[[#This Row],[عدد الإضافات]]-Table5101345411[[#This Row],[العدد]]</f>
        <v>5</v>
      </c>
      <c r="AI305" s="78">
        <f>Table5101345411[[#This Row],[الإجمالي]]+Table5101345411[[#This Row],[إجمالي الإضافات]]-Table5101345411[[#This Row],[إجمالي المستبعد]]</f>
        <v>1995</v>
      </c>
      <c r="AJ305" s="62">
        <v>0.125</v>
      </c>
      <c r="AK305" s="219"/>
      <c r="AL305" s="58" t="s">
        <v>61</v>
      </c>
      <c r="AM305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249.375</v>
      </c>
      <c r="AN305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05" s="79">
        <f>Table5101345411[[#This Row],[اهلاك المستبعد
في 2018]]+Table5101345411[[#This Row],[مجمع إهلاك المستبعد 
01-01-2018]]</f>
        <v>0</v>
      </c>
      <c r="AP305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05" s="220"/>
      <c r="AR305" s="78">
        <f>IF(OR(Table5101345411[[#This Row],[تاريخ الشراء-الاستلام]]="",Table5101345411[[#This Row],[الإجمالي]]="",Table5101345411[[#This Row],[العمر الافتراضي]]=""),"",IF(((T305+AM305)-Table5101345411[[#This Row],[مجمع إهلاك المستبعد 
بتاريخ الأستبعاد]])&lt;=0,0,((T305+AM305)-Table5101345411[[#This Row],[مجمع إهلاك المستبعد 
بتاريخ الأستبعاد]])))</f>
        <v>447.78184931506848</v>
      </c>
      <c r="AS305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الشراء-الاستلام]]&gt;DATE(2018,12,31),0,AI305-AR305)))</f>
        <v>1547.2181506849315</v>
      </c>
    </row>
    <row r="306" spans="1:45" s="141" customFormat="1" ht="83.25" customHeight="1">
      <c r="A306" s="118">
        <f>IF(B306="","",SUBTOTAL(3,$B$6:B306))</f>
        <v>301</v>
      </c>
      <c r="B306" s="58" t="s">
        <v>372</v>
      </c>
      <c r="C306" s="59" t="s">
        <v>54</v>
      </c>
      <c r="D306" s="59" t="s">
        <v>367</v>
      </c>
      <c r="E306" s="59" t="s">
        <v>403</v>
      </c>
      <c r="F306" s="226" t="s">
        <v>403</v>
      </c>
      <c r="G306" s="226"/>
      <c r="H306" s="58" t="s">
        <v>58</v>
      </c>
      <c r="I306" s="58" t="s">
        <v>58</v>
      </c>
      <c r="J306" s="58" t="s">
        <v>74</v>
      </c>
      <c r="K306" s="58"/>
      <c r="L306" s="60"/>
      <c r="M306" s="77">
        <v>43041</v>
      </c>
      <c r="N306" s="77"/>
      <c r="O306" s="150" t="s">
        <v>373</v>
      </c>
      <c r="P306" s="122">
        <v>1</v>
      </c>
      <c r="Q306" s="123"/>
      <c r="R306" s="130">
        <v>2349</v>
      </c>
      <c r="S306" s="130">
        <f t="shared" si="6"/>
        <v>2349</v>
      </c>
      <c r="T306" s="130">
        <v>56.955205479452047</v>
      </c>
      <c r="U306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الشراء-الاستلام]]&lt;DATE(2018,1,1),S306-T306,0))</f>
        <v>2292.0447945205478</v>
      </c>
      <c r="V306" s="169"/>
      <c r="W306" s="116"/>
      <c r="X306" s="116"/>
      <c r="Y306" s="117">
        <f>Table5101345411[[#This Row],[عدد الإضافات]]*Table5101345411[[#This Row],[سعر الحبة المضافة]]</f>
        <v>0</v>
      </c>
      <c r="Z306" s="101"/>
      <c r="AA306" s="102"/>
      <c r="AB306" s="103"/>
      <c r="AC306" s="103"/>
      <c r="AD306" s="103"/>
      <c r="AE306" s="103"/>
      <c r="AF306" s="103">
        <f>Table5101345411[[#This Row],[العدد]]*Table5101345411[[#This Row],[قيمة الشراء]]</f>
        <v>0</v>
      </c>
      <c r="AG306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06" s="190">
        <f>Table5101345411[[#This Row],[الكمية]]+Table5101345411[[#This Row],[عدد الإضافات]]-Table5101345411[[#This Row],[العدد]]</f>
        <v>1</v>
      </c>
      <c r="AI306" s="78">
        <f>Table5101345411[[#This Row],[الإجمالي]]+Table5101345411[[#This Row],[إجمالي الإضافات]]-Table5101345411[[#This Row],[إجمالي المستبعد]]</f>
        <v>2349</v>
      </c>
      <c r="AJ306" s="62">
        <v>0.125</v>
      </c>
      <c r="AK306" s="219"/>
      <c r="AL306" s="58" t="s">
        <v>61</v>
      </c>
      <c r="AM306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293.625</v>
      </c>
      <c r="AN306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06" s="79">
        <f>Table5101345411[[#This Row],[اهلاك المستبعد
في 2018]]+Table5101345411[[#This Row],[مجمع إهلاك المستبعد 
01-01-2018]]</f>
        <v>0</v>
      </c>
      <c r="AP306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06" s="220"/>
      <c r="AR306" s="78">
        <f>IF(OR(Table5101345411[[#This Row],[تاريخ الشراء-الاستلام]]="",Table5101345411[[#This Row],[الإجمالي]]="",Table5101345411[[#This Row],[العمر الافتراضي]]=""),"",IF(((T306+AM306)-Table5101345411[[#This Row],[مجمع إهلاك المستبعد 
بتاريخ الأستبعاد]])&lt;=0,0,((T306+AM306)-Table5101345411[[#This Row],[مجمع إهلاك المستبعد 
بتاريخ الأستبعاد]])))</f>
        <v>350.58020547945205</v>
      </c>
      <c r="AS306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الشراء-الاستلام]]&gt;DATE(2018,12,31),0,AI306-AR306)))</f>
        <v>1998.4197945205478</v>
      </c>
    </row>
    <row r="307" spans="1:45" s="141" customFormat="1" ht="83.25" customHeight="1">
      <c r="A307" s="118">
        <f>IF(B307="","",SUBTOTAL(3,$B$6:B307))</f>
        <v>302</v>
      </c>
      <c r="B307" s="58" t="s">
        <v>374</v>
      </c>
      <c r="C307" s="59" t="s">
        <v>54</v>
      </c>
      <c r="D307" s="59" t="s">
        <v>367</v>
      </c>
      <c r="E307" s="59" t="s">
        <v>403</v>
      </c>
      <c r="F307" s="226" t="s">
        <v>403</v>
      </c>
      <c r="G307" s="226"/>
      <c r="H307" s="58" t="s">
        <v>58</v>
      </c>
      <c r="I307" s="58" t="s">
        <v>58</v>
      </c>
      <c r="J307" s="58" t="s">
        <v>74</v>
      </c>
      <c r="K307" s="58"/>
      <c r="L307" s="60"/>
      <c r="M307" s="77">
        <v>43041</v>
      </c>
      <c r="N307" s="77"/>
      <c r="O307" s="150" t="s">
        <v>375</v>
      </c>
      <c r="P307" s="122">
        <v>1</v>
      </c>
      <c r="Q307" s="123"/>
      <c r="R307" s="130">
        <v>1980</v>
      </c>
      <c r="S307" s="130">
        <f t="shared" si="6"/>
        <v>1980</v>
      </c>
      <c r="T307" s="130">
        <v>48.008219178082193</v>
      </c>
      <c r="U307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الشراء-الاستلام]]&lt;DATE(2018,1,1),S307-T307,0))</f>
        <v>1931.9917808219177</v>
      </c>
      <c r="V307" s="169"/>
      <c r="W307" s="116"/>
      <c r="X307" s="116"/>
      <c r="Y307" s="117">
        <f>Table5101345411[[#This Row],[عدد الإضافات]]*Table5101345411[[#This Row],[سعر الحبة المضافة]]</f>
        <v>0</v>
      </c>
      <c r="Z307" s="101"/>
      <c r="AA307" s="102"/>
      <c r="AB307" s="103"/>
      <c r="AC307" s="103"/>
      <c r="AD307" s="103"/>
      <c r="AE307" s="103"/>
      <c r="AF307" s="103">
        <f>Table5101345411[[#This Row],[العدد]]*Table5101345411[[#This Row],[قيمة الشراء]]</f>
        <v>0</v>
      </c>
      <c r="AG307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07" s="190">
        <f>Table5101345411[[#This Row],[الكمية]]+Table5101345411[[#This Row],[عدد الإضافات]]-Table5101345411[[#This Row],[العدد]]</f>
        <v>1</v>
      </c>
      <c r="AI307" s="78">
        <f>Table5101345411[[#This Row],[الإجمالي]]+Table5101345411[[#This Row],[إجمالي الإضافات]]-Table5101345411[[#This Row],[إجمالي المستبعد]]</f>
        <v>1980</v>
      </c>
      <c r="AJ307" s="62">
        <v>0.125</v>
      </c>
      <c r="AK307" s="219"/>
      <c r="AL307" s="58" t="s">
        <v>61</v>
      </c>
      <c r="AM307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247.5</v>
      </c>
      <c r="AN307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07" s="79">
        <f>Table5101345411[[#This Row],[اهلاك المستبعد
في 2018]]+Table5101345411[[#This Row],[مجمع إهلاك المستبعد 
01-01-2018]]</f>
        <v>0</v>
      </c>
      <c r="AP307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07" s="220"/>
      <c r="AR307" s="78">
        <f>IF(OR(Table5101345411[[#This Row],[تاريخ الشراء-الاستلام]]="",Table5101345411[[#This Row],[الإجمالي]]="",Table5101345411[[#This Row],[العمر الافتراضي]]=""),"",IF(((T307+AM307)-Table5101345411[[#This Row],[مجمع إهلاك المستبعد 
بتاريخ الأستبعاد]])&lt;=0,0,((T307+AM307)-Table5101345411[[#This Row],[مجمع إهلاك المستبعد 
بتاريخ الأستبعاد]])))</f>
        <v>295.50821917808219</v>
      </c>
      <c r="AS307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الشراء-الاستلام]]&gt;DATE(2018,12,31),0,AI307-AR307)))</f>
        <v>1684.4917808219179</v>
      </c>
    </row>
    <row r="308" spans="1:45" s="141" customFormat="1" ht="83.25" customHeight="1">
      <c r="A308" s="118">
        <f>IF(B308="","",SUBTOTAL(3,$B$6:B308))</f>
        <v>303</v>
      </c>
      <c r="B308" s="58" t="s">
        <v>376</v>
      </c>
      <c r="C308" s="59" t="s">
        <v>54</v>
      </c>
      <c r="D308" s="59" t="s">
        <v>367</v>
      </c>
      <c r="E308" s="59" t="s">
        <v>517</v>
      </c>
      <c r="F308" s="226" t="s">
        <v>517</v>
      </c>
      <c r="G308" s="226"/>
      <c r="H308" s="58" t="s">
        <v>58</v>
      </c>
      <c r="I308" s="58" t="s">
        <v>58</v>
      </c>
      <c r="J308" s="58" t="s">
        <v>64</v>
      </c>
      <c r="K308" s="58"/>
      <c r="L308" s="60"/>
      <c r="M308" s="77">
        <v>43081</v>
      </c>
      <c r="N308" s="77"/>
      <c r="O308" s="150" t="s">
        <v>377</v>
      </c>
      <c r="P308" s="122">
        <v>1</v>
      </c>
      <c r="Q308" s="123"/>
      <c r="R308" s="130">
        <v>400</v>
      </c>
      <c r="S308" s="130">
        <f t="shared" si="6"/>
        <v>400</v>
      </c>
      <c r="T308" s="130">
        <v>3.1232876712328768</v>
      </c>
      <c r="U308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الشراء-الاستلام]]&lt;DATE(2018,1,1),S308-T308,0))</f>
        <v>396.8767123287671</v>
      </c>
      <c r="V308" s="169"/>
      <c r="W308" s="116"/>
      <c r="X308" s="116"/>
      <c r="Y308" s="117">
        <f>Table5101345411[[#This Row],[عدد الإضافات]]*Table5101345411[[#This Row],[سعر الحبة المضافة]]</f>
        <v>0</v>
      </c>
      <c r="Z308" s="101"/>
      <c r="AA308" s="102"/>
      <c r="AB308" s="103"/>
      <c r="AC308" s="103"/>
      <c r="AD308" s="103"/>
      <c r="AE308" s="103"/>
      <c r="AF308" s="103">
        <f>Table5101345411[[#This Row],[العدد]]*Table5101345411[[#This Row],[قيمة الشراء]]</f>
        <v>0</v>
      </c>
      <c r="AG308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08" s="190">
        <f>Table5101345411[[#This Row],[الكمية]]+Table5101345411[[#This Row],[عدد الإضافات]]-Table5101345411[[#This Row],[العدد]]</f>
        <v>1</v>
      </c>
      <c r="AI308" s="78">
        <f>Table5101345411[[#This Row],[الإجمالي]]+Table5101345411[[#This Row],[إجمالي الإضافات]]-Table5101345411[[#This Row],[إجمالي المستبعد]]</f>
        <v>400</v>
      </c>
      <c r="AJ308" s="62">
        <v>0.125</v>
      </c>
      <c r="AK308" s="219"/>
      <c r="AL308" s="58" t="s">
        <v>61</v>
      </c>
      <c r="AM308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50</v>
      </c>
      <c r="AN308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08" s="79">
        <f>Table5101345411[[#This Row],[اهلاك المستبعد
في 2018]]+Table5101345411[[#This Row],[مجمع إهلاك المستبعد 
01-01-2018]]</f>
        <v>0</v>
      </c>
      <c r="AP308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08" s="220"/>
      <c r="AR308" s="78">
        <f>IF(OR(Table5101345411[[#This Row],[تاريخ الشراء-الاستلام]]="",Table5101345411[[#This Row],[الإجمالي]]="",Table5101345411[[#This Row],[العمر الافتراضي]]=""),"",IF(((T308+AM308)-Table5101345411[[#This Row],[مجمع إهلاك المستبعد 
بتاريخ الأستبعاد]])&lt;=0,0,((T308+AM308)-Table5101345411[[#This Row],[مجمع إهلاك المستبعد 
بتاريخ الأستبعاد]])))</f>
        <v>53.123287671232873</v>
      </c>
      <c r="AS308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الشراء-الاستلام]]&gt;DATE(2018,12,31),0,AI308-AR308)))</f>
        <v>346.8767123287671</v>
      </c>
    </row>
    <row r="309" spans="1:45" s="141" customFormat="1" ht="83.25" customHeight="1">
      <c r="A309" s="118">
        <f>IF(B309="","",SUBTOTAL(3,$B$6:B309))</f>
        <v>304</v>
      </c>
      <c r="B309" s="58" t="s">
        <v>378</v>
      </c>
      <c r="C309" s="59" t="s">
        <v>54</v>
      </c>
      <c r="D309" s="59" t="s">
        <v>367</v>
      </c>
      <c r="E309" s="59" t="s">
        <v>518</v>
      </c>
      <c r="F309" s="226" t="s">
        <v>518</v>
      </c>
      <c r="G309" s="226"/>
      <c r="H309" s="58" t="s">
        <v>58</v>
      </c>
      <c r="I309" s="58" t="s">
        <v>58</v>
      </c>
      <c r="J309" s="58" t="s">
        <v>379</v>
      </c>
      <c r="K309" s="58"/>
      <c r="L309" s="60"/>
      <c r="M309" s="77">
        <v>43081</v>
      </c>
      <c r="N309" s="77"/>
      <c r="O309" s="150" t="s">
        <v>338</v>
      </c>
      <c r="P309" s="122">
        <v>1</v>
      </c>
      <c r="Q309" s="123"/>
      <c r="R309" s="130">
        <v>3030</v>
      </c>
      <c r="S309" s="130">
        <f t="shared" si="6"/>
        <v>3030</v>
      </c>
      <c r="T309" s="130">
        <v>23.658904109589042</v>
      </c>
      <c r="U309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الشراء-الاستلام]]&lt;DATE(2018,1,1),S309-T309,0))</f>
        <v>3006.341095890411</v>
      </c>
      <c r="V309" s="169"/>
      <c r="W309" s="116"/>
      <c r="X309" s="116"/>
      <c r="Y309" s="117">
        <f>Table5101345411[[#This Row],[عدد الإضافات]]*Table5101345411[[#This Row],[سعر الحبة المضافة]]</f>
        <v>0</v>
      </c>
      <c r="Z309" s="101"/>
      <c r="AA309" s="102"/>
      <c r="AB309" s="103"/>
      <c r="AC309" s="103"/>
      <c r="AD309" s="103"/>
      <c r="AE309" s="103"/>
      <c r="AF309" s="103">
        <f>Table5101345411[[#This Row],[العدد]]*Table5101345411[[#This Row],[قيمة الشراء]]</f>
        <v>0</v>
      </c>
      <c r="AG309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09" s="190">
        <f>Table5101345411[[#This Row],[الكمية]]+Table5101345411[[#This Row],[عدد الإضافات]]-Table5101345411[[#This Row],[العدد]]</f>
        <v>1</v>
      </c>
      <c r="AI309" s="78">
        <f>Table5101345411[[#This Row],[الإجمالي]]+Table5101345411[[#This Row],[إجمالي الإضافات]]-Table5101345411[[#This Row],[إجمالي المستبعد]]</f>
        <v>3030</v>
      </c>
      <c r="AJ309" s="62">
        <v>0.125</v>
      </c>
      <c r="AK309" s="219"/>
      <c r="AL309" s="58" t="s">
        <v>61</v>
      </c>
      <c r="AM309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378.75</v>
      </c>
      <c r="AN309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09" s="79">
        <f>Table5101345411[[#This Row],[اهلاك المستبعد
في 2018]]+Table5101345411[[#This Row],[مجمع إهلاك المستبعد 
01-01-2018]]</f>
        <v>0</v>
      </c>
      <c r="AP309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09" s="220"/>
      <c r="AR309" s="78">
        <f>IF(OR(Table5101345411[[#This Row],[تاريخ الشراء-الاستلام]]="",Table5101345411[[#This Row],[الإجمالي]]="",Table5101345411[[#This Row],[العمر الافتراضي]]=""),"",IF(((T309+AM309)-Table5101345411[[#This Row],[مجمع إهلاك المستبعد 
بتاريخ الأستبعاد]])&lt;=0,0,((T309+AM309)-Table5101345411[[#This Row],[مجمع إهلاك المستبعد 
بتاريخ الأستبعاد]])))</f>
        <v>402.40890410958906</v>
      </c>
      <c r="AS309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الشراء-الاستلام]]&gt;DATE(2018,12,31),0,AI309-AR309)))</f>
        <v>2627.591095890411</v>
      </c>
    </row>
    <row r="310" spans="1:45" s="141" customFormat="1" ht="83.25" customHeight="1">
      <c r="A310" s="118">
        <f>IF(B310="","",SUBTOTAL(3,$B$6:B310))</f>
        <v>305</v>
      </c>
      <c r="B310" s="58" t="s">
        <v>380</v>
      </c>
      <c r="C310" s="59" t="s">
        <v>54</v>
      </c>
      <c r="D310" s="59" t="s">
        <v>367</v>
      </c>
      <c r="E310" s="59" t="s">
        <v>399</v>
      </c>
      <c r="F310" s="226" t="s">
        <v>399</v>
      </c>
      <c r="G310" s="226"/>
      <c r="H310" s="58" t="s">
        <v>58</v>
      </c>
      <c r="I310" s="58" t="s">
        <v>58</v>
      </c>
      <c r="J310" s="58" t="s">
        <v>74</v>
      </c>
      <c r="K310" s="58"/>
      <c r="L310" s="60"/>
      <c r="M310" s="77">
        <v>43081</v>
      </c>
      <c r="N310" s="77"/>
      <c r="O310" s="150" t="s">
        <v>338</v>
      </c>
      <c r="P310" s="122">
        <v>1</v>
      </c>
      <c r="Q310" s="123"/>
      <c r="R310" s="130">
        <v>1200</v>
      </c>
      <c r="S310" s="130">
        <f t="shared" si="6"/>
        <v>1200</v>
      </c>
      <c r="T310" s="130">
        <v>9.3698630136986303</v>
      </c>
      <c r="U310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الشراء-الاستلام]]&lt;DATE(2018,1,1),S310-T310,0))</f>
        <v>1190.6301369863013</v>
      </c>
      <c r="V310" s="169"/>
      <c r="W310" s="116"/>
      <c r="X310" s="116"/>
      <c r="Y310" s="117">
        <f>Table5101345411[[#This Row],[عدد الإضافات]]*Table5101345411[[#This Row],[سعر الحبة المضافة]]</f>
        <v>0</v>
      </c>
      <c r="Z310" s="101"/>
      <c r="AA310" s="102"/>
      <c r="AB310" s="103"/>
      <c r="AC310" s="103"/>
      <c r="AD310" s="103"/>
      <c r="AE310" s="103"/>
      <c r="AF310" s="103">
        <f>Table5101345411[[#This Row],[العدد]]*Table5101345411[[#This Row],[قيمة الشراء]]</f>
        <v>0</v>
      </c>
      <c r="AG310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10" s="190">
        <f>Table5101345411[[#This Row],[الكمية]]+Table5101345411[[#This Row],[عدد الإضافات]]-Table5101345411[[#This Row],[العدد]]</f>
        <v>1</v>
      </c>
      <c r="AI310" s="78">
        <f>Table5101345411[[#This Row],[الإجمالي]]+Table5101345411[[#This Row],[إجمالي الإضافات]]-Table5101345411[[#This Row],[إجمالي المستبعد]]</f>
        <v>1200</v>
      </c>
      <c r="AJ310" s="62">
        <v>0.125</v>
      </c>
      <c r="AK310" s="219"/>
      <c r="AL310" s="58" t="s">
        <v>61</v>
      </c>
      <c r="AM310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150</v>
      </c>
      <c r="AN310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10" s="79">
        <f>Table5101345411[[#This Row],[اهلاك المستبعد
في 2018]]+Table5101345411[[#This Row],[مجمع إهلاك المستبعد 
01-01-2018]]</f>
        <v>0</v>
      </c>
      <c r="AP310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10" s="220"/>
      <c r="AR310" s="78">
        <f>IF(OR(Table5101345411[[#This Row],[تاريخ الشراء-الاستلام]]="",Table5101345411[[#This Row],[الإجمالي]]="",Table5101345411[[#This Row],[العمر الافتراضي]]=""),"",IF(((T310+AM310)-Table5101345411[[#This Row],[مجمع إهلاك المستبعد 
بتاريخ الأستبعاد]])&lt;=0,0,((T310+AM310)-Table5101345411[[#This Row],[مجمع إهلاك المستبعد 
بتاريخ الأستبعاد]])))</f>
        <v>159.36986301369862</v>
      </c>
      <c r="AS310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الشراء-الاستلام]]&gt;DATE(2018,12,31),0,AI310-AR310)))</f>
        <v>1040.6301369863013</v>
      </c>
    </row>
    <row r="311" spans="1:45" s="141" customFormat="1" ht="83.25" customHeight="1">
      <c r="A311" s="118">
        <f>IF(B311="","",SUBTOTAL(3,$B$6:B311))</f>
        <v>306</v>
      </c>
      <c r="B311" s="58" t="s">
        <v>381</v>
      </c>
      <c r="C311" s="59" t="s">
        <v>115</v>
      </c>
      <c r="D311" s="59" t="s">
        <v>84</v>
      </c>
      <c r="E311" s="59" t="s">
        <v>114</v>
      </c>
      <c r="F311" s="226" t="s">
        <v>114</v>
      </c>
      <c r="G311" s="226"/>
      <c r="H311" s="58"/>
      <c r="I311" s="58"/>
      <c r="J311" s="58" t="s">
        <v>64</v>
      </c>
      <c r="K311" s="58"/>
      <c r="L311" s="60" t="s">
        <v>382</v>
      </c>
      <c r="M311" s="77">
        <v>41272</v>
      </c>
      <c r="N311" s="77"/>
      <c r="O311" s="150"/>
      <c r="P311" s="122">
        <v>1</v>
      </c>
      <c r="Q311" s="123"/>
      <c r="R311" s="130">
        <v>289000</v>
      </c>
      <c r="S311" s="130">
        <f t="shared" si="6"/>
        <v>289000</v>
      </c>
      <c r="T311" s="130">
        <v>72250</v>
      </c>
      <c r="U311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الشراء-الاستلام]]&lt;DATE(2018,1,1),S311-T311,0))</f>
        <v>216750</v>
      </c>
      <c r="V311" s="169"/>
      <c r="W311" s="116"/>
      <c r="X311" s="116"/>
      <c r="Y311" s="117">
        <f>Table5101345411[[#This Row],[عدد الإضافات]]*Table5101345411[[#This Row],[سعر الحبة المضافة]]</f>
        <v>0</v>
      </c>
      <c r="Z311" s="101"/>
      <c r="AA311" s="102"/>
      <c r="AB311" s="103"/>
      <c r="AC311" s="103"/>
      <c r="AD311" s="103"/>
      <c r="AE311" s="103"/>
      <c r="AF311" s="103">
        <f>Table5101345411[[#This Row],[العدد]]*Table5101345411[[#This Row],[قيمة الشراء]]</f>
        <v>0</v>
      </c>
      <c r="AG311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11" s="190">
        <f>Table5101345411[[#This Row],[الكمية]]+Table5101345411[[#This Row],[عدد الإضافات]]-Table5101345411[[#This Row],[العدد]]</f>
        <v>1</v>
      </c>
      <c r="AI311" s="78">
        <f>Table5101345411[[#This Row],[الإجمالي]]+Table5101345411[[#This Row],[إجمالي الإضافات]]-Table5101345411[[#This Row],[إجمالي المستبعد]]</f>
        <v>289000</v>
      </c>
      <c r="AJ311" s="120">
        <v>0.2</v>
      </c>
      <c r="AK311" s="219"/>
      <c r="AL311" s="58" t="s">
        <v>61</v>
      </c>
      <c r="AM311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57800</v>
      </c>
      <c r="AN311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11" s="79">
        <f>Table5101345411[[#This Row],[اهلاك المستبعد
في 2018]]+Table5101345411[[#This Row],[مجمع إهلاك المستبعد 
01-01-2018]]</f>
        <v>0</v>
      </c>
      <c r="AP311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11" s="220"/>
      <c r="AR311" s="78">
        <f>IF(OR(Table5101345411[[#This Row],[تاريخ الشراء-الاستلام]]="",Table5101345411[[#This Row],[الإجمالي]]="",Table5101345411[[#This Row],[العمر الافتراضي]]=""),"",IF(((T311+AM311)-Table5101345411[[#This Row],[مجمع إهلاك المستبعد 
بتاريخ الأستبعاد]])&lt;=0,0,((T311+AM311)-Table5101345411[[#This Row],[مجمع إهلاك المستبعد 
بتاريخ الأستبعاد]])))</f>
        <v>130050</v>
      </c>
      <c r="AS311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الشراء-الاستلام]]&gt;DATE(2018,12,31),0,AI311-AR311)))</f>
        <v>158950</v>
      </c>
    </row>
    <row r="312" spans="1:45" s="141" customFormat="1" ht="83.25" customHeight="1">
      <c r="A312" s="118">
        <f>IF(B312="","",SUBTOTAL(3,$B$6:B312))</f>
        <v>307</v>
      </c>
      <c r="B312" s="58" t="s">
        <v>381</v>
      </c>
      <c r="C312" s="59" t="s">
        <v>115</v>
      </c>
      <c r="D312" s="59" t="s">
        <v>84</v>
      </c>
      <c r="E312" s="59" t="s">
        <v>114</v>
      </c>
      <c r="F312" s="226" t="s">
        <v>114</v>
      </c>
      <c r="G312" s="226"/>
      <c r="H312" s="58"/>
      <c r="I312" s="58"/>
      <c r="J312" s="58" t="s">
        <v>64</v>
      </c>
      <c r="K312" s="58"/>
      <c r="L312" s="60" t="s">
        <v>383</v>
      </c>
      <c r="M312" s="77">
        <v>39783</v>
      </c>
      <c r="N312" s="77"/>
      <c r="O312" s="150"/>
      <c r="P312" s="122">
        <v>1</v>
      </c>
      <c r="Q312" s="123"/>
      <c r="R312" s="130">
        <v>250000</v>
      </c>
      <c r="S312" s="130">
        <f t="shared" si="6"/>
        <v>250000</v>
      </c>
      <c r="T312" s="130">
        <v>250000</v>
      </c>
      <c r="U312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الشراء-الاستلام]]&lt;DATE(2018,1,1),S312-T312,0))</f>
        <v>0</v>
      </c>
      <c r="V312" s="169"/>
      <c r="W312" s="116"/>
      <c r="X312" s="116"/>
      <c r="Y312" s="117">
        <f>Table5101345411[[#This Row],[عدد الإضافات]]*Table5101345411[[#This Row],[سعر الحبة المضافة]]</f>
        <v>0</v>
      </c>
      <c r="Z312" s="101"/>
      <c r="AA312" s="102"/>
      <c r="AB312" s="103"/>
      <c r="AC312" s="103"/>
      <c r="AD312" s="103"/>
      <c r="AE312" s="103"/>
      <c r="AF312" s="103">
        <f>Table5101345411[[#This Row],[العدد]]*Table5101345411[[#This Row],[قيمة الشراء]]</f>
        <v>0</v>
      </c>
      <c r="AG312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12" s="190">
        <f>Table5101345411[[#This Row],[الكمية]]+Table5101345411[[#This Row],[عدد الإضافات]]-Table5101345411[[#This Row],[العدد]]</f>
        <v>1</v>
      </c>
      <c r="AI312" s="78">
        <f>Table5101345411[[#This Row],[الإجمالي]]+Table5101345411[[#This Row],[إجمالي الإضافات]]-Table5101345411[[#This Row],[إجمالي المستبعد]]</f>
        <v>250000</v>
      </c>
      <c r="AJ312" s="120">
        <v>0.2</v>
      </c>
      <c r="AK312" s="219"/>
      <c r="AL312" s="58"/>
      <c r="AM312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312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12" s="79">
        <f>Table5101345411[[#This Row],[اهلاك المستبعد
في 2018]]+Table5101345411[[#This Row],[مجمع إهلاك المستبعد 
01-01-2018]]</f>
        <v>0</v>
      </c>
      <c r="AP312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12" s="220"/>
      <c r="AR312" s="78">
        <f>IF(OR(Table5101345411[[#This Row],[تاريخ الشراء-الاستلام]]="",Table5101345411[[#This Row],[الإجمالي]]="",Table5101345411[[#This Row],[العمر الافتراضي]]=""),"",IF(((T312+AM312)-Table5101345411[[#This Row],[مجمع إهلاك المستبعد 
بتاريخ الأستبعاد]])&lt;=0,0,((T312+AM312)-Table5101345411[[#This Row],[مجمع إهلاك المستبعد 
بتاريخ الأستبعاد]])))</f>
        <v>250000</v>
      </c>
      <c r="AS312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الشراء-الاستلام]]&gt;DATE(2018,12,31),0,AI312-AR312)))</f>
        <v>0</v>
      </c>
    </row>
    <row r="313" spans="1:45" s="141" customFormat="1" ht="83.25" customHeight="1">
      <c r="A313" s="118">
        <f>IF(B313="","",SUBTOTAL(3,$B$6:B313))</f>
        <v>308</v>
      </c>
      <c r="B313" s="58" t="s">
        <v>384</v>
      </c>
      <c r="C313" s="59" t="s">
        <v>115</v>
      </c>
      <c r="D313" s="59" t="s">
        <v>84</v>
      </c>
      <c r="E313" s="59" t="s">
        <v>647</v>
      </c>
      <c r="F313" s="226">
        <v>0</v>
      </c>
      <c r="G313" s="226"/>
      <c r="H313" s="58"/>
      <c r="I313" s="58"/>
      <c r="J313" s="58" t="s">
        <v>64</v>
      </c>
      <c r="K313" s="58"/>
      <c r="L313" s="60" t="s">
        <v>385</v>
      </c>
      <c r="M313" s="77">
        <v>41638</v>
      </c>
      <c r="N313" s="77"/>
      <c r="O313" s="150"/>
      <c r="P313" s="122">
        <v>1</v>
      </c>
      <c r="Q313" s="123"/>
      <c r="R313" s="130">
        <v>50000</v>
      </c>
      <c r="S313" s="130">
        <f t="shared" si="6"/>
        <v>50000</v>
      </c>
      <c r="T313" s="130">
        <v>37540.32</v>
      </c>
      <c r="U313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الشراء-الاستلام]]&lt;DATE(2018,1,1),S313-T313,0))</f>
        <v>12459.68</v>
      </c>
      <c r="V313" s="169"/>
      <c r="W313" s="116"/>
      <c r="X313" s="116"/>
      <c r="Y313" s="117">
        <f>Table5101345411[[#This Row],[عدد الإضافات]]*Table5101345411[[#This Row],[سعر الحبة المضافة]]</f>
        <v>0</v>
      </c>
      <c r="Z313" s="101"/>
      <c r="AA313" s="102"/>
      <c r="AB313" s="103"/>
      <c r="AC313" s="103"/>
      <c r="AD313" s="103"/>
      <c r="AE313" s="103"/>
      <c r="AF313" s="103">
        <f>Table5101345411[[#This Row],[العدد]]*Table5101345411[[#This Row],[قيمة الشراء]]</f>
        <v>0</v>
      </c>
      <c r="AG313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13" s="190">
        <f>Table5101345411[[#This Row],[الكمية]]+Table5101345411[[#This Row],[عدد الإضافات]]-Table5101345411[[#This Row],[العدد]]</f>
        <v>1</v>
      </c>
      <c r="AI313" s="78">
        <f>Table5101345411[[#This Row],[الإجمالي]]+Table5101345411[[#This Row],[إجمالي الإضافات]]-Table5101345411[[#This Row],[إجمالي المستبعد]]</f>
        <v>50000</v>
      </c>
      <c r="AJ313" s="120">
        <v>0.15</v>
      </c>
      <c r="AK313" s="219"/>
      <c r="AL313" s="58"/>
      <c r="AM313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7500</v>
      </c>
      <c r="AN313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13" s="79">
        <f>Table5101345411[[#This Row],[اهلاك المستبعد
في 2018]]+Table5101345411[[#This Row],[مجمع إهلاك المستبعد 
01-01-2018]]</f>
        <v>0</v>
      </c>
      <c r="AP313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13" s="220"/>
      <c r="AR313" s="78">
        <f>IF(OR(Table5101345411[[#This Row],[تاريخ الشراء-الاستلام]]="",Table5101345411[[#This Row],[الإجمالي]]="",Table5101345411[[#This Row],[العمر الافتراضي]]=""),"",IF(((T313+AM313)-Table5101345411[[#This Row],[مجمع إهلاك المستبعد 
بتاريخ الأستبعاد]])&lt;=0,0,((T313+AM313)-Table5101345411[[#This Row],[مجمع إهلاك المستبعد 
بتاريخ الأستبعاد]])))</f>
        <v>45040.32</v>
      </c>
      <c r="AS313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الشراء-الاستلام]]&gt;DATE(2018,12,31),0,AI313-AR313)))</f>
        <v>4959.68</v>
      </c>
    </row>
    <row r="314" spans="1:45" s="141" customFormat="1" ht="83.25" customHeight="1">
      <c r="A314" s="118">
        <f>IF(B314="","",SUBTOTAL(3,$B$6:B314))</f>
        <v>309</v>
      </c>
      <c r="B314" s="58" t="s">
        <v>381</v>
      </c>
      <c r="C314" s="59" t="s">
        <v>115</v>
      </c>
      <c r="D314" s="59" t="s">
        <v>84</v>
      </c>
      <c r="E314" s="59" t="s">
        <v>114</v>
      </c>
      <c r="F314" s="226" t="s">
        <v>114</v>
      </c>
      <c r="G314" s="226"/>
      <c r="H314" s="58"/>
      <c r="I314" s="58"/>
      <c r="J314" s="58" t="s">
        <v>64</v>
      </c>
      <c r="K314" s="58"/>
      <c r="L314" s="60" t="s">
        <v>386</v>
      </c>
      <c r="M314" s="77">
        <v>39783</v>
      </c>
      <c r="N314" s="77"/>
      <c r="O314" s="150"/>
      <c r="P314" s="122">
        <v>1</v>
      </c>
      <c r="Q314" s="123"/>
      <c r="R314" s="130">
        <v>250000</v>
      </c>
      <c r="S314" s="130">
        <f t="shared" si="6"/>
        <v>250000</v>
      </c>
      <c r="T314" s="130">
        <v>250000</v>
      </c>
      <c r="U314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الشراء-الاستلام]]&lt;DATE(2018,1,1),S314-T314,0))</f>
        <v>0</v>
      </c>
      <c r="V314" s="169"/>
      <c r="W314" s="116"/>
      <c r="X314" s="116"/>
      <c r="Y314" s="117">
        <f>Table5101345411[[#This Row],[عدد الإضافات]]*Table5101345411[[#This Row],[سعر الحبة المضافة]]</f>
        <v>0</v>
      </c>
      <c r="Z314" s="101"/>
      <c r="AA314" s="102"/>
      <c r="AB314" s="103"/>
      <c r="AC314" s="103"/>
      <c r="AD314" s="103"/>
      <c r="AE314" s="103"/>
      <c r="AF314" s="103">
        <f>Table5101345411[[#This Row],[العدد]]*Table5101345411[[#This Row],[قيمة الشراء]]</f>
        <v>0</v>
      </c>
      <c r="AG314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14" s="190">
        <f>Table5101345411[[#This Row],[الكمية]]+Table5101345411[[#This Row],[عدد الإضافات]]-Table5101345411[[#This Row],[العدد]]</f>
        <v>1</v>
      </c>
      <c r="AI314" s="78">
        <f>Table5101345411[[#This Row],[الإجمالي]]+Table5101345411[[#This Row],[إجمالي الإضافات]]-Table5101345411[[#This Row],[إجمالي المستبعد]]</f>
        <v>250000</v>
      </c>
      <c r="AJ314" s="120">
        <v>0.2</v>
      </c>
      <c r="AK314" s="219"/>
      <c r="AL314" s="58"/>
      <c r="AM314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314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14" s="79">
        <f>Table5101345411[[#This Row],[اهلاك المستبعد
في 2018]]+Table5101345411[[#This Row],[مجمع إهلاك المستبعد 
01-01-2018]]</f>
        <v>0</v>
      </c>
      <c r="AP314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14" s="220"/>
      <c r="AR314" s="78">
        <f>IF(OR(Table5101345411[[#This Row],[تاريخ الشراء-الاستلام]]="",Table5101345411[[#This Row],[الإجمالي]]="",Table5101345411[[#This Row],[العمر الافتراضي]]=""),"",IF(((T314+AM314)-Table5101345411[[#This Row],[مجمع إهلاك المستبعد 
بتاريخ الأستبعاد]])&lt;=0,0,((T314+AM314)-Table5101345411[[#This Row],[مجمع إهلاك المستبعد 
بتاريخ الأستبعاد]])))</f>
        <v>250000</v>
      </c>
      <c r="AS314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الشراء-الاستلام]]&gt;DATE(2018,12,31),0,AI314-AR314)))</f>
        <v>0</v>
      </c>
    </row>
    <row r="315" spans="1:45" s="141" customFormat="1" ht="83.25" customHeight="1">
      <c r="A315" s="118">
        <f>IF(B315="","",SUBTOTAL(3,$B$6:B315))</f>
        <v>310</v>
      </c>
      <c r="B315" s="58" t="s">
        <v>137</v>
      </c>
      <c r="C315" s="59" t="s">
        <v>115</v>
      </c>
      <c r="D315" s="59" t="s">
        <v>84</v>
      </c>
      <c r="E315" s="59"/>
      <c r="F315" s="226">
        <v>0</v>
      </c>
      <c r="G315" s="226"/>
      <c r="H315" s="58"/>
      <c r="I315" s="58"/>
      <c r="J315" s="58" t="s">
        <v>64</v>
      </c>
      <c r="K315" s="58"/>
      <c r="L315" s="60" t="s">
        <v>387</v>
      </c>
      <c r="M315" s="77">
        <v>39783</v>
      </c>
      <c r="N315" s="77"/>
      <c r="O315" s="150"/>
      <c r="P315" s="122">
        <v>1</v>
      </c>
      <c r="Q315" s="123"/>
      <c r="R315" s="130">
        <v>250000</v>
      </c>
      <c r="S315" s="130">
        <f t="shared" si="6"/>
        <v>250000</v>
      </c>
      <c r="T315" s="130">
        <v>250000</v>
      </c>
      <c r="U315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الشراء-الاستلام]]&lt;DATE(2018,1,1),S315-T315,0))</f>
        <v>0</v>
      </c>
      <c r="V315" s="169"/>
      <c r="W315" s="116"/>
      <c r="X315" s="116"/>
      <c r="Y315" s="117">
        <f>Table5101345411[[#This Row],[عدد الإضافات]]*Table5101345411[[#This Row],[سعر الحبة المضافة]]</f>
        <v>0</v>
      </c>
      <c r="Z315" s="101"/>
      <c r="AA315" s="102"/>
      <c r="AB315" s="103"/>
      <c r="AC315" s="103"/>
      <c r="AD315" s="103"/>
      <c r="AE315" s="103"/>
      <c r="AF315" s="103">
        <f>Table5101345411[[#This Row],[العدد]]*Table5101345411[[#This Row],[قيمة الشراء]]</f>
        <v>0</v>
      </c>
      <c r="AG315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15" s="190">
        <f>Table5101345411[[#This Row],[الكمية]]+Table5101345411[[#This Row],[عدد الإضافات]]-Table5101345411[[#This Row],[العدد]]</f>
        <v>1</v>
      </c>
      <c r="AI315" s="78">
        <f>Table5101345411[[#This Row],[الإجمالي]]+Table5101345411[[#This Row],[إجمالي الإضافات]]-Table5101345411[[#This Row],[إجمالي المستبعد]]</f>
        <v>250000</v>
      </c>
      <c r="AJ315" s="120">
        <v>0.2</v>
      </c>
      <c r="AK315" s="219"/>
      <c r="AL315" s="58"/>
      <c r="AM315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315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15" s="79">
        <f>Table5101345411[[#This Row],[اهلاك المستبعد
في 2018]]+Table5101345411[[#This Row],[مجمع إهلاك المستبعد 
01-01-2018]]</f>
        <v>0</v>
      </c>
      <c r="AP315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15" s="220"/>
      <c r="AR315" s="78">
        <f>IF(OR(Table5101345411[[#This Row],[تاريخ الشراء-الاستلام]]="",Table5101345411[[#This Row],[الإجمالي]]="",Table5101345411[[#This Row],[العمر الافتراضي]]=""),"",IF(((T315+AM315)-Table5101345411[[#This Row],[مجمع إهلاك المستبعد 
بتاريخ الأستبعاد]])&lt;=0,0,((T315+AM315)-Table5101345411[[#This Row],[مجمع إهلاك المستبعد 
بتاريخ الأستبعاد]])))</f>
        <v>250000</v>
      </c>
      <c r="AS315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الشراء-الاستلام]]&gt;DATE(2018,12,31),0,AI315-AR315)))</f>
        <v>0</v>
      </c>
    </row>
    <row r="316" spans="1:45" s="141" customFormat="1" ht="83.25" customHeight="1">
      <c r="A316" s="118">
        <f>IF(B316="","",SUBTOTAL(3,$B$6:B316))</f>
        <v>311</v>
      </c>
      <c r="B316" s="58" t="s">
        <v>388</v>
      </c>
      <c r="C316" s="59" t="s">
        <v>389</v>
      </c>
      <c r="D316" s="59" t="s">
        <v>367</v>
      </c>
      <c r="E316" s="59" t="s">
        <v>403</v>
      </c>
      <c r="F316" s="226" t="s">
        <v>403</v>
      </c>
      <c r="G316" s="226"/>
      <c r="H316" s="58" t="s">
        <v>63</v>
      </c>
      <c r="I316" s="58"/>
      <c r="J316" s="58" t="s">
        <v>64</v>
      </c>
      <c r="K316" s="58"/>
      <c r="L316" s="60"/>
      <c r="M316" s="77">
        <v>43160</v>
      </c>
      <c r="N316" s="77" t="s">
        <v>390</v>
      </c>
      <c r="O316" s="150" t="s">
        <v>391</v>
      </c>
      <c r="P316" s="122"/>
      <c r="Q316" s="123"/>
      <c r="R316" s="130"/>
      <c r="S316" s="130">
        <f t="shared" si="6"/>
        <v>0</v>
      </c>
      <c r="T316" s="130">
        <v>0</v>
      </c>
      <c r="U316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الشراء-الاستلام]]&lt;DATE(2018,1,1),S316-T316,0))</f>
        <v>0</v>
      </c>
      <c r="V316" s="169">
        <v>1</v>
      </c>
      <c r="W316" s="116">
        <v>754</v>
      </c>
      <c r="X316" s="116">
        <v>2428.5700000000002</v>
      </c>
      <c r="Y316" s="117">
        <f>Table5101345411[[#This Row],[عدد الإضافات]]*Table5101345411[[#This Row],[سعر الحبة المضافة]]</f>
        <v>2428.5700000000002</v>
      </c>
      <c r="Z316" s="101"/>
      <c r="AA316" s="102"/>
      <c r="AB316" s="103">
        <v>0</v>
      </c>
      <c r="AC316" s="103"/>
      <c r="AD316" s="103"/>
      <c r="AE316" s="103"/>
      <c r="AF316" s="103">
        <f>Table5101345411[[#This Row],[العدد]]*Table5101345411[[#This Row],[قيمة الشراء]]</f>
        <v>0</v>
      </c>
      <c r="AG316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16" s="190">
        <f>Table5101345411[[#This Row],[الكمية]]+Table5101345411[[#This Row],[عدد الإضافات]]-Table5101345411[[#This Row],[العدد]]</f>
        <v>1</v>
      </c>
      <c r="AI316" s="78">
        <f>Table5101345411[[#This Row],[الإجمالي]]+Table5101345411[[#This Row],[إجمالي الإضافات]]-Table5101345411[[#This Row],[إجمالي المستبعد]]</f>
        <v>2428.5700000000002</v>
      </c>
      <c r="AJ316" s="62">
        <v>0.125</v>
      </c>
      <c r="AK316" s="219"/>
      <c r="AL316" s="58"/>
      <c r="AM316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253.66912671232879</v>
      </c>
      <c r="AN316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16" s="79">
        <f>Table5101345411[[#This Row],[اهلاك المستبعد
في 2018]]+Table5101345411[[#This Row],[مجمع إهلاك المستبعد 
01-01-2018]]</f>
        <v>0</v>
      </c>
      <c r="AP316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16" s="220"/>
      <c r="AR316" s="78">
        <f>IF(OR(Table5101345411[[#This Row],[تاريخ الشراء-الاستلام]]="",Table5101345411[[#This Row],[الإجمالي]]="",Table5101345411[[#This Row],[العمر الافتراضي]]=""),"",IF(((T316+AM316)-Table5101345411[[#This Row],[مجمع إهلاك المستبعد 
بتاريخ الأستبعاد]])&lt;=0,0,((T316+AM316)-Table5101345411[[#This Row],[مجمع إهلاك المستبعد 
بتاريخ الأستبعاد]])))</f>
        <v>253.66912671232879</v>
      </c>
      <c r="AS316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الشراء-الاستلام]]&gt;DATE(2018,12,31),0,AI316-AR316)))</f>
        <v>2174.9008732876714</v>
      </c>
    </row>
    <row r="317" spans="1:45" s="141" customFormat="1" ht="83.25" customHeight="1">
      <c r="A317" s="118">
        <f>IF(B317="","",SUBTOTAL(3,$B$6:B317))</f>
        <v>312</v>
      </c>
      <c r="B317" s="58" t="s">
        <v>388</v>
      </c>
      <c r="C317" s="59" t="s">
        <v>389</v>
      </c>
      <c r="D317" s="59" t="s">
        <v>367</v>
      </c>
      <c r="E317" s="59" t="s">
        <v>403</v>
      </c>
      <c r="F317" s="226" t="s">
        <v>403</v>
      </c>
      <c r="G317" s="226"/>
      <c r="H317" s="58" t="s">
        <v>111</v>
      </c>
      <c r="I317" s="58"/>
      <c r="J317" s="58" t="s">
        <v>64</v>
      </c>
      <c r="K317" s="58"/>
      <c r="L317" s="60"/>
      <c r="M317" s="77">
        <v>43179</v>
      </c>
      <c r="N317" s="77" t="s">
        <v>392</v>
      </c>
      <c r="O317" s="150" t="s">
        <v>393</v>
      </c>
      <c r="P317" s="122"/>
      <c r="Q317" s="123"/>
      <c r="R317" s="130"/>
      <c r="S317" s="130">
        <f t="shared" si="6"/>
        <v>0</v>
      </c>
      <c r="T317" s="130"/>
      <c r="U317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الشراء-الاستلام]]&lt;DATE(2018,1,1),S317-T317,0))</f>
        <v>0</v>
      </c>
      <c r="V317" s="169">
        <v>5</v>
      </c>
      <c r="W317" s="116">
        <v>3561</v>
      </c>
      <c r="X317" s="116">
        <v>1915</v>
      </c>
      <c r="Y317" s="117">
        <f>Table5101345411[[#This Row],[عدد الإضافات]]*Table5101345411[[#This Row],[سعر الحبة المضافة]]</f>
        <v>9575</v>
      </c>
      <c r="Z317" s="101"/>
      <c r="AA317" s="102"/>
      <c r="AB317" s="103"/>
      <c r="AC317" s="103"/>
      <c r="AD317" s="103"/>
      <c r="AE317" s="103"/>
      <c r="AF317" s="103">
        <f>Table5101345411[[#This Row],[العدد]]*Table5101345411[[#This Row],[قيمة الشراء]]</f>
        <v>0</v>
      </c>
      <c r="AG317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17" s="190">
        <f>Table5101345411[[#This Row],[الكمية]]+Table5101345411[[#This Row],[عدد الإضافات]]-Table5101345411[[#This Row],[العدد]]</f>
        <v>5</v>
      </c>
      <c r="AI317" s="78">
        <f>Table5101345411[[#This Row],[الإجمالي]]+Table5101345411[[#This Row],[إجمالي الإضافات]]-Table5101345411[[#This Row],[إجمالي المستبعد]]</f>
        <v>9575</v>
      </c>
      <c r="AJ317" s="62">
        <v>0.125</v>
      </c>
      <c r="AK317" s="219"/>
      <c r="AL317" s="58"/>
      <c r="AM317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937.82534246575347</v>
      </c>
      <c r="AN317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17" s="79">
        <f>Table5101345411[[#This Row],[اهلاك المستبعد
في 2018]]+Table5101345411[[#This Row],[مجمع إهلاك المستبعد 
01-01-2018]]</f>
        <v>0</v>
      </c>
      <c r="AP317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17" s="220"/>
      <c r="AR317" s="78">
        <f>IF(OR(Table5101345411[[#This Row],[تاريخ الشراء-الاستلام]]="",Table5101345411[[#This Row],[الإجمالي]]="",Table5101345411[[#This Row],[العمر الافتراضي]]=""),"",IF(((T317+AM317)-Table5101345411[[#This Row],[مجمع إهلاك المستبعد 
بتاريخ الأستبعاد]])&lt;=0,0,((T317+AM317)-Table5101345411[[#This Row],[مجمع إهلاك المستبعد 
بتاريخ الأستبعاد]])))</f>
        <v>937.82534246575347</v>
      </c>
      <c r="AS317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الشراء-الاستلام]]&gt;DATE(2018,12,31),0,AI317-AR317)))</f>
        <v>8637.1746575342459</v>
      </c>
    </row>
    <row r="318" spans="1:45" s="141" customFormat="1" ht="83.25" customHeight="1">
      <c r="A318" s="118">
        <f>IF(B318="","",SUBTOTAL(3,$B$6:B318))</f>
        <v>313</v>
      </c>
      <c r="B318" s="58" t="s">
        <v>394</v>
      </c>
      <c r="C318" s="59" t="s">
        <v>389</v>
      </c>
      <c r="D318" s="59" t="s">
        <v>367</v>
      </c>
      <c r="E318" s="59" t="s">
        <v>518</v>
      </c>
      <c r="F318" s="226" t="s">
        <v>518</v>
      </c>
      <c r="G318" s="226"/>
      <c r="H318" s="58" t="s">
        <v>111</v>
      </c>
      <c r="I318" s="58"/>
      <c r="J318" s="58" t="s">
        <v>64</v>
      </c>
      <c r="K318" s="58"/>
      <c r="L318" s="60"/>
      <c r="M318" s="77">
        <v>43179</v>
      </c>
      <c r="N318" s="77" t="s">
        <v>392</v>
      </c>
      <c r="O318" s="150" t="s">
        <v>393</v>
      </c>
      <c r="P318" s="122"/>
      <c r="Q318" s="123"/>
      <c r="R318" s="130"/>
      <c r="S318" s="130">
        <f t="shared" si="6"/>
        <v>0</v>
      </c>
      <c r="T318" s="130"/>
      <c r="U318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الشراء-الاستلام]]&lt;DATE(2018,1,1),S318-T318,0))</f>
        <v>0</v>
      </c>
      <c r="V318" s="169">
        <v>1</v>
      </c>
      <c r="W318" s="116">
        <v>3561</v>
      </c>
      <c r="X318" s="116">
        <v>1958.34</v>
      </c>
      <c r="Y318" s="117">
        <f>Table5101345411[[#This Row],[عدد الإضافات]]*Table5101345411[[#This Row],[سعر الحبة المضافة]]</f>
        <v>1958.34</v>
      </c>
      <c r="Z318" s="101"/>
      <c r="AA318" s="102"/>
      <c r="AB318" s="103"/>
      <c r="AC318" s="103"/>
      <c r="AD318" s="103"/>
      <c r="AE318" s="103"/>
      <c r="AF318" s="103">
        <f>Table5101345411[[#This Row],[العدد]]*Table5101345411[[#This Row],[قيمة الشراء]]</f>
        <v>0</v>
      </c>
      <c r="AG318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18" s="190">
        <f>Table5101345411[[#This Row],[الكمية]]+Table5101345411[[#This Row],[عدد الإضافات]]-Table5101345411[[#This Row],[العدد]]</f>
        <v>1</v>
      </c>
      <c r="AI318" s="78">
        <f>Table5101345411[[#This Row],[الإجمالي]]+Table5101345411[[#This Row],[إجمالي الإضافات]]-Table5101345411[[#This Row],[إجمالي المستبعد]]</f>
        <v>1958.34</v>
      </c>
      <c r="AJ318" s="62">
        <v>0.125</v>
      </c>
      <c r="AK318" s="219"/>
      <c r="AL318" s="58"/>
      <c r="AM318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191.81001369863014</v>
      </c>
      <c r="AN318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18" s="79">
        <f>Table5101345411[[#This Row],[اهلاك المستبعد
في 2018]]+Table5101345411[[#This Row],[مجمع إهلاك المستبعد 
01-01-2018]]</f>
        <v>0</v>
      </c>
      <c r="AP318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18" s="220"/>
      <c r="AR318" s="78">
        <f>IF(OR(Table5101345411[[#This Row],[تاريخ الشراء-الاستلام]]="",Table5101345411[[#This Row],[الإجمالي]]="",Table5101345411[[#This Row],[العمر الافتراضي]]=""),"",IF(((T318+AM318)-Table5101345411[[#This Row],[مجمع إهلاك المستبعد 
بتاريخ الأستبعاد]])&lt;=0,0,((T318+AM318)-Table5101345411[[#This Row],[مجمع إهلاك المستبعد 
بتاريخ الأستبعاد]])))</f>
        <v>191.81001369863014</v>
      </c>
      <c r="AS318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الشراء-الاستلام]]&gt;DATE(2018,12,31),0,AI318-AR318)))</f>
        <v>1766.5299863013697</v>
      </c>
    </row>
    <row r="319" spans="1:45" s="140" customFormat="1" ht="83.25" customHeight="1">
      <c r="A319" s="118">
        <f>IF(B319="","",SUBTOTAL(3,$B$6:B319))</f>
        <v>314</v>
      </c>
      <c r="B319" s="76" t="s">
        <v>395</v>
      </c>
      <c r="C319" s="59" t="s">
        <v>389</v>
      </c>
      <c r="D319" s="59" t="s">
        <v>56</v>
      </c>
      <c r="E319" s="59" t="s">
        <v>55</v>
      </c>
      <c r="F319" s="226" t="s">
        <v>55</v>
      </c>
      <c r="G319" s="226"/>
      <c r="H319" s="58" t="s">
        <v>111</v>
      </c>
      <c r="I319" s="58"/>
      <c r="J319" s="58"/>
      <c r="K319" s="58"/>
      <c r="L319" s="60"/>
      <c r="M319" s="77">
        <v>43205</v>
      </c>
      <c r="N319" s="77" t="s">
        <v>396</v>
      </c>
      <c r="O319" s="150" t="s">
        <v>397</v>
      </c>
      <c r="P319" s="122"/>
      <c r="Q319" s="123"/>
      <c r="R319" s="130"/>
      <c r="S319" s="130">
        <f t="shared" si="6"/>
        <v>0</v>
      </c>
      <c r="T319" s="130"/>
      <c r="U319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الشراء-الاستلام]]&lt;DATE(2018,1,1),S319-T319,0))</f>
        <v>0</v>
      </c>
      <c r="V319" s="169">
        <v>1</v>
      </c>
      <c r="W319" s="116">
        <v>622</v>
      </c>
      <c r="X319" s="116">
        <v>900</v>
      </c>
      <c r="Y319" s="117">
        <f>Table5101345411[[#This Row],[عدد الإضافات]]*Table5101345411[[#This Row],[سعر الحبة المضافة]]</f>
        <v>900</v>
      </c>
      <c r="Z319" s="101"/>
      <c r="AA319" s="102"/>
      <c r="AB319" s="103"/>
      <c r="AC319" s="103"/>
      <c r="AD319" s="103"/>
      <c r="AE319" s="103"/>
      <c r="AF319" s="103">
        <f>Table5101345411[[#This Row],[العدد]]*Table5101345411[[#This Row],[قيمة الشراء]]</f>
        <v>0</v>
      </c>
      <c r="AG319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19" s="190">
        <f>Table5101345411[[#This Row],[الكمية]]+Table5101345411[[#This Row],[عدد الإضافات]]-Table5101345411[[#This Row],[العدد]]</f>
        <v>1</v>
      </c>
      <c r="AI319" s="78">
        <f>Table5101345411[[#This Row],[الإجمالي]]+Table5101345411[[#This Row],[إجمالي الإضافات]]-Table5101345411[[#This Row],[إجمالي المستبعد]]</f>
        <v>900</v>
      </c>
      <c r="AJ319" s="62">
        <v>0.125</v>
      </c>
      <c r="AK319" s="219"/>
      <c r="AL319" s="58"/>
      <c r="AM319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80.136986301369859</v>
      </c>
      <c r="AN319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19" s="79">
        <f>Table5101345411[[#This Row],[اهلاك المستبعد
في 2018]]+Table5101345411[[#This Row],[مجمع إهلاك المستبعد 
01-01-2018]]</f>
        <v>0</v>
      </c>
      <c r="AP319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19" s="220"/>
      <c r="AR319" s="78">
        <f>IF(OR(Table5101345411[[#This Row],[تاريخ الشراء-الاستلام]]="",Table5101345411[[#This Row],[الإجمالي]]="",Table5101345411[[#This Row],[العمر الافتراضي]]=""),"",IF(((T319+AM319)-Table5101345411[[#This Row],[مجمع إهلاك المستبعد 
بتاريخ الأستبعاد]])&lt;=0,0,((T319+AM319)-Table5101345411[[#This Row],[مجمع إهلاك المستبعد 
بتاريخ الأستبعاد]])))</f>
        <v>80.136986301369859</v>
      </c>
      <c r="AS319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الشراء-الاستلام]]&gt;DATE(2018,12,31),0,AI319-AR319)))</f>
        <v>819.86301369863008</v>
      </c>
    </row>
    <row r="320" spans="1:45" s="141" customFormat="1" ht="83.25" customHeight="1">
      <c r="A320" s="118">
        <f>IF(B320="","",SUBTOTAL(3,$B$6:B320))</f>
        <v>315</v>
      </c>
      <c r="B320" s="76" t="s">
        <v>398</v>
      </c>
      <c r="C320" s="59" t="s">
        <v>389</v>
      </c>
      <c r="D320" s="59" t="s">
        <v>367</v>
      </c>
      <c r="E320" s="59" t="s">
        <v>399</v>
      </c>
      <c r="F320" s="226" t="s">
        <v>399</v>
      </c>
      <c r="G320" s="226"/>
      <c r="H320" s="58" t="s">
        <v>111</v>
      </c>
      <c r="I320" s="58"/>
      <c r="J320" s="58"/>
      <c r="K320" s="58"/>
      <c r="L320" s="60"/>
      <c r="M320" s="77">
        <v>43206</v>
      </c>
      <c r="N320" s="77" t="s">
        <v>400</v>
      </c>
      <c r="O320" s="150" t="s">
        <v>397</v>
      </c>
      <c r="P320" s="122"/>
      <c r="Q320" s="123"/>
      <c r="R320" s="130"/>
      <c r="S320" s="130">
        <f t="shared" si="6"/>
        <v>0</v>
      </c>
      <c r="T320" s="130"/>
      <c r="U320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الشراء-الاستلام]]&lt;DATE(2018,1,1),S320-T320,0))</f>
        <v>0</v>
      </c>
      <c r="V320" s="169">
        <v>1</v>
      </c>
      <c r="W320" s="116">
        <v>3481</v>
      </c>
      <c r="X320" s="116">
        <v>206.7</v>
      </c>
      <c r="Y320" s="117">
        <f>Table5101345411[[#This Row],[عدد الإضافات]]*Table5101345411[[#This Row],[سعر الحبة المضافة]]</f>
        <v>206.7</v>
      </c>
      <c r="Z320" s="101"/>
      <c r="AA320" s="102"/>
      <c r="AB320" s="103"/>
      <c r="AC320" s="103"/>
      <c r="AD320" s="103"/>
      <c r="AE320" s="103"/>
      <c r="AF320" s="103">
        <f>Table5101345411[[#This Row],[العدد]]*Table5101345411[[#This Row],[قيمة الشراء]]</f>
        <v>0</v>
      </c>
      <c r="AG320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20" s="190">
        <f>Table5101345411[[#This Row],[الكمية]]+Table5101345411[[#This Row],[عدد الإضافات]]-Table5101345411[[#This Row],[العدد]]</f>
        <v>1</v>
      </c>
      <c r="AI320" s="78">
        <f>Table5101345411[[#This Row],[الإجمالي]]+Table5101345411[[#This Row],[إجمالي الإضافات]]-Table5101345411[[#This Row],[إجمالي المستبعد]]</f>
        <v>206.7</v>
      </c>
      <c r="AJ320" s="62">
        <v>0.125</v>
      </c>
      <c r="AK320" s="219"/>
      <c r="AL320" s="58"/>
      <c r="AM320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18.33400684931507</v>
      </c>
      <c r="AN320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20" s="79">
        <f>Table5101345411[[#This Row],[اهلاك المستبعد
في 2018]]+Table5101345411[[#This Row],[مجمع إهلاك المستبعد 
01-01-2018]]</f>
        <v>0</v>
      </c>
      <c r="AP320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20" s="220"/>
      <c r="AR320" s="78">
        <f>IF(OR(Table5101345411[[#This Row],[تاريخ الشراء-الاستلام]]="",Table5101345411[[#This Row],[الإجمالي]]="",Table5101345411[[#This Row],[العمر الافتراضي]]=""),"",IF(((T320+AM320)-Table5101345411[[#This Row],[مجمع إهلاك المستبعد 
بتاريخ الأستبعاد]])&lt;=0,0,((T320+AM320)-Table5101345411[[#This Row],[مجمع إهلاك المستبعد 
بتاريخ الأستبعاد]])))</f>
        <v>18.33400684931507</v>
      </c>
      <c r="AS320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الشراء-الاستلام]]&gt;DATE(2018,12,31),0,AI320-AR320)))</f>
        <v>188.36599315068491</v>
      </c>
    </row>
    <row r="321" spans="1:45" s="140" customFormat="1" ht="83.25" customHeight="1">
      <c r="A321" s="118">
        <f>IF(B321="","",SUBTOTAL(3,$B$6:B321))</f>
        <v>316</v>
      </c>
      <c r="B321" s="76" t="s">
        <v>401</v>
      </c>
      <c r="C321" s="59" t="s">
        <v>389</v>
      </c>
      <c r="D321" s="59" t="s">
        <v>56</v>
      </c>
      <c r="E321" s="59" t="s">
        <v>55</v>
      </c>
      <c r="F321" s="226" t="s">
        <v>55</v>
      </c>
      <c r="G321" s="226"/>
      <c r="H321" s="58" t="s">
        <v>111</v>
      </c>
      <c r="I321" s="58"/>
      <c r="J321" s="58"/>
      <c r="K321" s="58"/>
      <c r="L321" s="60"/>
      <c r="M321" s="77">
        <v>43205</v>
      </c>
      <c r="N321" s="77" t="s">
        <v>396</v>
      </c>
      <c r="O321" s="150" t="s">
        <v>397</v>
      </c>
      <c r="P321" s="122"/>
      <c r="Q321" s="123"/>
      <c r="R321" s="130"/>
      <c r="S321" s="130">
        <f t="shared" si="6"/>
        <v>0</v>
      </c>
      <c r="T321" s="130"/>
      <c r="U321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الشراء-الاستلام]]&lt;DATE(2018,1,1),S321-T321,0))</f>
        <v>0</v>
      </c>
      <c r="V321" s="169">
        <v>1</v>
      </c>
      <c r="W321" s="116">
        <v>622</v>
      </c>
      <c r="X321" s="116">
        <v>1000</v>
      </c>
      <c r="Y321" s="117">
        <f>Table5101345411[[#This Row],[عدد الإضافات]]*Table5101345411[[#This Row],[سعر الحبة المضافة]]</f>
        <v>1000</v>
      </c>
      <c r="Z321" s="101"/>
      <c r="AA321" s="102"/>
      <c r="AB321" s="103"/>
      <c r="AC321" s="103"/>
      <c r="AD321" s="103"/>
      <c r="AE321" s="103"/>
      <c r="AF321" s="103">
        <f>Table5101345411[[#This Row],[العدد]]*Table5101345411[[#This Row],[قيمة الشراء]]</f>
        <v>0</v>
      </c>
      <c r="AG321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21" s="190">
        <f>Table5101345411[[#This Row],[الكمية]]+Table5101345411[[#This Row],[عدد الإضافات]]-Table5101345411[[#This Row],[العدد]]</f>
        <v>1</v>
      </c>
      <c r="AI321" s="78">
        <f>Table5101345411[[#This Row],[الإجمالي]]+Table5101345411[[#This Row],[إجمالي الإضافات]]-Table5101345411[[#This Row],[إجمالي المستبعد]]</f>
        <v>1000</v>
      </c>
      <c r="AJ321" s="62">
        <v>0.125</v>
      </c>
      <c r="AK321" s="219"/>
      <c r="AL321" s="58"/>
      <c r="AM321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89.041095890410958</v>
      </c>
      <c r="AN321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21" s="79">
        <f>Table5101345411[[#This Row],[اهلاك المستبعد
في 2018]]+Table5101345411[[#This Row],[مجمع إهلاك المستبعد 
01-01-2018]]</f>
        <v>0</v>
      </c>
      <c r="AP321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21" s="220"/>
      <c r="AR321" s="78">
        <f>IF(OR(Table5101345411[[#This Row],[تاريخ الشراء-الاستلام]]="",Table5101345411[[#This Row],[الإجمالي]]="",Table5101345411[[#This Row],[العمر الافتراضي]]=""),"",IF(((T321+AM321)-Table5101345411[[#This Row],[مجمع إهلاك المستبعد 
بتاريخ الأستبعاد]])&lt;=0,0,((T321+AM321)-Table5101345411[[#This Row],[مجمع إهلاك المستبعد 
بتاريخ الأستبعاد]])))</f>
        <v>89.041095890410958</v>
      </c>
      <c r="AS321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الشراء-الاستلام]]&gt;DATE(2018,12,31),0,AI321-AR321)))</f>
        <v>910.95890410958907</v>
      </c>
    </row>
    <row r="322" spans="1:45" s="140" customFormat="1" ht="83.25" customHeight="1">
      <c r="A322" s="118">
        <f>IF(B322="","",SUBTOTAL(3,$B$6:B322))</f>
        <v>317</v>
      </c>
      <c r="B322" s="76" t="s">
        <v>402</v>
      </c>
      <c r="C322" s="59" t="s">
        <v>389</v>
      </c>
      <c r="D322" s="59" t="s">
        <v>56</v>
      </c>
      <c r="E322" s="59" t="s">
        <v>55</v>
      </c>
      <c r="F322" s="226" t="s">
        <v>55</v>
      </c>
      <c r="G322" s="226"/>
      <c r="H322" s="58" t="s">
        <v>111</v>
      </c>
      <c r="I322" s="58"/>
      <c r="J322" s="58"/>
      <c r="K322" s="58"/>
      <c r="L322" s="60"/>
      <c r="M322" s="77">
        <v>43205</v>
      </c>
      <c r="N322" s="77" t="s">
        <v>396</v>
      </c>
      <c r="O322" s="150" t="s">
        <v>397</v>
      </c>
      <c r="P322" s="122"/>
      <c r="Q322" s="123"/>
      <c r="R322" s="130"/>
      <c r="S322" s="130">
        <f t="shared" si="6"/>
        <v>0</v>
      </c>
      <c r="T322" s="130"/>
      <c r="U322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الشراء-الاستلام]]&lt;DATE(2018,1,1),S322-T322,0))</f>
        <v>0</v>
      </c>
      <c r="V322" s="169">
        <v>10</v>
      </c>
      <c r="W322" s="116">
        <v>622</v>
      </c>
      <c r="X322" s="116">
        <v>396</v>
      </c>
      <c r="Y322" s="117">
        <f>Table5101345411[[#This Row],[عدد الإضافات]]*Table5101345411[[#This Row],[سعر الحبة المضافة]]</f>
        <v>3960</v>
      </c>
      <c r="Z322" s="101"/>
      <c r="AA322" s="102"/>
      <c r="AB322" s="103"/>
      <c r="AC322" s="103"/>
      <c r="AD322" s="103"/>
      <c r="AE322" s="103"/>
      <c r="AF322" s="103">
        <f>Table5101345411[[#This Row],[العدد]]*Table5101345411[[#This Row],[قيمة الشراء]]</f>
        <v>0</v>
      </c>
      <c r="AG322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22" s="190">
        <f>Table5101345411[[#This Row],[الكمية]]+Table5101345411[[#This Row],[عدد الإضافات]]-Table5101345411[[#This Row],[العدد]]</f>
        <v>10</v>
      </c>
      <c r="AI322" s="78">
        <f>Table5101345411[[#This Row],[الإجمالي]]+Table5101345411[[#This Row],[إجمالي الإضافات]]-Table5101345411[[#This Row],[إجمالي المستبعد]]</f>
        <v>3960</v>
      </c>
      <c r="AJ322" s="62">
        <v>0.125</v>
      </c>
      <c r="AK322" s="219"/>
      <c r="AL322" s="58"/>
      <c r="AM322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352.60273972602744</v>
      </c>
      <c r="AN322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22" s="79">
        <f>Table5101345411[[#This Row],[اهلاك المستبعد
في 2018]]+Table5101345411[[#This Row],[مجمع إهلاك المستبعد 
01-01-2018]]</f>
        <v>0</v>
      </c>
      <c r="AP322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22" s="220"/>
      <c r="AR322" s="78">
        <f>IF(OR(Table5101345411[[#This Row],[تاريخ الشراء-الاستلام]]="",Table5101345411[[#This Row],[الإجمالي]]="",Table5101345411[[#This Row],[العمر الافتراضي]]=""),"",IF(((T322+AM322)-Table5101345411[[#This Row],[مجمع إهلاك المستبعد 
بتاريخ الأستبعاد]])&lt;=0,0,((T322+AM322)-Table5101345411[[#This Row],[مجمع إهلاك المستبعد 
بتاريخ الأستبعاد]])))</f>
        <v>352.60273972602744</v>
      </c>
      <c r="AS322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الشراء-الاستلام]]&gt;DATE(2018,12,31),0,AI322-AR322)))</f>
        <v>3607.3972602739727</v>
      </c>
    </row>
    <row r="323" spans="1:45" s="141" customFormat="1" ht="83.25" customHeight="1">
      <c r="A323" s="118">
        <f>IF(B323="","",SUBTOTAL(3,$B$6:B323))</f>
        <v>318</v>
      </c>
      <c r="B323" s="76" t="s">
        <v>403</v>
      </c>
      <c r="C323" s="59" t="s">
        <v>389</v>
      </c>
      <c r="D323" s="59" t="s">
        <v>367</v>
      </c>
      <c r="E323" s="59" t="s">
        <v>403</v>
      </c>
      <c r="F323" s="226" t="s">
        <v>403</v>
      </c>
      <c r="G323" s="226"/>
      <c r="H323" s="58" t="s">
        <v>111</v>
      </c>
      <c r="I323" s="58"/>
      <c r="J323" s="58"/>
      <c r="K323" s="58"/>
      <c r="L323" s="60"/>
      <c r="M323" s="77">
        <v>43198</v>
      </c>
      <c r="N323" s="77" t="s">
        <v>404</v>
      </c>
      <c r="O323" s="150" t="s">
        <v>405</v>
      </c>
      <c r="P323" s="122"/>
      <c r="Q323" s="123"/>
      <c r="R323" s="130"/>
      <c r="S323" s="130">
        <f t="shared" si="6"/>
        <v>0</v>
      </c>
      <c r="T323" s="130"/>
      <c r="U323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الشراء-الاستلام]]&lt;DATE(2018,1,1),S323-T323,0))</f>
        <v>0</v>
      </c>
      <c r="V323" s="169">
        <v>1</v>
      </c>
      <c r="W323" s="116">
        <v>7100</v>
      </c>
      <c r="X323" s="116">
        <v>3930.43</v>
      </c>
      <c r="Y323" s="117">
        <f>Table5101345411[[#This Row],[عدد الإضافات]]*Table5101345411[[#This Row],[سعر الحبة المضافة]]</f>
        <v>3930.43</v>
      </c>
      <c r="Z323" s="101"/>
      <c r="AA323" s="102"/>
      <c r="AB323" s="103"/>
      <c r="AC323" s="103"/>
      <c r="AD323" s="103"/>
      <c r="AE323" s="103"/>
      <c r="AF323" s="103">
        <f>Table5101345411[[#This Row],[العدد]]*Table5101345411[[#This Row],[قيمة الشراء]]</f>
        <v>0</v>
      </c>
      <c r="AG323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23" s="190">
        <f>Table5101345411[[#This Row],[الكمية]]+Table5101345411[[#This Row],[عدد الإضافات]]-Table5101345411[[#This Row],[العدد]]</f>
        <v>1</v>
      </c>
      <c r="AI323" s="78">
        <f>Table5101345411[[#This Row],[الإجمالي]]+Table5101345411[[#This Row],[إجمالي الإضافات]]-Table5101345411[[#This Row],[إجمالي المستبعد]]</f>
        <v>3930.43</v>
      </c>
      <c r="AJ323" s="62">
        <v>0.125</v>
      </c>
      <c r="AK323" s="219"/>
      <c r="AL323" s="58"/>
      <c r="AM323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359.39205821917807</v>
      </c>
      <c r="AN323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23" s="79">
        <f>Table5101345411[[#This Row],[اهلاك المستبعد
في 2018]]+Table5101345411[[#This Row],[مجمع إهلاك المستبعد 
01-01-2018]]</f>
        <v>0</v>
      </c>
      <c r="AP323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23" s="220"/>
      <c r="AR323" s="78">
        <f>IF(OR(Table5101345411[[#This Row],[تاريخ الشراء-الاستلام]]="",Table5101345411[[#This Row],[الإجمالي]]="",Table5101345411[[#This Row],[العمر الافتراضي]]=""),"",IF(((T323+AM323)-Table5101345411[[#This Row],[مجمع إهلاك المستبعد 
بتاريخ الأستبعاد]])&lt;=0,0,((T323+AM323)-Table5101345411[[#This Row],[مجمع إهلاك المستبعد 
بتاريخ الأستبعاد]])))</f>
        <v>359.39205821917807</v>
      </c>
      <c r="AS323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الشراء-الاستلام]]&gt;DATE(2018,12,31),0,AI323-AR323)))</f>
        <v>3571.0379417808217</v>
      </c>
    </row>
    <row r="324" spans="1:45" s="140" customFormat="1" ht="83.25" customHeight="1">
      <c r="A324" s="118">
        <f>IF(B324="","",SUBTOTAL(3,$B$6:B324))</f>
        <v>319</v>
      </c>
      <c r="B324" s="58" t="s">
        <v>406</v>
      </c>
      <c r="C324" s="59" t="s">
        <v>389</v>
      </c>
      <c r="D324" s="59" t="s">
        <v>56</v>
      </c>
      <c r="E324" s="59" t="s">
        <v>55</v>
      </c>
      <c r="F324" s="226" t="s">
        <v>55</v>
      </c>
      <c r="G324" s="226"/>
      <c r="H324" s="58" t="s">
        <v>111</v>
      </c>
      <c r="I324" s="58"/>
      <c r="J324" s="58"/>
      <c r="K324" s="58"/>
      <c r="L324" s="60"/>
      <c r="M324" s="77">
        <v>43410</v>
      </c>
      <c r="N324" s="77" t="s">
        <v>407</v>
      </c>
      <c r="O324" s="150" t="s">
        <v>408</v>
      </c>
      <c r="P324" s="122"/>
      <c r="Q324" s="123"/>
      <c r="R324" s="130"/>
      <c r="S324" s="130">
        <f t="shared" si="6"/>
        <v>0</v>
      </c>
      <c r="T324" s="130"/>
      <c r="U324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الشراء-الاستلام]]&lt;DATE(2018,1,1),S324-T324,0))</f>
        <v>0</v>
      </c>
      <c r="V324" s="169">
        <v>1</v>
      </c>
      <c r="W324" s="116">
        <v>1293</v>
      </c>
      <c r="X324" s="116">
        <v>3500</v>
      </c>
      <c r="Y324" s="117">
        <f>Table5101345411[[#This Row],[عدد الإضافات]]*Table5101345411[[#This Row],[سعر الحبة المضافة]]</f>
        <v>3500</v>
      </c>
      <c r="Z324" s="101"/>
      <c r="AA324" s="102"/>
      <c r="AB324" s="103"/>
      <c r="AC324" s="103"/>
      <c r="AD324" s="103"/>
      <c r="AE324" s="103"/>
      <c r="AF324" s="103">
        <f>Table5101345411[[#This Row],[العدد]]*Table5101345411[[#This Row],[قيمة الشراء]]</f>
        <v>0</v>
      </c>
      <c r="AG324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24" s="190">
        <f>Table5101345411[[#This Row],[الكمية]]+Table5101345411[[#This Row],[عدد الإضافات]]-Table5101345411[[#This Row],[العدد]]</f>
        <v>1</v>
      </c>
      <c r="AI324" s="78">
        <f>Table5101345411[[#This Row],[الإجمالي]]+Table5101345411[[#This Row],[إجمالي الإضافات]]-Table5101345411[[#This Row],[إجمالي المستبعد]]</f>
        <v>3500</v>
      </c>
      <c r="AJ324" s="62">
        <v>0.125</v>
      </c>
      <c r="AK324" s="219"/>
      <c r="AL324" s="58"/>
      <c r="AM324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65.924657534246563</v>
      </c>
      <c r="AN324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24" s="79">
        <f>Table5101345411[[#This Row],[اهلاك المستبعد
في 2018]]+Table5101345411[[#This Row],[مجمع إهلاك المستبعد 
01-01-2018]]</f>
        <v>0</v>
      </c>
      <c r="AP324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24" s="220"/>
      <c r="AR324" s="78">
        <f>IF(OR(Table5101345411[[#This Row],[تاريخ الشراء-الاستلام]]="",Table5101345411[[#This Row],[الإجمالي]]="",Table5101345411[[#This Row],[العمر الافتراضي]]=""),"",IF(((T324+AM324)-Table5101345411[[#This Row],[مجمع إهلاك المستبعد 
بتاريخ الأستبعاد]])&lt;=0,0,((T324+AM324)-Table5101345411[[#This Row],[مجمع إهلاك المستبعد 
بتاريخ الأستبعاد]])))</f>
        <v>65.924657534246563</v>
      </c>
      <c r="AS324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الشراء-الاستلام]]&gt;DATE(2018,12,31),0,AI324-AR324)))</f>
        <v>3434.0753424657532</v>
      </c>
    </row>
    <row r="325" spans="1:45" s="140" customFormat="1" ht="83.25" customHeight="1">
      <c r="A325" s="118">
        <f>IF(B325="","",SUBTOTAL(3,$B$6:B325))</f>
        <v>320</v>
      </c>
      <c r="B325" s="58" t="s">
        <v>409</v>
      </c>
      <c r="C325" s="59" t="s">
        <v>389</v>
      </c>
      <c r="D325" s="59" t="s">
        <v>56</v>
      </c>
      <c r="E325" s="59" t="s">
        <v>55</v>
      </c>
      <c r="F325" s="226" t="s">
        <v>55</v>
      </c>
      <c r="G325" s="226"/>
      <c r="H325" s="58" t="s">
        <v>111</v>
      </c>
      <c r="I325" s="58"/>
      <c r="J325" s="58"/>
      <c r="K325" s="58"/>
      <c r="L325" s="60"/>
      <c r="M325" s="77">
        <v>43410</v>
      </c>
      <c r="N325" s="77" t="s">
        <v>407</v>
      </c>
      <c r="O325" s="150" t="s">
        <v>408</v>
      </c>
      <c r="P325" s="122"/>
      <c r="Q325" s="123"/>
      <c r="R325" s="130"/>
      <c r="S325" s="130">
        <f t="shared" si="6"/>
        <v>0</v>
      </c>
      <c r="T325" s="130"/>
      <c r="U325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الشراء-الاستلام]]&lt;DATE(2018,1,1),S325-T325,0))</f>
        <v>0</v>
      </c>
      <c r="V325" s="169">
        <v>1</v>
      </c>
      <c r="W325" s="116">
        <v>1293</v>
      </c>
      <c r="X325" s="116">
        <v>6500</v>
      </c>
      <c r="Y325" s="117">
        <f>Table5101345411[[#This Row],[عدد الإضافات]]*Table5101345411[[#This Row],[سعر الحبة المضافة]]</f>
        <v>6500</v>
      </c>
      <c r="Z325" s="101"/>
      <c r="AA325" s="102"/>
      <c r="AB325" s="103"/>
      <c r="AC325" s="103"/>
      <c r="AD325" s="103"/>
      <c r="AE325" s="103"/>
      <c r="AF325" s="103">
        <f>Table5101345411[[#This Row],[العدد]]*Table5101345411[[#This Row],[قيمة الشراء]]</f>
        <v>0</v>
      </c>
      <c r="AG325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25" s="190">
        <f>Table5101345411[[#This Row],[الكمية]]+Table5101345411[[#This Row],[عدد الإضافات]]-Table5101345411[[#This Row],[العدد]]</f>
        <v>1</v>
      </c>
      <c r="AI325" s="78">
        <f>Table5101345411[[#This Row],[الإجمالي]]+Table5101345411[[#This Row],[إجمالي الإضافات]]-Table5101345411[[#This Row],[إجمالي المستبعد]]</f>
        <v>6500</v>
      </c>
      <c r="AJ325" s="62">
        <v>0.125</v>
      </c>
      <c r="AK325" s="219"/>
      <c r="AL325" s="58"/>
      <c r="AM325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122.43150684931506</v>
      </c>
      <c r="AN325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25" s="79">
        <f>Table5101345411[[#This Row],[اهلاك المستبعد
في 2018]]+Table5101345411[[#This Row],[مجمع إهلاك المستبعد 
01-01-2018]]</f>
        <v>0</v>
      </c>
      <c r="AP325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25" s="220"/>
      <c r="AR325" s="78">
        <f>IF(OR(Table5101345411[[#This Row],[تاريخ الشراء-الاستلام]]="",Table5101345411[[#This Row],[الإجمالي]]="",Table5101345411[[#This Row],[العمر الافتراضي]]=""),"",IF(((T325+AM325)-Table5101345411[[#This Row],[مجمع إهلاك المستبعد 
بتاريخ الأستبعاد]])&lt;=0,0,((T325+AM325)-Table5101345411[[#This Row],[مجمع إهلاك المستبعد 
بتاريخ الأستبعاد]])))</f>
        <v>122.43150684931506</v>
      </c>
      <c r="AS325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الشراء-الاستلام]]&gt;DATE(2018,12,31),0,AI325-AR325)))</f>
        <v>6377.5684931506848</v>
      </c>
    </row>
    <row r="326" spans="1:45" s="140" customFormat="1" ht="83.25" customHeight="1">
      <c r="A326" s="118">
        <f>IF(B326="","",SUBTOTAL(3,$B$6:B326))</f>
        <v>321</v>
      </c>
      <c r="B326" s="58" t="s">
        <v>410</v>
      </c>
      <c r="C326" s="59" t="s">
        <v>389</v>
      </c>
      <c r="D326" s="59" t="s">
        <v>56</v>
      </c>
      <c r="E326" s="59" t="s">
        <v>55</v>
      </c>
      <c r="F326" s="226" t="s">
        <v>55</v>
      </c>
      <c r="G326" s="226"/>
      <c r="H326" s="58" t="s">
        <v>111</v>
      </c>
      <c r="I326" s="58"/>
      <c r="J326" s="58"/>
      <c r="K326" s="58"/>
      <c r="L326" s="60"/>
      <c r="M326" s="77">
        <v>43410</v>
      </c>
      <c r="N326" s="77" t="s">
        <v>407</v>
      </c>
      <c r="O326" s="150" t="s">
        <v>408</v>
      </c>
      <c r="P326" s="122"/>
      <c r="Q326" s="123"/>
      <c r="R326" s="130"/>
      <c r="S326" s="130">
        <f t="shared" si="6"/>
        <v>0</v>
      </c>
      <c r="T326" s="130"/>
      <c r="U326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الشراء-الاستلام]]&lt;DATE(2018,1,1),S326-T326,0))</f>
        <v>0</v>
      </c>
      <c r="V326" s="169">
        <v>1</v>
      </c>
      <c r="W326" s="116">
        <v>1293</v>
      </c>
      <c r="X326" s="116">
        <v>1200</v>
      </c>
      <c r="Y326" s="117">
        <f>Table5101345411[[#This Row],[عدد الإضافات]]*Table5101345411[[#This Row],[سعر الحبة المضافة]]</f>
        <v>1200</v>
      </c>
      <c r="Z326" s="101"/>
      <c r="AA326" s="102"/>
      <c r="AB326" s="103"/>
      <c r="AC326" s="103"/>
      <c r="AD326" s="103"/>
      <c r="AE326" s="103"/>
      <c r="AF326" s="103">
        <f>Table5101345411[[#This Row],[العدد]]*Table5101345411[[#This Row],[قيمة الشراء]]</f>
        <v>0</v>
      </c>
      <c r="AG326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26" s="190">
        <f>Table5101345411[[#This Row],[الكمية]]+Table5101345411[[#This Row],[عدد الإضافات]]-Table5101345411[[#This Row],[العدد]]</f>
        <v>1</v>
      </c>
      <c r="AI326" s="78">
        <f>Table5101345411[[#This Row],[الإجمالي]]+Table5101345411[[#This Row],[إجمالي الإضافات]]-Table5101345411[[#This Row],[إجمالي المستبعد]]</f>
        <v>1200</v>
      </c>
      <c r="AJ326" s="62">
        <v>0.125</v>
      </c>
      <c r="AK326" s="219"/>
      <c r="AL326" s="58"/>
      <c r="AM326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22.602739726027394</v>
      </c>
      <c r="AN326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26" s="79">
        <f>Table5101345411[[#This Row],[اهلاك المستبعد
في 2018]]+Table5101345411[[#This Row],[مجمع إهلاك المستبعد 
01-01-2018]]</f>
        <v>0</v>
      </c>
      <c r="AP326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26" s="220"/>
      <c r="AR326" s="78">
        <f>IF(OR(Table5101345411[[#This Row],[تاريخ الشراء-الاستلام]]="",Table5101345411[[#This Row],[الإجمالي]]="",Table5101345411[[#This Row],[العمر الافتراضي]]=""),"",IF(((T326+AM326)-Table5101345411[[#This Row],[مجمع إهلاك المستبعد 
بتاريخ الأستبعاد]])&lt;=0,0,((T326+AM326)-Table5101345411[[#This Row],[مجمع إهلاك المستبعد 
بتاريخ الأستبعاد]])))</f>
        <v>22.602739726027394</v>
      </c>
      <c r="AS326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الشراء-الاستلام]]&gt;DATE(2018,12,31),0,AI326-AR326)))</f>
        <v>1177.3972602739725</v>
      </c>
    </row>
    <row r="327" spans="1:45" s="141" customFormat="1" ht="83.25" customHeight="1">
      <c r="A327" s="118">
        <f>IF(B327="","",SUBTOTAL(3,$B$6:B327))</f>
        <v>322</v>
      </c>
      <c r="B327" s="58" t="s">
        <v>411</v>
      </c>
      <c r="C327" s="59" t="s">
        <v>389</v>
      </c>
      <c r="D327" s="59" t="s">
        <v>522</v>
      </c>
      <c r="E327" s="59" t="s">
        <v>120</v>
      </c>
      <c r="F327" s="226" t="s">
        <v>120</v>
      </c>
      <c r="G327" s="226"/>
      <c r="H327" s="58" t="s">
        <v>57</v>
      </c>
      <c r="I327" s="58"/>
      <c r="J327" s="58"/>
      <c r="K327" s="58"/>
      <c r="L327" s="60"/>
      <c r="M327" s="77">
        <v>43165</v>
      </c>
      <c r="N327" s="77" t="s">
        <v>412</v>
      </c>
      <c r="O327" s="150" t="s">
        <v>413</v>
      </c>
      <c r="P327" s="122"/>
      <c r="Q327" s="123"/>
      <c r="R327" s="130"/>
      <c r="S327" s="130">
        <f t="shared" si="6"/>
        <v>0</v>
      </c>
      <c r="T327" s="130"/>
      <c r="U327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الشراء-الاستلام]]&lt;DATE(2018,1,1),S327-T327,0))</f>
        <v>0</v>
      </c>
      <c r="V327" s="169">
        <v>2</v>
      </c>
      <c r="W327" s="116">
        <v>793</v>
      </c>
      <c r="X327" s="116">
        <v>2150</v>
      </c>
      <c r="Y327" s="117">
        <f>Table5101345411[[#This Row],[عدد الإضافات]]*Table5101345411[[#This Row],[سعر الحبة المضافة]]</f>
        <v>4300</v>
      </c>
      <c r="Z327" s="101"/>
      <c r="AA327" s="102"/>
      <c r="AB327" s="103"/>
      <c r="AC327" s="103"/>
      <c r="AD327" s="103"/>
      <c r="AE327" s="103"/>
      <c r="AF327" s="103">
        <f>Table5101345411[[#This Row],[العدد]]*Table5101345411[[#This Row],[قيمة الشراء]]</f>
        <v>0</v>
      </c>
      <c r="AG327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27" s="190">
        <f>Table5101345411[[#This Row],[الكمية]]+Table5101345411[[#This Row],[عدد الإضافات]]-Table5101345411[[#This Row],[العدد]]</f>
        <v>2</v>
      </c>
      <c r="AI327" s="78">
        <f>Table5101345411[[#This Row],[الإجمالي]]+Table5101345411[[#This Row],[إجمالي الإضافات]]-Table5101345411[[#This Row],[إجمالي المستبعد]]</f>
        <v>4300</v>
      </c>
      <c r="AJ327" s="62">
        <v>0.125</v>
      </c>
      <c r="AK327" s="219"/>
      <c r="AL327" s="58"/>
      <c r="AM327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441.78082191780817</v>
      </c>
      <c r="AN327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27" s="79">
        <f>Table5101345411[[#This Row],[اهلاك المستبعد
في 2018]]+Table5101345411[[#This Row],[مجمع إهلاك المستبعد 
01-01-2018]]</f>
        <v>0</v>
      </c>
      <c r="AP327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27" s="220"/>
      <c r="AR327" s="78">
        <f>IF(OR(Table5101345411[[#This Row],[تاريخ الشراء-الاستلام]]="",Table5101345411[[#This Row],[الإجمالي]]="",Table5101345411[[#This Row],[العمر الافتراضي]]=""),"",IF(((T327+AM327)-Table5101345411[[#This Row],[مجمع إهلاك المستبعد 
بتاريخ الأستبعاد]])&lt;=0,0,((T327+AM327)-Table5101345411[[#This Row],[مجمع إهلاك المستبعد 
بتاريخ الأستبعاد]])))</f>
        <v>441.78082191780817</v>
      </c>
      <c r="AS327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الشراء-الاستلام]]&gt;DATE(2018,12,31),0,AI327-AR327)))</f>
        <v>3858.2191780821918</v>
      </c>
    </row>
    <row r="328" spans="1:45" s="141" customFormat="1" ht="83.25" customHeight="1">
      <c r="A328" s="118">
        <f>IF(B328="","",SUBTOTAL(3,$B$6:B328))</f>
        <v>323</v>
      </c>
      <c r="B328" s="58" t="s">
        <v>411</v>
      </c>
      <c r="C328" s="59" t="s">
        <v>389</v>
      </c>
      <c r="D328" s="59" t="s">
        <v>522</v>
      </c>
      <c r="E328" s="59" t="s">
        <v>120</v>
      </c>
      <c r="F328" s="226" t="s">
        <v>120</v>
      </c>
      <c r="G328" s="226"/>
      <c r="H328" s="58" t="s">
        <v>57</v>
      </c>
      <c r="I328" s="58"/>
      <c r="J328" s="58"/>
      <c r="K328" s="58"/>
      <c r="L328" s="60"/>
      <c r="M328" s="77">
        <v>43190</v>
      </c>
      <c r="N328" s="77" t="s">
        <v>412</v>
      </c>
      <c r="O328" s="150" t="s">
        <v>414</v>
      </c>
      <c r="P328" s="122"/>
      <c r="Q328" s="123"/>
      <c r="R328" s="130"/>
      <c r="S328" s="130">
        <f t="shared" ref="S328:S391" si="7">R328*P328</f>
        <v>0</v>
      </c>
      <c r="T328" s="130"/>
      <c r="U328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الشراء-الاستلام]]&lt;DATE(2018,1,1),S328-T328,0))</f>
        <v>0</v>
      </c>
      <c r="V328" s="169">
        <v>3</v>
      </c>
      <c r="W328" s="116">
        <v>815</v>
      </c>
      <c r="X328" s="116">
        <v>2150</v>
      </c>
      <c r="Y328" s="117">
        <f>Table5101345411[[#This Row],[عدد الإضافات]]*Table5101345411[[#This Row],[سعر الحبة المضافة]]</f>
        <v>6450</v>
      </c>
      <c r="Z328" s="101"/>
      <c r="AA328" s="102"/>
      <c r="AB328" s="103"/>
      <c r="AC328" s="103"/>
      <c r="AD328" s="103"/>
      <c r="AE328" s="103"/>
      <c r="AF328" s="103">
        <f>Table5101345411[[#This Row],[العدد]]*Table5101345411[[#This Row],[قيمة الشراء]]</f>
        <v>0</v>
      </c>
      <c r="AG328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28" s="190">
        <f>Table5101345411[[#This Row],[الكمية]]+Table5101345411[[#This Row],[عدد الإضافات]]-Table5101345411[[#This Row],[العدد]]</f>
        <v>3</v>
      </c>
      <c r="AI328" s="78">
        <f>Table5101345411[[#This Row],[الإجمالي]]+Table5101345411[[#This Row],[إجمالي الإضافات]]-Table5101345411[[#This Row],[إجمالي المستبعد]]</f>
        <v>6450</v>
      </c>
      <c r="AJ328" s="62">
        <v>0.125</v>
      </c>
      <c r="AK328" s="219"/>
      <c r="AL328" s="58"/>
      <c r="AM328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607.44863013698625</v>
      </c>
      <c r="AN328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28" s="79">
        <f>Table5101345411[[#This Row],[اهلاك المستبعد
في 2018]]+Table5101345411[[#This Row],[مجمع إهلاك المستبعد 
01-01-2018]]</f>
        <v>0</v>
      </c>
      <c r="AP328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28" s="220"/>
      <c r="AR328" s="78">
        <f>IF(OR(Table5101345411[[#This Row],[تاريخ الشراء-الاستلام]]="",Table5101345411[[#This Row],[الإجمالي]]="",Table5101345411[[#This Row],[العمر الافتراضي]]=""),"",IF(((T328+AM328)-Table5101345411[[#This Row],[مجمع إهلاك المستبعد 
بتاريخ الأستبعاد]])&lt;=0,0,((T328+AM328)-Table5101345411[[#This Row],[مجمع إهلاك المستبعد 
بتاريخ الأستبعاد]])))</f>
        <v>607.44863013698625</v>
      </c>
      <c r="AS328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الشراء-الاستلام]]&gt;DATE(2018,12,31),0,AI328-AR328)))</f>
        <v>5842.5513698630139</v>
      </c>
    </row>
    <row r="329" spans="1:45" s="141" customFormat="1" ht="83.25" customHeight="1">
      <c r="A329" s="118">
        <f>IF(B329="","",SUBTOTAL(3,$B$6:B329))</f>
        <v>324</v>
      </c>
      <c r="B329" s="58" t="s">
        <v>415</v>
      </c>
      <c r="C329" s="59" t="s">
        <v>389</v>
      </c>
      <c r="D329" s="59" t="s">
        <v>522</v>
      </c>
      <c r="E329" s="59" t="s">
        <v>120</v>
      </c>
      <c r="F329" s="226" t="s">
        <v>120</v>
      </c>
      <c r="G329" s="226"/>
      <c r="H329" s="58" t="s">
        <v>57</v>
      </c>
      <c r="I329" s="58"/>
      <c r="J329" s="58"/>
      <c r="K329" s="58"/>
      <c r="L329" s="60"/>
      <c r="M329" s="77">
        <v>43190</v>
      </c>
      <c r="N329" s="77" t="s">
        <v>412</v>
      </c>
      <c r="O329" s="150" t="s">
        <v>414</v>
      </c>
      <c r="P329" s="122"/>
      <c r="Q329" s="123"/>
      <c r="R329" s="130"/>
      <c r="S329" s="130">
        <f t="shared" si="7"/>
        <v>0</v>
      </c>
      <c r="T329" s="130"/>
      <c r="U329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الشراء-الاستلام]]&lt;DATE(2018,1,1),S329-T329,0))</f>
        <v>0</v>
      </c>
      <c r="V329" s="169">
        <v>4</v>
      </c>
      <c r="W329" s="116">
        <v>816</v>
      </c>
      <c r="X329" s="116">
        <v>2150</v>
      </c>
      <c r="Y329" s="117">
        <f>Table5101345411[[#This Row],[عدد الإضافات]]*Table5101345411[[#This Row],[سعر الحبة المضافة]]</f>
        <v>8600</v>
      </c>
      <c r="Z329" s="101"/>
      <c r="AA329" s="102"/>
      <c r="AB329" s="103"/>
      <c r="AC329" s="103"/>
      <c r="AD329" s="103"/>
      <c r="AE329" s="103"/>
      <c r="AF329" s="103">
        <f>Table5101345411[[#This Row],[العدد]]*Table5101345411[[#This Row],[قيمة الشراء]]</f>
        <v>0</v>
      </c>
      <c r="AG329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29" s="190">
        <f>Table5101345411[[#This Row],[الكمية]]+Table5101345411[[#This Row],[عدد الإضافات]]-Table5101345411[[#This Row],[العدد]]</f>
        <v>4</v>
      </c>
      <c r="AI329" s="78">
        <f>Table5101345411[[#This Row],[الإجمالي]]+Table5101345411[[#This Row],[إجمالي الإضافات]]-Table5101345411[[#This Row],[إجمالي المستبعد]]</f>
        <v>8600</v>
      </c>
      <c r="AJ329" s="62">
        <v>0.125</v>
      </c>
      <c r="AK329" s="219"/>
      <c r="AL329" s="58"/>
      <c r="AM329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809.93150684931504</v>
      </c>
      <c r="AN329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29" s="79">
        <f>Table5101345411[[#This Row],[اهلاك المستبعد
في 2018]]+Table5101345411[[#This Row],[مجمع إهلاك المستبعد 
01-01-2018]]</f>
        <v>0</v>
      </c>
      <c r="AP329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29" s="220"/>
      <c r="AR329" s="78">
        <f>IF(OR(Table5101345411[[#This Row],[تاريخ الشراء-الاستلام]]="",Table5101345411[[#This Row],[الإجمالي]]="",Table5101345411[[#This Row],[العمر الافتراضي]]=""),"",IF(((T329+AM329)-Table5101345411[[#This Row],[مجمع إهلاك المستبعد 
بتاريخ الأستبعاد]])&lt;=0,0,((T329+AM329)-Table5101345411[[#This Row],[مجمع إهلاك المستبعد 
بتاريخ الأستبعاد]])))</f>
        <v>809.93150684931504</v>
      </c>
      <c r="AS329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الشراء-الاستلام]]&gt;DATE(2018,12,31),0,AI329-AR329)))</f>
        <v>7790.0684931506848</v>
      </c>
    </row>
    <row r="330" spans="1:45" s="141" customFormat="1" ht="83.25" customHeight="1">
      <c r="A330" s="118">
        <f>IF(B330="","",SUBTOTAL(3,$B$6:B330))</f>
        <v>325</v>
      </c>
      <c r="B330" s="58" t="s">
        <v>415</v>
      </c>
      <c r="C330" s="59" t="s">
        <v>389</v>
      </c>
      <c r="D330" s="59" t="s">
        <v>522</v>
      </c>
      <c r="E330" s="59" t="s">
        <v>120</v>
      </c>
      <c r="F330" s="226" t="s">
        <v>120</v>
      </c>
      <c r="G330" s="226"/>
      <c r="H330" s="58" t="s">
        <v>57</v>
      </c>
      <c r="I330" s="58"/>
      <c r="J330" s="58"/>
      <c r="K330" s="58"/>
      <c r="L330" s="60"/>
      <c r="M330" s="77">
        <v>43121</v>
      </c>
      <c r="N330" s="77" t="s">
        <v>416</v>
      </c>
      <c r="O330" s="150" t="s">
        <v>417</v>
      </c>
      <c r="P330" s="122"/>
      <c r="Q330" s="123"/>
      <c r="R330" s="130"/>
      <c r="S330" s="130">
        <f t="shared" si="7"/>
        <v>0</v>
      </c>
      <c r="T330" s="130"/>
      <c r="U330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الشراء-الاستلام]]&lt;DATE(2018,1,1),S330-T330,0))</f>
        <v>0</v>
      </c>
      <c r="V330" s="169">
        <v>5</v>
      </c>
      <c r="W330" s="116">
        <v>135</v>
      </c>
      <c r="X330" s="116">
        <v>1770</v>
      </c>
      <c r="Y330" s="117">
        <f>Table5101345411[[#This Row],[عدد الإضافات]]*Table5101345411[[#This Row],[سعر الحبة المضافة]]</f>
        <v>8850</v>
      </c>
      <c r="Z330" s="101"/>
      <c r="AA330" s="102"/>
      <c r="AB330" s="103"/>
      <c r="AC330" s="103"/>
      <c r="AD330" s="103"/>
      <c r="AE330" s="103"/>
      <c r="AF330" s="103">
        <f>Table5101345411[[#This Row],[العدد]]*Table5101345411[[#This Row],[قيمة الشراء]]</f>
        <v>0</v>
      </c>
      <c r="AG330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30" s="190">
        <f>Table5101345411[[#This Row],[الكمية]]+Table5101345411[[#This Row],[عدد الإضافات]]-Table5101345411[[#This Row],[العدد]]</f>
        <v>5</v>
      </c>
      <c r="AI330" s="78">
        <f>Table5101345411[[#This Row],[الإجمالي]]+Table5101345411[[#This Row],[إجمالي الإضافات]]-Table5101345411[[#This Row],[إجمالي المستبعد]]</f>
        <v>8850</v>
      </c>
      <c r="AJ330" s="62">
        <v>0.125</v>
      </c>
      <c r="AK330" s="219"/>
      <c r="AL330" s="58"/>
      <c r="AM330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1042.6027397260275</v>
      </c>
      <c r="AN330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30" s="79">
        <f>Table5101345411[[#This Row],[اهلاك المستبعد
في 2018]]+Table5101345411[[#This Row],[مجمع إهلاك المستبعد 
01-01-2018]]</f>
        <v>0</v>
      </c>
      <c r="AP330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30" s="220"/>
      <c r="AR330" s="78">
        <f>IF(OR(Table5101345411[[#This Row],[تاريخ الشراء-الاستلام]]="",Table5101345411[[#This Row],[الإجمالي]]="",Table5101345411[[#This Row],[العمر الافتراضي]]=""),"",IF(((T330+AM330)-Table5101345411[[#This Row],[مجمع إهلاك المستبعد 
بتاريخ الأستبعاد]])&lt;=0,0,((T330+AM330)-Table5101345411[[#This Row],[مجمع إهلاك المستبعد 
بتاريخ الأستبعاد]])))</f>
        <v>1042.6027397260275</v>
      </c>
      <c r="AS330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الشراء-الاستلام]]&gt;DATE(2018,12,31),0,AI330-AR330)))</f>
        <v>7807.3972602739723</v>
      </c>
    </row>
    <row r="331" spans="1:45" s="141" customFormat="1" ht="83.25" customHeight="1">
      <c r="A331" s="118">
        <f>IF(B331="","",SUBTOTAL(3,$B$6:B331))</f>
        <v>326</v>
      </c>
      <c r="B331" s="58" t="s">
        <v>252</v>
      </c>
      <c r="C331" s="59" t="s">
        <v>389</v>
      </c>
      <c r="D331" s="59" t="s">
        <v>84</v>
      </c>
      <c r="E331" s="59" t="s">
        <v>84</v>
      </c>
      <c r="F331" s="226" t="s">
        <v>84</v>
      </c>
      <c r="G331" s="226"/>
      <c r="H331" s="58"/>
      <c r="I331" s="58"/>
      <c r="J331" s="58"/>
      <c r="K331" s="58"/>
      <c r="L331" s="60"/>
      <c r="M331" s="77">
        <v>43156</v>
      </c>
      <c r="N331" s="77" t="s">
        <v>254</v>
      </c>
      <c r="O331" s="150" t="s">
        <v>418</v>
      </c>
      <c r="P331" s="122"/>
      <c r="Q331" s="123"/>
      <c r="R331" s="130"/>
      <c r="S331" s="130">
        <f t="shared" si="7"/>
        <v>0</v>
      </c>
      <c r="T331" s="130"/>
      <c r="U331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الشراء-الاستلام]]&lt;DATE(2018,1,1),S331-T331,0))</f>
        <v>0</v>
      </c>
      <c r="V331" s="169">
        <v>1</v>
      </c>
      <c r="W331" s="116"/>
      <c r="X331" s="116">
        <v>108000</v>
      </c>
      <c r="Y331" s="117">
        <f>Table5101345411[[#This Row],[عدد الإضافات]]*Table5101345411[[#This Row],[سعر الحبة المضافة]]</f>
        <v>108000</v>
      </c>
      <c r="Z331" s="101"/>
      <c r="AA331" s="102"/>
      <c r="AB331" s="103"/>
      <c r="AC331" s="103"/>
      <c r="AD331" s="103"/>
      <c r="AE331" s="103"/>
      <c r="AF331" s="103">
        <f>Table5101345411[[#This Row],[العدد]]*Table5101345411[[#This Row],[قيمة الشراء]]</f>
        <v>0</v>
      </c>
      <c r="AG331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31" s="190">
        <f>Table5101345411[[#This Row],[الكمية]]+Table5101345411[[#This Row],[عدد الإضافات]]-Table5101345411[[#This Row],[العدد]]</f>
        <v>1</v>
      </c>
      <c r="AI331" s="78">
        <f>Table5101345411[[#This Row],[الإجمالي]]+Table5101345411[[#This Row],[إجمالي الإضافات]]-Table5101345411[[#This Row],[إجمالي المستبعد]]</f>
        <v>108000</v>
      </c>
      <c r="AJ331" s="120">
        <v>0.15</v>
      </c>
      <c r="AK331" s="219"/>
      <c r="AL331" s="58"/>
      <c r="AM331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13714.520547945207</v>
      </c>
      <c r="AN331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31" s="79">
        <f>Table5101345411[[#This Row],[اهلاك المستبعد
في 2018]]+Table5101345411[[#This Row],[مجمع إهلاك المستبعد 
01-01-2018]]</f>
        <v>0</v>
      </c>
      <c r="AP331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31" s="220"/>
      <c r="AR331" s="78">
        <f>IF(OR(Table5101345411[[#This Row],[تاريخ الشراء-الاستلام]]="",Table5101345411[[#This Row],[الإجمالي]]="",Table5101345411[[#This Row],[العمر الافتراضي]]=""),"",IF(((T331+AM331)-Table5101345411[[#This Row],[مجمع إهلاك المستبعد 
بتاريخ الأستبعاد]])&lt;=0,0,((T331+AM331)-Table5101345411[[#This Row],[مجمع إهلاك المستبعد 
بتاريخ الأستبعاد]])))</f>
        <v>13714.520547945207</v>
      </c>
      <c r="AS331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الشراء-الاستلام]]&gt;DATE(2018,12,31),0,AI331-AR331)))</f>
        <v>94285.479452054788</v>
      </c>
    </row>
    <row r="332" spans="1:45" s="141" customFormat="1" ht="83.25" customHeight="1">
      <c r="A332" s="118">
        <f>IF(B332="","",SUBTOTAL(3,$B$6:B332))</f>
        <v>327</v>
      </c>
      <c r="B332" s="58" t="s">
        <v>415</v>
      </c>
      <c r="C332" s="59" t="s">
        <v>389</v>
      </c>
      <c r="D332" s="59" t="s">
        <v>522</v>
      </c>
      <c r="E332" s="59" t="s">
        <v>120</v>
      </c>
      <c r="F332" s="226" t="s">
        <v>120</v>
      </c>
      <c r="G332" s="226"/>
      <c r="H332" s="58" t="s">
        <v>57</v>
      </c>
      <c r="I332" s="58"/>
      <c r="J332" s="58"/>
      <c r="K332" s="58"/>
      <c r="L332" s="60"/>
      <c r="M332" s="77">
        <v>43193</v>
      </c>
      <c r="N332" s="77" t="s">
        <v>412</v>
      </c>
      <c r="O332" s="150" t="s">
        <v>419</v>
      </c>
      <c r="P332" s="122"/>
      <c r="Q332" s="123"/>
      <c r="R332" s="130"/>
      <c r="S332" s="130">
        <f t="shared" si="7"/>
        <v>0</v>
      </c>
      <c r="T332" s="130"/>
      <c r="U332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الشراء-الاستلام]]&lt;DATE(2018,1,1),S332-T332,0))</f>
        <v>0</v>
      </c>
      <c r="V332" s="169">
        <v>4</v>
      </c>
      <c r="W332" s="116">
        <v>819</v>
      </c>
      <c r="X332" s="116">
        <v>2150</v>
      </c>
      <c r="Y332" s="117">
        <f>Table5101345411[[#This Row],[عدد الإضافات]]*Table5101345411[[#This Row],[سعر الحبة المضافة]]</f>
        <v>8600</v>
      </c>
      <c r="Z332" s="101"/>
      <c r="AA332" s="102"/>
      <c r="AB332" s="103"/>
      <c r="AC332" s="103"/>
      <c r="AD332" s="103"/>
      <c r="AE332" s="103"/>
      <c r="AF332" s="103">
        <f>Table5101345411[[#This Row],[العدد]]*Table5101345411[[#This Row],[قيمة الشراء]]</f>
        <v>0</v>
      </c>
      <c r="AG332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32" s="190">
        <f>Table5101345411[[#This Row],[الكمية]]+Table5101345411[[#This Row],[عدد الإضافات]]-Table5101345411[[#This Row],[العدد]]</f>
        <v>4</v>
      </c>
      <c r="AI332" s="78">
        <f>Table5101345411[[#This Row],[الإجمالي]]+Table5101345411[[#This Row],[إجمالي الإضافات]]-Table5101345411[[#This Row],[إجمالي المستبعد]]</f>
        <v>8600</v>
      </c>
      <c r="AJ332" s="62">
        <v>0.125</v>
      </c>
      <c r="AK332" s="219"/>
      <c r="AL332" s="58"/>
      <c r="AM332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801.09589041095887</v>
      </c>
      <c r="AN332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32" s="79">
        <f>Table5101345411[[#This Row],[اهلاك المستبعد
في 2018]]+Table5101345411[[#This Row],[مجمع إهلاك المستبعد 
01-01-2018]]</f>
        <v>0</v>
      </c>
      <c r="AP332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32" s="220"/>
      <c r="AR332" s="78">
        <f>IF(OR(Table5101345411[[#This Row],[تاريخ الشراء-الاستلام]]="",Table5101345411[[#This Row],[الإجمالي]]="",Table5101345411[[#This Row],[العمر الافتراضي]]=""),"",IF(((T332+AM332)-Table5101345411[[#This Row],[مجمع إهلاك المستبعد 
بتاريخ الأستبعاد]])&lt;=0,0,((T332+AM332)-Table5101345411[[#This Row],[مجمع إهلاك المستبعد 
بتاريخ الأستبعاد]])))</f>
        <v>801.09589041095887</v>
      </c>
      <c r="AS332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الشراء-الاستلام]]&gt;DATE(2018,12,31),0,AI332-AR332)))</f>
        <v>7798.9041095890407</v>
      </c>
    </row>
    <row r="333" spans="1:45" s="141" customFormat="1" ht="83.25" customHeight="1">
      <c r="A333" s="118">
        <f>IF(B333="","",SUBTOTAL(3,$B$6:B333))</f>
        <v>328</v>
      </c>
      <c r="B333" s="58" t="s">
        <v>415</v>
      </c>
      <c r="C333" s="59" t="s">
        <v>389</v>
      </c>
      <c r="D333" s="59" t="s">
        <v>522</v>
      </c>
      <c r="E333" s="59" t="s">
        <v>120</v>
      </c>
      <c r="F333" s="226" t="s">
        <v>120</v>
      </c>
      <c r="G333" s="226"/>
      <c r="H333" s="58" t="s">
        <v>57</v>
      </c>
      <c r="I333" s="58"/>
      <c r="J333" s="58"/>
      <c r="K333" s="58"/>
      <c r="L333" s="60"/>
      <c r="M333" s="77">
        <v>43193</v>
      </c>
      <c r="N333" s="77" t="s">
        <v>412</v>
      </c>
      <c r="O333" s="150" t="s">
        <v>419</v>
      </c>
      <c r="P333" s="122"/>
      <c r="Q333" s="123"/>
      <c r="R333" s="130"/>
      <c r="S333" s="130">
        <f t="shared" si="7"/>
        <v>0</v>
      </c>
      <c r="T333" s="130"/>
      <c r="U333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الشراء-الاستلام]]&lt;DATE(2018,1,1),S333-T333,0))</f>
        <v>0</v>
      </c>
      <c r="V333" s="169">
        <v>7</v>
      </c>
      <c r="W333" s="116">
        <v>820</v>
      </c>
      <c r="X333" s="116">
        <v>1400</v>
      </c>
      <c r="Y333" s="117">
        <f>Table5101345411[[#This Row],[عدد الإضافات]]*Table5101345411[[#This Row],[سعر الحبة المضافة]]</f>
        <v>9800</v>
      </c>
      <c r="Z333" s="101"/>
      <c r="AA333" s="102"/>
      <c r="AB333" s="103"/>
      <c r="AC333" s="103"/>
      <c r="AD333" s="103"/>
      <c r="AE333" s="103"/>
      <c r="AF333" s="103">
        <f>Table5101345411[[#This Row],[العدد]]*Table5101345411[[#This Row],[قيمة الشراء]]</f>
        <v>0</v>
      </c>
      <c r="AG333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33" s="190">
        <f>Table5101345411[[#This Row],[الكمية]]+Table5101345411[[#This Row],[عدد الإضافات]]-Table5101345411[[#This Row],[العدد]]</f>
        <v>7</v>
      </c>
      <c r="AI333" s="78">
        <f>Table5101345411[[#This Row],[الإجمالي]]+Table5101345411[[#This Row],[إجمالي الإضافات]]-Table5101345411[[#This Row],[إجمالي المستبعد]]</f>
        <v>9800</v>
      </c>
      <c r="AJ333" s="62">
        <v>0.125</v>
      </c>
      <c r="AK333" s="219"/>
      <c r="AL333" s="58"/>
      <c r="AM333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912.8767123287671</v>
      </c>
      <c r="AN333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33" s="79">
        <f>Table5101345411[[#This Row],[اهلاك المستبعد
في 2018]]+Table5101345411[[#This Row],[مجمع إهلاك المستبعد 
01-01-2018]]</f>
        <v>0</v>
      </c>
      <c r="AP333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33" s="220"/>
      <c r="AR333" s="78">
        <f>IF(OR(Table5101345411[[#This Row],[تاريخ الشراء-الاستلام]]="",Table5101345411[[#This Row],[الإجمالي]]="",Table5101345411[[#This Row],[العمر الافتراضي]]=""),"",IF(((T333+AM333)-Table5101345411[[#This Row],[مجمع إهلاك المستبعد 
بتاريخ الأستبعاد]])&lt;=0,0,((T333+AM333)-Table5101345411[[#This Row],[مجمع إهلاك المستبعد 
بتاريخ الأستبعاد]])))</f>
        <v>912.8767123287671</v>
      </c>
      <c r="AS333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الشراء-الاستلام]]&gt;DATE(2018,12,31),0,AI333-AR333)))</f>
        <v>8887.1232876712329</v>
      </c>
    </row>
    <row r="334" spans="1:45" s="141" customFormat="1" ht="83.25" customHeight="1">
      <c r="A334" s="118">
        <f>IF(B334="","",SUBTOTAL(3,$B$6:B334))</f>
        <v>329</v>
      </c>
      <c r="B334" s="58" t="s">
        <v>415</v>
      </c>
      <c r="C334" s="59" t="s">
        <v>389</v>
      </c>
      <c r="D334" s="59" t="s">
        <v>522</v>
      </c>
      <c r="E334" s="59" t="s">
        <v>120</v>
      </c>
      <c r="F334" s="226" t="s">
        <v>120</v>
      </c>
      <c r="G334" s="226"/>
      <c r="H334" s="58" t="s">
        <v>57</v>
      </c>
      <c r="I334" s="58"/>
      <c r="J334" s="58"/>
      <c r="K334" s="58"/>
      <c r="L334" s="60"/>
      <c r="M334" s="77">
        <v>43193</v>
      </c>
      <c r="N334" s="77" t="s">
        <v>412</v>
      </c>
      <c r="O334" s="150" t="s">
        <v>419</v>
      </c>
      <c r="P334" s="122"/>
      <c r="Q334" s="123"/>
      <c r="R334" s="130"/>
      <c r="S334" s="130">
        <f t="shared" si="7"/>
        <v>0</v>
      </c>
      <c r="T334" s="130"/>
      <c r="U334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الشراء-الاستلام]]&lt;DATE(2018,1,1),S334-T334,0))</f>
        <v>0</v>
      </c>
      <c r="V334" s="169">
        <v>20</v>
      </c>
      <c r="W334" s="116">
        <v>822</v>
      </c>
      <c r="X334" s="116">
        <v>1400</v>
      </c>
      <c r="Y334" s="117">
        <f>Table5101345411[[#This Row],[عدد الإضافات]]*Table5101345411[[#This Row],[سعر الحبة المضافة]]</f>
        <v>28000</v>
      </c>
      <c r="Z334" s="101"/>
      <c r="AA334" s="102"/>
      <c r="AB334" s="103"/>
      <c r="AC334" s="103"/>
      <c r="AD334" s="103"/>
      <c r="AE334" s="103"/>
      <c r="AF334" s="103">
        <f>Table5101345411[[#This Row],[العدد]]*Table5101345411[[#This Row],[قيمة الشراء]]</f>
        <v>0</v>
      </c>
      <c r="AG334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34" s="190">
        <f>Table5101345411[[#This Row],[الكمية]]+Table5101345411[[#This Row],[عدد الإضافات]]-Table5101345411[[#This Row],[العدد]]</f>
        <v>20</v>
      </c>
      <c r="AI334" s="78">
        <f>Table5101345411[[#This Row],[الإجمالي]]+Table5101345411[[#This Row],[إجمالي الإضافات]]-Table5101345411[[#This Row],[إجمالي المستبعد]]</f>
        <v>28000</v>
      </c>
      <c r="AJ334" s="62">
        <v>0.125</v>
      </c>
      <c r="AK334" s="219"/>
      <c r="AL334" s="58"/>
      <c r="AM334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2608.2191780821918</v>
      </c>
      <c r="AN334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34" s="79">
        <f>Table5101345411[[#This Row],[اهلاك المستبعد
في 2018]]+Table5101345411[[#This Row],[مجمع إهلاك المستبعد 
01-01-2018]]</f>
        <v>0</v>
      </c>
      <c r="AP334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34" s="220"/>
      <c r="AR334" s="78">
        <f>IF(OR(Table5101345411[[#This Row],[تاريخ الشراء-الاستلام]]="",Table5101345411[[#This Row],[الإجمالي]]="",Table5101345411[[#This Row],[العمر الافتراضي]]=""),"",IF(((T334+AM334)-Table5101345411[[#This Row],[مجمع إهلاك المستبعد 
بتاريخ الأستبعاد]])&lt;=0,0,((T334+AM334)-Table5101345411[[#This Row],[مجمع إهلاك المستبعد 
بتاريخ الأستبعاد]])))</f>
        <v>2608.2191780821918</v>
      </c>
      <c r="AS334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الشراء-الاستلام]]&gt;DATE(2018,12,31),0,AI334-AR334)))</f>
        <v>25391.780821917808</v>
      </c>
    </row>
    <row r="335" spans="1:45" s="141" customFormat="1" ht="83.25" customHeight="1">
      <c r="A335" s="118">
        <f>IF(B335="","",SUBTOTAL(3,$B$6:B335))</f>
        <v>330</v>
      </c>
      <c r="B335" s="58" t="s">
        <v>415</v>
      </c>
      <c r="C335" s="59" t="s">
        <v>389</v>
      </c>
      <c r="D335" s="59" t="s">
        <v>522</v>
      </c>
      <c r="E335" s="59" t="s">
        <v>120</v>
      </c>
      <c r="F335" s="226" t="s">
        <v>120</v>
      </c>
      <c r="G335" s="226"/>
      <c r="H335" s="58" t="s">
        <v>57</v>
      </c>
      <c r="I335" s="58"/>
      <c r="J335" s="58"/>
      <c r="K335" s="58"/>
      <c r="L335" s="60"/>
      <c r="M335" s="77">
        <v>43205</v>
      </c>
      <c r="N335" s="77" t="s">
        <v>412</v>
      </c>
      <c r="O335" s="150" t="s">
        <v>419</v>
      </c>
      <c r="P335" s="122"/>
      <c r="Q335" s="123"/>
      <c r="R335" s="130"/>
      <c r="S335" s="130">
        <f t="shared" si="7"/>
        <v>0</v>
      </c>
      <c r="T335" s="130"/>
      <c r="U335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الشراء-الاستلام]]&lt;DATE(2018,1,1),S335-T335,0))</f>
        <v>0</v>
      </c>
      <c r="V335" s="169">
        <v>20</v>
      </c>
      <c r="W335" s="116">
        <v>829</v>
      </c>
      <c r="X335" s="116">
        <v>1400</v>
      </c>
      <c r="Y335" s="117">
        <f>Table5101345411[[#This Row],[عدد الإضافات]]*Table5101345411[[#This Row],[سعر الحبة المضافة]]</f>
        <v>28000</v>
      </c>
      <c r="Z335" s="101"/>
      <c r="AA335" s="102"/>
      <c r="AB335" s="103"/>
      <c r="AC335" s="103"/>
      <c r="AD335" s="103"/>
      <c r="AE335" s="103"/>
      <c r="AF335" s="103">
        <f>Table5101345411[[#This Row],[العدد]]*Table5101345411[[#This Row],[قيمة الشراء]]</f>
        <v>0</v>
      </c>
      <c r="AG335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35" s="190">
        <f>Table5101345411[[#This Row],[الكمية]]+Table5101345411[[#This Row],[عدد الإضافات]]-Table5101345411[[#This Row],[العدد]]</f>
        <v>20</v>
      </c>
      <c r="AI335" s="78">
        <f>Table5101345411[[#This Row],[الإجمالي]]+Table5101345411[[#This Row],[إجمالي الإضافات]]-Table5101345411[[#This Row],[إجمالي المستبعد]]</f>
        <v>28000</v>
      </c>
      <c r="AJ335" s="62">
        <v>0.125</v>
      </c>
      <c r="AK335" s="219"/>
      <c r="AL335" s="58"/>
      <c r="AM335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2493.1506849315065</v>
      </c>
      <c r="AN335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35" s="79">
        <f>Table5101345411[[#This Row],[اهلاك المستبعد
في 2018]]+Table5101345411[[#This Row],[مجمع إهلاك المستبعد 
01-01-2018]]</f>
        <v>0</v>
      </c>
      <c r="AP335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35" s="220"/>
      <c r="AR335" s="78">
        <f>IF(OR(Table5101345411[[#This Row],[تاريخ الشراء-الاستلام]]="",Table5101345411[[#This Row],[الإجمالي]]="",Table5101345411[[#This Row],[العمر الافتراضي]]=""),"",IF(((T335+AM335)-Table5101345411[[#This Row],[مجمع إهلاك المستبعد 
بتاريخ الأستبعاد]])&lt;=0,0,((T335+AM335)-Table5101345411[[#This Row],[مجمع إهلاك المستبعد 
بتاريخ الأستبعاد]])))</f>
        <v>2493.1506849315065</v>
      </c>
      <c r="AS335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الشراء-الاستلام]]&gt;DATE(2018,12,31),0,AI335-AR335)))</f>
        <v>25506.849315068495</v>
      </c>
    </row>
    <row r="336" spans="1:45" s="141" customFormat="1" ht="83.25" customHeight="1">
      <c r="A336" s="118">
        <f>IF(B336="","",SUBTOTAL(3,$B$6:B336))</f>
        <v>331</v>
      </c>
      <c r="B336" s="58" t="s">
        <v>536</v>
      </c>
      <c r="C336" s="59" t="s">
        <v>389</v>
      </c>
      <c r="D336" s="59" t="s">
        <v>522</v>
      </c>
      <c r="E336" s="59" t="s">
        <v>537</v>
      </c>
      <c r="F336" s="226" t="s">
        <v>537</v>
      </c>
      <c r="G336" s="226"/>
      <c r="H336" s="58" t="s">
        <v>57</v>
      </c>
      <c r="I336" s="58"/>
      <c r="J336" s="58"/>
      <c r="K336" s="58"/>
      <c r="L336" s="60"/>
      <c r="M336" s="77">
        <v>43465</v>
      </c>
      <c r="N336" s="77" t="s">
        <v>526</v>
      </c>
      <c r="O336" s="150" t="s">
        <v>527</v>
      </c>
      <c r="P336" s="122"/>
      <c r="Q336" s="123"/>
      <c r="R336" s="130"/>
      <c r="S336" s="130">
        <f t="shared" si="7"/>
        <v>0</v>
      </c>
      <c r="T336" s="130"/>
      <c r="U336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الشراء-الاستلام]]&lt;DATE(2018,1,1),S336-T336,0))</f>
        <v>0</v>
      </c>
      <c r="V336" s="169">
        <v>1</v>
      </c>
      <c r="W336" s="116">
        <v>146</v>
      </c>
      <c r="X336" s="116">
        <v>3700</v>
      </c>
      <c r="Y336" s="117">
        <f>Table5101345411[[#This Row],[عدد الإضافات]]*Table5101345411[[#This Row],[سعر الحبة المضافة]]</f>
        <v>3700</v>
      </c>
      <c r="Z336" s="101"/>
      <c r="AA336" s="102"/>
      <c r="AB336" s="103"/>
      <c r="AC336" s="103"/>
      <c r="AD336" s="103"/>
      <c r="AE336" s="103"/>
      <c r="AF336" s="103">
        <f>Table5101345411[[#This Row],[العدد]]*Table5101345411[[#This Row],[قيمة الشراء]]</f>
        <v>0</v>
      </c>
      <c r="AG336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36" s="190">
        <f>Table5101345411[[#This Row],[الكمية]]+Table5101345411[[#This Row],[عدد الإضافات]]-Table5101345411[[#This Row],[العدد]]</f>
        <v>1</v>
      </c>
      <c r="AI336" s="78">
        <f>Table5101345411[[#This Row],[الإجمالي]]+Table5101345411[[#This Row],[إجمالي الإضافات]]-Table5101345411[[#This Row],[إجمالي المستبعد]]</f>
        <v>3700</v>
      </c>
      <c r="AJ336" s="62">
        <v>0.125</v>
      </c>
      <c r="AK336" s="219"/>
      <c r="AL336" s="58"/>
      <c r="AM336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336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36" s="79">
        <f>Table5101345411[[#This Row],[اهلاك المستبعد
في 2018]]+Table5101345411[[#This Row],[مجمع إهلاك المستبعد 
01-01-2018]]</f>
        <v>0</v>
      </c>
      <c r="AP336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36" s="220"/>
      <c r="AR336" s="78">
        <f>IF(OR(Table5101345411[[#This Row],[تاريخ الشراء-الاستلام]]="",Table5101345411[[#This Row],[الإجمالي]]="",Table5101345411[[#This Row],[العمر الافتراضي]]=""),"",IF(((T336+AM336)-Table5101345411[[#This Row],[مجمع إهلاك المستبعد 
بتاريخ الأستبعاد]])&lt;=0,0,((T336+AM336)-Table5101345411[[#This Row],[مجمع إهلاك المستبعد 
بتاريخ الأستبعاد]])))</f>
        <v>0</v>
      </c>
      <c r="AS336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الشراء-الاستلام]]&gt;DATE(2018,12,31),0,AI336-AR336)))</f>
        <v>3700</v>
      </c>
    </row>
    <row r="337" spans="1:45" s="141" customFormat="1" ht="83.25" customHeight="1">
      <c r="A337" s="118">
        <f>IF(B337="","",SUBTOTAL(3,$B$6:B337))</f>
        <v>332</v>
      </c>
      <c r="B337" s="58" t="s">
        <v>536</v>
      </c>
      <c r="C337" s="59" t="s">
        <v>389</v>
      </c>
      <c r="D337" s="59" t="s">
        <v>522</v>
      </c>
      <c r="E337" s="59" t="s">
        <v>537</v>
      </c>
      <c r="F337" s="226" t="s">
        <v>537</v>
      </c>
      <c r="G337" s="226"/>
      <c r="H337" s="58" t="s">
        <v>57</v>
      </c>
      <c r="I337" s="58"/>
      <c r="J337" s="58"/>
      <c r="K337" s="58"/>
      <c r="L337" s="60"/>
      <c r="M337" s="77">
        <v>43465</v>
      </c>
      <c r="N337" s="77" t="s">
        <v>538</v>
      </c>
      <c r="O337" s="150" t="s">
        <v>539</v>
      </c>
      <c r="P337" s="122"/>
      <c r="Q337" s="123"/>
      <c r="R337" s="130"/>
      <c r="S337" s="130">
        <f t="shared" si="7"/>
        <v>0</v>
      </c>
      <c r="T337" s="130"/>
      <c r="U337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الشراء-الاستلام]]&lt;DATE(2018,1,1),S337-T337,0))</f>
        <v>0</v>
      </c>
      <c r="V337" s="169">
        <v>2</v>
      </c>
      <c r="W337" s="116"/>
      <c r="X337" s="116">
        <v>4095</v>
      </c>
      <c r="Y337" s="117">
        <f>Table5101345411[[#This Row],[عدد الإضافات]]*Table5101345411[[#This Row],[سعر الحبة المضافة]]</f>
        <v>8190</v>
      </c>
      <c r="Z337" s="101"/>
      <c r="AA337" s="102"/>
      <c r="AB337" s="103"/>
      <c r="AC337" s="103"/>
      <c r="AD337" s="103"/>
      <c r="AE337" s="103"/>
      <c r="AF337" s="103">
        <f>Table5101345411[[#This Row],[العدد]]*Table5101345411[[#This Row],[قيمة الشراء]]</f>
        <v>0</v>
      </c>
      <c r="AG337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37" s="190">
        <f>Table5101345411[[#This Row],[الكمية]]+Table5101345411[[#This Row],[عدد الإضافات]]-Table5101345411[[#This Row],[العدد]]</f>
        <v>2</v>
      </c>
      <c r="AI337" s="78">
        <f>Table5101345411[[#This Row],[الإجمالي]]+Table5101345411[[#This Row],[إجمالي الإضافات]]-Table5101345411[[#This Row],[إجمالي المستبعد]]</f>
        <v>8190</v>
      </c>
      <c r="AJ337" s="62">
        <v>0.125</v>
      </c>
      <c r="AK337" s="219"/>
      <c r="AL337" s="58"/>
      <c r="AM337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337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37" s="79">
        <f>Table5101345411[[#This Row],[اهلاك المستبعد
في 2018]]+Table5101345411[[#This Row],[مجمع إهلاك المستبعد 
01-01-2018]]</f>
        <v>0</v>
      </c>
      <c r="AP337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37" s="220"/>
      <c r="AR337" s="78">
        <f>IF(OR(Table5101345411[[#This Row],[تاريخ الشراء-الاستلام]]="",Table5101345411[[#This Row],[الإجمالي]]="",Table5101345411[[#This Row],[العمر الافتراضي]]=""),"",IF(((T337+AM337)-Table5101345411[[#This Row],[مجمع إهلاك المستبعد 
بتاريخ الأستبعاد]])&lt;=0,0,((T337+AM337)-Table5101345411[[#This Row],[مجمع إهلاك المستبعد 
بتاريخ الأستبعاد]])))</f>
        <v>0</v>
      </c>
      <c r="AS337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الشراء-الاستلام]]&gt;DATE(2018,12,31),0,AI337-AR337)))</f>
        <v>8190</v>
      </c>
    </row>
    <row r="338" spans="1:45" s="141" customFormat="1" ht="83.25" customHeight="1">
      <c r="A338" s="118">
        <f>IF(B338="","",SUBTOTAL(3,$B$6:B338))</f>
        <v>333</v>
      </c>
      <c r="B338" s="58" t="s">
        <v>536</v>
      </c>
      <c r="C338" s="59" t="s">
        <v>389</v>
      </c>
      <c r="D338" s="59" t="s">
        <v>522</v>
      </c>
      <c r="E338" s="59" t="s">
        <v>537</v>
      </c>
      <c r="F338" s="226" t="s">
        <v>537</v>
      </c>
      <c r="G338" s="226"/>
      <c r="H338" s="58" t="s">
        <v>57</v>
      </c>
      <c r="I338" s="58"/>
      <c r="J338" s="58"/>
      <c r="K338" s="58"/>
      <c r="L338" s="60"/>
      <c r="M338" s="77">
        <v>43465</v>
      </c>
      <c r="N338" s="77" t="s">
        <v>526</v>
      </c>
      <c r="O338" s="150" t="s">
        <v>530</v>
      </c>
      <c r="P338" s="122"/>
      <c r="Q338" s="123"/>
      <c r="R338" s="130"/>
      <c r="S338" s="130">
        <f t="shared" si="7"/>
        <v>0</v>
      </c>
      <c r="T338" s="130"/>
      <c r="U338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الشراء-الاستلام]]&lt;DATE(2018,1,1),S338-T338,0))</f>
        <v>0</v>
      </c>
      <c r="V338" s="169">
        <v>38</v>
      </c>
      <c r="W338" s="116">
        <v>188</v>
      </c>
      <c r="X338" s="116">
        <v>1428.57</v>
      </c>
      <c r="Y338" s="117">
        <f>Table5101345411[[#This Row],[عدد الإضافات]]*Table5101345411[[#This Row],[سعر الحبة المضافة]]</f>
        <v>54285.659999999996</v>
      </c>
      <c r="Z338" s="101"/>
      <c r="AA338" s="102"/>
      <c r="AB338" s="103"/>
      <c r="AC338" s="103"/>
      <c r="AD338" s="103"/>
      <c r="AE338" s="103"/>
      <c r="AF338" s="103">
        <f>Table5101345411[[#This Row],[العدد]]*Table5101345411[[#This Row],[قيمة الشراء]]</f>
        <v>0</v>
      </c>
      <c r="AG338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38" s="190">
        <f>Table5101345411[[#This Row],[الكمية]]+Table5101345411[[#This Row],[عدد الإضافات]]-Table5101345411[[#This Row],[العدد]]</f>
        <v>38</v>
      </c>
      <c r="AI338" s="78">
        <f>Table5101345411[[#This Row],[الإجمالي]]+Table5101345411[[#This Row],[إجمالي الإضافات]]-Table5101345411[[#This Row],[إجمالي المستبعد]]</f>
        <v>54285.659999999996</v>
      </c>
      <c r="AJ338" s="62">
        <v>0.125</v>
      </c>
      <c r="AK338" s="219"/>
      <c r="AL338" s="58"/>
      <c r="AM338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338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38" s="79">
        <f>Table5101345411[[#This Row],[اهلاك المستبعد
في 2018]]+Table5101345411[[#This Row],[مجمع إهلاك المستبعد 
01-01-2018]]</f>
        <v>0</v>
      </c>
      <c r="AP338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38" s="220"/>
      <c r="AR338" s="78">
        <f>IF(OR(Table5101345411[[#This Row],[تاريخ الشراء-الاستلام]]="",Table5101345411[[#This Row],[الإجمالي]]="",Table5101345411[[#This Row],[العمر الافتراضي]]=""),"",IF(((T338+AM338)-Table5101345411[[#This Row],[مجمع إهلاك المستبعد 
بتاريخ الأستبعاد]])&lt;=0,0,((T338+AM338)-Table5101345411[[#This Row],[مجمع إهلاك المستبعد 
بتاريخ الأستبعاد]])))</f>
        <v>0</v>
      </c>
      <c r="AS338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الشراء-الاستلام]]&gt;DATE(2018,12,31),0,AI338-AR338)))</f>
        <v>54285.659999999996</v>
      </c>
    </row>
    <row r="339" spans="1:45" s="141" customFormat="1" ht="83.25" customHeight="1">
      <c r="A339" s="118">
        <f>IF(B339="","",SUBTOTAL(3,$B$6:B339))</f>
        <v>334</v>
      </c>
      <c r="B339" s="58" t="s">
        <v>540</v>
      </c>
      <c r="C339" s="59" t="s">
        <v>389</v>
      </c>
      <c r="D339" s="59" t="s">
        <v>522</v>
      </c>
      <c r="E339" s="59" t="s">
        <v>236</v>
      </c>
      <c r="F339" s="226" t="s">
        <v>236</v>
      </c>
      <c r="G339" s="226"/>
      <c r="H339" s="58" t="s">
        <v>57</v>
      </c>
      <c r="I339" s="58"/>
      <c r="J339" s="58"/>
      <c r="K339" s="58"/>
      <c r="L339" s="60"/>
      <c r="M339" s="77">
        <v>43465</v>
      </c>
      <c r="N339" s="77" t="s">
        <v>526</v>
      </c>
      <c r="O339" s="150" t="s">
        <v>528</v>
      </c>
      <c r="P339" s="122"/>
      <c r="Q339" s="123"/>
      <c r="R339" s="130"/>
      <c r="S339" s="130">
        <f t="shared" si="7"/>
        <v>0</v>
      </c>
      <c r="T339" s="130"/>
      <c r="U339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الشراء-الاستلام]]&lt;DATE(2018,1,1),S339-T339,0))</f>
        <v>0</v>
      </c>
      <c r="V339" s="169">
        <v>1</v>
      </c>
      <c r="W339" s="116">
        <v>201</v>
      </c>
      <c r="X339" s="116">
        <v>7619.05</v>
      </c>
      <c r="Y339" s="117">
        <f>Table5101345411[[#This Row],[عدد الإضافات]]*Table5101345411[[#This Row],[سعر الحبة المضافة]]</f>
        <v>7619.05</v>
      </c>
      <c r="Z339" s="101"/>
      <c r="AA339" s="102"/>
      <c r="AB339" s="103"/>
      <c r="AC339" s="103"/>
      <c r="AD339" s="103"/>
      <c r="AE339" s="103"/>
      <c r="AF339" s="103">
        <f>Table5101345411[[#This Row],[العدد]]*Table5101345411[[#This Row],[قيمة الشراء]]</f>
        <v>0</v>
      </c>
      <c r="AG339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39" s="190">
        <f>Table5101345411[[#This Row],[الكمية]]+Table5101345411[[#This Row],[عدد الإضافات]]-Table5101345411[[#This Row],[العدد]]</f>
        <v>1</v>
      </c>
      <c r="AI339" s="78">
        <f>Table5101345411[[#This Row],[الإجمالي]]+Table5101345411[[#This Row],[إجمالي الإضافات]]-Table5101345411[[#This Row],[إجمالي المستبعد]]</f>
        <v>7619.05</v>
      </c>
      <c r="AJ339" s="62">
        <v>0.125</v>
      </c>
      <c r="AK339" s="219"/>
      <c r="AL339" s="58"/>
      <c r="AM339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339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39" s="79">
        <f>Table5101345411[[#This Row],[اهلاك المستبعد
في 2018]]+Table5101345411[[#This Row],[مجمع إهلاك المستبعد 
01-01-2018]]</f>
        <v>0</v>
      </c>
      <c r="AP339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39" s="220"/>
      <c r="AR339" s="78">
        <f>IF(OR(Table5101345411[[#This Row],[تاريخ الشراء-الاستلام]]="",Table5101345411[[#This Row],[الإجمالي]]="",Table5101345411[[#This Row],[العمر الافتراضي]]=""),"",IF(((T339+AM339)-Table5101345411[[#This Row],[مجمع إهلاك المستبعد 
بتاريخ الأستبعاد]])&lt;=0,0,((T339+AM339)-Table5101345411[[#This Row],[مجمع إهلاك المستبعد 
بتاريخ الأستبعاد]])))</f>
        <v>0</v>
      </c>
      <c r="AS339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الشراء-الاستلام]]&gt;DATE(2018,12,31),0,AI339-AR339)))</f>
        <v>7619.05</v>
      </c>
    </row>
    <row r="340" spans="1:45" s="141" customFormat="1" ht="83.25" customHeight="1">
      <c r="A340" s="118">
        <f>IF(B340="","",SUBTOTAL(3,$B$6:B340))</f>
        <v>335</v>
      </c>
      <c r="B340" s="58" t="s">
        <v>540</v>
      </c>
      <c r="C340" s="59" t="s">
        <v>389</v>
      </c>
      <c r="D340" s="59" t="s">
        <v>522</v>
      </c>
      <c r="E340" s="59" t="s">
        <v>236</v>
      </c>
      <c r="F340" s="226" t="s">
        <v>236</v>
      </c>
      <c r="G340" s="226"/>
      <c r="H340" s="58" t="s">
        <v>57</v>
      </c>
      <c r="I340" s="58"/>
      <c r="J340" s="58"/>
      <c r="K340" s="58"/>
      <c r="L340" s="60"/>
      <c r="M340" s="77">
        <v>43465</v>
      </c>
      <c r="N340" s="77" t="s">
        <v>526</v>
      </c>
      <c r="O340" s="150" t="s">
        <v>529</v>
      </c>
      <c r="P340" s="122"/>
      <c r="Q340" s="123"/>
      <c r="R340" s="130"/>
      <c r="S340" s="130">
        <f t="shared" si="7"/>
        <v>0</v>
      </c>
      <c r="T340" s="130"/>
      <c r="U340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الشراء-الاستلام]]&lt;DATE(2018,1,1),S340-T340,0))</f>
        <v>0</v>
      </c>
      <c r="V340" s="169">
        <v>1</v>
      </c>
      <c r="W340" s="116">
        <v>273</v>
      </c>
      <c r="X340" s="116">
        <v>8095.24</v>
      </c>
      <c r="Y340" s="117">
        <f>Table5101345411[[#This Row],[عدد الإضافات]]*Table5101345411[[#This Row],[سعر الحبة المضافة]]</f>
        <v>8095.24</v>
      </c>
      <c r="Z340" s="101"/>
      <c r="AA340" s="102"/>
      <c r="AB340" s="103"/>
      <c r="AC340" s="103"/>
      <c r="AD340" s="103"/>
      <c r="AE340" s="103"/>
      <c r="AF340" s="103">
        <f>Table5101345411[[#This Row],[العدد]]*Table5101345411[[#This Row],[قيمة الشراء]]</f>
        <v>0</v>
      </c>
      <c r="AG340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40" s="190">
        <f>Table5101345411[[#This Row],[الكمية]]+Table5101345411[[#This Row],[عدد الإضافات]]-Table5101345411[[#This Row],[العدد]]</f>
        <v>1</v>
      </c>
      <c r="AI340" s="78">
        <f>Table5101345411[[#This Row],[الإجمالي]]+Table5101345411[[#This Row],[إجمالي الإضافات]]-Table5101345411[[#This Row],[إجمالي المستبعد]]</f>
        <v>8095.24</v>
      </c>
      <c r="AJ340" s="62">
        <v>0.125</v>
      </c>
      <c r="AK340" s="219"/>
      <c r="AL340" s="58"/>
      <c r="AM340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340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40" s="79">
        <f>Table5101345411[[#This Row],[اهلاك المستبعد
في 2018]]+Table5101345411[[#This Row],[مجمع إهلاك المستبعد 
01-01-2018]]</f>
        <v>0</v>
      </c>
      <c r="AP340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40" s="220"/>
      <c r="AR340" s="78">
        <f>IF(OR(Table5101345411[[#This Row],[تاريخ الشراء-الاستلام]]="",Table5101345411[[#This Row],[الإجمالي]]="",Table5101345411[[#This Row],[العمر الافتراضي]]=""),"",IF(((T340+AM340)-Table5101345411[[#This Row],[مجمع إهلاك المستبعد 
بتاريخ الأستبعاد]])&lt;=0,0,((T340+AM340)-Table5101345411[[#This Row],[مجمع إهلاك المستبعد 
بتاريخ الأستبعاد]])))</f>
        <v>0</v>
      </c>
      <c r="AS340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الشراء-الاستلام]]&gt;DATE(2018,12,31),0,AI340-AR340)))</f>
        <v>8095.24</v>
      </c>
    </row>
    <row r="341" spans="1:45" s="141" customFormat="1" ht="83.25" customHeight="1">
      <c r="A341" s="118">
        <f>IF(B341="","",SUBTOTAL(3,$B$6:B341))</f>
        <v>336</v>
      </c>
      <c r="B341" s="58" t="s">
        <v>541</v>
      </c>
      <c r="C341" s="59" t="s">
        <v>389</v>
      </c>
      <c r="D341" s="59" t="s">
        <v>522</v>
      </c>
      <c r="E341" s="59" t="s">
        <v>145</v>
      </c>
      <c r="F341" s="226" t="s">
        <v>145</v>
      </c>
      <c r="G341" s="226"/>
      <c r="H341" s="58" t="s">
        <v>57</v>
      </c>
      <c r="I341" s="58"/>
      <c r="J341" s="58"/>
      <c r="K341" s="58"/>
      <c r="L341" s="60"/>
      <c r="M341" s="77">
        <v>43465</v>
      </c>
      <c r="N341" s="77" t="s">
        <v>526</v>
      </c>
      <c r="O341" s="150" t="s">
        <v>528</v>
      </c>
      <c r="P341" s="122"/>
      <c r="Q341" s="123"/>
      <c r="R341" s="130"/>
      <c r="S341" s="130">
        <f t="shared" si="7"/>
        <v>0</v>
      </c>
      <c r="T341" s="130"/>
      <c r="U341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الشراء-الاستلام]]&lt;DATE(2018,1,1),S341-T341,0))</f>
        <v>0</v>
      </c>
      <c r="V341" s="169">
        <v>3</v>
      </c>
      <c r="W341" s="116" t="s">
        <v>542</v>
      </c>
      <c r="X341" s="116">
        <v>20000</v>
      </c>
      <c r="Y341" s="117">
        <f>Table5101345411[[#This Row],[عدد الإضافات]]*Table5101345411[[#This Row],[سعر الحبة المضافة]]</f>
        <v>60000</v>
      </c>
      <c r="Z341" s="101" t="s">
        <v>543</v>
      </c>
      <c r="AA341" s="102">
        <v>43465</v>
      </c>
      <c r="AB341" s="103">
        <v>3</v>
      </c>
      <c r="AC341" s="103" t="s">
        <v>276</v>
      </c>
      <c r="AD341" s="103">
        <v>19047.616000000002</v>
      </c>
      <c r="AE341" s="103">
        <v>20000</v>
      </c>
      <c r="AF341" s="103">
        <f>Table5101345411[[#This Row],[العدد]]*Table5101345411[[#This Row],[قيمة الشراء]]</f>
        <v>60000</v>
      </c>
      <c r="AG341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41" s="190">
        <f>Table5101345411[[#This Row],[الكمية]]+Table5101345411[[#This Row],[عدد الإضافات]]-Table5101345411[[#This Row],[العدد]]</f>
        <v>0</v>
      </c>
      <c r="AI341" s="78">
        <f>Table5101345411[[#This Row],[الإجمالي]]+Table5101345411[[#This Row],[إجمالي الإضافات]]-Table5101345411[[#This Row],[إجمالي المستبعد]]</f>
        <v>0</v>
      </c>
      <c r="AJ341" s="62">
        <v>0.125</v>
      </c>
      <c r="AK341" s="219"/>
      <c r="AL341" s="58"/>
      <c r="AM341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341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41" s="79">
        <f>Table5101345411[[#This Row],[اهلاك المستبعد
في 2018]]+Table5101345411[[#This Row],[مجمع إهلاك المستبعد 
01-01-2018]]</f>
        <v>0</v>
      </c>
      <c r="AP341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-2857.1519999999946</v>
      </c>
      <c r="AQ341" s="220"/>
      <c r="AR341" s="78">
        <f>IF(OR(Table5101345411[[#This Row],[تاريخ الشراء-الاستلام]]="",Table5101345411[[#This Row],[الإجمالي]]="",Table5101345411[[#This Row],[العمر الافتراضي]]=""),"",IF(((T341+AM341)-Table5101345411[[#This Row],[مجمع إهلاك المستبعد 
بتاريخ الأستبعاد]])&lt;=0,0,((T341+AM341)-Table5101345411[[#This Row],[مجمع إهلاك المستبعد 
بتاريخ الأستبعاد]])))</f>
        <v>0</v>
      </c>
      <c r="AS341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الشراء-الاستلام]]&gt;DATE(2018,12,31),0,AI341-AR341)))</f>
        <v>0</v>
      </c>
    </row>
    <row r="342" spans="1:45" s="141" customFormat="1" ht="83.25" customHeight="1">
      <c r="A342" s="118">
        <f>IF(B342="","",SUBTOTAL(3,$B$6:B342))</f>
        <v>337</v>
      </c>
      <c r="B342" s="58" t="s">
        <v>415</v>
      </c>
      <c r="C342" s="59" t="s">
        <v>389</v>
      </c>
      <c r="D342" s="59" t="s">
        <v>522</v>
      </c>
      <c r="E342" s="59" t="s">
        <v>120</v>
      </c>
      <c r="F342" s="226" t="s">
        <v>120</v>
      </c>
      <c r="G342" s="226"/>
      <c r="H342" s="58" t="s">
        <v>57</v>
      </c>
      <c r="I342" s="58"/>
      <c r="J342" s="58"/>
      <c r="K342" s="58"/>
      <c r="L342" s="60"/>
      <c r="M342" s="77">
        <v>43215</v>
      </c>
      <c r="N342" s="77" t="s">
        <v>412</v>
      </c>
      <c r="O342" s="150" t="s">
        <v>419</v>
      </c>
      <c r="P342" s="122"/>
      <c r="Q342" s="123"/>
      <c r="R342" s="130"/>
      <c r="S342" s="130">
        <f t="shared" si="7"/>
        <v>0</v>
      </c>
      <c r="T342" s="130"/>
      <c r="U342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الشراء-الاستلام]]&lt;DATE(2018,1,1),S342-T342,0))</f>
        <v>0</v>
      </c>
      <c r="V342" s="169">
        <v>15</v>
      </c>
      <c r="W342" s="116">
        <v>836</v>
      </c>
      <c r="X342" s="116">
        <v>1400</v>
      </c>
      <c r="Y342" s="117">
        <f>Table5101345411[[#This Row],[عدد الإضافات]]*Table5101345411[[#This Row],[سعر الحبة المضافة]]</f>
        <v>21000</v>
      </c>
      <c r="Z342" s="101"/>
      <c r="AA342" s="102"/>
      <c r="AB342" s="103"/>
      <c r="AC342" s="103"/>
      <c r="AD342" s="103"/>
      <c r="AE342" s="103"/>
      <c r="AF342" s="103">
        <f>Table5101345411[[#This Row],[العدد]]*Table5101345411[[#This Row],[قيمة الشراء]]</f>
        <v>0</v>
      </c>
      <c r="AG342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42" s="190">
        <f>Table5101345411[[#This Row],[الكمية]]+Table5101345411[[#This Row],[عدد الإضافات]]-Table5101345411[[#This Row],[العدد]]</f>
        <v>15</v>
      </c>
      <c r="AI342" s="78">
        <f>Table5101345411[[#This Row],[الإجمالي]]+Table5101345411[[#This Row],[إجمالي الإضافات]]-Table5101345411[[#This Row],[إجمالي المستبعد]]</f>
        <v>21000</v>
      </c>
      <c r="AJ342" s="62">
        <v>0.125</v>
      </c>
      <c r="AK342" s="219"/>
      <c r="AL342" s="58"/>
      <c r="AM342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1797.9452054794519</v>
      </c>
      <c r="AN342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42" s="79">
        <f>Table5101345411[[#This Row],[اهلاك المستبعد
في 2018]]+Table5101345411[[#This Row],[مجمع إهلاك المستبعد 
01-01-2018]]</f>
        <v>0</v>
      </c>
      <c r="AP342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42" s="220"/>
      <c r="AR342" s="78">
        <f>IF(OR(Table5101345411[[#This Row],[تاريخ الشراء-الاستلام]]="",Table5101345411[[#This Row],[الإجمالي]]="",Table5101345411[[#This Row],[العمر الافتراضي]]=""),"",IF(((T342+AM342)-Table5101345411[[#This Row],[مجمع إهلاك المستبعد 
بتاريخ الأستبعاد]])&lt;=0,0,((T342+AM342)-Table5101345411[[#This Row],[مجمع إهلاك المستبعد 
بتاريخ الأستبعاد]])))</f>
        <v>1797.9452054794519</v>
      </c>
      <c r="AS342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الشراء-الاستلام]]&gt;DATE(2018,12,31),0,AI342-AR342)))</f>
        <v>19202.054794520547</v>
      </c>
    </row>
    <row r="343" spans="1:45" s="141" customFormat="1" ht="83.25" customHeight="1">
      <c r="A343" s="118">
        <f>IF(B343="","",SUBTOTAL(3,$B$6:B343))</f>
        <v>338</v>
      </c>
      <c r="B343" s="58" t="s">
        <v>415</v>
      </c>
      <c r="C343" s="59" t="s">
        <v>389</v>
      </c>
      <c r="D343" s="59" t="s">
        <v>522</v>
      </c>
      <c r="E343" s="59" t="s">
        <v>120</v>
      </c>
      <c r="F343" s="226" t="s">
        <v>120</v>
      </c>
      <c r="G343" s="226"/>
      <c r="H343" s="58" t="s">
        <v>57</v>
      </c>
      <c r="I343" s="58"/>
      <c r="J343" s="58"/>
      <c r="K343" s="58"/>
      <c r="L343" s="60"/>
      <c r="M343" s="77">
        <v>43219</v>
      </c>
      <c r="N343" s="77" t="s">
        <v>412</v>
      </c>
      <c r="O343" s="150" t="s">
        <v>419</v>
      </c>
      <c r="P343" s="122"/>
      <c r="Q343" s="123"/>
      <c r="R343" s="130"/>
      <c r="S343" s="130">
        <f t="shared" si="7"/>
        <v>0</v>
      </c>
      <c r="T343" s="130"/>
      <c r="U343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الشراء-الاستلام]]&lt;DATE(2018,1,1),S343-T343,0))</f>
        <v>0</v>
      </c>
      <c r="V343" s="169">
        <v>3</v>
      </c>
      <c r="W343" s="116">
        <v>839</v>
      </c>
      <c r="X343" s="116">
        <v>2150</v>
      </c>
      <c r="Y343" s="117">
        <f>Table5101345411[[#This Row],[عدد الإضافات]]*Table5101345411[[#This Row],[سعر الحبة المضافة]]</f>
        <v>6450</v>
      </c>
      <c r="Z343" s="101"/>
      <c r="AA343" s="102"/>
      <c r="AB343" s="103"/>
      <c r="AC343" s="103"/>
      <c r="AD343" s="103"/>
      <c r="AE343" s="103"/>
      <c r="AF343" s="103">
        <f>Table5101345411[[#This Row],[العدد]]*Table5101345411[[#This Row],[قيمة الشراء]]</f>
        <v>0</v>
      </c>
      <c r="AG343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43" s="190">
        <f>Table5101345411[[#This Row],[الكمية]]+Table5101345411[[#This Row],[عدد الإضافات]]-Table5101345411[[#This Row],[العدد]]</f>
        <v>3</v>
      </c>
      <c r="AI343" s="78">
        <f>Table5101345411[[#This Row],[الإجمالي]]+Table5101345411[[#This Row],[إجمالي الإضافات]]-Table5101345411[[#This Row],[إجمالي المستبعد]]</f>
        <v>6450</v>
      </c>
      <c r="AJ343" s="62">
        <v>0.125</v>
      </c>
      <c r="AK343" s="219"/>
      <c r="AL343" s="58"/>
      <c r="AM343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543.39041095890411</v>
      </c>
      <c r="AN343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43" s="79">
        <f>Table5101345411[[#This Row],[اهلاك المستبعد
في 2018]]+Table5101345411[[#This Row],[مجمع إهلاك المستبعد 
01-01-2018]]</f>
        <v>0</v>
      </c>
      <c r="AP343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43" s="220"/>
      <c r="AR343" s="78">
        <f>IF(OR(Table5101345411[[#This Row],[تاريخ الشراء-الاستلام]]="",Table5101345411[[#This Row],[الإجمالي]]="",Table5101345411[[#This Row],[العمر الافتراضي]]=""),"",IF(((T343+AM343)-Table5101345411[[#This Row],[مجمع إهلاك المستبعد 
بتاريخ الأستبعاد]])&lt;=0,0,((T343+AM343)-Table5101345411[[#This Row],[مجمع إهلاك المستبعد 
بتاريخ الأستبعاد]])))</f>
        <v>543.39041095890411</v>
      </c>
      <c r="AS343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الشراء-الاستلام]]&gt;DATE(2018,12,31),0,AI343-AR343)))</f>
        <v>5906.6095890410961</v>
      </c>
    </row>
    <row r="344" spans="1:45" s="141" customFormat="1" ht="83.25" customHeight="1">
      <c r="A344" s="118">
        <f>IF(B344="","",SUBTOTAL(3,$B$6:B344))</f>
        <v>339</v>
      </c>
      <c r="B344" s="58" t="s">
        <v>415</v>
      </c>
      <c r="C344" s="59" t="s">
        <v>389</v>
      </c>
      <c r="D344" s="59" t="s">
        <v>522</v>
      </c>
      <c r="E344" s="59" t="s">
        <v>120</v>
      </c>
      <c r="F344" s="226" t="s">
        <v>120</v>
      </c>
      <c r="G344" s="226"/>
      <c r="H344" s="58" t="s">
        <v>57</v>
      </c>
      <c r="I344" s="58"/>
      <c r="J344" s="58"/>
      <c r="K344" s="58"/>
      <c r="L344" s="60"/>
      <c r="M344" s="77">
        <v>43220</v>
      </c>
      <c r="N344" s="77" t="s">
        <v>412</v>
      </c>
      <c r="O344" s="150" t="s">
        <v>419</v>
      </c>
      <c r="P344" s="122"/>
      <c r="Q344" s="123"/>
      <c r="R344" s="130"/>
      <c r="S344" s="130">
        <f t="shared" si="7"/>
        <v>0</v>
      </c>
      <c r="T344" s="130"/>
      <c r="U344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الشراء-الاستلام]]&lt;DATE(2018,1,1),S344-T344,0))</f>
        <v>0</v>
      </c>
      <c r="V344" s="169">
        <v>19</v>
      </c>
      <c r="W344" s="116">
        <v>840</v>
      </c>
      <c r="X344" s="116">
        <v>1400</v>
      </c>
      <c r="Y344" s="117">
        <f>Table5101345411[[#This Row],[عدد الإضافات]]*Table5101345411[[#This Row],[سعر الحبة المضافة]]</f>
        <v>26600</v>
      </c>
      <c r="Z344" s="101"/>
      <c r="AA344" s="102"/>
      <c r="AB344" s="103"/>
      <c r="AC344" s="103"/>
      <c r="AD344" s="103"/>
      <c r="AE344" s="103"/>
      <c r="AF344" s="103">
        <f>Table5101345411[[#This Row],[العدد]]*Table5101345411[[#This Row],[قيمة الشراء]]</f>
        <v>0</v>
      </c>
      <c r="AG344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44" s="190">
        <f>Table5101345411[[#This Row],[الكمية]]+Table5101345411[[#This Row],[عدد الإضافات]]-Table5101345411[[#This Row],[العدد]]</f>
        <v>19</v>
      </c>
      <c r="AI344" s="78">
        <f>Table5101345411[[#This Row],[الإجمالي]]+Table5101345411[[#This Row],[إجمالي الإضافات]]-Table5101345411[[#This Row],[إجمالي المستبعد]]</f>
        <v>26600</v>
      </c>
      <c r="AJ344" s="62">
        <v>0.125</v>
      </c>
      <c r="AK344" s="219"/>
      <c r="AL344" s="58"/>
      <c r="AM344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2231.8493150684931</v>
      </c>
      <c r="AN344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44" s="79">
        <f>Table5101345411[[#This Row],[اهلاك المستبعد
في 2018]]+Table5101345411[[#This Row],[مجمع إهلاك المستبعد 
01-01-2018]]</f>
        <v>0</v>
      </c>
      <c r="AP344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44" s="220"/>
      <c r="AR344" s="78">
        <f>IF(OR(Table5101345411[[#This Row],[تاريخ الشراء-الاستلام]]="",Table5101345411[[#This Row],[الإجمالي]]="",Table5101345411[[#This Row],[العمر الافتراضي]]=""),"",IF(((T344+AM344)-Table5101345411[[#This Row],[مجمع إهلاك المستبعد 
بتاريخ الأستبعاد]])&lt;=0,0,((T344+AM344)-Table5101345411[[#This Row],[مجمع إهلاك المستبعد 
بتاريخ الأستبعاد]])))</f>
        <v>2231.8493150684931</v>
      </c>
      <c r="AS344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الشراء-الاستلام]]&gt;DATE(2018,12,31),0,AI344-AR344)))</f>
        <v>24368.150684931508</v>
      </c>
    </row>
    <row r="345" spans="1:45" s="141" customFormat="1" ht="83.25" customHeight="1">
      <c r="A345" s="118">
        <f>IF(B345="","",SUBTOTAL(3,$B$6:B345))</f>
        <v>340</v>
      </c>
      <c r="B345" s="58" t="s">
        <v>415</v>
      </c>
      <c r="C345" s="59" t="s">
        <v>389</v>
      </c>
      <c r="D345" s="59" t="s">
        <v>522</v>
      </c>
      <c r="E345" s="59" t="s">
        <v>120</v>
      </c>
      <c r="F345" s="226" t="s">
        <v>120</v>
      </c>
      <c r="G345" s="226"/>
      <c r="H345" s="58" t="s">
        <v>57</v>
      </c>
      <c r="I345" s="58"/>
      <c r="J345" s="58"/>
      <c r="K345" s="58"/>
      <c r="L345" s="60"/>
      <c r="M345" s="77">
        <v>43225</v>
      </c>
      <c r="N345" s="77" t="s">
        <v>412</v>
      </c>
      <c r="O345" s="150" t="s">
        <v>420</v>
      </c>
      <c r="P345" s="122"/>
      <c r="Q345" s="123"/>
      <c r="R345" s="130"/>
      <c r="S345" s="130">
        <f t="shared" si="7"/>
        <v>0</v>
      </c>
      <c r="T345" s="130"/>
      <c r="U345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الشراء-الاستلام]]&lt;DATE(2018,1,1),S345-T345,0))</f>
        <v>0</v>
      </c>
      <c r="V345" s="169">
        <v>3</v>
      </c>
      <c r="W345" s="116">
        <v>842</v>
      </c>
      <c r="X345" s="116">
        <v>2150</v>
      </c>
      <c r="Y345" s="117">
        <f>Table5101345411[[#This Row],[عدد الإضافات]]*Table5101345411[[#This Row],[سعر الحبة المضافة]]</f>
        <v>6450</v>
      </c>
      <c r="Z345" s="101"/>
      <c r="AA345" s="102"/>
      <c r="AB345" s="103"/>
      <c r="AC345" s="103"/>
      <c r="AD345" s="103"/>
      <c r="AE345" s="103"/>
      <c r="AF345" s="103">
        <f>Table5101345411[[#This Row],[العدد]]*Table5101345411[[#This Row],[قيمة الشراء]]</f>
        <v>0</v>
      </c>
      <c r="AG345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45" s="190">
        <f>Table5101345411[[#This Row],[الكمية]]+Table5101345411[[#This Row],[عدد الإضافات]]-Table5101345411[[#This Row],[العدد]]</f>
        <v>3</v>
      </c>
      <c r="AI345" s="78">
        <f>Table5101345411[[#This Row],[الإجمالي]]+Table5101345411[[#This Row],[إجمالي الإضافات]]-Table5101345411[[#This Row],[إجمالي المستبعد]]</f>
        <v>6450</v>
      </c>
      <c r="AJ345" s="62">
        <v>0.125</v>
      </c>
      <c r="AK345" s="219"/>
      <c r="AL345" s="58"/>
      <c r="AM345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530.1369863013698</v>
      </c>
      <c r="AN345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45" s="79">
        <f>Table5101345411[[#This Row],[اهلاك المستبعد
في 2018]]+Table5101345411[[#This Row],[مجمع إهلاك المستبعد 
01-01-2018]]</f>
        <v>0</v>
      </c>
      <c r="AP345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45" s="220"/>
      <c r="AR345" s="78">
        <f>IF(OR(Table5101345411[[#This Row],[تاريخ الشراء-الاستلام]]="",Table5101345411[[#This Row],[الإجمالي]]="",Table5101345411[[#This Row],[العمر الافتراضي]]=""),"",IF(((T345+AM345)-Table5101345411[[#This Row],[مجمع إهلاك المستبعد 
بتاريخ الأستبعاد]])&lt;=0,0,((T345+AM345)-Table5101345411[[#This Row],[مجمع إهلاك المستبعد 
بتاريخ الأستبعاد]])))</f>
        <v>530.1369863013698</v>
      </c>
      <c r="AS345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الشراء-الاستلام]]&gt;DATE(2018,12,31),0,AI345-AR345)))</f>
        <v>5919.8630136986303</v>
      </c>
    </row>
    <row r="346" spans="1:45" s="141" customFormat="1" ht="83.25" customHeight="1">
      <c r="A346" s="118">
        <f>IF(B346="","",SUBTOTAL(3,$B$6:B346))</f>
        <v>341</v>
      </c>
      <c r="B346" s="58" t="s">
        <v>415</v>
      </c>
      <c r="C346" s="59" t="s">
        <v>389</v>
      </c>
      <c r="D346" s="59" t="s">
        <v>522</v>
      </c>
      <c r="E346" s="59" t="s">
        <v>120</v>
      </c>
      <c r="F346" s="226" t="s">
        <v>120</v>
      </c>
      <c r="G346" s="226"/>
      <c r="H346" s="58" t="s">
        <v>57</v>
      </c>
      <c r="I346" s="58"/>
      <c r="J346" s="58"/>
      <c r="K346" s="58"/>
      <c r="L346" s="60"/>
      <c r="M346" s="77">
        <v>43226</v>
      </c>
      <c r="N346" s="77" t="s">
        <v>412</v>
      </c>
      <c r="O346" s="150" t="s">
        <v>420</v>
      </c>
      <c r="P346" s="122"/>
      <c r="Q346" s="123"/>
      <c r="R346" s="130"/>
      <c r="S346" s="130">
        <f t="shared" si="7"/>
        <v>0</v>
      </c>
      <c r="T346" s="130"/>
      <c r="U346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الشراء-الاستلام]]&lt;DATE(2018,1,1),S346-T346,0))</f>
        <v>0</v>
      </c>
      <c r="V346" s="169">
        <v>3</v>
      </c>
      <c r="W346" s="116">
        <v>843</v>
      </c>
      <c r="X346" s="116">
        <v>2150</v>
      </c>
      <c r="Y346" s="117">
        <f>Table5101345411[[#This Row],[عدد الإضافات]]*Table5101345411[[#This Row],[سعر الحبة المضافة]]</f>
        <v>6450</v>
      </c>
      <c r="Z346" s="101"/>
      <c r="AA346" s="102"/>
      <c r="AB346" s="103"/>
      <c r="AC346" s="103"/>
      <c r="AD346" s="103"/>
      <c r="AE346" s="103"/>
      <c r="AF346" s="103">
        <f>Table5101345411[[#This Row],[العدد]]*Table5101345411[[#This Row],[قيمة الشراء]]</f>
        <v>0</v>
      </c>
      <c r="AG346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46" s="190">
        <f>Table5101345411[[#This Row],[الكمية]]+Table5101345411[[#This Row],[عدد الإضافات]]-Table5101345411[[#This Row],[العدد]]</f>
        <v>3</v>
      </c>
      <c r="AI346" s="78">
        <f>Table5101345411[[#This Row],[الإجمالي]]+Table5101345411[[#This Row],[إجمالي الإضافات]]-Table5101345411[[#This Row],[إجمالي المستبعد]]</f>
        <v>6450</v>
      </c>
      <c r="AJ346" s="62">
        <v>0.125</v>
      </c>
      <c r="AK346" s="219"/>
      <c r="AL346" s="58"/>
      <c r="AM346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527.92808219178073</v>
      </c>
      <c r="AN346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46" s="79">
        <f>Table5101345411[[#This Row],[اهلاك المستبعد
في 2018]]+Table5101345411[[#This Row],[مجمع إهلاك المستبعد 
01-01-2018]]</f>
        <v>0</v>
      </c>
      <c r="AP346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46" s="220"/>
      <c r="AR346" s="78">
        <f>IF(OR(Table5101345411[[#This Row],[تاريخ الشراء-الاستلام]]="",Table5101345411[[#This Row],[الإجمالي]]="",Table5101345411[[#This Row],[العمر الافتراضي]]=""),"",IF(((T346+AM346)-Table5101345411[[#This Row],[مجمع إهلاك المستبعد 
بتاريخ الأستبعاد]])&lt;=0,0,((T346+AM346)-Table5101345411[[#This Row],[مجمع إهلاك المستبعد 
بتاريخ الأستبعاد]])))</f>
        <v>527.92808219178073</v>
      </c>
      <c r="AS346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الشراء-الاستلام]]&gt;DATE(2018,12,31),0,AI346-AR346)))</f>
        <v>5922.071917808219</v>
      </c>
    </row>
    <row r="347" spans="1:45" s="141" customFormat="1" ht="83.25" customHeight="1">
      <c r="A347" s="118">
        <f>IF(B347="","",SUBTOTAL(3,$B$6:B347))</f>
        <v>342</v>
      </c>
      <c r="B347" s="58" t="s">
        <v>421</v>
      </c>
      <c r="C347" s="59" t="s">
        <v>389</v>
      </c>
      <c r="D347" s="59" t="s">
        <v>522</v>
      </c>
      <c r="E347" s="59" t="s">
        <v>524</v>
      </c>
      <c r="F347" s="226" t="s">
        <v>524</v>
      </c>
      <c r="G347" s="226"/>
      <c r="H347" s="58" t="s">
        <v>57</v>
      </c>
      <c r="I347" s="58"/>
      <c r="J347" s="58"/>
      <c r="K347" s="58"/>
      <c r="L347" s="60"/>
      <c r="M347" s="77">
        <v>43236</v>
      </c>
      <c r="N347" s="77" t="s">
        <v>412</v>
      </c>
      <c r="O347" s="150" t="s">
        <v>420</v>
      </c>
      <c r="P347" s="122"/>
      <c r="Q347" s="123"/>
      <c r="R347" s="130"/>
      <c r="S347" s="130">
        <f t="shared" si="7"/>
        <v>0</v>
      </c>
      <c r="T347" s="130"/>
      <c r="U347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الشراء-الاستلام]]&lt;DATE(2018,1,1),S347-T347,0))</f>
        <v>0</v>
      </c>
      <c r="V347" s="169">
        <v>50</v>
      </c>
      <c r="W347" s="116">
        <v>854</v>
      </c>
      <c r="X347" s="116">
        <v>1100</v>
      </c>
      <c r="Y347" s="117">
        <f>Table5101345411[[#This Row],[عدد الإضافات]]*Table5101345411[[#This Row],[سعر الحبة المضافة]]</f>
        <v>55000</v>
      </c>
      <c r="Z347" s="101"/>
      <c r="AA347" s="102"/>
      <c r="AB347" s="103"/>
      <c r="AC347" s="103"/>
      <c r="AD347" s="103"/>
      <c r="AE347" s="103"/>
      <c r="AF347" s="103">
        <f>Table5101345411[[#This Row],[العدد]]*Table5101345411[[#This Row],[قيمة الشراء]]</f>
        <v>0</v>
      </c>
      <c r="AG347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47" s="190">
        <f>Table5101345411[[#This Row],[الكمية]]+Table5101345411[[#This Row],[عدد الإضافات]]-Table5101345411[[#This Row],[العدد]]</f>
        <v>50</v>
      </c>
      <c r="AI347" s="78">
        <f>Table5101345411[[#This Row],[الإجمالي]]+Table5101345411[[#This Row],[إجمالي الإضافات]]-Table5101345411[[#This Row],[إجمالي المستبعد]]</f>
        <v>55000</v>
      </c>
      <c r="AJ347" s="62">
        <v>0.125</v>
      </c>
      <c r="AK347" s="219"/>
      <c r="AL347" s="58"/>
      <c r="AM347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4313.3561643835619</v>
      </c>
      <c r="AN347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47" s="79">
        <f>Table5101345411[[#This Row],[اهلاك المستبعد
في 2018]]+Table5101345411[[#This Row],[مجمع إهلاك المستبعد 
01-01-2018]]</f>
        <v>0</v>
      </c>
      <c r="AP347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47" s="220"/>
      <c r="AR347" s="78">
        <f>IF(OR(Table5101345411[[#This Row],[تاريخ الشراء-الاستلام]]="",Table5101345411[[#This Row],[الإجمالي]]="",Table5101345411[[#This Row],[العمر الافتراضي]]=""),"",IF(((T347+AM347)-Table5101345411[[#This Row],[مجمع إهلاك المستبعد 
بتاريخ الأستبعاد]])&lt;=0,0,((T347+AM347)-Table5101345411[[#This Row],[مجمع إهلاك المستبعد 
بتاريخ الأستبعاد]])))</f>
        <v>4313.3561643835619</v>
      </c>
      <c r="AS347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الشراء-الاستلام]]&gt;DATE(2018,12,31),0,AI347-AR347)))</f>
        <v>50686.643835616436</v>
      </c>
    </row>
    <row r="348" spans="1:45" s="141" customFormat="1" ht="83.25" customHeight="1">
      <c r="A348" s="118">
        <f>IF(B348="","",SUBTOTAL(3,$B$6:B348))</f>
        <v>343</v>
      </c>
      <c r="B348" s="58" t="s">
        <v>415</v>
      </c>
      <c r="C348" s="59" t="s">
        <v>389</v>
      </c>
      <c r="D348" s="59" t="s">
        <v>522</v>
      </c>
      <c r="E348" s="59" t="s">
        <v>120</v>
      </c>
      <c r="F348" s="226" t="s">
        <v>120</v>
      </c>
      <c r="G348" s="226"/>
      <c r="H348" s="58" t="s">
        <v>57</v>
      </c>
      <c r="I348" s="58"/>
      <c r="J348" s="58"/>
      <c r="K348" s="58"/>
      <c r="L348" s="60"/>
      <c r="M348" s="77">
        <v>43246</v>
      </c>
      <c r="N348" s="77" t="s">
        <v>412</v>
      </c>
      <c r="O348" s="150" t="s">
        <v>420</v>
      </c>
      <c r="P348" s="122"/>
      <c r="Q348" s="123"/>
      <c r="R348" s="130"/>
      <c r="S348" s="130">
        <f t="shared" si="7"/>
        <v>0</v>
      </c>
      <c r="T348" s="130"/>
      <c r="U348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الشراء-الاستلام]]&lt;DATE(2018,1,1),S348-T348,0))</f>
        <v>0</v>
      </c>
      <c r="V348" s="169">
        <v>4</v>
      </c>
      <c r="W348" s="116">
        <v>859</v>
      </c>
      <c r="X348" s="116">
        <v>1400</v>
      </c>
      <c r="Y348" s="117">
        <f>Table5101345411[[#This Row],[عدد الإضافات]]*Table5101345411[[#This Row],[سعر الحبة المضافة]]</f>
        <v>5600</v>
      </c>
      <c r="Z348" s="101"/>
      <c r="AA348" s="102"/>
      <c r="AB348" s="103"/>
      <c r="AC348" s="103"/>
      <c r="AD348" s="103"/>
      <c r="AE348" s="103"/>
      <c r="AF348" s="103">
        <f>Table5101345411[[#This Row],[العدد]]*Table5101345411[[#This Row],[قيمة الشراء]]</f>
        <v>0</v>
      </c>
      <c r="AG348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48" s="190">
        <f>Table5101345411[[#This Row],[الكمية]]+Table5101345411[[#This Row],[عدد الإضافات]]-Table5101345411[[#This Row],[العدد]]</f>
        <v>4</v>
      </c>
      <c r="AI348" s="78">
        <f>Table5101345411[[#This Row],[الإجمالي]]+Table5101345411[[#This Row],[إجمالي الإضافات]]-Table5101345411[[#This Row],[إجمالي المستبعد]]</f>
        <v>5600</v>
      </c>
      <c r="AJ348" s="62">
        <v>0.125</v>
      </c>
      <c r="AK348" s="219"/>
      <c r="AL348" s="58"/>
      <c r="AM348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420</v>
      </c>
      <c r="AN348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48" s="79">
        <f>Table5101345411[[#This Row],[اهلاك المستبعد
في 2018]]+Table5101345411[[#This Row],[مجمع إهلاك المستبعد 
01-01-2018]]</f>
        <v>0</v>
      </c>
      <c r="AP348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48" s="220"/>
      <c r="AR348" s="78">
        <f>IF(OR(Table5101345411[[#This Row],[تاريخ الشراء-الاستلام]]="",Table5101345411[[#This Row],[الإجمالي]]="",Table5101345411[[#This Row],[العمر الافتراضي]]=""),"",IF(((T348+AM348)-Table5101345411[[#This Row],[مجمع إهلاك المستبعد 
بتاريخ الأستبعاد]])&lt;=0,0,((T348+AM348)-Table5101345411[[#This Row],[مجمع إهلاك المستبعد 
بتاريخ الأستبعاد]])))</f>
        <v>420</v>
      </c>
      <c r="AS348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الشراء-الاستلام]]&gt;DATE(2018,12,31),0,AI348-AR348)))</f>
        <v>5180</v>
      </c>
    </row>
    <row r="349" spans="1:45" s="141" customFormat="1" ht="83.25" customHeight="1">
      <c r="A349" s="118">
        <f>IF(B349="","",SUBTOTAL(3,$B$6:B349))</f>
        <v>344</v>
      </c>
      <c r="B349" s="58" t="s">
        <v>415</v>
      </c>
      <c r="C349" s="59" t="s">
        <v>389</v>
      </c>
      <c r="D349" s="59" t="s">
        <v>522</v>
      </c>
      <c r="E349" s="59" t="s">
        <v>120</v>
      </c>
      <c r="F349" s="226" t="s">
        <v>120</v>
      </c>
      <c r="G349" s="226"/>
      <c r="H349" s="58" t="s">
        <v>57</v>
      </c>
      <c r="I349" s="58"/>
      <c r="J349" s="58"/>
      <c r="K349" s="58"/>
      <c r="L349" s="60"/>
      <c r="M349" s="77">
        <v>43249</v>
      </c>
      <c r="N349" s="77" t="s">
        <v>412</v>
      </c>
      <c r="O349" s="150" t="s">
        <v>422</v>
      </c>
      <c r="P349" s="122"/>
      <c r="Q349" s="123"/>
      <c r="R349" s="130"/>
      <c r="S349" s="130">
        <f t="shared" si="7"/>
        <v>0</v>
      </c>
      <c r="T349" s="130"/>
      <c r="U349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الشراء-الاستلام]]&lt;DATE(2018,1,1),S349-T349,0))</f>
        <v>0</v>
      </c>
      <c r="V349" s="169">
        <v>3</v>
      </c>
      <c r="W349" s="116">
        <v>865</v>
      </c>
      <c r="X349" s="116">
        <v>2150</v>
      </c>
      <c r="Y349" s="117">
        <f>Table5101345411[[#This Row],[عدد الإضافات]]*Table5101345411[[#This Row],[سعر الحبة المضافة]]</f>
        <v>6450</v>
      </c>
      <c r="Z349" s="101"/>
      <c r="AA349" s="102"/>
      <c r="AB349" s="103"/>
      <c r="AC349" s="103"/>
      <c r="AD349" s="103"/>
      <c r="AE349" s="103"/>
      <c r="AF349" s="103">
        <f>Table5101345411[[#This Row],[العدد]]*Table5101345411[[#This Row],[قيمة الشراء]]</f>
        <v>0</v>
      </c>
      <c r="AG349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49" s="190">
        <f>Table5101345411[[#This Row],[الكمية]]+Table5101345411[[#This Row],[عدد الإضافات]]-Table5101345411[[#This Row],[العدد]]</f>
        <v>3</v>
      </c>
      <c r="AI349" s="78">
        <f>Table5101345411[[#This Row],[الإجمالي]]+Table5101345411[[#This Row],[إجمالي الإضافات]]-Table5101345411[[#This Row],[إجمالي المستبعد]]</f>
        <v>6450</v>
      </c>
      <c r="AJ349" s="62">
        <v>0.125</v>
      </c>
      <c r="AK349" s="219"/>
      <c r="AL349" s="58"/>
      <c r="AM349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477.12328767123284</v>
      </c>
      <c r="AN349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49" s="79">
        <f>Table5101345411[[#This Row],[اهلاك المستبعد
في 2018]]+Table5101345411[[#This Row],[مجمع إهلاك المستبعد 
01-01-2018]]</f>
        <v>0</v>
      </c>
      <c r="AP349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49" s="220"/>
      <c r="AR349" s="78">
        <f>IF(OR(Table5101345411[[#This Row],[تاريخ الشراء-الاستلام]]="",Table5101345411[[#This Row],[الإجمالي]]="",Table5101345411[[#This Row],[العمر الافتراضي]]=""),"",IF(((T349+AM349)-Table5101345411[[#This Row],[مجمع إهلاك المستبعد 
بتاريخ الأستبعاد]])&lt;=0,0,((T349+AM349)-Table5101345411[[#This Row],[مجمع إهلاك المستبعد 
بتاريخ الأستبعاد]])))</f>
        <v>477.12328767123284</v>
      </c>
      <c r="AS349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الشراء-الاستلام]]&gt;DATE(2018,12,31),0,AI349-AR349)))</f>
        <v>5972.8767123287671</v>
      </c>
    </row>
    <row r="350" spans="1:45" s="141" customFormat="1" ht="83.25" customHeight="1">
      <c r="A350" s="118">
        <f>IF(B350="","",SUBTOTAL(3,$B$6:B350))</f>
        <v>345</v>
      </c>
      <c r="B350" s="58" t="s">
        <v>415</v>
      </c>
      <c r="C350" s="59" t="s">
        <v>389</v>
      </c>
      <c r="D350" s="59" t="s">
        <v>522</v>
      </c>
      <c r="E350" s="59" t="s">
        <v>120</v>
      </c>
      <c r="F350" s="226" t="s">
        <v>120</v>
      </c>
      <c r="G350" s="226"/>
      <c r="H350" s="58" t="s">
        <v>57</v>
      </c>
      <c r="I350" s="58"/>
      <c r="J350" s="58"/>
      <c r="K350" s="58"/>
      <c r="L350" s="60"/>
      <c r="M350" s="77">
        <v>43249</v>
      </c>
      <c r="N350" s="77" t="s">
        <v>412</v>
      </c>
      <c r="O350" s="150" t="s">
        <v>422</v>
      </c>
      <c r="P350" s="122"/>
      <c r="Q350" s="123"/>
      <c r="R350" s="130"/>
      <c r="S350" s="130">
        <f t="shared" si="7"/>
        <v>0</v>
      </c>
      <c r="T350" s="130"/>
      <c r="U350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الشراء-الاستلام]]&lt;DATE(2018,1,1),S350-T350,0))</f>
        <v>0</v>
      </c>
      <c r="V350" s="169">
        <v>3</v>
      </c>
      <c r="W350" s="116">
        <v>866</v>
      </c>
      <c r="X350" s="116">
        <v>2150</v>
      </c>
      <c r="Y350" s="117">
        <f>Table5101345411[[#This Row],[عدد الإضافات]]*Table5101345411[[#This Row],[سعر الحبة المضافة]]</f>
        <v>6450</v>
      </c>
      <c r="Z350" s="101"/>
      <c r="AA350" s="102"/>
      <c r="AB350" s="103"/>
      <c r="AC350" s="103"/>
      <c r="AD350" s="103"/>
      <c r="AE350" s="103"/>
      <c r="AF350" s="103">
        <f>Table5101345411[[#This Row],[العدد]]*Table5101345411[[#This Row],[قيمة الشراء]]</f>
        <v>0</v>
      </c>
      <c r="AG350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50" s="190">
        <f>Table5101345411[[#This Row],[الكمية]]+Table5101345411[[#This Row],[عدد الإضافات]]-Table5101345411[[#This Row],[العدد]]</f>
        <v>3</v>
      </c>
      <c r="AI350" s="78">
        <f>Table5101345411[[#This Row],[الإجمالي]]+Table5101345411[[#This Row],[إجمالي الإضافات]]-Table5101345411[[#This Row],[إجمالي المستبعد]]</f>
        <v>6450</v>
      </c>
      <c r="AJ350" s="62">
        <v>0.125</v>
      </c>
      <c r="AK350" s="219"/>
      <c r="AL350" s="58"/>
      <c r="AM350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477.12328767123284</v>
      </c>
      <c r="AN350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50" s="79">
        <f>Table5101345411[[#This Row],[اهلاك المستبعد
في 2018]]+Table5101345411[[#This Row],[مجمع إهلاك المستبعد 
01-01-2018]]</f>
        <v>0</v>
      </c>
      <c r="AP350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50" s="220"/>
      <c r="AR350" s="78">
        <f>IF(OR(Table5101345411[[#This Row],[تاريخ الشراء-الاستلام]]="",Table5101345411[[#This Row],[الإجمالي]]="",Table5101345411[[#This Row],[العمر الافتراضي]]=""),"",IF(((T350+AM350)-Table5101345411[[#This Row],[مجمع إهلاك المستبعد 
بتاريخ الأستبعاد]])&lt;=0,0,((T350+AM350)-Table5101345411[[#This Row],[مجمع إهلاك المستبعد 
بتاريخ الأستبعاد]])))</f>
        <v>477.12328767123284</v>
      </c>
      <c r="AS350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الشراء-الاستلام]]&gt;DATE(2018,12,31),0,AI350-AR350)))</f>
        <v>5972.8767123287671</v>
      </c>
    </row>
    <row r="351" spans="1:45" s="141" customFormat="1" ht="83.25" customHeight="1">
      <c r="A351" s="118">
        <f>IF(B351="","",SUBTOTAL(3,$B$6:B351))</f>
        <v>346</v>
      </c>
      <c r="B351" s="58" t="s">
        <v>415</v>
      </c>
      <c r="C351" s="59" t="s">
        <v>389</v>
      </c>
      <c r="D351" s="59" t="s">
        <v>522</v>
      </c>
      <c r="E351" s="59" t="s">
        <v>120</v>
      </c>
      <c r="F351" s="226" t="s">
        <v>120</v>
      </c>
      <c r="G351" s="226"/>
      <c r="H351" s="58" t="s">
        <v>57</v>
      </c>
      <c r="I351" s="58"/>
      <c r="J351" s="58"/>
      <c r="K351" s="58"/>
      <c r="L351" s="60"/>
      <c r="M351" s="77">
        <v>43250</v>
      </c>
      <c r="N351" s="77" t="s">
        <v>412</v>
      </c>
      <c r="O351" s="150" t="s">
        <v>422</v>
      </c>
      <c r="P351" s="122"/>
      <c r="Q351" s="123"/>
      <c r="R351" s="130"/>
      <c r="S351" s="130">
        <f t="shared" si="7"/>
        <v>0</v>
      </c>
      <c r="T351" s="130"/>
      <c r="U351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الشراء-الاستلام]]&lt;DATE(2018,1,1),S351-T351,0))</f>
        <v>0</v>
      </c>
      <c r="V351" s="169">
        <v>11</v>
      </c>
      <c r="W351" s="116">
        <v>866</v>
      </c>
      <c r="X351" s="116">
        <v>1400</v>
      </c>
      <c r="Y351" s="117">
        <f>Table5101345411[[#This Row],[عدد الإضافات]]*Table5101345411[[#This Row],[سعر الحبة المضافة]]</f>
        <v>15400</v>
      </c>
      <c r="Z351" s="101"/>
      <c r="AA351" s="102"/>
      <c r="AB351" s="103"/>
      <c r="AC351" s="103"/>
      <c r="AD351" s="103"/>
      <c r="AE351" s="103"/>
      <c r="AF351" s="103">
        <f>Table5101345411[[#This Row],[العدد]]*Table5101345411[[#This Row],[قيمة الشراء]]</f>
        <v>0</v>
      </c>
      <c r="AG351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51" s="190">
        <f>Table5101345411[[#This Row],[الكمية]]+Table5101345411[[#This Row],[عدد الإضافات]]-Table5101345411[[#This Row],[العدد]]</f>
        <v>11</v>
      </c>
      <c r="AI351" s="78">
        <f>Table5101345411[[#This Row],[الإجمالي]]+Table5101345411[[#This Row],[إجمالي الإضافات]]-Table5101345411[[#This Row],[إجمالي المستبعد]]</f>
        <v>15400</v>
      </c>
      <c r="AJ351" s="62">
        <v>0.125</v>
      </c>
      <c r="AK351" s="219"/>
      <c r="AL351" s="58"/>
      <c r="AM351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1133.9041095890411</v>
      </c>
      <c r="AN351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51" s="79">
        <f>Table5101345411[[#This Row],[اهلاك المستبعد
في 2018]]+Table5101345411[[#This Row],[مجمع إهلاك المستبعد 
01-01-2018]]</f>
        <v>0</v>
      </c>
      <c r="AP351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51" s="220"/>
      <c r="AR351" s="78">
        <f>IF(OR(Table5101345411[[#This Row],[تاريخ الشراء-الاستلام]]="",Table5101345411[[#This Row],[الإجمالي]]="",Table5101345411[[#This Row],[العمر الافتراضي]]=""),"",IF(((T351+AM351)-Table5101345411[[#This Row],[مجمع إهلاك المستبعد 
بتاريخ الأستبعاد]])&lt;=0,0,((T351+AM351)-Table5101345411[[#This Row],[مجمع إهلاك المستبعد 
بتاريخ الأستبعاد]])))</f>
        <v>1133.9041095890411</v>
      </c>
      <c r="AS351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الشراء-الاستلام]]&gt;DATE(2018,12,31),0,AI351-AR351)))</f>
        <v>14266.095890410959</v>
      </c>
    </row>
    <row r="352" spans="1:45" s="141" customFormat="1" ht="83.25" customHeight="1">
      <c r="A352" s="118">
        <f>IF(B352="","",SUBTOTAL(3,$B$6:B352))</f>
        <v>347</v>
      </c>
      <c r="B352" s="58" t="s">
        <v>423</v>
      </c>
      <c r="C352" s="59" t="s">
        <v>389</v>
      </c>
      <c r="D352" s="59" t="s">
        <v>522</v>
      </c>
      <c r="E352" s="59" t="s">
        <v>523</v>
      </c>
      <c r="F352" s="226" t="s">
        <v>523</v>
      </c>
      <c r="G352" s="226"/>
      <c r="H352" s="58" t="s">
        <v>57</v>
      </c>
      <c r="I352" s="58"/>
      <c r="J352" s="58"/>
      <c r="K352" s="58"/>
      <c r="L352" s="60"/>
      <c r="M352" s="77">
        <v>43226</v>
      </c>
      <c r="N352" s="77" t="s">
        <v>424</v>
      </c>
      <c r="O352" s="150" t="s">
        <v>425</v>
      </c>
      <c r="P352" s="122"/>
      <c r="Q352" s="123"/>
      <c r="R352" s="130"/>
      <c r="S352" s="130">
        <f t="shared" si="7"/>
        <v>0</v>
      </c>
      <c r="T352" s="130"/>
      <c r="U352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الشراء-الاستلام]]&lt;DATE(2018,1,1),S352-T352,0))</f>
        <v>0</v>
      </c>
      <c r="V352" s="169">
        <v>100</v>
      </c>
      <c r="W352" s="116">
        <v>120</v>
      </c>
      <c r="X352" s="116">
        <v>700</v>
      </c>
      <c r="Y352" s="117">
        <f>Table5101345411[[#This Row],[عدد الإضافات]]*Table5101345411[[#This Row],[سعر الحبة المضافة]]</f>
        <v>70000</v>
      </c>
      <c r="Z352" s="101"/>
      <c r="AA352" s="102"/>
      <c r="AB352" s="103"/>
      <c r="AC352" s="103"/>
      <c r="AD352" s="103"/>
      <c r="AE352" s="103"/>
      <c r="AF352" s="103">
        <f>Table5101345411[[#This Row],[العدد]]*Table5101345411[[#This Row],[قيمة الشراء]]</f>
        <v>0</v>
      </c>
      <c r="AG352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52" s="190">
        <f>Table5101345411[[#This Row],[الكمية]]+Table5101345411[[#This Row],[عدد الإضافات]]-Table5101345411[[#This Row],[العدد]]</f>
        <v>100</v>
      </c>
      <c r="AI352" s="78">
        <f>Table5101345411[[#This Row],[الإجمالي]]+Table5101345411[[#This Row],[إجمالي الإضافات]]-Table5101345411[[#This Row],[إجمالي المستبعد]]</f>
        <v>70000</v>
      </c>
      <c r="AJ352" s="62">
        <v>0.125</v>
      </c>
      <c r="AK352" s="219"/>
      <c r="AL352" s="58"/>
      <c r="AM352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5729.4520547945203</v>
      </c>
      <c r="AN352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52" s="79">
        <f>Table5101345411[[#This Row],[اهلاك المستبعد
في 2018]]+Table5101345411[[#This Row],[مجمع إهلاك المستبعد 
01-01-2018]]</f>
        <v>0</v>
      </c>
      <c r="AP352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52" s="220"/>
      <c r="AR352" s="78">
        <f>IF(OR(Table5101345411[[#This Row],[تاريخ الشراء-الاستلام]]="",Table5101345411[[#This Row],[الإجمالي]]="",Table5101345411[[#This Row],[العمر الافتراضي]]=""),"",IF(((T352+AM352)-Table5101345411[[#This Row],[مجمع إهلاك المستبعد 
بتاريخ الأستبعاد]])&lt;=0,0,((T352+AM352)-Table5101345411[[#This Row],[مجمع إهلاك المستبعد 
بتاريخ الأستبعاد]])))</f>
        <v>5729.4520547945203</v>
      </c>
      <c r="AS352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الشراء-الاستلام]]&gt;DATE(2018,12,31),0,AI352-AR352)))</f>
        <v>64270.547945205479</v>
      </c>
    </row>
    <row r="353" spans="1:45" s="140" customFormat="1" ht="83.25" customHeight="1">
      <c r="A353" s="118">
        <f>IF(B353="","",SUBTOTAL(3,$B$6:B353))</f>
        <v>348</v>
      </c>
      <c r="B353" s="58" t="s">
        <v>426</v>
      </c>
      <c r="C353" s="59" t="s">
        <v>389</v>
      </c>
      <c r="D353" s="59" t="s">
        <v>56</v>
      </c>
      <c r="E353" s="59" t="s">
        <v>55</v>
      </c>
      <c r="F353" s="226" t="s">
        <v>55</v>
      </c>
      <c r="G353" s="226"/>
      <c r="H353" s="58" t="s">
        <v>57</v>
      </c>
      <c r="I353" s="58"/>
      <c r="J353" s="58"/>
      <c r="K353" s="58"/>
      <c r="L353" s="60"/>
      <c r="M353" s="77">
        <v>43237</v>
      </c>
      <c r="N353" s="77" t="s">
        <v>427</v>
      </c>
      <c r="O353" s="150" t="s">
        <v>428</v>
      </c>
      <c r="P353" s="122"/>
      <c r="Q353" s="123"/>
      <c r="R353" s="130"/>
      <c r="S353" s="130">
        <f t="shared" si="7"/>
        <v>0</v>
      </c>
      <c r="T353" s="130"/>
      <c r="U353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الشراء-الاستلام]]&lt;DATE(2018,1,1),S353-T353,0))</f>
        <v>0</v>
      </c>
      <c r="V353" s="169">
        <v>1</v>
      </c>
      <c r="W353" s="116">
        <v>11033</v>
      </c>
      <c r="X353" s="116">
        <v>340</v>
      </c>
      <c r="Y353" s="117">
        <f>Table5101345411[[#This Row],[عدد الإضافات]]*Table5101345411[[#This Row],[سعر الحبة المضافة]]</f>
        <v>340</v>
      </c>
      <c r="Z353" s="101"/>
      <c r="AA353" s="102"/>
      <c r="AB353" s="103"/>
      <c r="AC353" s="103"/>
      <c r="AD353" s="103"/>
      <c r="AE353" s="103"/>
      <c r="AF353" s="103">
        <f>Table5101345411[[#This Row],[العدد]]*Table5101345411[[#This Row],[قيمة الشراء]]</f>
        <v>0</v>
      </c>
      <c r="AG353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53" s="190">
        <f>Table5101345411[[#This Row],[الكمية]]+Table5101345411[[#This Row],[عدد الإضافات]]-Table5101345411[[#This Row],[العدد]]</f>
        <v>1</v>
      </c>
      <c r="AI353" s="78">
        <f>Table5101345411[[#This Row],[الإجمالي]]+Table5101345411[[#This Row],[إجمالي الإضافات]]-Table5101345411[[#This Row],[إجمالي المستبعد]]</f>
        <v>340</v>
      </c>
      <c r="AJ353" s="62">
        <v>0.125</v>
      </c>
      <c r="AK353" s="219"/>
      <c r="AL353" s="58"/>
      <c r="AM353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26.547945205479451</v>
      </c>
      <c r="AN353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53" s="79">
        <f>Table5101345411[[#This Row],[اهلاك المستبعد
في 2018]]+Table5101345411[[#This Row],[مجمع إهلاك المستبعد 
01-01-2018]]</f>
        <v>0</v>
      </c>
      <c r="AP353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53" s="220"/>
      <c r="AR353" s="78">
        <f>IF(OR(Table5101345411[[#This Row],[تاريخ الشراء-الاستلام]]="",Table5101345411[[#This Row],[الإجمالي]]="",Table5101345411[[#This Row],[العمر الافتراضي]]=""),"",IF(((T353+AM353)-Table5101345411[[#This Row],[مجمع إهلاك المستبعد 
بتاريخ الأستبعاد]])&lt;=0,0,((T353+AM353)-Table5101345411[[#This Row],[مجمع إهلاك المستبعد 
بتاريخ الأستبعاد]])))</f>
        <v>26.547945205479451</v>
      </c>
      <c r="AS353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الشراء-الاستلام]]&gt;DATE(2018,12,31),0,AI353-AR353)))</f>
        <v>313.45205479452056</v>
      </c>
    </row>
    <row r="354" spans="1:45" s="141" customFormat="1" ht="83.25" customHeight="1">
      <c r="A354" s="118">
        <f>IF(B354="","",SUBTOTAL(3,$B$6:B354))</f>
        <v>349</v>
      </c>
      <c r="B354" s="58" t="s">
        <v>411</v>
      </c>
      <c r="C354" s="59" t="s">
        <v>389</v>
      </c>
      <c r="D354" s="59" t="s">
        <v>522</v>
      </c>
      <c r="E354" s="59" t="s">
        <v>120</v>
      </c>
      <c r="F354" s="226" t="s">
        <v>120</v>
      </c>
      <c r="G354" s="226"/>
      <c r="H354" s="58" t="s">
        <v>57</v>
      </c>
      <c r="I354" s="58"/>
      <c r="J354" s="58"/>
      <c r="K354" s="58"/>
      <c r="L354" s="60"/>
      <c r="M354" s="77">
        <v>43137</v>
      </c>
      <c r="N354" s="77" t="s">
        <v>412</v>
      </c>
      <c r="O354" s="150" t="s">
        <v>429</v>
      </c>
      <c r="P354" s="122"/>
      <c r="Q354" s="123"/>
      <c r="R354" s="130"/>
      <c r="S354" s="130">
        <f t="shared" si="7"/>
        <v>0</v>
      </c>
      <c r="T354" s="130"/>
      <c r="U354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الشراء-الاستلام]]&lt;DATE(2018,1,1),S354-T354,0))</f>
        <v>0</v>
      </c>
      <c r="V354" s="169">
        <v>5</v>
      </c>
      <c r="W354" s="116">
        <v>781</v>
      </c>
      <c r="X354" s="116">
        <v>2150</v>
      </c>
      <c r="Y354" s="117">
        <f>Table5101345411[[#This Row],[عدد الإضافات]]*Table5101345411[[#This Row],[سعر الحبة المضافة]]</f>
        <v>10750</v>
      </c>
      <c r="Z354" s="101"/>
      <c r="AA354" s="102"/>
      <c r="AB354" s="103"/>
      <c r="AC354" s="103"/>
      <c r="AD354" s="103"/>
      <c r="AE354" s="103"/>
      <c r="AF354" s="103">
        <f>Table5101345411[[#This Row],[العدد]]*Table5101345411[[#This Row],[قيمة الشراء]]</f>
        <v>0</v>
      </c>
      <c r="AG354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54" s="190">
        <f>Table5101345411[[#This Row],[الكمية]]+Table5101345411[[#This Row],[عدد الإضافات]]-Table5101345411[[#This Row],[العدد]]</f>
        <v>5</v>
      </c>
      <c r="AI354" s="78">
        <f>Table5101345411[[#This Row],[الإجمالي]]+Table5101345411[[#This Row],[إجمالي الإضافات]]-Table5101345411[[#This Row],[إجمالي المستبعد]]</f>
        <v>10750</v>
      </c>
      <c r="AJ354" s="62">
        <v>0.125</v>
      </c>
      <c r="AK354" s="219"/>
      <c r="AL354" s="58"/>
      <c r="AM354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1207.5342465753424</v>
      </c>
      <c r="AN354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54" s="79">
        <f>Table5101345411[[#This Row],[اهلاك المستبعد
في 2018]]+Table5101345411[[#This Row],[مجمع إهلاك المستبعد 
01-01-2018]]</f>
        <v>0</v>
      </c>
      <c r="AP354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54" s="220"/>
      <c r="AR354" s="78">
        <f>IF(OR(Table5101345411[[#This Row],[تاريخ الشراء-الاستلام]]="",Table5101345411[[#This Row],[الإجمالي]]="",Table5101345411[[#This Row],[العمر الافتراضي]]=""),"",IF(((T354+AM354)-Table5101345411[[#This Row],[مجمع إهلاك المستبعد 
بتاريخ الأستبعاد]])&lt;=0,0,((T354+AM354)-Table5101345411[[#This Row],[مجمع إهلاك المستبعد 
بتاريخ الأستبعاد]])))</f>
        <v>1207.5342465753424</v>
      </c>
      <c r="AS354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الشراء-الاستلام]]&gt;DATE(2018,12,31),0,AI354-AR354)))</f>
        <v>9542.465753424658</v>
      </c>
    </row>
    <row r="355" spans="1:45" s="141" customFormat="1" ht="83.25" customHeight="1">
      <c r="A355" s="118">
        <f>IF(B355="","",SUBTOTAL(3,$B$6:B355))</f>
        <v>350</v>
      </c>
      <c r="B355" s="58" t="s">
        <v>411</v>
      </c>
      <c r="C355" s="59" t="s">
        <v>389</v>
      </c>
      <c r="D355" s="59" t="s">
        <v>522</v>
      </c>
      <c r="E355" s="59" t="s">
        <v>120</v>
      </c>
      <c r="F355" s="226" t="s">
        <v>120</v>
      </c>
      <c r="G355" s="226"/>
      <c r="H355" s="58" t="s">
        <v>57</v>
      </c>
      <c r="I355" s="58"/>
      <c r="J355" s="58"/>
      <c r="K355" s="58"/>
      <c r="L355" s="60"/>
      <c r="M355" s="77">
        <v>43138</v>
      </c>
      <c r="N355" s="77" t="s">
        <v>412</v>
      </c>
      <c r="O355" s="150" t="s">
        <v>429</v>
      </c>
      <c r="P355" s="122"/>
      <c r="Q355" s="123"/>
      <c r="R355" s="130"/>
      <c r="S355" s="130">
        <f t="shared" si="7"/>
        <v>0</v>
      </c>
      <c r="T355" s="130"/>
      <c r="U355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الشراء-الاستلام]]&lt;DATE(2018,1,1),S355-T355,0))</f>
        <v>0</v>
      </c>
      <c r="V355" s="169">
        <v>50</v>
      </c>
      <c r="W355" s="116">
        <v>783</v>
      </c>
      <c r="X355" s="116">
        <v>1400</v>
      </c>
      <c r="Y355" s="117">
        <f>Table5101345411[[#This Row],[عدد الإضافات]]*Table5101345411[[#This Row],[سعر الحبة المضافة]]</f>
        <v>70000</v>
      </c>
      <c r="Z355" s="101"/>
      <c r="AA355" s="102"/>
      <c r="AB355" s="103"/>
      <c r="AC355" s="103"/>
      <c r="AD355" s="103"/>
      <c r="AE355" s="103"/>
      <c r="AF355" s="103">
        <f>Table5101345411[[#This Row],[العدد]]*Table5101345411[[#This Row],[قيمة الشراء]]</f>
        <v>0</v>
      </c>
      <c r="AG355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55" s="190">
        <f>Table5101345411[[#This Row],[الكمية]]+Table5101345411[[#This Row],[عدد الإضافات]]-Table5101345411[[#This Row],[العدد]]</f>
        <v>50</v>
      </c>
      <c r="AI355" s="78">
        <f>Table5101345411[[#This Row],[الإجمالي]]+Table5101345411[[#This Row],[إجمالي الإضافات]]-Table5101345411[[#This Row],[إجمالي المستبعد]]</f>
        <v>70000</v>
      </c>
      <c r="AJ355" s="62">
        <v>0.125</v>
      </c>
      <c r="AK355" s="219"/>
      <c r="AL355" s="58"/>
      <c r="AM355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7839.0410958904113</v>
      </c>
      <c r="AN355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55" s="79">
        <f>Table5101345411[[#This Row],[اهلاك المستبعد
في 2018]]+Table5101345411[[#This Row],[مجمع إهلاك المستبعد 
01-01-2018]]</f>
        <v>0</v>
      </c>
      <c r="AP355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55" s="220"/>
      <c r="AR355" s="78">
        <f>IF(OR(Table5101345411[[#This Row],[تاريخ الشراء-الاستلام]]="",Table5101345411[[#This Row],[الإجمالي]]="",Table5101345411[[#This Row],[العمر الافتراضي]]=""),"",IF(((T355+AM355)-Table5101345411[[#This Row],[مجمع إهلاك المستبعد 
بتاريخ الأستبعاد]])&lt;=0,0,((T355+AM355)-Table5101345411[[#This Row],[مجمع إهلاك المستبعد 
بتاريخ الأستبعاد]])))</f>
        <v>7839.0410958904113</v>
      </c>
      <c r="AS355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الشراء-الاستلام]]&gt;DATE(2018,12,31),0,AI355-AR355)))</f>
        <v>62160.95890410959</v>
      </c>
    </row>
    <row r="356" spans="1:45" s="141" customFormat="1" ht="83.25" customHeight="1">
      <c r="A356" s="118">
        <f>IF(B356="","",SUBTOTAL(3,$B$6:B356))</f>
        <v>351</v>
      </c>
      <c r="B356" s="58" t="s">
        <v>430</v>
      </c>
      <c r="C356" s="59" t="s">
        <v>389</v>
      </c>
      <c r="D356" s="59" t="s">
        <v>522</v>
      </c>
      <c r="E356" s="59" t="s">
        <v>281</v>
      </c>
      <c r="F356" s="226" t="s">
        <v>281</v>
      </c>
      <c r="G356" s="226"/>
      <c r="H356" s="58" t="s">
        <v>57</v>
      </c>
      <c r="I356" s="58"/>
      <c r="J356" s="58"/>
      <c r="K356" s="58"/>
      <c r="L356" s="60"/>
      <c r="M356" s="77">
        <v>43228</v>
      </c>
      <c r="N356" s="77" t="s">
        <v>431</v>
      </c>
      <c r="O356" s="150" t="s">
        <v>432</v>
      </c>
      <c r="P356" s="122"/>
      <c r="Q356" s="123"/>
      <c r="R356" s="130"/>
      <c r="S356" s="130">
        <f t="shared" si="7"/>
        <v>0</v>
      </c>
      <c r="T356" s="130"/>
      <c r="U356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الشراء-الاستلام]]&lt;DATE(2018,1,1),S356-T356,0))</f>
        <v>0</v>
      </c>
      <c r="V356" s="169">
        <v>50</v>
      </c>
      <c r="W356" s="116">
        <v>4006246</v>
      </c>
      <c r="X356" s="116">
        <v>126</v>
      </c>
      <c r="Y356" s="117">
        <f>Table5101345411[[#This Row],[عدد الإضافات]]*Table5101345411[[#This Row],[سعر الحبة المضافة]]</f>
        <v>6300</v>
      </c>
      <c r="Z356" s="101"/>
      <c r="AA356" s="102"/>
      <c r="AB356" s="103"/>
      <c r="AC356" s="103"/>
      <c r="AD356" s="103"/>
      <c r="AE356" s="103"/>
      <c r="AF356" s="103">
        <f>Table5101345411[[#This Row],[العدد]]*Table5101345411[[#This Row],[قيمة الشراء]]</f>
        <v>0</v>
      </c>
      <c r="AG356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56" s="190">
        <f>Table5101345411[[#This Row],[الكمية]]+Table5101345411[[#This Row],[عدد الإضافات]]-Table5101345411[[#This Row],[العدد]]</f>
        <v>50</v>
      </c>
      <c r="AI356" s="78">
        <f>Table5101345411[[#This Row],[الإجمالي]]+Table5101345411[[#This Row],[إجمالي الإضافات]]-Table5101345411[[#This Row],[إجمالي المستبعد]]</f>
        <v>6300</v>
      </c>
      <c r="AJ356" s="62">
        <v>0.125</v>
      </c>
      <c r="AK356" s="219"/>
      <c r="AL356" s="58"/>
      <c r="AM356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511.33561643835617</v>
      </c>
      <c r="AN356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56" s="79">
        <f>Table5101345411[[#This Row],[اهلاك المستبعد
في 2018]]+Table5101345411[[#This Row],[مجمع إهلاك المستبعد 
01-01-2018]]</f>
        <v>0</v>
      </c>
      <c r="AP356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56" s="220"/>
      <c r="AR356" s="78">
        <f>IF(OR(Table5101345411[[#This Row],[تاريخ الشراء-الاستلام]]="",Table5101345411[[#This Row],[الإجمالي]]="",Table5101345411[[#This Row],[العمر الافتراضي]]=""),"",IF(((T356+AM356)-Table5101345411[[#This Row],[مجمع إهلاك المستبعد 
بتاريخ الأستبعاد]])&lt;=0,0,((T356+AM356)-Table5101345411[[#This Row],[مجمع إهلاك المستبعد 
بتاريخ الأستبعاد]])))</f>
        <v>511.33561643835617</v>
      </c>
      <c r="AS356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الشراء-الاستلام]]&gt;DATE(2018,12,31),0,AI356-AR356)))</f>
        <v>5788.6643835616442</v>
      </c>
    </row>
    <row r="357" spans="1:45" s="141" customFormat="1" ht="83.25" customHeight="1">
      <c r="A357" s="118">
        <f>IF(B357="","",SUBTOTAL(3,$B$6:B357))</f>
        <v>352</v>
      </c>
      <c r="B357" s="58" t="s">
        <v>430</v>
      </c>
      <c r="C357" s="59" t="s">
        <v>389</v>
      </c>
      <c r="D357" s="59" t="s">
        <v>522</v>
      </c>
      <c r="E357" s="59" t="s">
        <v>281</v>
      </c>
      <c r="F357" s="226" t="s">
        <v>281</v>
      </c>
      <c r="G357" s="226"/>
      <c r="H357" s="58" t="s">
        <v>57</v>
      </c>
      <c r="I357" s="58"/>
      <c r="J357" s="58"/>
      <c r="K357" s="58"/>
      <c r="L357" s="60"/>
      <c r="M357" s="77">
        <v>43412</v>
      </c>
      <c r="N357" s="77" t="s">
        <v>431</v>
      </c>
      <c r="O357" s="150" t="s">
        <v>433</v>
      </c>
      <c r="P357" s="122"/>
      <c r="Q357" s="123"/>
      <c r="R357" s="130"/>
      <c r="S357" s="130">
        <f t="shared" si="7"/>
        <v>0</v>
      </c>
      <c r="T357" s="130"/>
      <c r="U357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الشراء-الاستلام]]&lt;DATE(2018,1,1),S357-T357,0))</f>
        <v>0</v>
      </c>
      <c r="V357" s="169">
        <v>50</v>
      </c>
      <c r="W357" s="116">
        <v>4006246</v>
      </c>
      <c r="X357" s="116">
        <v>126</v>
      </c>
      <c r="Y357" s="117">
        <f>Table5101345411[[#This Row],[عدد الإضافات]]*Table5101345411[[#This Row],[سعر الحبة المضافة]]</f>
        <v>6300</v>
      </c>
      <c r="Z357" s="101"/>
      <c r="AA357" s="102"/>
      <c r="AB357" s="103"/>
      <c r="AC357" s="103"/>
      <c r="AD357" s="103"/>
      <c r="AE357" s="103"/>
      <c r="AF357" s="103">
        <f>Table5101345411[[#This Row],[العدد]]*Table5101345411[[#This Row],[قيمة الشراء]]</f>
        <v>0</v>
      </c>
      <c r="AG357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57" s="190">
        <f>Table5101345411[[#This Row],[الكمية]]+Table5101345411[[#This Row],[عدد الإضافات]]-Table5101345411[[#This Row],[العدد]]</f>
        <v>50</v>
      </c>
      <c r="AI357" s="78">
        <f>Table5101345411[[#This Row],[الإجمالي]]+Table5101345411[[#This Row],[إجمالي الإضافات]]-Table5101345411[[#This Row],[إجمالي المستبعد]]</f>
        <v>6300</v>
      </c>
      <c r="AJ357" s="62">
        <v>0.125</v>
      </c>
      <c r="AK357" s="219"/>
      <c r="AL357" s="58"/>
      <c r="AM357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114.34931506849315</v>
      </c>
      <c r="AN357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57" s="79">
        <f>Table5101345411[[#This Row],[اهلاك المستبعد
في 2018]]+Table5101345411[[#This Row],[مجمع إهلاك المستبعد 
01-01-2018]]</f>
        <v>0</v>
      </c>
      <c r="AP357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57" s="220"/>
      <c r="AR357" s="78">
        <f>IF(OR(Table5101345411[[#This Row],[تاريخ الشراء-الاستلام]]="",Table5101345411[[#This Row],[الإجمالي]]="",Table5101345411[[#This Row],[العمر الافتراضي]]=""),"",IF(((T357+AM357)-Table5101345411[[#This Row],[مجمع إهلاك المستبعد 
بتاريخ الأستبعاد]])&lt;=0,0,((T357+AM357)-Table5101345411[[#This Row],[مجمع إهلاك المستبعد 
بتاريخ الأستبعاد]])))</f>
        <v>114.34931506849315</v>
      </c>
      <c r="AS357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الشراء-الاستلام]]&gt;DATE(2018,12,31),0,AI357-AR357)))</f>
        <v>6185.6506849315065</v>
      </c>
    </row>
    <row r="358" spans="1:45" s="140" customFormat="1" ht="83.25" customHeight="1">
      <c r="A358" s="118">
        <f>IF(B358="","",SUBTOTAL(3,$B$6:B358))</f>
        <v>353</v>
      </c>
      <c r="B358" s="58" t="s">
        <v>434</v>
      </c>
      <c r="C358" s="59" t="s">
        <v>389</v>
      </c>
      <c r="D358" s="59" t="s">
        <v>56</v>
      </c>
      <c r="E358" s="59" t="s">
        <v>352</v>
      </c>
      <c r="F358" s="226" t="s">
        <v>352</v>
      </c>
      <c r="G358" s="226"/>
      <c r="H358" s="58" t="s">
        <v>57</v>
      </c>
      <c r="I358" s="58"/>
      <c r="J358" s="58"/>
      <c r="K358" s="58" t="s">
        <v>435</v>
      </c>
      <c r="L358" s="60"/>
      <c r="M358" s="77">
        <v>43227</v>
      </c>
      <c r="N358" s="77" t="s">
        <v>78</v>
      </c>
      <c r="O358" s="150" t="s">
        <v>432</v>
      </c>
      <c r="P358" s="122"/>
      <c r="Q358" s="123"/>
      <c r="R358" s="130"/>
      <c r="S358" s="130">
        <f t="shared" si="7"/>
        <v>0</v>
      </c>
      <c r="T358" s="130"/>
      <c r="U358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الشراء-الاستلام]]&lt;DATE(2018,1,1),S358-T358,0))</f>
        <v>0</v>
      </c>
      <c r="V358" s="169">
        <v>1</v>
      </c>
      <c r="W358" s="116">
        <v>276717</v>
      </c>
      <c r="X358" s="116">
        <v>1070</v>
      </c>
      <c r="Y358" s="117">
        <f>Table5101345411[[#This Row],[عدد الإضافات]]*Table5101345411[[#This Row],[سعر الحبة المضافة]]</f>
        <v>1070</v>
      </c>
      <c r="Z358" s="101"/>
      <c r="AA358" s="102"/>
      <c r="AB358" s="103"/>
      <c r="AC358" s="103"/>
      <c r="AD358" s="103"/>
      <c r="AE358" s="103"/>
      <c r="AF358" s="103">
        <f>Table5101345411[[#This Row],[العدد]]*Table5101345411[[#This Row],[قيمة الشراء]]</f>
        <v>0</v>
      </c>
      <c r="AG358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58" s="190">
        <f>Table5101345411[[#This Row],[الكمية]]+Table5101345411[[#This Row],[عدد الإضافات]]-Table5101345411[[#This Row],[العدد]]</f>
        <v>1</v>
      </c>
      <c r="AI358" s="78">
        <f>Table5101345411[[#This Row],[الإجمالي]]+Table5101345411[[#This Row],[إجمالي الإضافات]]-Table5101345411[[#This Row],[إجمالي المستبعد]]</f>
        <v>1070</v>
      </c>
      <c r="AJ358" s="62">
        <v>0.125</v>
      </c>
      <c r="AK358" s="219"/>
      <c r="AL358" s="58"/>
      <c r="AM358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87.212328767123296</v>
      </c>
      <c r="AN358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58" s="79">
        <f>Table5101345411[[#This Row],[اهلاك المستبعد
في 2018]]+Table5101345411[[#This Row],[مجمع إهلاك المستبعد 
01-01-2018]]</f>
        <v>0</v>
      </c>
      <c r="AP358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58" s="220"/>
      <c r="AR358" s="78">
        <f>IF(OR(Table5101345411[[#This Row],[تاريخ الشراء-الاستلام]]="",Table5101345411[[#This Row],[الإجمالي]]="",Table5101345411[[#This Row],[العمر الافتراضي]]=""),"",IF(((T358+AM358)-Table5101345411[[#This Row],[مجمع إهلاك المستبعد 
بتاريخ الأستبعاد]])&lt;=0,0,((T358+AM358)-Table5101345411[[#This Row],[مجمع إهلاك المستبعد 
بتاريخ الأستبعاد]])))</f>
        <v>87.212328767123296</v>
      </c>
      <c r="AS358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الشراء-الاستلام]]&gt;DATE(2018,12,31),0,AI358-AR358)))</f>
        <v>982.78767123287673</v>
      </c>
    </row>
    <row r="359" spans="1:45" s="141" customFormat="1" ht="83.25" customHeight="1">
      <c r="A359" s="118">
        <f>IF(B359="","",SUBTOTAL(3,$B$6:B359))</f>
        <v>354</v>
      </c>
      <c r="B359" s="58" t="s">
        <v>256</v>
      </c>
      <c r="C359" s="59" t="s">
        <v>389</v>
      </c>
      <c r="D359" s="59" t="s">
        <v>84</v>
      </c>
      <c r="E359" s="59" t="s">
        <v>610</v>
      </c>
      <c r="F359" s="226" t="s">
        <v>618</v>
      </c>
      <c r="G359" s="226"/>
      <c r="H359" s="58" t="s">
        <v>57</v>
      </c>
      <c r="I359" s="58" t="s">
        <v>69</v>
      </c>
      <c r="J359" s="58"/>
      <c r="K359" s="58"/>
      <c r="L359" s="60">
        <v>7109</v>
      </c>
      <c r="M359" s="77">
        <v>43164</v>
      </c>
      <c r="N359" s="77" t="s">
        <v>436</v>
      </c>
      <c r="O359" s="150" t="s">
        <v>437</v>
      </c>
      <c r="P359" s="122"/>
      <c r="Q359" s="123"/>
      <c r="R359" s="130"/>
      <c r="S359" s="130">
        <f t="shared" si="7"/>
        <v>0</v>
      </c>
      <c r="T359" s="130"/>
      <c r="U359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الشراء-الاستلام]]&lt;DATE(2018,1,1),S359-T359,0))</f>
        <v>0</v>
      </c>
      <c r="V359" s="169">
        <v>1</v>
      </c>
      <c r="W359" s="116" t="s">
        <v>438</v>
      </c>
      <c r="X359" s="116">
        <f>8200+5100</f>
        <v>13300</v>
      </c>
      <c r="Y359" s="117">
        <f>Table5101345411[[#This Row],[عدد الإضافات]]*Table5101345411[[#This Row],[سعر الحبة المضافة]]</f>
        <v>13300</v>
      </c>
      <c r="Z359" s="101"/>
      <c r="AA359" s="102"/>
      <c r="AB359" s="103"/>
      <c r="AC359" s="103"/>
      <c r="AD359" s="103"/>
      <c r="AE359" s="103"/>
      <c r="AF359" s="103">
        <f>Table5101345411[[#This Row],[العدد]]*Table5101345411[[#This Row],[قيمة الشراء]]</f>
        <v>0</v>
      </c>
      <c r="AG359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59" s="190">
        <f>Table5101345411[[#This Row],[الكمية]]+Table5101345411[[#This Row],[عدد الإضافات]]-Table5101345411[[#This Row],[العدد]]</f>
        <v>1</v>
      </c>
      <c r="AI359" s="78">
        <f>Table5101345411[[#This Row],[الإجمالي]]+Table5101345411[[#This Row],[إجمالي الإضافات]]-Table5101345411[[#This Row],[إجمالي المستبعد]]</f>
        <v>13300</v>
      </c>
      <c r="AJ359" s="120">
        <v>0.15</v>
      </c>
      <c r="AK359" s="219"/>
      <c r="AL359" s="58"/>
      <c r="AM359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1645.1917808219177</v>
      </c>
      <c r="AN359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59" s="79">
        <f>Table5101345411[[#This Row],[اهلاك المستبعد
في 2018]]+Table5101345411[[#This Row],[مجمع إهلاك المستبعد 
01-01-2018]]</f>
        <v>0</v>
      </c>
      <c r="AP359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59" s="220"/>
      <c r="AR359" s="78">
        <f>IF(OR(Table5101345411[[#This Row],[تاريخ الشراء-الاستلام]]="",Table5101345411[[#This Row],[الإجمالي]]="",Table5101345411[[#This Row],[العمر الافتراضي]]=""),"",IF(((T359+AM359)-Table5101345411[[#This Row],[مجمع إهلاك المستبعد 
بتاريخ الأستبعاد]])&lt;=0,0,((T359+AM359)-Table5101345411[[#This Row],[مجمع إهلاك المستبعد 
بتاريخ الأستبعاد]])))</f>
        <v>1645.1917808219177</v>
      </c>
      <c r="AS359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الشراء-الاستلام]]&gt;DATE(2018,12,31),0,AI359-AR359)))</f>
        <v>11654.808219178081</v>
      </c>
    </row>
    <row r="360" spans="1:45" s="141" customFormat="1" ht="83.25" customHeight="1">
      <c r="A360" s="118">
        <f>IF(B360="","",SUBTOTAL(3,$B$6:B360))</f>
        <v>355</v>
      </c>
      <c r="B360" s="58" t="s">
        <v>430</v>
      </c>
      <c r="C360" s="59" t="s">
        <v>389</v>
      </c>
      <c r="D360" s="59" t="s">
        <v>522</v>
      </c>
      <c r="E360" s="59" t="s">
        <v>281</v>
      </c>
      <c r="F360" s="226" t="s">
        <v>281</v>
      </c>
      <c r="G360" s="226"/>
      <c r="H360" s="58" t="s">
        <v>57</v>
      </c>
      <c r="I360" s="58"/>
      <c r="J360" s="58"/>
      <c r="K360" s="58"/>
      <c r="L360" s="60"/>
      <c r="M360" s="77">
        <v>43445</v>
      </c>
      <c r="N360" s="77" t="s">
        <v>431</v>
      </c>
      <c r="O360" s="150" t="s">
        <v>439</v>
      </c>
      <c r="P360" s="122"/>
      <c r="Q360" s="123"/>
      <c r="R360" s="130"/>
      <c r="S360" s="130">
        <f t="shared" si="7"/>
        <v>0</v>
      </c>
      <c r="T360" s="130"/>
      <c r="U360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الشراء-الاستلام]]&lt;DATE(2018,1,1),S360-T360,0))</f>
        <v>0</v>
      </c>
      <c r="V360" s="169">
        <v>100</v>
      </c>
      <c r="W360" s="116">
        <v>4009726</v>
      </c>
      <c r="X360" s="116">
        <v>131.25</v>
      </c>
      <c r="Y360" s="117">
        <f>Table5101345411[[#This Row],[عدد الإضافات]]*Table5101345411[[#This Row],[سعر الحبة المضافة]]</f>
        <v>13125</v>
      </c>
      <c r="Z360" s="101"/>
      <c r="AA360" s="102"/>
      <c r="AB360" s="103"/>
      <c r="AC360" s="103"/>
      <c r="AD360" s="103"/>
      <c r="AE360" s="103"/>
      <c r="AF360" s="103">
        <f>Table5101345411[[#This Row],[العدد]]*Table5101345411[[#This Row],[قيمة الشراء]]</f>
        <v>0</v>
      </c>
      <c r="AG360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60" s="190">
        <f>Table5101345411[[#This Row],[الكمية]]+Table5101345411[[#This Row],[عدد الإضافات]]-Table5101345411[[#This Row],[العدد]]</f>
        <v>100</v>
      </c>
      <c r="AI360" s="78">
        <f>Table5101345411[[#This Row],[الإجمالي]]+Table5101345411[[#This Row],[إجمالي الإضافات]]-Table5101345411[[#This Row],[إجمالي المستبعد]]</f>
        <v>13125</v>
      </c>
      <c r="AJ360" s="62">
        <v>0.125</v>
      </c>
      <c r="AK360" s="219"/>
      <c r="AL360" s="58"/>
      <c r="AM360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89.897260273972606</v>
      </c>
      <c r="AN360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60" s="79">
        <f>Table5101345411[[#This Row],[اهلاك المستبعد
في 2018]]+Table5101345411[[#This Row],[مجمع إهلاك المستبعد 
01-01-2018]]</f>
        <v>0</v>
      </c>
      <c r="AP360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60" s="220"/>
      <c r="AR360" s="78">
        <f>IF(OR(Table5101345411[[#This Row],[تاريخ الشراء-الاستلام]]="",Table5101345411[[#This Row],[الإجمالي]]="",Table5101345411[[#This Row],[العمر الافتراضي]]=""),"",IF(((T360+AM360)-Table5101345411[[#This Row],[مجمع إهلاك المستبعد 
بتاريخ الأستبعاد]])&lt;=0,0,((T360+AM360)-Table5101345411[[#This Row],[مجمع إهلاك المستبعد 
بتاريخ الأستبعاد]])))</f>
        <v>89.897260273972606</v>
      </c>
      <c r="AS360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الشراء-الاستلام]]&gt;DATE(2018,12,31),0,AI360-AR360)))</f>
        <v>13035.102739726028</v>
      </c>
    </row>
    <row r="361" spans="1:45" s="141" customFormat="1" ht="83.25" customHeight="1">
      <c r="A361" s="118">
        <f>IF(B361="","",SUBTOTAL(3,$B$6:B361))</f>
        <v>356</v>
      </c>
      <c r="B361" s="58" t="s">
        <v>440</v>
      </c>
      <c r="C361" s="59" t="s">
        <v>389</v>
      </c>
      <c r="D361" s="59" t="s">
        <v>367</v>
      </c>
      <c r="E361" s="59" t="s">
        <v>399</v>
      </c>
      <c r="F361" s="226" t="s">
        <v>399</v>
      </c>
      <c r="G361" s="226"/>
      <c r="H361" s="58" t="s">
        <v>57</v>
      </c>
      <c r="I361" s="58"/>
      <c r="J361" s="58"/>
      <c r="K361" s="58"/>
      <c r="L361" s="60"/>
      <c r="M361" s="77">
        <v>43193</v>
      </c>
      <c r="N361" s="77" t="s">
        <v>441</v>
      </c>
      <c r="O361" s="150" t="s">
        <v>442</v>
      </c>
      <c r="P361" s="122"/>
      <c r="Q361" s="123"/>
      <c r="R361" s="130"/>
      <c r="S361" s="130">
        <f t="shared" si="7"/>
        <v>0</v>
      </c>
      <c r="T361" s="130"/>
      <c r="U361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الشراء-الاستلام]]&lt;DATE(2018,1,1),S361-T361,0))</f>
        <v>0</v>
      </c>
      <c r="V361" s="169">
        <v>1</v>
      </c>
      <c r="W361" s="116">
        <v>60801</v>
      </c>
      <c r="X361" s="116">
        <v>742.87</v>
      </c>
      <c r="Y361" s="117">
        <f>Table5101345411[[#This Row],[عدد الإضافات]]*Table5101345411[[#This Row],[سعر الحبة المضافة]]</f>
        <v>742.87</v>
      </c>
      <c r="Z361" s="101"/>
      <c r="AA361" s="102"/>
      <c r="AB361" s="103"/>
      <c r="AC361" s="103"/>
      <c r="AD361" s="103"/>
      <c r="AE361" s="103"/>
      <c r="AF361" s="103">
        <f>Table5101345411[[#This Row],[العدد]]*Table5101345411[[#This Row],[قيمة الشراء]]</f>
        <v>0</v>
      </c>
      <c r="AG361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61" s="190">
        <f>Table5101345411[[#This Row],[الكمية]]+Table5101345411[[#This Row],[عدد الإضافات]]-Table5101345411[[#This Row],[العدد]]</f>
        <v>1</v>
      </c>
      <c r="AI361" s="78">
        <f>Table5101345411[[#This Row],[الإجمالي]]+Table5101345411[[#This Row],[إجمالي الإضافات]]-Table5101345411[[#This Row],[إجمالي المستبعد]]</f>
        <v>742.87</v>
      </c>
      <c r="AJ361" s="62">
        <v>0.125</v>
      </c>
      <c r="AK361" s="219"/>
      <c r="AL361" s="58"/>
      <c r="AM361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69.1988493150685</v>
      </c>
      <c r="AN361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61" s="79">
        <f>Table5101345411[[#This Row],[اهلاك المستبعد
في 2018]]+Table5101345411[[#This Row],[مجمع إهلاك المستبعد 
01-01-2018]]</f>
        <v>0</v>
      </c>
      <c r="AP361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61" s="220"/>
      <c r="AR361" s="78">
        <f>IF(OR(Table5101345411[[#This Row],[تاريخ الشراء-الاستلام]]="",Table5101345411[[#This Row],[الإجمالي]]="",Table5101345411[[#This Row],[العمر الافتراضي]]=""),"",IF(((T361+AM361)-Table5101345411[[#This Row],[مجمع إهلاك المستبعد 
بتاريخ الأستبعاد]])&lt;=0,0,((T361+AM361)-Table5101345411[[#This Row],[مجمع إهلاك المستبعد 
بتاريخ الأستبعاد]])))</f>
        <v>69.1988493150685</v>
      </c>
      <c r="AS361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الشراء-الاستلام]]&gt;DATE(2018,12,31),0,AI361-AR361)))</f>
        <v>673.67115068493149</v>
      </c>
    </row>
    <row r="362" spans="1:45" s="141" customFormat="1" ht="83.25" customHeight="1">
      <c r="A362" s="118">
        <f>IF(B362="","",SUBTOTAL(3,$B$6:B362))</f>
        <v>357</v>
      </c>
      <c r="B362" s="58" t="s">
        <v>443</v>
      </c>
      <c r="C362" s="59" t="s">
        <v>389</v>
      </c>
      <c r="D362" s="59" t="s">
        <v>522</v>
      </c>
      <c r="E362" s="59" t="s">
        <v>120</v>
      </c>
      <c r="F362" s="226" t="s">
        <v>120</v>
      </c>
      <c r="G362" s="226"/>
      <c r="H362" s="58" t="s">
        <v>57</v>
      </c>
      <c r="I362" s="58"/>
      <c r="J362" s="58"/>
      <c r="K362" s="58"/>
      <c r="L362" s="60"/>
      <c r="M362" s="77">
        <v>43310</v>
      </c>
      <c r="N362" s="77" t="s">
        <v>412</v>
      </c>
      <c r="O362" s="150" t="s">
        <v>444</v>
      </c>
      <c r="P362" s="122"/>
      <c r="Q362" s="123"/>
      <c r="R362" s="130"/>
      <c r="S362" s="130">
        <f t="shared" si="7"/>
        <v>0</v>
      </c>
      <c r="T362" s="130"/>
      <c r="U362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الشراء-الاستلام]]&lt;DATE(2018,1,1),S362-T362,0))</f>
        <v>0</v>
      </c>
      <c r="V362" s="169">
        <v>4</v>
      </c>
      <c r="W362" s="116">
        <v>17</v>
      </c>
      <c r="X362" s="116">
        <v>1400</v>
      </c>
      <c r="Y362" s="117">
        <f>Table5101345411[[#This Row],[عدد الإضافات]]*Table5101345411[[#This Row],[سعر الحبة المضافة]]</f>
        <v>5600</v>
      </c>
      <c r="Z362" s="101"/>
      <c r="AA362" s="102"/>
      <c r="AB362" s="103"/>
      <c r="AC362" s="103"/>
      <c r="AD362" s="103"/>
      <c r="AE362" s="103"/>
      <c r="AF362" s="103">
        <f>Table5101345411[[#This Row],[العدد]]*Table5101345411[[#This Row],[قيمة الشراء]]</f>
        <v>0</v>
      </c>
      <c r="AG362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62" s="190">
        <f>Table5101345411[[#This Row],[الكمية]]+Table5101345411[[#This Row],[عدد الإضافات]]-Table5101345411[[#This Row],[العدد]]</f>
        <v>4</v>
      </c>
      <c r="AI362" s="78">
        <f>Table5101345411[[#This Row],[الإجمالي]]+Table5101345411[[#This Row],[إجمالي الإضافات]]-Table5101345411[[#This Row],[إجمالي المستبعد]]</f>
        <v>5600</v>
      </c>
      <c r="AJ362" s="62">
        <v>0.125</v>
      </c>
      <c r="AK362" s="219"/>
      <c r="AL362" s="58"/>
      <c r="AM362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297.2602739726027</v>
      </c>
      <c r="AN362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62" s="79">
        <f>Table5101345411[[#This Row],[اهلاك المستبعد
في 2018]]+Table5101345411[[#This Row],[مجمع إهلاك المستبعد 
01-01-2018]]</f>
        <v>0</v>
      </c>
      <c r="AP362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62" s="220"/>
      <c r="AR362" s="78">
        <f>IF(OR(Table5101345411[[#This Row],[تاريخ الشراء-الاستلام]]="",Table5101345411[[#This Row],[الإجمالي]]="",Table5101345411[[#This Row],[العمر الافتراضي]]=""),"",IF(((T362+AM362)-Table5101345411[[#This Row],[مجمع إهلاك المستبعد 
بتاريخ الأستبعاد]])&lt;=0,0,((T362+AM362)-Table5101345411[[#This Row],[مجمع إهلاك المستبعد 
بتاريخ الأستبعاد]])))</f>
        <v>297.2602739726027</v>
      </c>
      <c r="AS362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الشراء-الاستلام]]&gt;DATE(2018,12,31),0,AI362-AR362)))</f>
        <v>5302.7397260273974</v>
      </c>
    </row>
    <row r="363" spans="1:45" s="141" customFormat="1" ht="83.25" customHeight="1">
      <c r="A363" s="118">
        <f>IF(B363="","",SUBTOTAL(3,$B$6:B363))</f>
        <v>358</v>
      </c>
      <c r="B363" s="58" t="s">
        <v>445</v>
      </c>
      <c r="C363" s="59" t="s">
        <v>389</v>
      </c>
      <c r="D363" s="59" t="s">
        <v>522</v>
      </c>
      <c r="E363" s="59" t="s">
        <v>120</v>
      </c>
      <c r="F363" s="226" t="s">
        <v>120</v>
      </c>
      <c r="G363" s="226"/>
      <c r="H363" s="58" t="s">
        <v>57</v>
      </c>
      <c r="I363" s="58"/>
      <c r="J363" s="58"/>
      <c r="K363" s="58"/>
      <c r="L363" s="60"/>
      <c r="M363" s="77">
        <v>43310</v>
      </c>
      <c r="N363" s="77" t="s">
        <v>412</v>
      </c>
      <c r="O363" s="150" t="s">
        <v>444</v>
      </c>
      <c r="P363" s="122"/>
      <c r="Q363" s="123"/>
      <c r="R363" s="130"/>
      <c r="S363" s="130">
        <f t="shared" si="7"/>
        <v>0</v>
      </c>
      <c r="T363" s="130"/>
      <c r="U363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الشراء-الاستلام]]&lt;DATE(2018,1,1),S363-T363,0))</f>
        <v>0</v>
      </c>
      <c r="V363" s="169">
        <v>3</v>
      </c>
      <c r="W363" s="116">
        <v>17</v>
      </c>
      <c r="X363" s="116">
        <v>2150</v>
      </c>
      <c r="Y363" s="117">
        <f>Table5101345411[[#This Row],[عدد الإضافات]]*Table5101345411[[#This Row],[سعر الحبة المضافة]]</f>
        <v>6450</v>
      </c>
      <c r="Z363" s="101"/>
      <c r="AA363" s="102"/>
      <c r="AB363" s="103"/>
      <c r="AC363" s="103"/>
      <c r="AD363" s="103"/>
      <c r="AE363" s="103"/>
      <c r="AF363" s="103">
        <f>Table5101345411[[#This Row],[العدد]]*Table5101345411[[#This Row],[قيمة الشراء]]</f>
        <v>0</v>
      </c>
      <c r="AG363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63" s="190">
        <f>Table5101345411[[#This Row],[الكمية]]+Table5101345411[[#This Row],[عدد الإضافات]]-Table5101345411[[#This Row],[العدد]]</f>
        <v>3</v>
      </c>
      <c r="AI363" s="78">
        <f>Table5101345411[[#This Row],[الإجمالي]]+Table5101345411[[#This Row],[إجمالي الإضافات]]-Table5101345411[[#This Row],[إجمالي المستبعد]]</f>
        <v>6450</v>
      </c>
      <c r="AJ363" s="62">
        <v>0.125</v>
      </c>
      <c r="AK363" s="219"/>
      <c r="AL363" s="58"/>
      <c r="AM363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342.38013698630135</v>
      </c>
      <c r="AN363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63" s="79">
        <f>Table5101345411[[#This Row],[اهلاك المستبعد
في 2018]]+Table5101345411[[#This Row],[مجمع إهلاك المستبعد 
01-01-2018]]</f>
        <v>0</v>
      </c>
      <c r="AP363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63" s="220"/>
      <c r="AR363" s="78">
        <f>IF(OR(Table5101345411[[#This Row],[تاريخ الشراء-الاستلام]]="",Table5101345411[[#This Row],[الإجمالي]]="",Table5101345411[[#This Row],[العمر الافتراضي]]=""),"",IF(((T363+AM363)-Table5101345411[[#This Row],[مجمع إهلاك المستبعد 
بتاريخ الأستبعاد]])&lt;=0,0,((T363+AM363)-Table5101345411[[#This Row],[مجمع إهلاك المستبعد 
بتاريخ الأستبعاد]])))</f>
        <v>342.38013698630135</v>
      </c>
      <c r="AS363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الشراء-الاستلام]]&gt;DATE(2018,12,31),0,AI363-AR363)))</f>
        <v>6107.6198630136987</v>
      </c>
    </row>
    <row r="364" spans="1:45" s="141" customFormat="1" ht="83.25" customHeight="1">
      <c r="A364" s="118">
        <f>IF(B364="","",SUBTOTAL(3,$B$6:B364))</f>
        <v>359</v>
      </c>
      <c r="B364" s="58" t="s">
        <v>445</v>
      </c>
      <c r="C364" s="59" t="s">
        <v>389</v>
      </c>
      <c r="D364" s="59" t="s">
        <v>522</v>
      </c>
      <c r="E364" s="59" t="s">
        <v>120</v>
      </c>
      <c r="F364" s="226" t="s">
        <v>120</v>
      </c>
      <c r="G364" s="226"/>
      <c r="H364" s="58" t="s">
        <v>57</v>
      </c>
      <c r="I364" s="58"/>
      <c r="J364" s="58"/>
      <c r="K364" s="58"/>
      <c r="L364" s="60"/>
      <c r="M364" s="77">
        <v>43312</v>
      </c>
      <c r="N364" s="77" t="s">
        <v>412</v>
      </c>
      <c r="O364" s="150" t="s">
        <v>444</v>
      </c>
      <c r="P364" s="122"/>
      <c r="Q364" s="123"/>
      <c r="R364" s="130"/>
      <c r="S364" s="130">
        <f t="shared" si="7"/>
        <v>0</v>
      </c>
      <c r="T364" s="130"/>
      <c r="U364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الشراء-الاستلام]]&lt;DATE(2018,1,1),S364-T364,0))</f>
        <v>0</v>
      </c>
      <c r="V364" s="169">
        <v>3</v>
      </c>
      <c r="W364" s="116">
        <v>25</v>
      </c>
      <c r="X364" s="116">
        <v>2150</v>
      </c>
      <c r="Y364" s="117">
        <f>Table5101345411[[#This Row],[عدد الإضافات]]*Table5101345411[[#This Row],[سعر الحبة المضافة]]</f>
        <v>6450</v>
      </c>
      <c r="Z364" s="101"/>
      <c r="AA364" s="102"/>
      <c r="AB364" s="103"/>
      <c r="AC364" s="103"/>
      <c r="AD364" s="103"/>
      <c r="AE364" s="103"/>
      <c r="AF364" s="103">
        <f>Table5101345411[[#This Row],[العدد]]*Table5101345411[[#This Row],[قيمة الشراء]]</f>
        <v>0</v>
      </c>
      <c r="AG364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64" s="190">
        <f>Table5101345411[[#This Row],[الكمية]]+Table5101345411[[#This Row],[عدد الإضافات]]-Table5101345411[[#This Row],[العدد]]</f>
        <v>3</v>
      </c>
      <c r="AI364" s="78">
        <f>Table5101345411[[#This Row],[الإجمالي]]+Table5101345411[[#This Row],[إجمالي الإضافات]]-Table5101345411[[#This Row],[إجمالي المستبعد]]</f>
        <v>6450</v>
      </c>
      <c r="AJ364" s="62">
        <v>0.125</v>
      </c>
      <c r="AK364" s="219"/>
      <c r="AL364" s="58"/>
      <c r="AM364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337.96232876712327</v>
      </c>
      <c r="AN364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64" s="79">
        <f>Table5101345411[[#This Row],[اهلاك المستبعد
في 2018]]+Table5101345411[[#This Row],[مجمع إهلاك المستبعد 
01-01-2018]]</f>
        <v>0</v>
      </c>
      <c r="AP364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64" s="220"/>
      <c r="AR364" s="78">
        <f>IF(OR(Table5101345411[[#This Row],[تاريخ الشراء-الاستلام]]="",Table5101345411[[#This Row],[الإجمالي]]="",Table5101345411[[#This Row],[العمر الافتراضي]]=""),"",IF(((T364+AM364)-Table5101345411[[#This Row],[مجمع إهلاك المستبعد 
بتاريخ الأستبعاد]])&lt;=0,0,((T364+AM364)-Table5101345411[[#This Row],[مجمع إهلاك المستبعد 
بتاريخ الأستبعاد]])))</f>
        <v>337.96232876712327</v>
      </c>
      <c r="AS364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الشراء-الاستلام]]&gt;DATE(2018,12,31),0,AI364-AR364)))</f>
        <v>6112.0376712328771</v>
      </c>
    </row>
    <row r="365" spans="1:45" s="141" customFormat="1" ht="83.25" customHeight="1">
      <c r="A365" s="118">
        <f>IF(B365="","",SUBTOTAL(3,$B$6:B365))</f>
        <v>360</v>
      </c>
      <c r="B365" s="58" t="s">
        <v>445</v>
      </c>
      <c r="C365" s="59" t="s">
        <v>389</v>
      </c>
      <c r="D365" s="59" t="s">
        <v>522</v>
      </c>
      <c r="E365" s="59" t="s">
        <v>120</v>
      </c>
      <c r="F365" s="226" t="s">
        <v>120</v>
      </c>
      <c r="G365" s="226"/>
      <c r="H365" s="58" t="s">
        <v>57</v>
      </c>
      <c r="I365" s="58"/>
      <c r="J365" s="58"/>
      <c r="K365" s="58"/>
      <c r="L365" s="60"/>
      <c r="M365" s="77">
        <v>43312</v>
      </c>
      <c r="N365" s="77" t="s">
        <v>412</v>
      </c>
      <c r="O365" s="150" t="s">
        <v>444</v>
      </c>
      <c r="P365" s="122"/>
      <c r="Q365" s="123"/>
      <c r="R365" s="130"/>
      <c r="S365" s="130">
        <f t="shared" si="7"/>
        <v>0</v>
      </c>
      <c r="T365" s="130"/>
      <c r="U365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الشراء-الاستلام]]&lt;DATE(2018,1,1),S365-T365,0))</f>
        <v>0</v>
      </c>
      <c r="V365" s="169">
        <v>3</v>
      </c>
      <c r="W365" s="116">
        <v>25</v>
      </c>
      <c r="X365" s="116">
        <v>2150</v>
      </c>
      <c r="Y365" s="117">
        <f>Table5101345411[[#This Row],[عدد الإضافات]]*Table5101345411[[#This Row],[سعر الحبة المضافة]]</f>
        <v>6450</v>
      </c>
      <c r="Z365" s="101"/>
      <c r="AA365" s="102"/>
      <c r="AB365" s="103"/>
      <c r="AC365" s="103"/>
      <c r="AD365" s="103"/>
      <c r="AE365" s="103"/>
      <c r="AF365" s="103">
        <f>Table5101345411[[#This Row],[العدد]]*Table5101345411[[#This Row],[قيمة الشراء]]</f>
        <v>0</v>
      </c>
      <c r="AG365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65" s="190">
        <f>Table5101345411[[#This Row],[الكمية]]+Table5101345411[[#This Row],[عدد الإضافات]]-Table5101345411[[#This Row],[العدد]]</f>
        <v>3</v>
      </c>
      <c r="AI365" s="78">
        <f>Table5101345411[[#This Row],[الإجمالي]]+Table5101345411[[#This Row],[إجمالي الإضافات]]-Table5101345411[[#This Row],[إجمالي المستبعد]]</f>
        <v>6450</v>
      </c>
      <c r="AJ365" s="62">
        <v>0.125</v>
      </c>
      <c r="AK365" s="219"/>
      <c r="AL365" s="58"/>
      <c r="AM365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337.96232876712327</v>
      </c>
      <c r="AN365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65" s="79">
        <f>Table5101345411[[#This Row],[اهلاك المستبعد
في 2018]]+Table5101345411[[#This Row],[مجمع إهلاك المستبعد 
01-01-2018]]</f>
        <v>0</v>
      </c>
      <c r="AP365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65" s="220"/>
      <c r="AR365" s="78">
        <f>IF(OR(Table5101345411[[#This Row],[تاريخ الشراء-الاستلام]]="",Table5101345411[[#This Row],[الإجمالي]]="",Table5101345411[[#This Row],[العمر الافتراضي]]=""),"",IF(((T365+AM365)-Table5101345411[[#This Row],[مجمع إهلاك المستبعد 
بتاريخ الأستبعاد]])&lt;=0,0,((T365+AM365)-Table5101345411[[#This Row],[مجمع إهلاك المستبعد 
بتاريخ الأستبعاد]])))</f>
        <v>337.96232876712327</v>
      </c>
      <c r="AS365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الشراء-الاستلام]]&gt;DATE(2018,12,31),0,AI365-AR365)))</f>
        <v>6112.0376712328771</v>
      </c>
    </row>
    <row r="366" spans="1:45" s="141" customFormat="1" ht="83.25" customHeight="1">
      <c r="A366" s="118">
        <f>IF(B366="","",SUBTOTAL(3,$B$6:B366))</f>
        <v>361</v>
      </c>
      <c r="B366" s="58" t="s">
        <v>445</v>
      </c>
      <c r="C366" s="59" t="s">
        <v>389</v>
      </c>
      <c r="D366" s="59" t="s">
        <v>522</v>
      </c>
      <c r="E366" s="59" t="s">
        <v>120</v>
      </c>
      <c r="F366" s="226" t="s">
        <v>120</v>
      </c>
      <c r="G366" s="226"/>
      <c r="H366" s="58" t="s">
        <v>57</v>
      </c>
      <c r="I366" s="58"/>
      <c r="J366" s="58"/>
      <c r="K366" s="58"/>
      <c r="L366" s="60"/>
      <c r="M366" s="77">
        <v>43342</v>
      </c>
      <c r="N366" s="77" t="s">
        <v>412</v>
      </c>
      <c r="O366" s="150" t="s">
        <v>446</v>
      </c>
      <c r="P366" s="122"/>
      <c r="Q366" s="123"/>
      <c r="R366" s="130"/>
      <c r="S366" s="130">
        <f t="shared" si="7"/>
        <v>0</v>
      </c>
      <c r="T366" s="130"/>
      <c r="U366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الشراء-الاستلام]]&lt;DATE(2018,1,1),S366-T366,0))</f>
        <v>0</v>
      </c>
      <c r="V366" s="169">
        <v>5</v>
      </c>
      <c r="W366" s="116">
        <v>44</v>
      </c>
      <c r="X366" s="116">
        <v>1375</v>
      </c>
      <c r="Y366" s="117">
        <f>Table5101345411[[#This Row],[عدد الإضافات]]*Table5101345411[[#This Row],[سعر الحبة المضافة]]</f>
        <v>6875</v>
      </c>
      <c r="Z366" s="101"/>
      <c r="AA366" s="102"/>
      <c r="AB366" s="103"/>
      <c r="AC366" s="103"/>
      <c r="AD366" s="103"/>
      <c r="AE366" s="103"/>
      <c r="AF366" s="103">
        <f>Table5101345411[[#This Row],[العدد]]*Table5101345411[[#This Row],[قيمة الشراء]]</f>
        <v>0</v>
      </c>
      <c r="AG366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66" s="190">
        <f>Table5101345411[[#This Row],[الكمية]]+Table5101345411[[#This Row],[عدد الإضافات]]-Table5101345411[[#This Row],[العدد]]</f>
        <v>5</v>
      </c>
      <c r="AI366" s="78">
        <f>Table5101345411[[#This Row],[الإجمالي]]+Table5101345411[[#This Row],[إجمالي الإضافات]]-Table5101345411[[#This Row],[إجمالي المستبعد]]</f>
        <v>6875</v>
      </c>
      <c r="AJ366" s="62">
        <v>0.125</v>
      </c>
      <c r="AK366" s="219"/>
      <c r="AL366" s="58"/>
      <c r="AM366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289.59760273972603</v>
      </c>
      <c r="AN366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66" s="79">
        <f>Table5101345411[[#This Row],[اهلاك المستبعد
في 2018]]+Table5101345411[[#This Row],[مجمع إهلاك المستبعد 
01-01-2018]]</f>
        <v>0</v>
      </c>
      <c r="AP366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66" s="220"/>
      <c r="AR366" s="78">
        <f>IF(OR(Table5101345411[[#This Row],[تاريخ الشراء-الاستلام]]="",Table5101345411[[#This Row],[الإجمالي]]="",Table5101345411[[#This Row],[العمر الافتراضي]]=""),"",IF(((T366+AM366)-Table5101345411[[#This Row],[مجمع إهلاك المستبعد 
بتاريخ الأستبعاد]])&lt;=0,0,((T366+AM366)-Table5101345411[[#This Row],[مجمع إهلاك المستبعد 
بتاريخ الأستبعاد]])))</f>
        <v>289.59760273972603</v>
      </c>
      <c r="AS366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الشراء-الاستلام]]&gt;DATE(2018,12,31),0,AI366-AR366)))</f>
        <v>6585.4023972602736</v>
      </c>
    </row>
    <row r="367" spans="1:45" s="141" customFormat="1" ht="83.25" customHeight="1">
      <c r="A367" s="118">
        <f>IF(B367="","",SUBTOTAL(3,$B$6:B367))</f>
        <v>362</v>
      </c>
      <c r="B367" s="58" t="s">
        <v>447</v>
      </c>
      <c r="C367" s="59" t="s">
        <v>389</v>
      </c>
      <c r="D367" s="59" t="s">
        <v>522</v>
      </c>
      <c r="E367" s="59" t="s">
        <v>523</v>
      </c>
      <c r="F367" s="226" t="s">
        <v>523</v>
      </c>
      <c r="G367" s="226"/>
      <c r="H367" s="58" t="s">
        <v>57</v>
      </c>
      <c r="I367" s="58"/>
      <c r="J367" s="58"/>
      <c r="K367" s="58"/>
      <c r="L367" s="60"/>
      <c r="M367" s="77">
        <v>43317</v>
      </c>
      <c r="N367" s="77" t="s">
        <v>412</v>
      </c>
      <c r="O367" s="150" t="s">
        <v>448</v>
      </c>
      <c r="P367" s="122"/>
      <c r="Q367" s="123"/>
      <c r="R367" s="130"/>
      <c r="S367" s="130">
        <f t="shared" si="7"/>
        <v>0</v>
      </c>
      <c r="T367" s="130"/>
      <c r="U367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الشراء-الاستلام]]&lt;DATE(2018,1,1),S367-T367,0))</f>
        <v>0</v>
      </c>
      <c r="V367" s="169">
        <v>35</v>
      </c>
      <c r="W367" s="116">
        <v>26</v>
      </c>
      <c r="X367" s="116">
        <v>675</v>
      </c>
      <c r="Y367" s="117">
        <f>Table5101345411[[#This Row],[عدد الإضافات]]*Table5101345411[[#This Row],[سعر الحبة المضافة]]</f>
        <v>23625</v>
      </c>
      <c r="Z367" s="101"/>
      <c r="AA367" s="102"/>
      <c r="AB367" s="103"/>
      <c r="AC367" s="103"/>
      <c r="AD367" s="103"/>
      <c r="AE367" s="103"/>
      <c r="AF367" s="103">
        <f>Table5101345411[[#This Row],[العدد]]*Table5101345411[[#This Row],[قيمة الشراء]]</f>
        <v>0</v>
      </c>
      <c r="AG367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67" s="190">
        <f>Table5101345411[[#This Row],[الكمية]]+Table5101345411[[#This Row],[عدد الإضافات]]-Table5101345411[[#This Row],[العدد]]</f>
        <v>35</v>
      </c>
      <c r="AI367" s="78">
        <f>Table5101345411[[#This Row],[الإجمالي]]+Table5101345411[[#This Row],[إجمالي الإضافات]]-Table5101345411[[#This Row],[إجمالي المستبعد]]</f>
        <v>23625</v>
      </c>
      <c r="AJ367" s="62">
        <v>0.125</v>
      </c>
      <c r="AK367" s="219"/>
      <c r="AL367" s="58"/>
      <c r="AM367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1197.4315068493149</v>
      </c>
      <c r="AN367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67" s="79">
        <f>Table5101345411[[#This Row],[اهلاك المستبعد
في 2018]]+Table5101345411[[#This Row],[مجمع إهلاك المستبعد 
01-01-2018]]</f>
        <v>0</v>
      </c>
      <c r="AP367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67" s="220"/>
      <c r="AR367" s="78">
        <f>IF(OR(Table5101345411[[#This Row],[تاريخ الشراء-الاستلام]]="",Table5101345411[[#This Row],[الإجمالي]]="",Table5101345411[[#This Row],[العمر الافتراضي]]=""),"",IF(((T367+AM367)-Table5101345411[[#This Row],[مجمع إهلاك المستبعد 
بتاريخ الأستبعاد]])&lt;=0,0,((T367+AM367)-Table5101345411[[#This Row],[مجمع إهلاك المستبعد 
بتاريخ الأستبعاد]])))</f>
        <v>1197.4315068493149</v>
      </c>
      <c r="AS367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الشراء-الاستلام]]&gt;DATE(2018,12,31),0,AI367-AR367)))</f>
        <v>22427.568493150684</v>
      </c>
    </row>
    <row r="368" spans="1:45" s="141" customFormat="1" ht="83.25" customHeight="1">
      <c r="A368" s="118">
        <f>IF(B368="","",SUBTOTAL(3,$B$6:B368))</f>
        <v>363</v>
      </c>
      <c r="B368" s="58" t="s">
        <v>449</v>
      </c>
      <c r="C368" s="59" t="s">
        <v>389</v>
      </c>
      <c r="D368" s="59" t="s">
        <v>522</v>
      </c>
      <c r="E368" s="59" t="s">
        <v>524</v>
      </c>
      <c r="F368" s="226" t="s">
        <v>524</v>
      </c>
      <c r="G368" s="226"/>
      <c r="H368" s="58" t="s">
        <v>57</v>
      </c>
      <c r="I368" s="58"/>
      <c r="J368" s="58"/>
      <c r="K368" s="58"/>
      <c r="L368" s="60"/>
      <c r="M368" s="77">
        <v>43317</v>
      </c>
      <c r="N368" s="77" t="s">
        <v>412</v>
      </c>
      <c r="O368" s="150" t="s">
        <v>448</v>
      </c>
      <c r="P368" s="122"/>
      <c r="Q368" s="123"/>
      <c r="R368" s="130"/>
      <c r="S368" s="130">
        <f t="shared" si="7"/>
        <v>0</v>
      </c>
      <c r="T368" s="130"/>
      <c r="U368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الشراء-الاستلام]]&lt;DATE(2018,1,1),S368-T368,0))</f>
        <v>0</v>
      </c>
      <c r="V368" s="169">
        <v>28</v>
      </c>
      <c r="W368" s="116">
        <v>26</v>
      </c>
      <c r="X368" s="116">
        <v>1100</v>
      </c>
      <c r="Y368" s="117">
        <f>Table5101345411[[#This Row],[عدد الإضافات]]*Table5101345411[[#This Row],[سعر الحبة المضافة]]</f>
        <v>30800</v>
      </c>
      <c r="Z368" s="101"/>
      <c r="AA368" s="102"/>
      <c r="AB368" s="103"/>
      <c r="AC368" s="103"/>
      <c r="AD368" s="103"/>
      <c r="AE368" s="103"/>
      <c r="AF368" s="103">
        <f>Table5101345411[[#This Row],[العدد]]*Table5101345411[[#This Row],[قيمة الشراء]]</f>
        <v>0</v>
      </c>
      <c r="AG368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68" s="190">
        <f>Table5101345411[[#This Row],[الكمية]]+Table5101345411[[#This Row],[عدد الإضافات]]-Table5101345411[[#This Row],[العدد]]</f>
        <v>28</v>
      </c>
      <c r="AI368" s="78">
        <f>Table5101345411[[#This Row],[الإجمالي]]+Table5101345411[[#This Row],[إجمالي الإضافات]]-Table5101345411[[#This Row],[إجمالي المستبعد]]</f>
        <v>30800</v>
      </c>
      <c r="AJ368" s="62">
        <v>0.125</v>
      </c>
      <c r="AK368" s="219"/>
      <c r="AL368" s="58"/>
      <c r="AM368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1561.0958904109589</v>
      </c>
      <c r="AN368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68" s="79">
        <f>Table5101345411[[#This Row],[اهلاك المستبعد
في 2018]]+Table5101345411[[#This Row],[مجمع إهلاك المستبعد 
01-01-2018]]</f>
        <v>0</v>
      </c>
      <c r="AP368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68" s="220"/>
      <c r="AR368" s="78">
        <f>IF(OR(Table5101345411[[#This Row],[تاريخ الشراء-الاستلام]]="",Table5101345411[[#This Row],[الإجمالي]]="",Table5101345411[[#This Row],[العمر الافتراضي]]=""),"",IF(((T368+AM368)-Table5101345411[[#This Row],[مجمع إهلاك المستبعد 
بتاريخ الأستبعاد]])&lt;=0,0,((T368+AM368)-Table5101345411[[#This Row],[مجمع إهلاك المستبعد 
بتاريخ الأستبعاد]])))</f>
        <v>1561.0958904109589</v>
      </c>
      <c r="AS368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الشراء-الاستلام]]&gt;DATE(2018,12,31),0,AI368-AR368)))</f>
        <v>29238.904109589042</v>
      </c>
    </row>
    <row r="369" spans="1:45" s="141" customFormat="1" ht="83.25" customHeight="1">
      <c r="A369" s="118">
        <f>IF(B369="","",SUBTOTAL(3,$B$6:B369))</f>
        <v>364</v>
      </c>
      <c r="B369" s="58" t="s">
        <v>450</v>
      </c>
      <c r="C369" s="59" t="s">
        <v>389</v>
      </c>
      <c r="D369" s="59" t="s">
        <v>522</v>
      </c>
      <c r="E369" s="59" t="s">
        <v>523</v>
      </c>
      <c r="F369" s="226" t="s">
        <v>523</v>
      </c>
      <c r="G369" s="226"/>
      <c r="H369" s="58" t="s">
        <v>57</v>
      </c>
      <c r="I369" s="58"/>
      <c r="J369" s="58"/>
      <c r="K369" s="58"/>
      <c r="L369" s="60"/>
      <c r="M369" s="77">
        <v>43317</v>
      </c>
      <c r="N369" s="77" t="s">
        <v>412</v>
      </c>
      <c r="O369" s="150" t="s">
        <v>448</v>
      </c>
      <c r="P369" s="122"/>
      <c r="Q369" s="123"/>
      <c r="R369" s="130"/>
      <c r="S369" s="130">
        <f t="shared" si="7"/>
        <v>0</v>
      </c>
      <c r="T369" s="130"/>
      <c r="U369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الشراء-الاستلام]]&lt;DATE(2018,1,1),S369-T369,0))</f>
        <v>0</v>
      </c>
      <c r="V369" s="169">
        <v>65</v>
      </c>
      <c r="W369" s="116">
        <v>27</v>
      </c>
      <c r="X369" s="116">
        <v>675</v>
      </c>
      <c r="Y369" s="117">
        <f>Table5101345411[[#This Row],[عدد الإضافات]]*Table5101345411[[#This Row],[سعر الحبة المضافة]]</f>
        <v>43875</v>
      </c>
      <c r="Z369" s="101"/>
      <c r="AA369" s="102"/>
      <c r="AB369" s="103"/>
      <c r="AC369" s="103"/>
      <c r="AD369" s="103"/>
      <c r="AE369" s="103"/>
      <c r="AF369" s="103">
        <f>Table5101345411[[#This Row],[العدد]]*Table5101345411[[#This Row],[قيمة الشراء]]</f>
        <v>0</v>
      </c>
      <c r="AG369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69" s="190">
        <f>Table5101345411[[#This Row],[الكمية]]+Table5101345411[[#This Row],[عدد الإضافات]]-Table5101345411[[#This Row],[العدد]]</f>
        <v>65</v>
      </c>
      <c r="AI369" s="78">
        <f>Table5101345411[[#This Row],[الإجمالي]]+Table5101345411[[#This Row],[إجمالي الإضافات]]-Table5101345411[[#This Row],[إجمالي المستبعد]]</f>
        <v>43875</v>
      </c>
      <c r="AJ369" s="62">
        <v>0.125</v>
      </c>
      <c r="AK369" s="219"/>
      <c r="AL369" s="58"/>
      <c r="AM369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2223.8013698630134</v>
      </c>
      <c r="AN369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69" s="79">
        <f>Table5101345411[[#This Row],[اهلاك المستبعد
في 2018]]+Table5101345411[[#This Row],[مجمع إهلاك المستبعد 
01-01-2018]]</f>
        <v>0</v>
      </c>
      <c r="AP369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69" s="220"/>
      <c r="AR369" s="78">
        <f>IF(OR(Table5101345411[[#This Row],[تاريخ الشراء-الاستلام]]="",Table5101345411[[#This Row],[الإجمالي]]="",Table5101345411[[#This Row],[العمر الافتراضي]]=""),"",IF(((T369+AM369)-Table5101345411[[#This Row],[مجمع إهلاك المستبعد 
بتاريخ الأستبعاد]])&lt;=0,0,((T369+AM369)-Table5101345411[[#This Row],[مجمع إهلاك المستبعد 
بتاريخ الأستبعاد]])))</f>
        <v>2223.8013698630134</v>
      </c>
      <c r="AS369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الشراء-الاستلام]]&gt;DATE(2018,12,31),0,AI369-AR369)))</f>
        <v>41651.198630136983</v>
      </c>
    </row>
    <row r="370" spans="1:45" s="141" customFormat="1" ht="83.25" customHeight="1">
      <c r="A370" s="118">
        <f>IF(B370="","",SUBTOTAL(3,$B$6:B370))</f>
        <v>365</v>
      </c>
      <c r="B370" s="58" t="s">
        <v>449</v>
      </c>
      <c r="C370" s="59" t="s">
        <v>389</v>
      </c>
      <c r="D370" s="59" t="s">
        <v>522</v>
      </c>
      <c r="E370" s="59" t="s">
        <v>524</v>
      </c>
      <c r="F370" s="226" t="s">
        <v>524</v>
      </c>
      <c r="G370" s="226"/>
      <c r="H370" s="58" t="s">
        <v>57</v>
      </c>
      <c r="I370" s="58"/>
      <c r="J370" s="58"/>
      <c r="K370" s="58"/>
      <c r="L370" s="60"/>
      <c r="M370" s="77">
        <v>43317</v>
      </c>
      <c r="N370" s="77" t="s">
        <v>412</v>
      </c>
      <c r="O370" s="150" t="s">
        <v>448</v>
      </c>
      <c r="P370" s="122"/>
      <c r="Q370" s="123"/>
      <c r="R370" s="130"/>
      <c r="S370" s="130">
        <f t="shared" si="7"/>
        <v>0</v>
      </c>
      <c r="T370" s="130"/>
      <c r="U370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الشراء-الاستلام]]&lt;DATE(2018,1,1),S370-T370,0))</f>
        <v>0</v>
      </c>
      <c r="V370" s="169">
        <v>12</v>
      </c>
      <c r="W370" s="116">
        <v>27</v>
      </c>
      <c r="X370" s="116">
        <v>1100</v>
      </c>
      <c r="Y370" s="117">
        <f>Table5101345411[[#This Row],[عدد الإضافات]]*Table5101345411[[#This Row],[سعر الحبة المضافة]]</f>
        <v>13200</v>
      </c>
      <c r="Z370" s="101"/>
      <c r="AA370" s="102"/>
      <c r="AB370" s="103"/>
      <c r="AC370" s="103"/>
      <c r="AD370" s="103"/>
      <c r="AE370" s="103"/>
      <c r="AF370" s="103">
        <f>Table5101345411[[#This Row],[العدد]]*Table5101345411[[#This Row],[قيمة الشراء]]</f>
        <v>0</v>
      </c>
      <c r="AG370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70" s="190">
        <f>Table5101345411[[#This Row],[الكمية]]+Table5101345411[[#This Row],[عدد الإضافات]]-Table5101345411[[#This Row],[العدد]]</f>
        <v>12</v>
      </c>
      <c r="AI370" s="78">
        <f>Table5101345411[[#This Row],[الإجمالي]]+Table5101345411[[#This Row],[إجمالي الإضافات]]-Table5101345411[[#This Row],[إجمالي المستبعد]]</f>
        <v>13200</v>
      </c>
      <c r="AJ370" s="62">
        <v>0.125</v>
      </c>
      <c r="AK370" s="219"/>
      <c r="AL370" s="58"/>
      <c r="AM370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669.04109589041104</v>
      </c>
      <c r="AN370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70" s="79">
        <f>Table5101345411[[#This Row],[اهلاك المستبعد
في 2018]]+Table5101345411[[#This Row],[مجمع إهلاك المستبعد 
01-01-2018]]</f>
        <v>0</v>
      </c>
      <c r="AP370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70" s="220"/>
      <c r="AR370" s="78">
        <f>IF(OR(Table5101345411[[#This Row],[تاريخ الشراء-الاستلام]]="",Table5101345411[[#This Row],[الإجمالي]]="",Table5101345411[[#This Row],[العمر الافتراضي]]=""),"",IF(((T370+AM370)-Table5101345411[[#This Row],[مجمع إهلاك المستبعد 
بتاريخ الأستبعاد]])&lt;=0,0,((T370+AM370)-Table5101345411[[#This Row],[مجمع إهلاك المستبعد 
بتاريخ الأستبعاد]])))</f>
        <v>669.04109589041104</v>
      </c>
      <c r="AS370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الشراء-الاستلام]]&gt;DATE(2018,12,31),0,AI370-AR370)))</f>
        <v>12530.95890410959</v>
      </c>
    </row>
    <row r="371" spans="1:45" s="141" customFormat="1" ht="83.25" customHeight="1">
      <c r="A371" s="118">
        <f>IF(B371="","",SUBTOTAL(3,$B$6:B371))</f>
        <v>366</v>
      </c>
      <c r="B371" s="58" t="s">
        <v>451</v>
      </c>
      <c r="C371" s="59" t="s">
        <v>389</v>
      </c>
      <c r="D371" s="59" t="s">
        <v>522</v>
      </c>
      <c r="E371" s="59" t="s">
        <v>120</v>
      </c>
      <c r="F371" s="226" t="s">
        <v>120</v>
      </c>
      <c r="G371" s="226"/>
      <c r="H371" s="58" t="s">
        <v>57</v>
      </c>
      <c r="I371" s="58"/>
      <c r="J371" s="58"/>
      <c r="K371" s="58"/>
      <c r="L371" s="60"/>
      <c r="M371" s="77">
        <v>43317</v>
      </c>
      <c r="N371" s="77" t="s">
        <v>412</v>
      </c>
      <c r="O371" s="150" t="s">
        <v>448</v>
      </c>
      <c r="P371" s="122"/>
      <c r="Q371" s="123"/>
      <c r="R371" s="130"/>
      <c r="S371" s="130">
        <f t="shared" si="7"/>
        <v>0</v>
      </c>
      <c r="T371" s="130"/>
      <c r="U371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الشراء-الاستلام]]&lt;DATE(2018,1,1),S371-T371,0))</f>
        <v>0</v>
      </c>
      <c r="V371" s="169">
        <v>20</v>
      </c>
      <c r="W371" s="116">
        <v>27</v>
      </c>
      <c r="X371" s="116">
        <v>1400</v>
      </c>
      <c r="Y371" s="117">
        <f>Table5101345411[[#This Row],[عدد الإضافات]]*Table5101345411[[#This Row],[سعر الحبة المضافة]]</f>
        <v>28000</v>
      </c>
      <c r="Z371" s="101"/>
      <c r="AA371" s="102"/>
      <c r="AB371" s="103"/>
      <c r="AC371" s="103"/>
      <c r="AD371" s="103"/>
      <c r="AE371" s="103"/>
      <c r="AF371" s="103">
        <f>Table5101345411[[#This Row],[العدد]]*Table5101345411[[#This Row],[قيمة الشراء]]</f>
        <v>0</v>
      </c>
      <c r="AG371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71" s="190">
        <f>Table5101345411[[#This Row],[الكمية]]+Table5101345411[[#This Row],[عدد الإضافات]]-Table5101345411[[#This Row],[العدد]]</f>
        <v>20</v>
      </c>
      <c r="AI371" s="78">
        <f>Table5101345411[[#This Row],[الإجمالي]]+Table5101345411[[#This Row],[إجمالي الإضافات]]-Table5101345411[[#This Row],[إجمالي المستبعد]]</f>
        <v>28000</v>
      </c>
      <c r="AJ371" s="62">
        <v>0.125</v>
      </c>
      <c r="AK371" s="219"/>
      <c r="AL371" s="58"/>
      <c r="AM371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1419.1780821917807</v>
      </c>
      <c r="AN371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71" s="79">
        <f>Table5101345411[[#This Row],[اهلاك المستبعد
في 2018]]+Table5101345411[[#This Row],[مجمع إهلاك المستبعد 
01-01-2018]]</f>
        <v>0</v>
      </c>
      <c r="AP371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71" s="220"/>
      <c r="AR371" s="78">
        <f>IF(OR(Table5101345411[[#This Row],[تاريخ الشراء-الاستلام]]="",Table5101345411[[#This Row],[الإجمالي]]="",Table5101345411[[#This Row],[العمر الافتراضي]]=""),"",IF(((T371+AM371)-Table5101345411[[#This Row],[مجمع إهلاك المستبعد 
بتاريخ الأستبعاد]])&lt;=0,0,((T371+AM371)-Table5101345411[[#This Row],[مجمع إهلاك المستبعد 
بتاريخ الأستبعاد]])))</f>
        <v>1419.1780821917807</v>
      </c>
      <c r="AS371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الشراء-الاستلام]]&gt;DATE(2018,12,31),0,AI371-AR371)))</f>
        <v>26580.821917808218</v>
      </c>
    </row>
    <row r="372" spans="1:45" s="141" customFormat="1" ht="83.25" customHeight="1">
      <c r="A372" s="118">
        <f>IF(B372="","",SUBTOTAL(3,$B$6:B372))</f>
        <v>367</v>
      </c>
      <c r="B372" s="58" t="s">
        <v>452</v>
      </c>
      <c r="C372" s="59" t="s">
        <v>389</v>
      </c>
      <c r="D372" s="59" t="s">
        <v>522</v>
      </c>
      <c r="E372" s="59" t="s">
        <v>120</v>
      </c>
      <c r="F372" s="226" t="s">
        <v>120</v>
      </c>
      <c r="G372" s="226"/>
      <c r="H372" s="58" t="s">
        <v>57</v>
      </c>
      <c r="I372" s="58"/>
      <c r="J372" s="58"/>
      <c r="K372" s="58"/>
      <c r="L372" s="60"/>
      <c r="M372" s="77">
        <v>43338</v>
      </c>
      <c r="N372" s="77" t="s">
        <v>412</v>
      </c>
      <c r="O372" s="150" t="s">
        <v>448</v>
      </c>
      <c r="P372" s="122"/>
      <c r="Q372" s="123"/>
      <c r="R372" s="130"/>
      <c r="S372" s="130">
        <f t="shared" si="7"/>
        <v>0</v>
      </c>
      <c r="T372" s="130"/>
      <c r="U372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الشراء-الاستلام]]&lt;DATE(2018,1,1),S372-T372,0))</f>
        <v>0</v>
      </c>
      <c r="V372" s="169">
        <v>10</v>
      </c>
      <c r="W372" s="116">
        <v>38</v>
      </c>
      <c r="X372" s="116">
        <v>1325</v>
      </c>
      <c r="Y372" s="117">
        <f>Table5101345411[[#This Row],[عدد الإضافات]]*Table5101345411[[#This Row],[سعر الحبة المضافة]]</f>
        <v>13250</v>
      </c>
      <c r="Z372" s="101"/>
      <c r="AA372" s="102"/>
      <c r="AB372" s="103"/>
      <c r="AC372" s="103"/>
      <c r="AD372" s="103"/>
      <c r="AE372" s="103"/>
      <c r="AF372" s="103">
        <f>Table5101345411[[#This Row],[العدد]]*Table5101345411[[#This Row],[قيمة الشراء]]</f>
        <v>0</v>
      </c>
      <c r="AG372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72" s="190">
        <f>Table5101345411[[#This Row],[الكمية]]+Table5101345411[[#This Row],[عدد الإضافات]]-Table5101345411[[#This Row],[العدد]]</f>
        <v>10</v>
      </c>
      <c r="AI372" s="78">
        <f>Table5101345411[[#This Row],[الإجمالي]]+Table5101345411[[#This Row],[إجمالي الإضافات]]-Table5101345411[[#This Row],[إجمالي المستبعد]]</f>
        <v>13250</v>
      </c>
      <c r="AJ372" s="62">
        <v>0.125</v>
      </c>
      <c r="AK372" s="219"/>
      <c r="AL372" s="58"/>
      <c r="AM372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576.28424657534242</v>
      </c>
      <c r="AN372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72" s="79">
        <f>Table5101345411[[#This Row],[اهلاك المستبعد
في 2018]]+Table5101345411[[#This Row],[مجمع إهلاك المستبعد 
01-01-2018]]</f>
        <v>0</v>
      </c>
      <c r="AP372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72" s="220"/>
      <c r="AR372" s="78">
        <f>IF(OR(Table5101345411[[#This Row],[تاريخ الشراء-الاستلام]]="",Table5101345411[[#This Row],[الإجمالي]]="",Table5101345411[[#This Row],[العمر الافتراضي]]=""),"",IF(((T372+AM372)-Table5101345411[[#This Row],[مجمع إهلاك المستبعد 
بتاريخ الأستبعاد]])&lt;=0,0,((T372+AM372)-Table5101345411[[#This Row],[مجمع إهلاك المستبعد 
بتاريخ الأستبعاد]])))</f>
        <v>576.28424657534242</v>
      </c>
      <c r="AS372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الشراء-الاستلام]]&gt;DATE(2018,12,31),0,AI372-AR372)))</f>
        <v>12673.715753424658</v>
      </c>
    </row>
    <row r="373" spans="1:45" s="141" customFormat="1" ht="83.25" customHeight="1">
      <c r="A373" s="118">
        <f>IF(B373="","",SUBTOTAL(3,$B$6:B373))</f>
        <v>368</v>
      </c>
      <c r="B373" s="58" t="s">
        <v>445</v>
      </c>
      <c r="C373" s="59" t="s">
        <v>389</v>
      </c>
      <c r="D373" s="59" t="s">
        <v>522</v>
      </c>
      <c r="E373" s="59" t="s">
        <v>120</v>
      </c>
      <c r="F373" s="226" t="s">
        <v>120</v>
      </c>
      <c r="G373" s="226"/>
      <c r="H373" s="58" t="s">
        <v>57</v>
      </c>
      <c r="I373" s="58"/>
      <c r="J373" s="58"/>
      <c r="K373" s="58"/>
      <c r="L373" s="60"/>
      <c r="M373" s="77">
        <v>43328</v>
      </c>
      <c r="N373" s="77" t="s">
        <v>412</v>
      </c>
      <c r="O373" s="150" t="s">
        <v>448</v>
      </c>
      <c r="P373" s="122"/>
      <c r="Q373" s="123"/>
      <c r="R373" s="130"/>
      <c r="S373" s="130">
        <f t="shared" si="7"/>
        <v>0</v>
      </c>
      <c r="T373" s="130"/>
      <c r="U373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الشراء-الاستلام]]&lt;DATE(2018,1,1),S373-T373,0))</f>
        <v>0</v>
      </c>
      <c r="V373" s="169">
        <v>1</v>
      </c>
      <c r="W373" s="116">
        <v>39</v>
      </c>
      <c r="X373" s="116">
        <v>2150</v>
      </c>
      <c r="Y373" s="117">
        <f>Table5101345411[[#This Row],[عدد الإضافات]]*Table5101345411[[#This Row],[سعر الحبة المضافة]]</f>
        <v>2150</v>
      </c>
      <c r="Z373" s="101"/>
      <c r="AA373" s="102"/>
      <c r="AB373" s="103"/>
      <c r="AC373" s="103"/>
      <c r="AD373" s="103"/>
      <c r="AE373" s="103"/>
      <c r="AF373" s="103">
        <f>Table5101345411[[#This Row],[العدد]]*Table5101345411[[#This Row],[قيمة الشراء]]</f>
        <v>0</v>
      </c>
      <c r="AG373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73" s="190">
        <f>Table5101345411[[#This Row],[الكمية]]+Table5101345411[[#This Row],[عدد الإضافات]]-Table5101345411[[#This Row],[العدد]]</f>
        <v>1</v>
      </c>
      <c r="AI373" s="78">
        <f>Table5101345411[[#This Row],[الإجمالي]]+Table5101345411[[#This Row],[إجمالي الإضافات]]-Table5101345411[[#This Row],[إجمالي المستبعد]]</f>
        <v>2150</v>
      </c>
      <c r="AJ373" s="62">
        <v>0.125</v>
      </c>
      <c r="AK373" s="219"/>
      <c r="AL373" s="58"/>
      <c r="AM373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100.87328767123287</v>
      </c>
      <c r="AN373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73" s="79">
        <f>Table5101345411[[#This Row],[اهلاك المستبعد
في 2018]]+Table5101345411[[#This Row],[مجمع إهلاك المستبعد 
01-01-2018]]</f>
        <v>0</v>
      </c>
      <c r="AP373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73" s="220"/>
      <c r="AR373" s="78">
        <f>IF(OR(Table5101345411[[#This Row],[تاريخ الشراء-الاستلام]]="",Table5101345411[[#This Row],[الإجمالي]]="",Table5101345411[[#This Row],[العمر الافتراضي]]=""),"",IF(((T373+AM373)-Table5101345411[[#This Row],[مجمع إهلاك المستبعد 
بتاريخ الأستبعاد]])&lt;=0,0,((T373+AM373)-Table5101345411[[#This Row],[مجمع إهلاك المستبعد 
بتاريخ الأستبعاد]])))</f>
        <v>100.87328767123287</v>
      </c>
      <c r="AS373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الشراء-الاستلام]]&gt;DATE(2018,12,31),0,AI373-AR373)))</f>
        <v>2049.1267123287671</v>
      </c>
    </row>
    <row r="374" spans="1:45" s="141" customFormat="1" ht="83.25" customHeight="1">
      <c r="A374" s="118">
        <f>IF(B374="","",SUBTOTAL(3,$B$6:B374))</f>
        <v>369</v>
      </c>
      <c r="B374" s="58" t="s">
        <v>443</v>
      </c>
      <c r="C374" s="59" t="s">
        <v>389</v>
      </c>
      <c r="D374" s="59" t="s">
        <v>522</v>
      </c>
      <c r="E374" s="59" t="s">
        <v>120</v>
      </c>
      <c r="F374" s="226" t="s">
        <v>120</v>
      </c>
      <c r="G374" s="226"/>
      <c r="H374" s="58" t="s">
        <v>57</v>
      </c>
      <c r="I374" s="58"/>
      <c r="J374" s="58"/>
      <c r="K374" s="58"/>
      <c r="L374" s="60"/>
      <c r="M374" s="77">
        <v>43346</v>
      </c>
      <c r="N374" s="77" t="s">
        <v>412</v>
      </c>
      <c r="O374" s="150" t="s">
        <v>453</v>
      </c>
      <c r="P374" s="122"/>
      <c r="Q374" s="123"/>
      <c r="R374" s="130"/>
      <c r="S374" s="130">
        <f t="shared" si="7"/>
        <v>0</v>
      </c>
      <c r="T374" s="130"/>
      <c r="U374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الشراء-الاستلام]]&lt;DATE(2018,1,1),S374-T374,0))</f>
        <v>0</v>
      </c>
      <c r="V374" s="169">
        <v>5</v>
      </c>
      <c r="W374" s="116">
        <v>51</v>
      </c>
      <c r="X374" s="116">
        <v>1375</v>
      </c>
      <c r="Y374" s="117">
        <f>Table5101345411[[#This Row],[عدد الإضافات]]*Table5101345411[[#This Row],[سعر الحبة المضافة]]</f>
        <v>6875</v>
      </c>
      <c r="Z374" s="101"/>
      <c r="AA374" s="102"/>
      <c r="AB374" s="103"/>
      <c r="AC374" s="103"/>
      <c r="AD374" s="103"/>
      <c r="AE374" s="103"/>
      <c r="AF374" s="103">
        <f>Table5101345411[[#This Row],[العدد]]*Table5101345411[[#This Row],[قيمة الشراء]]</f>
        <v>0</v>
      </c>
      <c r="AG374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74" s="190">
        <f>Table5101345411[[#This Row],[الكمية]]+Table5101345411[[#This Row],[عدد الإضافات]]-Table5101345411[[#This Row],[العدد]]</f>
        <v>5</v>
      </c>
      <c r="AI374" s="78">
        <f>Table5101345411[[#This Row],[الإجمالي]]+Table5101345411[[#This Row],[إجمالي الإضافات]]-Table5101345411[[#This Row],[إجمالي المستبعد]]</f>
        <v>6875</v>
      </c>
      <c r="AJ374" s="62">
        <v>0.125</v>
      </c>
      <c r="AK374" s="219"/>
      <c r="AL374" s="58"/>
      <c r="AM374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280.17979452054794</v>
      </c>
      <c r="AN374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74" s="79">
        <f>Table5101345411[[#This Row],[اهلاك المستبعد
في 2018]]+Table5101345411[[#This Row],[مجمع إهلاك المستبعد 
01-01-2018]]</f>
        <v>0</v>
      </c>
      <c r="AP374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74" s="220"/>
      <c r="AR374" s="78">
        <f>IF(OR(Table5101345411[[#This Row],[تاريخ الشراء-الاستلام]]="",Table5101345411[[#This Row],[الإجمالي]]="",Table5101345411[[#This Row],[العمر الافتراضي]]=""),"",IF(((T374+AM374)-Table5101345411[[#This Row],[مجمع إهلاك المستبعد 
بتاريخ الأستبعاد]])&lt;=0,0,((T374+AM374)-Table5101345411[[#This Row],[مجمع إهلاك المستبعد 
بتاريخ الأستبعاد]])))</f>
        <v>280.17979452054794</v>
      </c>
      <c r="AS374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الشراء-الاستلام]]&gt;DATE(2018,12,31),0,AI374-AR374)))</f>
        <v>6594.8202054794519</v>
      </c>
    </row>
    <row r="375" spans="1:45" s="141" customFormat="1" ht="83.25" customHeight="1">
      <c r="A375" s="118">
        <f>IF(B375="","",SUBTOTAL(3,$B$6:B375))</f>
        <v>370</v>
      </c>
      <c r="B375" s="58" t="s">
        <v>443</v>
      </c>
      <c r="C375" s="59" t="s">
        <v>389</v>
      </c>
      <c r="D375" s="59" t="s">
        <v>522</v>
      </c>
      <c r="E375" s="59" t="s">
        <v>120</v>
      </c>
      <c r="F375" s="226" t="s">
        <v>120</v>
      </c>
      <c r="G375" s="226"/>
      <c r="H375" s="58" t="s">
        <v>57</v>
      </c>
      <c r="I375" s="58"/>
      <c r="J375" s="58"/>
      <c r="K375" s="58"/>
      <c r="L375" s="60"/>
      <c r="M375" s="77">
        <v>43367</v>
      </c>
      <c r="N375" s="77" t="s">
        <v>412</v>
      </c>
      <c r="O375" s="150" t="s">
        <v>454</v>
      </c>
      <c r="P375" s="122"/>
      <c r="Q375" s="123"/>
      <c r="R375" s="130"/>
      <c r="S375" s="130">
        <f t="shared" si="7"/>
        <v>0</v>
      </c>
      <c r="T375" s="130"/>
      <c r="U375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الشراء-الاستلام]]&lt;DATE(2018,1,1),S375-T375,0))</f>
        <v>0</v>
      </c>
      <c r="V375" s="169">
        <v>5</v>
      </c>
      <c r="W375" s="116">
        <v>62</v>
      </c>
      <c r="X375" s="116">
        <v>1375</v>
      </c>
      <c r="Y375" s="117">
        <f>Table5101345411[[#This Row],[عدد الإضافات]]*Table5101345411[[#This Row],[سعر الحبة المضافة]]</f>
        <v>6875</v>
      </c>
      <c r="Z375" s="101"/>
      <c r="AA375" s="102"/>
      <c r="AB375" s="103"/>
      <c r="AC375" s="103"/>
      <c r="AD375" s="103"/>
      <c r="AE375" s="103"/>
      <c r="AF375" s="103">
        <f>Table5101345411[[#This Row],[العدد]]*Table5101345411[[#This Row],[قيمة الشراء]]</f>
        <v>0</v>
      </c>
      <c r="AG375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75" s="190">
        <f>Table5101345411[[#This Row],[الكمية]]+Table5101345411[[#This Row],[عدد الإضافات]]-Table5101345411[[#This Row],[العدد]]</f>
        <v>5</v>
      </c>
      <c r="AI375" s="78">
        <f>Table5101345411[[#This Row],[الإجمالي]]+Table5101345411[[#This Row],[إجمالي الإضافات]]-Table5101345411[[#This Row],[إجمالي المستبعد]]</f>
        <v>6875</v>
      </c>
      <c r="AJ375" s="62">
        <v>0.125</v>
      </c>
      <c r="AK375" s="219"/>
      <c r="AL375" s="58"/>
      <c r="AM375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230.73630136986301</v>
      </c>
      <c r="AN375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75" s="79">
        <f>Table5101345411[[#This Row],[اهلاك المستبعد
في 2018]]+Table5101345411[[#This Row],[مجمع إهلاك المستبعد 
01-01-2018]]</f>
        <v>0</v>
      </c>
      <c r="AP375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75" s="220"/>
      <c r="AR375" s="78">
        <f>IF(OR(Table5101345411[[#This Row],[تاريخ الشراء-الاستلام]]="",Table5101345411[[#This Row],[الإجمالي]]="",Table5101345411[[#This Row],[العمر الافتراضي]]=""),"",IF(((T375+AM375)-Table5101345411[[#This Row],[مجمع إهلاك المستبعد 
بتاريخ الأستبعاد]])&lt;=0,0,((T375+AM375)-Table5101345411[[#This Row],[مجمع إهلاك المستبعد 
بتاريخ الأستبعاد]])))</f>
        <v>230.73630136986301</v>
      </c>
      <c r="AS375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الشراء-الاستلام]]&gt;DATE(2018,12,31),0,AI375-AR375)))</f>
        <v>6644.2636986301368</v>
      </c>
    </row>
    <row r="376" spans="1:45" s="141" customFormat="1" ht="83.25" customHeight="1">
      <c r="A376" s="118">
        <f>IF(B376="","",SUBTOTAL(3,$B$6:B376))</f>
        <v>371</v>
      </c>
      <c r="B376" s="58" t="s">
        <v>443</v>
      </c>
      <c r="C376" s="59" t="s">
        <v>389</v>
      </c>
      <c r="D376" s="59" t="s">
        <v>522</v>
      </c>
      <c r="E376" s="59" t="s">
        <v>120</v>
      </c>
      <c r="F376" s="226" t="s">
        <v>120</v>
      </c>
      <c r="G376" s="226"/>
      <c r="H376" s="58" t="s">
        <v>57</v>
      </c>
      <c r="I376" s="58"/>
      <c r="J376" s="58"/>
      <c r="K376" s="58"/>
      <c r="L376" s="60"/>
      <c r="M376" s="77">
        <v>43368</v>
      </c>
      <c r="N376" s="77" t="s">
        <v>412</v>
      </c>
      <c r="O376" s="150" t="s">
        <v>454</v>
      </c>
      <c r="P376" s="122"/>
      <c r="Q376" s="123"/>
      <c r="R376" s="130"/>
      <c r="S376" s="130">
        <f t="shared" si="7"/>
        <v>0</v>
      </c>
      <c r="T376" s="130"/>
      <c r="U376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الشراء-الاستلام]]&lt;DATE(2018,1,1),S376-T376,0))</f>
        <v>0</v>
      </c>
      <c r="V376" s="169">
        <v>5</v>
      </c>
      <c r="W376" s="116">
        <v>64</v>
      </c>
      <c r="X376" s="116">
        <v>1375</v>
      </c>
      <c r="Y376" s="117">
        <f>Table5101345411[[#This Row],[عدد الإضافات]]*Table5101345411[[#This Row],[سعر الحبة المضافة]]</f>
        <v>6875</v>
      </c>
      <c r="Z376" s="101"/>
      <c r="AA376" s="102"/>
      <c r="AB376" s="103"/>
      <c r="AC376" s="103"/>
      <c r="AD376" s="103"/>
      <c r="AE376" s="103"/>
      <c r="AF376" s="103">
        <f>Table5101345411[[#This Row],[العدد]]*Table5101345411[[#This Row],[قيمة الشراء]]</f>
        <v>0</v>
      </c>
      <c r="AG376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76" s="190">
        <f>Table5101345411[[#This Row],[الكمية]]+Table5101345411[[#This Row],[عدد الإضافات]]-Table5101345411[[#This Row],[العدد]]</f>
        <v>5</v>
      </c>
      <c r="AI376" s="78">
        <f>Table5101345411[[#This Row],[الإجمالي]]+Table5101345411[[#This Row],[إجمالي الإضافات]]-Table5101345411[[#This Row],[إجمالي المستبعد]]</f>
        <v>6875</v>
      </c>
      <c r="AJ376" s="62">
        <v>0.125</v>
      </c>
      <c r="AK376" s="219"/>
      <c r="AL376" s="58"/>
      <c r="AM376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228.38184931506851</v>
      </c>
      <c r="AN376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76" s="79">
        <f>Table5101345411[[#This Row],[اهلاك المستبعد
في 2018]]+Table5101345411[[#This Row],[مجمع إهلاك المستبعد 
01-01-2018]]</f>
        <v>0</v>
      </c>
      <c r="AP376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76" s="220"/>
      <c r="AR376" s="78">
        <f>IF(OR(Table5101345411[[#This Row],[تاريخ الشراء-الاستلام]]="",Table5101345411[[#This Row],[الإجمالي]]="",Table5101345411[[#This Row],[العمر الافتراضي]]=""),"",IF(((T376+AM376)-Table5101345411[[#This Row],[مجمع إهلاك المستبعد 
بتاريخ الأستبعاد]])&lt;=0,0,((T376+AM376)-Table5101345411[[#This Row],[مجمع إهلاك المستبعد 
بتاريخ الأستبعاد]])))</f>
        <v>228.38184931506851</v>
      </c>
      <c r="AS376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الشراء-الاستلام]]&gt;DATE(2018,12,31),0,AI376-AR376)))</f>
        <v>6646.6181506849316</v>
      </c>
    </row>
    <row r="377" spans="1:45" s="141" customFormat="1" ht="83.25" customHeight="1">
      <c r="A377" s="118">
        <f>IF(B377="","",SUBTOTAL(3,$B$6:B377))</f>
        <v>372</v>
      </c>
      <c r="B377" s="58" t="s">
        <v>443</v>
      </c>
      <c r="C377" s="59" t="s">
        <v>389</v>
      </c>
      <c r="D377" s="59" t="s">
        <v>522</v>
      </c>
      <c r="E377" s="59" t="s">
        <v>120</v>
      </c>
      <c r="F377" s="226" t="s">
        <v>120</v>
      </c>
      <c r="G377" s="226"/>
      <c r="H377" s="58" t="s">
        <v>57</v>
      </c>
      <c r="I377" s="58"/>
      <c r="J377" s="58"/>
      <c r="K377" s="58"/>
      <c r="L377" s="60"/>
      <c r="M377" s="77">
        <v>43361</v>
      </c>
      <c r="N377" s="77" t="s">
        <v>412</v>
      </c>
      <c r="O377" s="150" t="s">
        <v>455</v>
      </c>
      <c r="P377" s="122"/>
      <c r="Q377" s="123"/>
      <c r="R377" s="130"/>
      <c r="S377" s="130">
        <f t="shared" si="7"/>
        <v>0</v>
      </c>
      <c r="T377" s="130"/>
      <c r="U377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الشراء-الاستلام]]&lt;DATE(2018,1,1),S377-T377,0))</f>
        <v>0</v>
      </c>
      <c r="V377" s="169">
        <v>10</v>
      </c>
      <c r="W377" s="116">
        <v>58</v>
      </c>
      <c r="X377" s="116">
        <v>1375</v>
      </c>
      <c r="Y377" s="117">
        <f>Table5101345411[[#This Row],[عدد الإضافات]]*Table5101345411[[#This Row],[سعر الحبة المضافة]]</f>
        <v>13750</v>
      </c>
      <c r="Z377" s="101"/>
      <c r="AA377" s="102"/>
      <c r="AB377" s="103"/>
      <c r="AC377" s="103"/>
      <c r="AD377" s="103"/>
      <c r="AE377" s="103"/>
      <c r="AF377" s="103">
        <f>Table5101345411[[#This Row],[العدد]]*Table5101345411[[#This Row],[قيمة الشراء]]</f>
        <v>0</v>
      </c>
      <c r="AG377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77" s="190">
        <f>Table5101345411[[#This Row],[الكمية]]+Table5101345411[[#This Row],[عدد الإضافات]]-Table5101345411[[#This Row],[العدد]]</f>
        <v>10</v>
      </c>
      <c r="AI377" s="78">
        <f>Table5101345411[[#This Row],[الإجمالي]]+Table5101345411[[#This Row],[إجمالي الإضافات]]-Table5101345411[[#This Row],[إجمالي المستبعد]]</f>
        <v>13750</v>
      </c>
      <c r="AJ377" s="62">
        <v>0.125</v>
      </c>
      <c r="AK377" s="219"/>
      <c r="AL377" s="58"/>
      <c r="AM377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489.72602739726028</v>
      </c>
      <c r="AN377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77" s="79">
        <f>Table5101345411[[#This Row],[اهلاك المستبعد
في 2018]]+Table5101345411[[#This Row],[مجمع إهلاك المستبعد 
01-01-2018]]</f>
        <v>0</v>
      </c>
      <c r="AP377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77" s="220"/>
      <c r="AR377" s="78">
        <f>IF(OR(Table5101345411[[#This Row],[تاريخ الشراء-الاستلام]]="",Table5101345411[[#This Row],[الإجمالي]]="",Table5101345411[[#This Row],[العمر الافتراضي]]=""),"",IF(((T377+AM377)-Table5101345411[[#This Row],[مجمع إهلاك المستبعد 
بتاريخ الأستبعاد]])&lt;=0,0,((T377+AM377)-Table5101345411[[#This Row],[مجمع إهلاك المستبعد 
بتاريخ الأستبعاد]])))</f>
        <v>489.72602739726028</v>
      </c>
      <c r="AS377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الشراء-الاستلام]]&gt;DATE(2018,12,31),0,AI377-AR377)))</f>
        <v>13260.273972602739</v>
      </c>
    </row>
    <row r="378" spans="1:45" s="141" customFormat="1" ht="83.25" customHeight="1">
      <c r="A378" s="118">
        <f>IF(B378="","",SUBTOTAL(3,$B$6:B378))</f>
        <v>373</v>
      </c>
      <c r="B378" s="58" t="s">
        <v>452</v>
      </c>
      <c r="C378" s="59" t="s">
        <v>389</v>
      </c>
      <c r="D378" s="59" t="s">
        <v>522</v>
      </c>
      <c r="E378" s="59" t="s">
        <v>120</v>
      </c>
      <c r="F378" s="226" t="s">
        <v>120</v>
      </c>
      <c r="G378" s="226"/>
      <c r="H378" s="58" t="s">
        <v>57</v>
      </c>
      <c r="I378" s="58"/>
      <c r="J378" s="58"/>
      <c r="K378" s="58"/>
      <c r="L378" s="60"/>
      <c r="M378" s="77">
        <v>43416</v>
      </c>
      <c r="N378" s="77" t="s">
        <v>412</v>
      </c>
      <c r="O378" s="150" t="s">
        <v>456</v>
      </c>
      <c r="P378" s="122"/>
      <c r="Q378" s="123"/>
      <c r="R378" s="130"/>
      <c r="S378" s="130">
        <f t="shared" si="7"/>
        <v>0</v>
      </c>
      <c r="T378" s="130"/>
      <c r="U378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الشراء-الاستلام]]&lt;DATE(2018,1,1),S378-T378,0))</f>
        <v>0</v>
      </c>
      <c r="V378" s="169">
        <v>50</v>
      </c>
      <c r="W378" s="116">
        <v>116</v>
      </c>
      <c r="X378" s="116">
        <v>1400</v>
      </c>
      <c r="Y378" s="117">
        <f>Table5101345411[[#This Row],[عدد الإضافات]]*Table5101345411[[#This Row],[سعر الحبة المضافة]]</f>
        <v>70000</v>
      </c>
      <c r="Z378" s="101"/>
      <c r="AA378" s="102"/>
      <c r="AB378" s="103"/>
      <c r="AC378" s="103"/>
      <c r="AD378" s="103"/>
      <c r="AE378" s="103"/>
      <c r="AF378" s="103">
        <f>Table5101345411[[#This Row],[العدد]]*Table5101345411[[#This Row],[قيمة الشراء]]</f>
        <v>0</v>
      </c>
      <c r="AG378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78" s="190">
        <f>Table5101345411[[#This Row],[الكمية]]+Table5101345411[[#This Row],[عدد الإضافات]]-Table5101345411[[#This Row],[العدد]]</f>
        <v>50</v>
      </c>
      <c r="AI378" s="78">
        <f>Table5101345411[[#This Row],[الإجمالي]]+Table5101345411[[#This Row],[إجمالي الإضافات]]-Table5101345411[[#This Row],[إجمالي المستبعد]]</f>
        <v>70000</v>
      </c>
      <c r="AJ378" s="62">
        <v>0.125</v>
      </c>
      <c r="AK378" s="219"/>
      <c r="AL378" s="58"/>
      <c r="AM378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1174.6575342465753</v>
      </c>
      <c r="AN378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78" s="79">
        <f>Table5101345411[[#This Row],[اهلاك المستبعد
في 2018]]+Table5101345411[[#This Row],[مجمع إهلاك المستبعد 
01-01-2018]]</f>
        <v>0</v>
      </c>
      <c r="AP378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78" s="220"/>
      <c r="AR378" s="78">
        <f>IF(OR(Table5101345411[[#This Row],[تاريخ الشراء-الاستلام]]="",Table5101345411[[#This Row],[الإجمالي]]="",Table5101345411[[#This Row],[العمر الافتراضي]]=""),"",IF(((T378+AM378)-Table5101345411[[#This Row],[مجمع إهلاك المستبعد 
بتاريخ الأستبعاد]])&lt;=0,0,((T378+AM378)-Table5101345411[[#This Row],[مجمع إهلاك المستبعد 
بتاريخ الأستبعاد]])))</f>
        <v>1174.6575342465753</v>
      </c>
      <c r="AS378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الشراء-الاستلام]]&gt;DATE(2018,12,31),0,AI378-AR378)))</f>
        <v>68825.34246575342</v>
      </c>
    </row>
    <row r="379" spans="1:45" s="141" customFormat="1" ht="83.25" customHeight="1">
      <c r="A379" s="118">
        <f>IF(B379="","",SUBTOTAL(3,$B$6:B379))</f>
        <v>374</v>
      </c>
      <c r="B379" s="58" t="s">
        <v>443</v>
      </c>
      <c r="C379" s="59" t="s">
        <v>389</v>
      </c>
      <c r="D379" s="59" t="s">
        <v>522</v>
      </c>
      <c r="E379" s="59" t="s">
        <v>120</v>
      </c>
      <c r="F379" s="226" t="s">
        <v>120</v>
      </c>
      <c r="G379" s="226"/>
      <c r="H379" s="58" t="s">
        <v>57</v>
      </c>
      <c r="I379" s="58"/>
      <c r="J379" s="58"/>
      <c r="K379" s="58"/>
      <c r="L379" s="60"/>
      <c r="M379" s="77">
        <v>43374</v>
      </c>
      <c r="N379" s="77" t="s">
        <v>412</v>
      </c>
      <c r="O379" s="150" t="s">
        <v>457</v>
      </c>
      <c r="P379" s="122"/>
      <c r="Q379" s="123"/>
      <c r="R379" s="130"/>
      <c r="S379" s="130">
        <f t="shared" si="7"/>
        <v>0</v>
      </c>
      <c r="T379" s="130"/>
      <c r="U379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الشراء-الاستلام]]&lt;DATE(2018,1,1),S379-T379,0))</f>
        <v>0</v>
      </c>
      <c r="V379" s="169">
        <v>5</v>
      </c>
      <c r="W379" s="116">
        <v>71</v>
      </c>
      <c r="X379" s="116">
        <v>1375</v>
      </c>
      <c r="Y379" s="117">
        <f>Table5101345411[[#This Row],[عدد الإضافات]]*Table5101345411[[#This Row],[سعر الحبة المضافة]]</f>
        <v>6875</v>
      </c>
      <c r="Z379" s="101"/>
      <c r="AA379" s="102"/>
      <c r="AB379" s="103"/>
      <c r="AC379" s="103"/>
      <c r="AD379" s="103"/>
      <c r="AE379" s="103"/>
      <c r="AF379" s="103">
        <f>Table5101345411[[#This Row],[العدد]]*Table5101345411[[#This Row],[قيمة الشراء]]</f>
        <v>0</v>
      </c>
      <c r="AG379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79" s="190">
        <f>Table5101345411[[#This Row],[الكمية]]+Table5101345411[[#This Row],[عدد الإضافات]]-Table5101345411[[#This Row],[العدد]]</f>
        <v>5</v>
      </c>
      <c r="AI379" s="78">
        <f>Table5101345411[[#This Row],[الإجمالي]]+Table5101345411[[#This Row],[إجمالي الإضافات]]-Table5101345411[[#This Row],[إجمالي المستبعد]]</f>
        <v>6875</v>
      </c>
      <c r="AJ379" s="62">
        <v>0.125</v>
      </c>
      <c r="AK379" s="219"/>
      <c r="AL379" s="58"/>
      <c r="AM379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214.25513698630138</v>
      </c>
      <c r="AN379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79" s="79">
        <f>Table5101345411[[#This Row],[اهلاك المستبعد
في 2018]]+Table5101345411[[#This Row],[مجمع إهلاك المستبعد 
01-01-2018]]</f>
        <v>0</v>
      </c>
      <c r="AP379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79" s="220"/>
      <c r="AR379" s="78">
        <f>IF(OR(Table5101345411[[#This Row],[تاريخ الشراء-الاستلام]]="",Table5101345411[[#This Row],[الإجمالي]]="",Table5101345411[[#This Row],[العمر الافتراضي]]=""),"",IF(((T379+AM379)-Table5101345411[[#This Row],[مجمع إهلاك المستبعد 
بتاريخ الأستبعاد]])&lt;=0,0,((T379+AM379)-Table5101345411[[#This Row],[مجمع إهلاك المستبعد 
بتاريخ الأستبعاد]])))</f>
        <v>214.25513698630138</v>
      </c>
      <c r="AS379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الشراء-الاستلام]]&gt;DATE(2018,12,31),0,AI379-AR379)))</f>
        <v>6660.7448630136987</v>
      </c>
    </row>
    <row r="380" spans="1:45" s="141" customFormat="1" ht="83.25" customHeight="1">
      <c r="A380" s="118">
        <f>IF(B380="","",SUBTOTAL(3,$B$6:B380))</f>
        <v>375</v>
      </c>
      <c r="B380" s="58" t="s">
        <v>443</v>
      </c>
      <c r="C380" s="59" t="s">
        <v>389</v>
      </c>
      <c r="D380" s="59" t="s">
        <v>522</v>
      </c>
      <c r="E380" s="59" t="s">
        <v>120</v>
      </c>
      <c r="F380" s="226" t="s">
        <v>120</v>
      </c>
      <c r="G380" s="226"/>
      <c r="H380" s="58" t="s">
        <v>57</v>
      </c>
      <c r="I380" s="58"/>
      <c r="J380" s="58"/>
      <c r="K380" s="58"/>
      <c r="L380" s="60"/>
      <c r="M380" s="77">
        <v>43382</v>
      </c>
      <c r="N380" s="77" t="s">
        <v>412</v>
      </c>
      <c r="O380" s="150" t="s">
        <v>457</v>
      </c>
      <c r="P380" s="122"/>
      <c r="Q380" s="123"/>
      <c r="R380" s="130"/>
      <c r="S380" s="130">
        <f t="shared" si="7"/>
        <v>0</v>
      </c>
      <c r="T380" s="130"/>
      <c r="U380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الشراء-الاستلام]]&lt;DATE(2018,1,1),S380-T380,0))</f>
        <v>0</v>
      </c>
      <c r="V380" s="169">
        <v>10</v>
      </c>
      <c r="W380" s="116">
        <v>82</v>
      </c>
      <c r="X380" s="116">
        <v>1375</v>
      </c>
      <c r="Y380" s="117">
        <f>Table5101345411[[#This Row],[عدد الإضافات]]*Table5101345411[[#This Row],[سعر الحبة المضافة]]</f>
        <v>13750</v>
      </c>
      <c r="Z380" s="101"/>
      <c r="AA380" s="102"/>
      <c r="AB380" s="103"/>
      <c r="AC380" s="103"/>
      <c r="AD380" s="103"/>
      <c r="AE380" s="103"/>
      <c r="AF380" s="103">
        <f>Table5101345411[[#This Row],[العدد]]*Table5101345411[[#This Row],[قيمة الشراء]]</f>
        <v>0</v>
      </c>
      <c r="AG380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80" s="190">
        <f>Table5101345411[[#This Row],[الكمية]]+Table5101345411[[#This Row],[عدد الإضافات]]-Table5101345411[[#This Row],[العدد]]</f>
        <v>10</v>
      </c>
      <c r="AI380" s="78">
        <f>Table5101345411[[#This Row],[الإجمالي]]+Table5101345411[[#This Row],[إجمالي الإضافات]]-Table5101345411[[#This Row],[إجمالي المستبعد]]</f>
        <v>13750</v>
      </c>
      <c r="AJ380" s="62">
        <v>0.125</v>
      </c>
      <c r="AK380" s="219"/>
      <c r="AL380" s="58"/>
      <c r="AM380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390.83904109589042</v>
      </c>
      <c r="AN380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80" s="79">
        <f>Table5101345411[[#This Row],[اهلاك المستبعد
في 2018]]+Table5101345411[[#This Row],[مجمع إهلاك المستبعد 
01-01-2018]]</f>
        <v>0</v>
      </c>
      <c r="AP380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80" s="220"/>
      <c r="AR380" s="78">
        <f>IF(OR(Table5101345411[[#This Row],[تاريخ الشراء-الاستلام]]="",Table5101345411[[#This Row],[الإجمالي]]="",Table5101345411[[#This Row],[العمر الافتراضي]]=""),"",IF(((T380+AM380)-Table5101345411[[#This Row],[مجمع إهلاك المستبعد 
بتاريخ الأستبعاد]])&lt;=0,0,((T380+AM380)-Table5101345411[[#This Row],[مجمع إهلاك المستبعد 
بتاريخ الأستبعاد]])))</f>
        <v>390.83904109589042</v>
      </c>
      <c r="AS380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الشراء-الاستلام]]&gt;DATE(2018,12,31),0,AI380-AR380)))</f>
        <v>13359.160958904109</v>
      </c>
    </row>
    <row r="381" spans="1:45" s="141" customFormat="1" ht="83.25" customHeight="1">
      <c r="A381" s="118">
        <f>IF(B381="","",SUBTOTAL(3,$B$6:B381))</f>
        <v>376</v>
      </c>
      <c r="B381" s="58" t="s">
        <v>445</v>
      </c>
      <c r="C381" s="59" t="s">
        <v>389</v>
      </c>
      <c r="D381" s="59" t="s">
        <v>522</v>
      </c>
      <c r="E381" s="59" t="s">
        <v>120</v>
      </c>
      <c r="F381" s="226" t="s">
        <v>120</v>
      </c>
      <c r="G381" s="226"/>
      <c r="H381" s="58" t="s">
        <v>57</v>
      </c>
      <c r="I381" s="58"/>
      <c r="J381" s="58"/>
      <c r="K381" s="58"/>
      <c r="L381" s="60"/>
      <c r="M381" s="77">
        <v>43379</v>
      </c>
      <c r="N381" s="77" t="s">
        <v>412</v>
      </c>
      <c r="O381" s="150" t="s">
        <v>457</v>
      </c>
      <c r="P381" s="122"/>
      <c r="Q381" s="123"/>
      <c r="R381" s="130"/>
      <c r="S381" s="130">
        <f t="shared" si="7"/>
        <v>0</v>
      </c>
      <c r="T381" s="130"/>
      <c r="U381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الشراء-الاستلام]]&lt;DATE(2018,1,1),S381-T381,0))</f>
        <v>0</v>
      </c>
      <c r="V381" s="169">
        <v>1</v>
      </c>
      <c r="W381" s="116">
        <v>80</v>
      </c>
      <c r="X381" s="116">
        <v>2150</v>
      </c>
      <c r="Y381" s="117">
        <f>Table5101345411[[#This Row],[عدد الإضافات]]*Table5101345411[[#This Row],[سعر الحبة المضافة]]</f>
        <v>2150</v>
      </c>
      <c r="Z381" s="101"/>
      <c r="AA381" s="102"/>
      <c r="AB381" s="103"/>
      <c r="AC381" s="103"/>
      <c r="AD381" s="103"/>
      <c r="AE381" s="103"/>
      <c r="AF381" s="103">
        <f>Table5101345411[[#This Row],[العدد]]*Table5101345411[[#This Row],[قيمة الشراء]]</f>
        <v>0</v>
      </c>
      <c r="AG381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81" s="190">
        <f>Table5101345411[[#This Row],[الكمية]]+Table5101345411[[#This Row],[عدد الإضافات]]-Table5101345411[[#This Row],[العدد]]</f>
        <v>1</v>
      </c>
      <c r="AI381" s="78">
        <f>Table5101345411[[#This Row],[الإجمالي]]+Table5101345411[[#This Row],[إجمالي الإضافات]]-Table5101345411[[#This Row],[إجمالي المستبعد]]</f>
        <v>2150</v>
      </c>
      <c r="AJ381" s="62">
        <v>0.125</v>
      </c>
      <c r="AK381" s="219"/>
      <c r="AL381" s="58"/>
      <c r="AM381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63.321917808219176</v>
      </c>
      <c r="AN381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81" s="79">
        <f>Table5101345411[[#This Row],[اهلاك المستبعد
في 2018]]+Table5101345411[[#This Row],[مجمع إهلاك المستبعد 
01-01-2018]]</f>
        <v>0</v>
      </c>
      <c r="AP381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81" s="220"/>
      <c r="AR381" s="78">
        <f>IF(OR(Table5101345411[[#This Row],[تاريخ الشراء-الاستلام]]="",Table5101345411[[#This Row],[الإجمالي]]="",Table5101345411[[#This Row],[العمر الافتراضي]]=""),"",IF(((T381+AM381)-Table5101345411[[#This Row],[مجمع إهلاك المستبعد 
بتاريخ الأستبعاد]])&lt;=0,0,((T381+AM381)-Table5101345411[[#This Row],[مجمع إهلاك المستبعد 
بتاريخ الأستبعاد]])))</f>
        <v>63.321917808219176</v>
      </c>
      <c r="AS381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الشراء-الاستلام]]&gt;DATE(2018,12,31),0,AI381-AR381)))</f>
        <v>2086.678082191781</v>
      </c>
    </row>
    <row r="382" spans="1:45" s="141" customFormat="1" ht="83.25" customHeight="1">
      <c r="A382" s="118">
        <f>IF(B382="","",SUBTOTAL(3,$B$6:B382))</f>
        <v>377</v>
      </c>
      <c r="B382" s="58" t="s">
        <v>443</v>
      </c>
      <c r="C382" s="59" t="s">
        <v>389</v>
      </c>
      <c r="D382" s="59" t="s">
        <v>522</v>
      </c>
      <c r="E382" s="59" t="s">
        <v>120</v>
      </c>
      <c r="F382" s="226" t="s">
        <v>120</v>
      </c>
      <c r="G382" s="226"/>
      <c r="H382" s="58" t="s">
        <v>57</v>
      </c>
      <c r="I382" s="58"/>
      <c r="J382" s="58"/>
      <c r="K382" s="58"/>
      <c r="L382" s="60"/>
      <c r="M382" s="77">
        <v>43379</v>
      </c>
      <c r="N382" s="77" t="s">
        <v>412</v>
      </c>
      <c r="O382" s="150" t="s">
        <v>457</v>
      </c>
      <c r="P382" s="122"/>
      <c r="Q382" s="123"/>
      <c r="R382" s="130"/>
      <c r="S382" s="130">
        <f t="shared" si="7"/>
        <v>0</v>
      </c>
      <c r="T382" s="130"/>
      <c r="U382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الشراء-الاستلام]]&lt;DATE(2018,1,1),S382-T382,0))</f>
        <v>0</v>
      </c>
      <c r="V382" s="169">
        <v>10</v>
      </c>
      <c r="W382" s="116">
        <v>81</v>
      </c>
      <c r="X382" s="116">
        <v>1375</v>
      </c>
      <c r="Y382" s="117">
        <f>Table5101345411[[#This Row],[عدد الإضافات]]*Table5101345411[[#This Row],[سعر الحبة المضافة]]</f>
        <v>13750</v>
      </c>
      <c r="Z382" s="101"/>
      <c r="AA382" s="102"/>
      <c r="AB382" s="103"/>
      <c r="AC382" s="103"/>
      <c r="AD382" s="103"/>
      <c r="AE382" s="103"/>
      <c r="AF382" s="103">
        <f>Table5101345411[[#This Row],[العدد]]*Table5101345411[[#This Row],[قيمة الشراء]]</f>
        <v>0</v>
      </c>
      <c r="AG382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82" s="190">
        <f>Table5101345411[[#This Row],[الكمية]]+Table5101345411[[#This Row],[عدد الإضافات]]-Table5101345411[[#This Row],[العدد]]</f>
        <v>10</v>
      </c>
      <c r="AI382" s="78">
        <f>Table5101345411[[#This Row],[الإجمالي]]+Table5101345411[[#This Row],[إجمالي الإضافات]]-Table5101345411[[#This Row],[إجمالي المستبعد]]</f>
        <v>13750</v>
      </c>
      <c r="AJ382" s="62">
        <v>0.125</v>
      </c>
      <c r="AK382" s="219"/>
      <c r="AL382" s="58"/>
      <c r="AM382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404.96575342465758</v>
      </c>
      <c r="AN382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82" s="79">
        <f>Table5101345411[[#This Row],[اهلاك المستبعد
في 2018]]+Table5101345411[[#This Row],[مجمع إهلاك المستبعد 
01-01-2018]]</f>
        <v>0</v>
      </c>
      <c r="AP382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82" s="220"/>
      <c r="AR382" s="78">
        <f>IF(OR(Table5101345411[[#This Row],[تاريخ الشراء-الاستلام]]="",Table5101345411[[#This Row],[الإجمالي]]="",Table5101345411[[#This Row],[العمر الافتراضي]]=""),"",IF(((T382+AM382)-Table5101345411[[#This Row],[مجمع إهلاك المستبعد 
بتاريخ الأستبعاد]])&lt;=0,0,((T382+AM382)-Table5101345411[[#This Row],[مجمع إهلاك المستبعد 
بتاريخ الأستبعاد]])))</f>
        <v>404.96575342465758</v>
      </c>
      <c r="AS382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الشراء-الاستلام]]&gt;DATE(2018,12,31),0,AI382-AR382)))</f>
        <v>13345.034246575342</v>
      </c>
    </row>
    <row r="383" spans="1:45" s="141" customFormat="1" ht="83.25" customHeight="1">
      <c r="A383" s="118">
        <f>IF(B383="","",SUBTOTAL(3,$B$6:B383))</f>
        <v>378</v>
      </c>
      <c r="B383" s="58" t="s">
        <v>458</v>
      </c>
      <c r="C383" s="59" t="s">
        <v>389</v>
      </c>
      <c r="D383" s="59" t="s">
        <v>84</v>
      </c>
      <c r="E383" s="59" t="s">
        <v>459</v>
      </c>
      <c r="F383" s="226" t="s">
        <v>459</v>
      </c>
      <c r="G383" s="226"/>
      <c r="H383" s="58"/>
      <c r="I383" s="58"/>
      <c r="J383" s="58"/>
      <c r="K383" s="58"/>
      <c r="L383" s="60"/>
      <c r="M383" s="77">
        <v>43379</v>
      </c>
      <c r="N383" s="77" t="s">
        <v>460</v>
      </c>
      <c r="O383" s="150" t="s">
        <v>461</v>
      </c>
      <c r="P383" s="122"/>
      <c r="Q383" s="123"/>
      <c r="R383" s="130"/>
      <c r="S383" s="130">
        <f t="shared" si="7"/>
        <v>0</v>
      </c>
      <c r="T383" s="130"/>
      <c r="U383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الشراء-الاستلام]]&lt;DATE(2018,1,1),S383-T383,0))</f>
        <v>0</v>
      </c>
      <c r="V383" s="169">
        <v>4</v>
      </c>
      <c r="W383" s="116"/>
      <c r="X383" s="116">
        <v>560</v>
      </c>
      <c r="Y383" s="117">
        <f>Table5101345411[[#This Row],[عدد الإضافات]]*Table5101345411[[#This Row],[سعر الحبة المضافة]]</f>
        <v>2240</v>
      </c>
      <c r="Z383" s="101"/>
      <c r="AA383" s="102"/>
      <c r="AB383" s="103"/>
      <c r="AC383" s="103"/>
      <c r="AD383" s="103"/>
      <c r="AE383" s="103"/>
      <c r="AF383" s="103">
        <f>Table5101345411[[#This Row],[العدد]]*Table5101345411[[#This Row],[قيمة الشراء]]</f>
        <v>0</v>
      </c>
      <c r="AG383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83" s="190">
        <f>Table5101345411[[#This Row],[الكمية]]+Table5101345411[[#This Row],[عدد الإضافات]]-Table5101345411[[#This Row],[العدد]]</f>
        <v>4</v>
      </c>
      <c r="AI383" s="78">
        <f>Table5101345411[[#This Row],[الإجمالي]]+Table5101345411[[#This Row],[إجمالي الإضافات]]-Table5101345411[[#This Row],[إجمالي المستبعد]]</f>
        <v>2240</v>
      </c>
      <c r="AJ383" s="120">
        <v>0.15</v>
      </c>
      <c r="AK383" s="219"/>
      <c r="AL383" s="58"/>
      <c r="AM383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79.167123287671231</v>
      </c>
      <c r="AN383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83" s="79">
        <f>Table5101345411[[#This Row],[اهلاك المستبعد
في 2018]]+Table5101345411[[#This Row],[مجمع إهلاك المستبعد 
01-01-2018]]</f>
        <v>0</v>
      </c>
      <c r="AP383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83" s="220"/>
      <c r="AR383" s="78">
        <f>IF(OR(Table5101345411[[#This Row],[تاريخ الشراء-الاستلام]]="",Table5101345411[[#This Row],[الإجمالي]]="",Table5101345411[[#This Row],[العمر الافتراضي]]=""),"",IF(((T383+AM383)-Table5101345411[[#This Row],[مجمع إهلاك المستبعد 
بتاريخ الأستبعاد]])&lt;=0,0,((T383+AM383)-Table5101345411[[#This Row],[مجمع إهلاك المستبعد 
بتاريخ الأستبعاد]])))</f>
        <v>79.167123287671231</v>
      </c>
      <c r="AS383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الشراء-الاستلام]]&gt;DATE(2018,12,31),0,AI383-AR383)))</f>
        <v>2160.8328767123289</v>
      </c>
    </row>
    <row r="384" spans="1:45" s="141" customFormat="1" ht="83.25" customHeight="1">
      <c r="A384" s="118">
        <f>IF(B384="","",SUBTOTAL(3,$B$6:B384))</f>
        <v>379</v>
      </c>
      <c r="B384" s="58" t="s">
        <v>462</v>
      </c>
      <c r="C384" s="59" t="s">
        <v>389</v>
      </c>
      <c r="D384" s="59" t="s">
        <v>84</v>
      </c>
      <c r="E384" s="59" t="s">
        <v>84</v>
      </c>
      <c r="F384" s="226" t="s">
        <v>84</v>
      </c>
      <c r="G384" s="226"/>
      <c r="H384" s="58"/>
      <c r="I384" s="58"/>
      <c r="J384" s="58"/>
      <c r="K384" s="58"/>
      <c r="L384" s="60"/>
      <c r="M384" s="77">
        <v>43353</v>
      </c>
      <c r="N384" s="77" t="s">
        <v>463</v>
      </c>
      <c r="O384" s="150" t="s">
        <v>464</v>
      </c>
      <c r="P384" s="122"/>
      <c r="Q384" s="123"/>
      <c r="R384" s="130"/>
      <c r="S384" s="130">
        <f t="shared" si="7"/>
        <v>0</v>
      </c>
      <c r="T384" s="130"/>
      <c r="U384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الشراء-الاستلام]]&lt;DATE(2018,1,1),S384-T384,0))</f>
        <v>0</v>
      </c>
      <c r="V384" s="169">
        <v>2</v>
      </c>
      <c r="W384" s="116">
        <v>338</v>
      </c>
      <c r="X384" s="116">
        <v>20000</v>
      </c>
      <c r="Y384" s="117">
        <f>Table5101345411[[#This Row],[عدد الإضافات]]*Table5101345411[[#This Row],[سعر الحبة المضافة]]</f>
        <v>40000</v>
      </c>
      <c r="Z384" s="101"/>
      <c r="AA384" s="102"/>
      <c r="AB384" s="103"/>
      <c r="AC384" s="103"/>
      <c r="AD384" s="103"/>
      <c r="AE384" s="103"/>
      <c r="AF384" s="103">
        <f>Table5101345411[[#This Row],[العدد]]*Table5101345411[[#This Row],[قيمة الشراء]]</f>
        <v>0</v>
      </c>
      <c r="AG384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84" s="190">
        <f>Table5101345411[[#This Row],[الكمية]]+Table5101345411[[#This Row],[عدد الإضافات]]-Table5101345411[[#This Row],[العدد]]</f>
        <v>2</v>
      </c>
      <c r="AI384" s="78">
        <f>Table5101345411[[#This Row],[الإجمالي]]+Table5101345411[[#This Row],[إجمالي الإضافات]]-Table5101345411[[#This Row],[إجمالي المستبعد]]</f>
        <v>40000</v>
      </c>
      <c r="AJ384" s="120">
        <v>0.15</v>
      </c>
      <c r="AK384" s="219"/>
      <c r="AL384" s="58"/>
      <c r="AM384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1841.0958904109591</v>
      </c>
      <c r="AN384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84" s="79">
        <f>Table5101345411[[#This Row],[اهلاك المستبعد
في 2018]]+Table5101345411[[#This Row],[مجمع إهلاك المستبعد 
01-01-2018]]</f>
        <v>0</v>
      </c>
      <c r="AP384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84" s="220"/>
      <c r="AR384" s="78">
        <f>IF(OR(Table5101345411[[#This Row],[تاريخ الشراء-الاستلام]]="",Table5101345411[[#This Row],[الإجمالي]]="",Table5101345411[[#This Row],[العمر الافتراضي]]=""),"",IF(((T384+AM384)-Table5101345411[[#This Row],[مجمع إهلاك المستبعد 
بتاريخ الأستبعاد]])&lt;=0,0,((T384+AM384)-Table5101345411[[#This Row],[مجمع إهلاك المستبعد 
بتاريخ الأستبعاد]])))</f>
        <v>1841.0958904109591</v>
      </c>
      <c r="AS384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الشراء-الاستلام]]&gt;DATE(2018,12,31),0,AI384-AR384)))</f>
        <v>38158.904109589042</v>
      </c>
    </row>
    <row r="385" spans="1:45" s="141" customFormat="1" ht="83.25" customHeight="1">
      <c r="A385" s="118">
        <f>IF(B385="","",SUBTOTAL(3,$B$6:B385))</f>
        <v>380</v>
      </c>
      <c r="B385" s="58" t="s">
        <v>443</v>
      </c>
      <c r="C385" s="59" t="s">
        <v>389</v>
      </c>
      <c r="D385" s="59" t="s">
        <v>522</v>
      </c>
      <c r="E385" s="59" t="s">
        <v>120</v>
      </c>
      <c r="F385" s="226" t="s">
        <v>120</v>
      </c>
      <c r="G385" s="226"/>
      <c r="H385" s="58" t="s">
        <v>57</v>
      </c>
      <c r="I385" s="58"/>
      <c r="J385" s="58"/>
      <c r="K385" s="58"/>
      <c r="L385" s="60"/>
      <c r="M385" s="77">
        <v>43398</v>
      </c>
      <c r="N385" s="77" t="s">
        <v>412</v>
      </c>
      <c r="O385" s="150" t="s">
        <v>465</v>
      </c>
      <c r="P385" s="122"/>
      <c r="Q385" s="123"/>
      <c r="R385" s="130"/>
      <c r="S385" s="130">
        <f t="shared" si="7"/>
        <v>0</v>
      </c>
      <c r="T385" s="130"/>
      <c r="U385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الشراء-الاستلام]]&lt;DATE(2018,1,1),S385-T385,0))</f>
        <v>0</v>
      </c>
      <c r="V385" s="169">
        <v>35</v>
      </c>
      <c r="W385" s="116">
        <v>96</v>
      </c>
      <c r="X385" s="116">
        <v>1375</v>
      </c>
      <c r="Y385" s="117">
        <f>Table5101345411[[#This Row],[عدد الإضافات]]*Table5101345411[[#This Row],[سعر الحبة المضافة]]</f>
        <v>48125</v>
      </c>
      <c r="Z385" s="101"/>
      <c r="AA385" s="102">
        <v>43465</v>
      </c>
      <c r="AB385" s="103">
        <v>12</v>
      </c>
      <c r="AC385" s="103"/>
      <c r="AD385" s="103">
        <v>1575</v>
      </c>
      <c r="AE385" s="103">
        <v>1375</v>
      </c>
      <c r="AF385" s="103">
        <f>Table5101345411[[#This Row],[العدد]]*Table5101345411[[#This Row],[قيمة الشراء]]</f>
        <v>16500</v>
      </c>
      <c r="AG385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378.59589041095893</v>
      </c>
      <c r="AH385" s="190">
        <f>Table5101345411[[#This Row],[الكمية]]+Table5101345411[[#This Row],[عدد الإضافات]]-Table5101345411[[#This Row],[العدد]]</f>
        <v>23</v>
      </c>
      <c r="AI385" s="78">
        <f>Table5101345411[[#This Row],[الإجمالي]]+Table5101345411[[#This Row],[إجمالي الإضافات]]-Table5101345411[[#This Row],[إجمالي المستبعد]]</f>
        <v>31625</v>
      </c>
      <c r="AJ385" s="62">
        <v>0.125</v>
      </c>
      <c r="AK385" s="219"/>
      <c r="AL385" s="58"/>
      <c r="AM385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1104.2380136986301</v>
      </c>
      <c r="AN385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85" s="79">
        <f>Table5101345411[[#This Row],[اهلاك المستبعد
في 2018]]+Table5101345411[[#This Row],[مجمع إهلاك المستبعد 
01-01-2018]]</f>
        <v>378.59589041095893</v>
      </c>
      <c r="AP385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2021.4041095890411</v>
      </c>
      <c r="AQ385" s="220"/>
      <c r="AR385" s="78">
        <f>IF(OR(Table5101345411[[#This Row],[تاريخ الشراء-الاستلام]]="",Table5101345411[[#This Row],[الإجمالي]]="",Table5101345411[[#This Row],[العمر الافتراضي]]=""),"",IF(((T385+AM385)-Table5101345411[[#This Row],[مجمع إهلاك المستبعد 
بتاريخ الأستبعاد]])&lt;=0,0,((T385+AM385)-Table5101345411[[#This Row],[مجمع إهلاك المستبعد 
بتاريخ الأستبعاد]])))</f>
        <v>725.64212328767121</v>
      </c>
      <c r="AS385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الشراء-الاستلام]]&gt;DATE(2018,12,31),0,AI385-AR385)))</f>
        <v>30899.357876712329</v>
      </c>
    </row>
    <row r="386" spans="1:45" s="141" customFormat="1" ht="83.25" customHeight="1">
      <c r="A386" s="118">
        <f>IF(B386="","",SUBTOTAL(3,$B$6:B386))</f>
        <v>381</v>
      </c>
      <c r="B386" s="58" t="s">
        <v>443</v>
      </c>
      <c r="C386" s="59" t="s">
        <v>389</v>
      </c>
      <c r="D386" s="59" t="s">
        <v>522</v>
      </c>
      <c r="E386" s="59" t="s">
        <v>120</v>
      </c>
      <c r="F386" s="226" t="s">
        <v>120</v>
      </c>
      <c r="G386" s="226"/>
      <c r="H386" s="58" t="s">
        <v>57</v>
      </c>
      <c r="I386" s="58"/>
      <c r="J386" s="58"/>
      <c r="K386" s="58"/>
      <c r="L386" s="60"/>
      <c r="M386" s="77">
        <v>43398</v>
      </c>
      <c r="N386" s="77" t="s">
        <v>412</v>
      </c>
      <c r="O386" s="150" t="s">
        <v>465</v>
      </c>
      <c r="P386" s="122"/>
      <c r="Q386" s="123"/>
      <c r="R386" s="130"/>
      <c r="S386" s="130">
        <f t="shared" si="7"/>
        <v>0</v>
      </c>
      <c r="T386" s="130"/>
      <c r="U386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الشراء-الاستلام]]&lt;DATE(2018,1,1),S386-T386,0))</f>
        <v>0</v>
      </c>
      <c r="V386" s="169">
        <v>7</v>
      </c>
      <c r="W386" s="116">
        <v>96</v>
      </c>
      <c r="X386" s="116">
        <v>2150</v>
      </c>
      <c r="Y386" s="117">
        <f>Table5101345411[[#This Row],[عدد الإضافات]]*Table5101345411[[#This Row],[سعر الحبة المضافة]]</f>
        <v>15050</v>
      </c>
      <c r="Z386" s="101"/>
      <c r="AA386" s="102"/>
      <c r="AB386" s="103"/>
      <c r="AC386" s="103"/>
      <c r="AD386" s="103"/>
      <c r="AE386" s="103"/>
      <c r="AF386" s="103">
        <f>Table5101345411[[#This Row],[العدد]]*Table5101345411[[#This Row],[قيمة الشراء]]</f>
        <v>0</v>
      </c>
      <c r="AG386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86" s="190">
        <f>Table5101345411[[#This Row],[الكمية]]+Table5101345411[[#This Row],[عدد الإضافات]]-Table5101345411[[#This Row],[العدد]]</f>
        <v>7</v>
      </c>
      <c r="AI386" s="78">
        <f>Table5101345411[[#This Row],[الإجمالي]]+Table5101345411[[#This Row],[إجمالي الإضافات]]-Table5101345411[[#This Row],[إجمالي المستبعد]]</f>
        <v>15050</v>
      </c>
      <c r="AJ386" s="62">
        <v>0.125</v>
      </c>
      <c r="AK386" s="219"/>
      <c r="AL386" s="58"/>
      <c r="AM386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345.32534246575341</v>
      </c>
      <c r="AN386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86" s="79">
        <f>Table5101345411[[#This Row],[اهلاك المستبعد
في 2018]]+Table5101345411[[#This Row],[مجمع إهلاك المستبعد 
01-01-2018]]</f>
        <v>0</v>
      </c>
      <c r="AP386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86" s="220"/>
      <c r="AR386" s="78">
        <f>IF(OR(Table5101345411[[#This Row],[تاريخ الشراء-الاستلام]]="",Table5101345411[[#This Row],[الإجمالي]]="",Table5101345411[[#This Row],[العمر الافتراضي]]=""),"",IF(((T386+AM386)-Table5101345411[[#This Row],[مجمع إهلاك المستبعد 
بتاريخ الأستبعاد]])&lt;=0,0,((T386+AM386)-Table5101345411[[#This Row],[مجمع إهلاك المستبعد 
بتاريخ الأستبعاد]])))</f>
        <v>345.32534246575341</v>
      </c>
      <c r="AS386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الشراء-الاستلام]]&gt;DATE(2018,12,31),0,AI386-AR386)))</f>
        <v>14704.674657534246</v>
      </c>
    </row>
    <row r="387" spans="1:45" s="141" customFormat="1" ht="83.25" customHeight="1">
      <c r="A387" s="118">
        <f>IF(B387="","",SUBTOTAL(3,$B$6:B387))</f>
        <v>382</v>
      </c>
      <c r="B387" s="58" t="s">
        <v>452</v>
      </c>
      <c r="C387" s="59" t="s">
        <v>389</v>
      </c>
      <c r="D387" s="59" t="s">
        <v>522</v>
      </c>
      <c r="E387" s="59" t="s">
        <v>120</v>
      </c>
      <c r="F387" s="226" t="s">
        <v>120</v>
      </c>
      <c r="G387" s="226"/>
      <c r="H387" s="58" t="s">
        <v>57</v>
      </c>
      <c r="I387" s="58"/>
      <c r="J387" s="58"/>
      <c r="K387" s="58"/>
      <c r="L387" s="60"/>
      <c r="M387" s="77">
        <v>43405</v>
      </c>
      <c r="N387" s="77" t="s">
        <v>412</v>
      </c>
      <c r="O387" s="150" t="s">
        <v>465</v>
      </c>
      <c r="P387" s="122"/>
      <c r="Q387" s="123"/>
      <c r="R387" s="130"/>
      <c r="S387" s="130">
        <f t="shared" si="7"/>
        <v>0</v>
      </c>
      <c r="T387" s="130"/>
      <c r="U387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الشراء-الاستلام]]&lt;DATE(2018,1,1),S387-T387,0))</f>
        <v>0</v>
      </c>
      <c r="V387" s="169">
        <v>50</v>
      </c>
      <c r="W387" s="116">
        <v>103</v>
      </c>
      <c r="X387" s="116">
        <v>1400</v>
      </c>
      <c r="Y387" s="117">
        <f>Table5101345411[[#This Row],[عدد الإضافات]]*Table5101345411[[#This Row],[سعر الحبة المضافة]]</f>
        <v>70000</v>
      </c>
      <c r="Z387" s="101"/>
      <c r="AA387" s="102"/>
      <c r="AB387" s="103"/>
      <c r="AC387" s="103"/>
      <c r="AD387" s="103"/>
      <c r="AE387" s="103"/>
      <c r="AF387" s="103">
        <f>Table5101345411[[#This Row],[العدد]]*Table5101345411[[#This Row],[قيمة الشراء]]</f>
        <v>0</v>
      </c>
      <c r="AG387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87" s="190">
        <f>Table5101345411[[#This Row],[الكمية]]+Table5101345411[[#This Row],[عدد الإضافات]]-Table5101345411[[#This Row],[العدد]]</f>
        <v>50</v>
      </c>
      <c r="AI387" s="78">
        <f>Table5101345411[[#This Row],[الإجمالي]]+Table5101345411[[#This Row],[إجمالي الإضافات]]-Table5101345411[[#This Row],[إجمالي المستبعد]]</f>
        <v>70000</v>
      </c>
      <c r="AJ387" s="62">
        <v>0.125</v>
      </c>
      <c r="AK387" s="219"/>
      <c r="AL387" s="58"/>
      <c r="AM387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1438.3561643835617</v>
      </c>
      <c r="AN387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87" s="79">
        <f>Table5101345411[[#This Row],[اهلاك المستبعد
في 2018]]+Table5101345411[[#This Row],[مجمع إهلاك المستبعد 
01-01-2018]]</f>
        <v>0</v>
      </c>
      <c r="AP387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87" s="220"/>
      <c r="AR387" s="78">
        <f>IF(OR(Table5101345411[[#This Row],[تاريخ الشراء-الاستلام]]="",Table5101345411[[#This Row],[الإجمالي]]="",Table5101345411[[#This Row],[العمر الافتراضي]]=""),"",IF(((T387+AM387)-Table5101345411[[#This Row],[مجمع إهلاك المستبعد 
بتاريخ الأستبعاد]])&lt;=0,0,((T387+AM387)-Table5101345411[[#This Row],[مجمع إهلاك المستبعد 
بتاريخ الأستبعاد]])))</f>
        <v>1438.3561643835617</v>
      </c>
      <c r="AS387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الشراء-الاستلام]]&gt;DATE(2018,12,31),0,AI387-AR387)))</f>
        <v>68561.643835616444</v>
      </c>
    </row>
    <row r="388" spans="1:45" s="140" customFormat="1" ht="83.25" customHeight="1">
      <c r="A388" s="118">
        <f>IF(B388="","",SUBTOTAL(3,$B$6:B388))</f>
        <v>383</v>
      </c>
      <c r="B388" s="58" t="s">
        <v>466</v>
      </c>
      <c r="C388" s="59" t="s">
        <v>389</v>
      </c>
      <c r="D388" s="59" t="s">
        <v>56</v>
      </c>
      <c r="E388" s="59" t="s">
        <v>352</v>
      </c>
      <c r="F388" s="226" t="s">
        <v>352</v>
      </c>
      <c r="G388" s="226"/>
      <c r="H388" s="58" t="s">
        <v>467</v>
      </c>
      <c r="I388" s="58"/>
      <c r="J388" s="58"/>
      <c r="K388" s="58"/>
      <c r="L388" s="60"/>
      <c r="M388" s="77">
        <v>43282</v>
      </c>
      <c r="N388" s="77"/>
      <c r="O388" s="150" t="s">
        <v>468</v>
      </c>
      <c r="P388" s="122"/>
      <c r="Q388" s="123"/>
      <c r="R388" s="130"/>
      <c r="S388" s="130">
        <f t="shared" si="7"/>
        <v>0</v>
      </c>
      <c r="T388" s="130"/>
      <c r="U388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الشراء-الاستلام]]&lt;DATE(2018,1,1),S388-T388,0))</f>
        <v>0</v>
      </c>
      <c r="V388" s="169">
        <v>1</v>
      </c>
      <c r="W388" s="116"/>
      <c r="X388" s="116">
        <v>5000</v>
      </c>
      <c r="Y388" s="117">
        <f>Table5101345411[[#This Row],[عدد الإضافات]]*Table5101345411[[#This Row],[سعر الحبة المضافة]]</f>
        <v>5000</v>
      </c>
      <c r="Z388" s="101"/>
      <c r="AA388" s="102"/>
      <c r="AB388" s="103"/>
      <c r="AC388" s="103"/>
      <c r="AD388" s="103"/>
      <c r="AE388" s="103"/>
      <c r="AF388" s="103">
        <f>Table5101345411[[#This Row],[العدد]]*Table5101345411[[#This Row],[قيمة الشراء]]</f>
        <v>0</v>
      </c>
      <c r="AG388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88" s="190">
        <f>Table5101345411[[#This Row],[الكمية]]+Table5101345411[[#This Row],[عدد الإضافات]]-Table5101345411[[#This Row],[العدد]]</f>
        <v>1</v>
      </c>
      <c r="AI388" s="78">
        <f>Table5101345411[[#This Row],[الإجمالي]]+Table5101345411[[#This Row],[إجمالي الإضافات]]-Table5101345411[[#This Row],[إجمالي المستبعد]]</f>
        <v>5000</v>
      </c>
      <c r="AJ388" s="62">
        <v>0.125</v>
      </c>
      <c r="AK388" s="219"/>
      <c r="AL388" s="58"/>
      <c r="AM388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313.35616438356163</v>
      </c>
      <c r="AN388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88" s="79">
        <f>Table5101345411[[#This Row],[اهلاك المستبعد
في 2018]]+Table5101345411[[#This Row],[مجمع إهلاك المستبعد 
01-01-2018]]</f>
        <v>0</v>
      </c>
      <c r="AP388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88" s="220"/>
      <c r="AR388" s="78">
        <f>IF(OR(Table5101345411[[#This Row],[تاريخ الشراء-الاستلام]]="",Table5101345411[[#This Row],[الإجمالي]]="",Table5101345411[[#This Row],[العمر الافتراضي]]=""),"",IF(((T388+AM388)-Table5101345411[[#This Row],[مجمع إهلاك المستبعد 
بتاريخ الأستبعاد]])&lt;=0,0,((T388+AM388)-Table5101345411[[#This Row],[مجمع إهلاك المستبعد 
بتاريخ الأستبعاد]])))</f>
        <v>313.35616438356163</v>
      </c>
      <c r="AS388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الشراء-الاستلام]]&gt;DATE(2018,12,31),0,AI388-AR388)))</f>
        <v>4686.6438356164381</v>
      </c>
    </row>
    <row r="389" spans="1:45" s="141" customFormat="1" ht="83.25" customHeight="1">
      <c r="A389" s="118">
        <f>IF(B389="","",SUBTOTAL(3,$B$6:B389))</f>
        <v>384</v>
      </c>
      <c r="B389" s="58" t="s">
        <v>137</v>
      </c>
      <c r="C389" s="59" t="s">
        <v>389</v>
      </c>
      <c r="D389" s="59" t="s">
        <v>84</v>
      </c>
      <c r="E389" s="59" t="s">
        <v>610</v>
      </c>
      <c r="F389" s="226" t="s">
        <v>618</v>
      </c>
      <c r="G389" s="226"/>
      <c r="H389" s="58" t="s">
        <v>57</v>
      </c>
      <c r="I389" s="58" t="s">
        <v>69</v>
      </c>
      <c r="J389" s="58"/>
      <c r="K389" s="58"/>
      <c r="L389" s="60">
        <v>7109</v>
      </c>
      <c r="M389" s="77">
        <v>43190</v>
      </c>
      <c r="N389" s="77"/>
      <c r="O389" s="150" t="s">
        <v>469</v>
      </c>
      <c r="P389" s="122"/>
      <c r="Q389" s="123"/>
      <c r="R389" s="130"/>
      <c r="S389" s="130">
        <f t="shared" si="7"/>
        <v>0</v>
      </c>
      <c r="T389" s="130"/>
      <c r="U389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الشراء-الاستلام]]&lt;DATE(2018,1,1),S389-T389,0))</f>
        <v>0</v>
      </c>
      <c r="V389" s="169">
        <v>1</v>
      </c>
      <c r="W389" s="116"/>
      <c r="X389" s="116">
        <v>13950</v>
      </c>
      <c r="Y389" s="117">
        <f>Table5101345411[[#This Row],[عدد الإضافات]]*Table5101345411[[#This Row],[سعر الحبة المضافة]]</f>
        <v>13950</v>
      </c>
      <c r="Z389" s="101"/>
      <c r="AA389" s="102"/>
      <c r="AB389" s="103"/>
      <c r="AC389" s="103"/>
      <c r="AD389" s="103"/>
      <c r="AE389" s="103"/>
      <c r="AF389" s="103">
        <f>Table5101345411[[#This Row],[العدد]]*Table5101345411[[#This Row],[قيمة الشراء]]</f>
        <v>0</v>
      </c>
      <c r="AG389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89" s="190">
        <f>Table5101345411[[#This Row],[الكمية]]+Table5101345411[[#This Row],[عدد الإضافات]]-Table5101345411[[#This Row],[العدد]]</f>
        <v>1</v>
      </c>
      <c r="AI389" s="78">
        <f>Table5101345411[[#This Row],[الإجمالي]]+Table5101345411[[#This Row],[إجمالي الإضافات]]-Table5101345411[[#This Row],[إجمالي المستبعد]]</f>
        <v>13950</v>
      </c>
      <c r="AJ389" s="120">
        <v>0.15</v>
      </c>
      <c r="AK389" s="219"/>
      <c r="AL389" s="58"/>
      <c r="AM389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1576.5410958904108</v>
      </c>
      <c r="AN389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89" s="79">
        <f>Table5101345411[[#This Row],[اهلاك المستبعد
في 2018]]+Table5101345411[[#This Row],[مجمع إهلاك المستبعد 
01-01-2018]]</f>
        <v>0</v>
      </c>
      <c r="AP389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89" s="220"/>
      <c r="AR389" s="78">
        <f>IF(OR(Table5101345411[[#This Row],[تاريخ الشراء-الاستلام]]="",Table5101345411[[#This Row],[الإجمالي]]="",Table5101345411[[#This Row],[العمر الافتراضي]]=""),"",IF(((T389+AM389)-Table5101345411[[#This Row],[مجمع إهلاك المستبعد 
بتاريخ الأستبعاد]])&lt;=0,0,((T389+AM389)-Table5101345411[[#This Row],[مجمع إهلاك المستبعد 
بتاريخ الأستبعاد]])))</f>
        <v>1576.5410958904108</v>
      </c>
      <c r="AS389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الشراء-الاستلام]]&gt;DATE(2018,12,31),0,AI389-AR389)))</f>
        <v>12373.45890410959</v>
      </c>
    </row>
    <row r="390" spans="1:45" s="141" customFormat="1" ht="83.25" customHeight="1">
      <c r="A390" s="118">
        <f>IF(B390="","",SUBTOTAL(3,$B$6:B390))</f>
        <v>385</v>
      </c>
      <c r="B390" s="58" t="s">
        <v>525</v>
      </c>
      <c r="C390" s="59" t="s">
        <v>389</v>
      </c>
      <c r="D390" s="59" t="s">
        <v>522</v>
      </c>
      <c r="E390" s="59" t="s">
        <v>120</v>
      </c>
      <c r="F390" s="226" t="s">
        <v>120</v>
      </c>
      <c r="G390" s="226"/>
      <c r="H390" s="58" t="s">
        <v>57</v>
      </c>
      <c r="I390" s="58"/>
      <c r="J390" s="58"/>
      <c r="K390" s="58"/>
      <c r="L390" s="60"/>
      <c r="M390" s="77">
        <v>43465</v>
      </c>
      <c r="N390" s="77" t="s">
        <v>526</v>
      </c>
      <c r="O390" s="150" t="s">
        <v>527</v>
      </c>
      <c r="P390" s="122"/>
      <c r="Q390" s="123"/>
      <c r="R390" s="130"/>
      <c r="S390" s="130">
        <f t="shared" si="7"/>
        <v>0</v>
      </c>
      <c r="T390" s="130"/>
      <c r="U390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الشراء-الاستلام]]&lt;DATE(2018,1,1),S390-T390,0))</f>
        <v>0</v>
      </c>
      <c r="V390" s="169">
        <v>2</v>
      </c>
      <c r="W390" s="116">
        <v>151</v>
      </c>
      <c r="X390" s="116">
        <v>600</v>
      </c>
      <c r="Y390" s="117">
        <f>Table5101345411[[#This Row],[عدد الإضافات]]*Table5101345411[[#This Row],[سعر الحبة المضافة]]</f>
        <v>1200</v>
      </c>
      <c r="Z390" s="101"/>
      <c r="AA390" s="102"/>
      <c r="AB390" s="103"/>
      <c r="AC390" s="103"/>
      <c r="AD390" s="103"/>
      <c r="AE390" s="103"/>
      <c r="AF390" s="103">
        <f>Table5101345411[[#This Row],[العدد]]*Table5101345411[[#This Row],[قيمة الشراء]]</f>
        <v>0</v>
      </c>
      <c r="AG390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90" s="190">
        <f>Table5101345411[[#This Row],[الكمية]]+Table5101345411[[#This Row],[عدد الإضافات]]-Table5101345411[[#This Row],[العدد]]</f>
        <v>2</v>
      </c>
      <c r="AI390" s="78">
        <f>Table5101345411[[#This Row],[الإجمالي]]+Table5101345411[[#This Row],[إجمالي الإضافات]]-Table5101345411[[#This Row],[إجمالي المستبعد]]</f>
        <v>1200</v>
      </c>
      <c r="AJ390" s="120">
        <v>0.125</v>
      </c>
      <c r="AK390" s="219"/>
      <c r="AL390" s="58"/>
      <c r="AM390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390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90" s="79">
        <f>Table5101345411[[#This Row],[اهلاك المستبعد
في 2018]]+Table5101345411[[#This Row],[مجمع إهلاك المستبعد 
01-01-2018]]</f>
        <v>0</v>
      </c>
      <c r="AP390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90" s="220"/>
      <c r="AR390" s="78">
        <f>IF(OR(Table5101345411[[#This Row],[تاريخ الشراء-الاستلام]]="",Table5101345411[[#This Row],[الإجمالي]]="",Table5101345411[[#This Row],[العمر الافتراضي]]=""),"",IF(((T390+AM390)-Table5101345411[[#This Row],[مجمع إهلاك المستبعد 
بتاريخ الأستبعاد]])&lt;=0,0,((T390+AM390)-Table5101345411[[#This Row],[مجمع إهلاك المستبعد 
بتاريخ الأستبعاد]])))</f>
        <v>0</v>
      </c>
      <c r="AS390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الشراء-الاستلام]]&gt;DATE(2018,12,31),0,AI390-AR390)))</f>
        <v>1200</v>
      </c>
    </row>
    <row r="391" spans="1:45" s="141" customFormat="1" ht="83.25" customHeight="1">
      <c r="A391" s="118">
        <f>IF(B391="","",SUBTOTAL(3,$B$6:B391))</f>
        <v>386</v>
      </c>
      <c r="B391" s="58" t="s">
        <v>525</v>
      </c>
      <c r="C391" s="59" t="s">
        <v>389</v>
      </c>
      <c r="D391" s="59" t="s">
        <v>522</v>
      </c>
      <c r="E391" s="59" t="s">
        <v>120</v>
      </c>
      <c r="F391" s="226" t="s">
        <v>120</v>
      </c>
      <c r="G391" s="226"/>
      <c r="H391" s="58" t="s">
        <v>57</v>
      </c>
      <c r="I391" s="58"/>
      <c r="J391" s="58"/>
      <c r="K391" s="58"/>
      <c r="L391" s="60"/>
      <c r="M391" s="77">
        <v>43465</v>
      </c>
      <c r="N391" s="77" t="s">
        <v>526</v>
      </c>
      <c r="O391" s="150" t="s">
        <v>527</v>
      </c>
      <c r="P391" s="122"/>
      <c r="Q391" s="123"/>
      <c r="R391" s="130"/>
      <c r="S391" s="130">
        <f t="shared" si="7"/>
        <v>0</v>
      </c>
      <c r="T391" s="130"/>
      <c r="U391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الشراء-الاستلام]]&lt;DATE(2018,1,1),S391-T391,0))</f>
        <v>0</v>
      </c>
      <c r="V391" s="169">
        <v>20</v>
      </c>
      <c r="W391" s="116">
        <v>176</v>
      </c>
      <c r="X391" s="116">
        <v>600</v>
      </c>
      <c r="Y391" s="117">
        <f>Table5101345411[[#This Row],[عدد الإضافات]]*Table5101345411[[#This Row],[سعر الحبة المضافة]]</f>
        <v>12000</v>
      </c>
      <c r="Z391" s="101"/>
      <c r="AA391" s="102"/>
      <c r="AB391" s="103"/>
      <c r="AC391" s="103"/>
      <c r="AD391" s="103"/>
      <c r="AE391" s="103"/>
      <c r="AF391" s="103">
        <f>Table5101345411[[#This Row],[العدد]]*Table5101345411[[#This Row],[قيمة الشراء]]</f>
        <v>0</v>
      </c>
      <c r="AG391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91" s="190">
        <f>Table5101345411[[#This Row],[الكمية]]+Table5101345411[[#This Row],[عدد الإضافات]]-Table5101345411[[#This Row],[العدد]]</f>
        <v>20</v>
      </c>
      <c r="AI391" s="78">
        <f>Table5101345411[[#This Row],[الإجمالي]]+Table5101345411[[#This Row],[إجمالي الإضافات]]-Table5101345411[[#This Row],[إجمالي المستبعد]]</f>
        <v>12000</v>
      </c>
      <c r="AJ391" s="120">
        <v>0.125</v>
      </c>
      <c r="AK391" s="219"/>
      <c r="AL391" s="58"/>
      <c r="AM391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391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91" s="79">
        <f>Table5101345411[[#This Row],[اهلاك المستبعد
في 2018]]+Table5101345411[[#This Row],[مجمع إهلاك المستبعد 
01-01-2018]]</f>
        <v>0</v>
      </c>
      <c r="AP391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91" s="220"/>
      <c r="AR391" s="78">
        <f>IF(OR(Table5101345411[[#This Row],[تاريخ الشراء-الاستلام]]="",Table5101345411[[#This Row],[الإجمالي]]="",Table5101345411[[#This Row],[العمر الافتراضي]]=""),"",IF(((T391+AM391)-Table5101345411[[#This Row],[مجمع إهلاك المستبعد 
بتاريخ الأستبعاد]])&lt;=0,0,((T391+AM391)-Table5101345411[[#This Row],[مجمع إهلاك المستبعد 
بتاريخ الأستبعاد]])))</f>
        <v>0</v>
      </c>
      <c r="AS391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الشراء-الاستلام]]&gt;DATE(2018,12,31),0,AI391-AR391)))</f>
        <v>12000</v>
      </c>
    </row>
    <row r="392" spans="1:45" s="141" customFormat="1" ht="83.25" customHeight="1">
      <c r="A392" s="118">
        <f>IF(B392="","",SUBTOTAL(3,$B$6:B392))</f>
        <v>387</v>
      </c>
      <c r="B392" s="58" t="s">
        <v>451</v>
      </c>
      <c r="C392" s="59" t="s">
        <v>389</v>
      </c>
      <c r="D392" s="59" t="s">
        <v>522</v>
      </c>
      <c r="E392" s="59" t="s">
        <v>120</v>
      </c>
      <c r="F392" s="226" t="s">
        <v>120</v>
      </c>
      <c r="G392" s="226"/>
      <c r="H392" s="58" t="s">
        <v>57</v>
      </c>
      <c r="I392" s="58"/>
      <c r="J392" s="58"/>
      <c r="K392" s="58"/>
      <c r="L392" s="60"/>
      <c r="M392" s="77">
        <v>43465</v>
      </c>
      <c r="N392" s="77" t="s">
        <v>526</v>
      </c>
      <c r="O392" s="150" t="s">
        <v>527</v>
      </c>
      <c r="P392" s="122"/>
      <c r="Q392" s="123"/>
      <c r="R392" s="130"/>
      <c r="S392" s="130">
        <f t="shared" ref="S392:S444" si="8">R392*P392</f>
        <v>0</v>
      </c>
      <c r="T392" s="130"/>
      <c r="U392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الشراء-الاستلام]]&lt;DATE(2018,1,1),S392-T392,0))</f>
        <v>0</v>
      </c>
      <c r="V392" s="169">
        <v>16</v>
      </c>
      <c r="W392" s="116">
        <v>177</v>
      </c>
      <c r="X392" s="116">
        <v>1400</v>
      </c>
      <c r="Y392" s="117">
        <f>Table5101345411[[#This Row],[عدد الإضافات]]*Table5101345411[[#This Row],[سعر الحبة المضافة]]</f>
        <v>22400</v>
      </c>
      <c r="Z392" s="101"/>
      <c r="AA392" s="102"/>
      <c r="AB392" s="103"/>
      <c r="AC392" s="103"/>
      <c r="AD392" s="103"/>
      <c r="AE392" s="103"/>
      <c r="AF392" s="103">
        <f>Table5101345411[[#This Row],[العدد]]*Table5101345411[[#This Row],[قيمة الشراء]]</f>
        <v>0</v>
      </c>
      <c r="AG392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92" s="190">
        <f>Table5101345411[[#This Row],[الكمية]]+Table5101345411[[#This Row],[عدد الإضافات]]-Table5101345411[[#This Row],[العدد]]</f>
        <v>16</v>
      </c>
      <c r="AI392" s="78">
        <f>Table5101345411[[#This Row],[الإجمالي]]+Table5101345411[[#This Row],[إجمالي الإضافات]]-Table5101345411[[#This Row],[إجمالي المستبعد]]</f>
        <v>22400</v>
      </c>
      <c r="AJ392" s="120">
        <v>0.125</v>
      </c>
      <c r="AK392" s="219"/>
      <c r="AL392" s="58"/>
      <c r="AM392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392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92" s="79">
        <f>Table5101345411[[#This Row],[اهلاك المستبعد
في 2018]]+Table5101345411[[#This Row],[مجمع إهلاك المستبعد 
01-01-2018]]</f>
        <v>0</v>
      </c>
      <c r="AP392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92" s="220"/>
      <c r="AR392" s="78">
        <f>IF(OR(Table5101345411[[#This Row],[تاريخ الشراء-الاستلام]]="",Table5101345411[[#This Row],[الإجمالي]]="",Table5101345411[[#This Row],[العمر الافتراضي]]=""),"",IF(((T392+AM392)-Table5101345411[[#This Row],[مجمع إهلاك المستبعد 
بتاريخ الأستبعاد]])&lt;=0,0,((T392+AM392)-Table5101345411[[#This Row],[مجمع إهلاك المستبعد 
بتاريخ الأستبعاد]])))</f>
        <v>0</v>
      </c>
      <c r="AS392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الشراء-الاستلام]]&gt;DATE(2018,12,31),0,AI392-AR392)))</f>
        <v>22400</v>
      </c>
    </row>
    <row r="393" spans="1:45" s="141" customFormat="1" ht="83.25" customHeight="1">
      <c r="A393" s="118">
        <f>IF(B393="","",SUBTOTAL(3,$B$6:B393))</f>
        <v>388</v>
      </c>
      <c r="B393" s="58" t="s">
        <v>445</v>
      </c>
      <c r="C393" s="59" t="s">
        <v>389</v>
      </c>
      <c r="D393" s="59" t="s">
        <v>522</v>
      </c>
      <c r="E393" s="59" t="s">
        <v>120</v>
      </c>
      <c r="F393" s="226" t="s">
        <v>120</v>
      </c>
      <c r="G393" s="226"/>
      <c r="H393" s="58" t="s">
        <v>57</v>
      </c>
      <c r="I393" s="58"/>
      <c r="J393" s="58"/>
      <c r="K393" s="58"/>
      <c r="L393" s="60"/>
      <c r="M393" s="77">
        <v>43465</v>
      </c>
      <c r="N393" s="77" t="s">
        <v>526</v>
      </c>
      <c r="O393" s="150" t="s">
        <v>530</v>
      </c>
      <c r="P393" s="122"/>
      <c r="Q393" s="123"/>
      <c r="R393" s="130"/>
      <c r="S393" s="130">
        <f t="shared" si="8"/>
        <v>0</v>
      </c>
      <c r="T393" s="130"/>
      <c r="U393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الشراء-الاستلام]]&lt;DATE(2018,1,1),S393-T393,0))</f>
        <v>0</v>
      </c>
      <c r="V393" s="169">
        <v>1</v>
      </c>
      <c r="W393" s="116">
        <v>187</v>
      </c>
      <c r="X393" s="116">
        <v>2000</v>
      </c>
      <c r="Y393" s="117">
        <f>Table5101345411[[#This Row],[عدد الإضافات]]*Table5101345411[[#This Row],[سعر الحبة المضافة]]</f>
        <v>2000</v>
      </c>
      <c r="Z393" s="101"/>
      <c r="AA393" s="102"/>
      <c r="AB393" s="103"/>
      <c r="AC393" s="103"/>
      <c r="AD393" s="103"/>
      <c r="AE393" s="103"/>
      <c r="AF393" s="103">
        <f>Table5101345411[[#This Row],[العدد]]*Table5101345411[[#This Row],[قيمة الشراء]]</f>
        <v>0</v>
      </c>
      <c r="AG393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93" s="190">
        <f>Table5101345411[[#This Row],[الكمية]]+Table5101345411[[#This Row],[عدد الإضافات]]-Table5101345411[[#This Row],[العدد]]</f>
        <v>1</v>
      </c>
      <c r="AI393" s="78">
        <f>Table5101345411[[#This Row],[الإجمالي]]+Table5101345411[[#This Row],[إجمالي الإضافات]]-Table5101345411[[#This Row],[إجمالي المستبعد]]</f>
        <v>2000</v>
      </c>
      <c r="AJ393" s="120">
        <v>0.125</v>
      </c>
      <c r="AK393" s="219"/>
      <c r="AL393" s="58"/>
      <c r="AM393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393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93" s="79">
        <f>Table5101345411[[#This Row],[اهلاك المستبعد
في 2018]]+Table5101345411[[#This Row],[مجمع إهلاك المستبعد 
01-01-2018]]</f>
        <v>0</v>
      </c>
      <c r="AP393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93" s="220"/>
      <c r="AR393" s="78">
        <f>IF(OR(Table5101345411[[#This Row],[تاريخ الشراء-الاستلام]]="",Table5101345411[[#This Row],[الإجمالي]]="",Table5101345411[[#This Row],[العمر الافتراضي]]=""),"",IF(((T393+AM393)-Table5101345411[[#This Row],[مجمع إهلاك المستبعد 
بتاريخ الأستبعاد]])&lt;=0,0,((T393+AM393)-Table5101345411[[#This Row],[مجمع إهلاك المستبعد 
بتاريخ الأستبعاد]])))</f>
        <v>0</v>
      </c>
      <c r="AS393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الشراء-الاستلام]]&gt;DATE(2018,12,31),0,AI393-AR393)))</f>
        <v>2000</v>
      </c>
    </row>
    <row r="394" spans="1:45" s="141" customFormat="1" ht="83.25" customHeight="1">
      <c r="A394" s="118">
        <f>IF(B394="","",SUBTOTAL(3,$B$6:B394))</f>
        <v>389</v>
      </c>
      <c r="B394" s="58" t="s">
        <v>451</v>
      </c>
      <c r="C394" s="59" t="s">
        <v>389</v>
      </c>
      <c r="D394" s="59" t="s">
        <v>522</v>
      </c>
      <c r="E394" s="59" t="s">
        <v>120</v>
      </c>
      <c r="F394" s="226" t="s">
        <v>120</v>
      </c>
      <c r="G394" s="226"/>
      <c r="H394" s="58" t="s">
        <v>57</v>
      </c>
      <c r="I394" s="58"/>
      <c r="J394" s="58"/>
      <c r="K394" s="58"/>
      <c r="L394" s="60"/>
      <c r="M394" s="77">
        <v>43465</v>
      </c>
      <c r="N394" s="77" t="s">
        <v>526</v>
      </c>
      <c r="O394" s="150" t="s">
        <v>528</v>
      </c>
      <c r="P394" s="122"/>
      <c r="Q394" s="123"/>
      <c r="R394" s="130"/>
      <c r="S394" s="130">
        <f t="shared" si="8"/>
        <v>0</v>
      </c>
      <c r="T394" s="130"/>
      <c r="U394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الشراء-الاستلام]]&lt;DATE(2018,1,1),S394-T394,0))</f>
        <v>0</v>
      </c>
      <c r="V394" s="169">
        <v>30</v>
      </c>
      <c r="W394" s="116">
        <v>221</v>
      </c>
      <c r="X394" s="116">
        <v>1400</v>
      </c>
      <c r="Y394" s="117">
        <f>Table5101345411[[#This Row],[عدد الإضافات]]*Table5101345411[[#This Row],[سعر الحبة المضافة]]</f>
        <v>42000</v>
      </c>
      <c r="Z394" s="101"/>
      <c r="AA394" s="102"/>
      <c r="AB394" s="103"/>
      <c r="AC394" s="103"/>
      <c r="AD394" s="103"/>
      <c r="AE394" s="103"/>
      <c r="AF394" s="103">
        <f>Table5101345411[[#This Row],[العدد]]*Table5101345411[[#This Row],[قيمة الشراء]]</f>
        <v>0</v>
      </c>
      <c r="AG394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94" s="190">
        <f>Table5101345411[[#This Row],[الكمية]]+Table5101345411[[#This Row],[عدد الإضافات]]-Table5101345411[[#This Row],[العدد]]</f>
        <v>30</v>
      </c>
      <c r="AI394" s="78">
        <f>Table5101345411[[#This Row],[الإجمالي]]+Table5101345411[[#This Row],[إجمالي الإضافات]]-Table5101345411[[#This Row],[إجمالي المستبعد]]</f>
        <v>42000</v>
      </c>
      <c r="AJ394" s="120">
        <v>0.125</v>
      </c>
      <c r="AK394" s="219"/>
      <c r="AL394" s="58"/>
      <c r="AM394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394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94" s="79">
        <f>Table5101345411[[#This Row],[اهلاك المستبعد
في 2018]]+Table5101345411[[#This Row],[مجمع إهلاك المستبعد 
01-01-2018]]</f>
        <v>0</v>
      </c>
      <c r="AP394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94" s="220"/>
      <c r="AR394" s="78">
        <f>IF(OR(Table5101345411[[#This Row],[تاريخ الشراء-الاستلام]]="",Table5101345411[[#This Row],[الإجمالي]]="",Table5101345411[[#This Row],[العمر الافتراضي]]=""),"",IF(((T394+AM394)-Table5101345411[[#This Row],[مجمع إهلاك المستبعد 
بتاريخ الأستبعاد]])&lt;=0,0,((T394+AM394)-Table5101345411[[#This Row],[مجمع إهلاك المستبعد 
بتاريخ الأستبعاد]])))</f>
        <v>0</v>
      </c>
      <c r="AS394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الشراء-الاستلام]]&gt;DATE(2018,12,31),0,AI394-AR394)))</f>
        <v>42000</v>
      </c>
    </row>
    <row r="395" spans="1:45" s="141" customFormat="1" ht="83.25" customHeight="1">
      <c r="A395" s="118">
        <f>IF(B395="","",SUBTOTAL(3,$B$6:B395))</f>
        <v>390</v>
      </c>
      <c r="B395" s="58" t="s">
        <v>451</v>
      </c>
      <c r="C395" s="59" t="s">
        <v>389</v>
      </c>
      <c r="D395" s="59" t="s">
        <v>522</v>
      </c>
      <c r="E395" s="59" t="s">
        <v>120</v>
      </c>
      <c r="F395" s="226" t="s">
        <v>120</v>
      </c>
      <c r="G395" s="226"/>
      <c r="H395" s="58" t="s">
        <v>57</v>
      </c>
      <c r="I395" s="58"/>
      <c r="J395" s="58"/>
      <c r="K395" s="58"/>
      <c r="L395" s="60"/>
      <c r="M395" s="77">
        <v>43465</v>
      </c>
      <c r="N395" s="77" t="s">
        <v>526</v>
      </c>
      <c r="O395" s="150" t="s">
        <v>528</v>
      </c>
      <c r="P395" s="122"/>
      <c r="Q395" s="123"/>
      <c r="R395" s="130"/>
      <c r="S395" s="130">
        <f t="shared" si="8"/>
        <v>0</v>
      </c>
      <c r="T395" s="130"/>
      <c r="U395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الشراء-الاستلام]]&lt;DATE(2018,1,1),S395-T395,0))</f>
        <v>0</v>
      </c>
      <c r="V395" s="169">
        <v>4</v>
      </c>
      <c r="W395" s="116">
        <v>216</v>
      </c>
      <c r="X395" s="116">
        <v>1400</v>
      </c>
      <c r="Y395" s="117">
        <f>Table5101345411[[#This Row],[عدد الإضافات]]*Table5101345411[[#This Row],[سعر الحبة المضافة]]</f>
        <v>5600</v>
      </c>
      <c r="Z395" s="101"/>
      <c r="AA395" s="102"/>
      <c r="AB395" s="103"/>
      <c r="AC395" s="103"/>
      <c r="AD395" s="103"/>
      <c r="AE395" s="103"/>
      <c r="AF395" s="103">
        <f>Table5101345411[[#This Row],[العدد]]*Table5101345411[[#This Row],[قيمة الشراء]]</f>
        <v>0</v>
      </c>
      <c r="AG395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95" s="190">
        <f>Table5101345411[[#This Row],[الكمية]]+Table5101345411[[#This Row],[عدد الإضافات]]-Table5101345411[[#This Row],[العدد]]</f>
        <v>4</v>
      </c>
      <c r="AI395" s="78">
        <f>Table5101345411[[#This Row],[الإجمالي]]+Table5101345411[[#This Row],[إجمالي الإضافات]]-Table5101345411[[#This Row],[إجمالي المستبعد]]</f>
        <v>5600</v>
      </c>
      <c r="AJ395" s="120">
        <v>0.125</v>
      </c>
      <c r="AK395" s="219"/>
      <c r="AL395" s="58"/>
      <c r="AM395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395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95" s="79">
        <f>Table5101345411[[#This Row],[اهلاك المستبعد
في 2018]]+Table5101345411[[#This Row],[مجمع إهلاك المستبعد 
01-01-2018]]</f>
        <v>0</v>
      </c>
      <c r="AP395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95" s="220"/>
      <c r="AR395" s="78">
        <f>IF(OR(Table5101345411[[#This Row],[تاريخ الشراء-الاستلام]]="",Table5101345411[[#This Row],[الإجمالي]]="",Table5101345411[[#This Row],[العمر الافتراضي]]=""),"",IF(((T395+AM395)-Table5101345411[[#This Row],[مجمع إهلاك المستبعد 
بتاريخ الأستبعاد]])&lt;=0,0,((T395+AM395)-Table5101345411[[#This Row],[مجمع إهلاك المستبعد 
بتاريخ الأستبعاد]])))</f>
        <v>0</v>
      </c>
      <c r="AS395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الشراء-الاستلام]]&gt;DATE(2018,12,31),0,AI395-AR395)))</f>
        <v>5600</v>
      </c>
    </row>
    <row r="396" spans="1:45" s="141" customFormat="1" ht="83.25" customHeight="1">
      <c r="A396" s="118">
        <f>IF(B396="","",SUBTOTAL(3,$B$6:B396))</f>
        <v>391</v>
      </c>
      <c r="B396" s="58" t="s">
        <v>525</v>
      </c>
      <c r="C396" s="59" t="s">
        <v>389</v>
      </c>
      <c r="D396" s="59" t="s">
        <v>522</v>
      </c>
      <c r="E396" s="59" t="s">
        <v>120</v>
      </c>
      <c r="F396" s="226" t="s">
        <v>120</v>
      </c>
      <c r="G396" s="226"/>
      <c r="H396" s="58" t="s">
        <v>57</v>
      </c>
      <c r="I396" s="58"/>
      <c r="J396" s="58"/>
      <c r="K396" s="58"/>
      <c r="L396" s="60"/>
      <c r="M396" s="77">
        <v>43465</v>
      </c>
      <c r="N396" s="77" t="s">
        <v>526</v>
      </c>
      <c r="O396" s="150" t="s">
        <v>528</v>
      </c>
      <c r="P396" s="122"/>
      <c r="Q396" s="123"/>
      <c r="R396" s="130"/>
      <c r="S396" s="130">
        <f t="shared" si="8"/>
        <v>0</v>
      </c>
      <c r="T396" s="130"/>
      <c r="U396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الشراء-الاستلام]]&lt;DATE(2018,1,1),S396-T396,0))</f>
        <v>0</v>
      </c>
      <c r="V396" s="169">
        <v>10</v>
      </c>
      <c r="W396" s="116">
        <v>253</v>
      </c>
      <c r="X396" s="116">
        <v>600</v>
      </c>
      <c r="Y396" s="117">
        <f>Table5101345411[[#This Row],[عدد الإضافات]]*Table5101345411[[#This Row],[سعر الحبة المضافة]]</f>
        <v>6000</v>
      </c>
      <c r="Z396" s="101"/>
      <c r="AA396" s="102"/>
      <c r="AB396" s="103"/>
      <c r="AC396" s="103"/>
      <c r="AD396" s="103"/>
      <c r="AE396" s="103"/>
      <c r="AF396" s="103">
        <f>Table5101345411[[#This Row],[العدد]]*Table5101345411[[#This Row],[قيمة الشراء]]</f>
        <v>0</v>
      </c>
      <c r="AG396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96" s="190">
        <f>Table5101345411[[#This Row],[الكمية]]+Table5101345411[[#This Row],[عدد الإضافات]]-Table5101345411[[#This Row],[العدد]]</f>
        <v>10</v>
      </c>
      <c r="AI396" s="78">
        <f>Table5101345411[[#This Row],[الإجمالي]]+Table5101345411[[#This Row],[إجمالي الإضافات]]-Table5101345411[[#This Row],[إجمالي المستبعد]]</f>
        <v>6000</v>
      </c>
      <c r="AJ396" s="120">
        <v>0.125</v>
      </c>
      <c r="AK396" s="219"/>
      <c r="AL396" s="58"/>
      <c r="AM396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396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96" s="79">
        <f>Table5101345411[[#This Row],[اهلاك المستبعد
في 2018]]+Table5101345411[[#This Row],[مجمع إهلاك المستبعد 
01-01-2018]]</f>
        <v>0</v>
      </c>
      <c r="AP396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96" s="220"/>
      <c r="AR396" s="78">
        <f>IF(OR(Table5101345411[[#This Row],[تاريخ الشراء-الاستلام]]="",Table5101345411[[#This Row],[الإجمالي]]="",Table5101345411[[#This Row],[العمر الافتراضي]]=""),"",IF(((T396+AM396)-Table5101345411[[#This Row],[مجمع إهلاك المستبعد 
بتاريخ الأستبعاد]])&lt;=0,0,((T396+AM396)-Table5101345411[[#This Row],[مجمع إهلاك المستبعد 
بتاريخ الأستبعاد]])))</f>
        <v>0</v>
      </c>
      <c r="AS396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الشراء-الاستلام]]&gt;DATE(2018,12,31),0,AI396-AR396)))</f>
        <v>6000</v>
      </c>
    </row>
    <row r="397" spans="1:45" s="141" customFormat="1" ht="83.25" customHeight="1">
      <c r="A397" s="118">
        <f>IF(B397="","",SUBTOTAL(3,$B$6:B397))</f>
        <v>392</v>
      </c>
      <c r="B397" s="58" t="s">
        <v>525</v>
      </c>
      <c r="C397" s="59" t="s">
        <v>389</v>
      </c>
      <c r="D397" s="59" t="s">
        <v>522</v>
      </c>
      <c r="E397" s="59" t="s">
        <v>120</v>
      </c>
      <c r="F397" s="226" t="s">
        <v>120</v>
      </c>
      <c r="G397" s="226"/>
      <c r="H397" s="58" t="s">
        <v>57</v>
      </c>
      <c r="I397" s="58"/>
      <c r="J397" s="58"/>
      <c r="K397" s="58"/>
      <c r="L397" s="60"/>
      <c r="M397" s="77">
        <v>43465</v>
      </c>
      <c r="N397" s="77" t="s">
        <v>526</v>
      </c>
      <c r="O397" s="150" t="s">
        <v>528</v>
      </c>
      <c r="P397" s="122"/>
      <c r="Q397" s="123"/>
      <c r="R397" s="130"/>
      <c r="S397" s="130">
        <f t="shared" si="8"/>
        <v>0</v>
      </c>
      <c r="T397" s="130"/>
      <c r="U397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الشراء-الاستلام]]&lt;DATE(2018,1,1),S397-T397,0))</f>
        <v>0</v>
      </c>
      <c r="V397" s="169">
        <v>10</v>
      </c>
      <c r="W397" s="116">
        <v>268</v>
      </c>
      <c r="X397" s="116">
        <v>600</v>
      </c>
      <c r="Y397" s="117">
        <f>Table5101345411[[#This Row],[عدد الإضافات]]*Table5101345411[[#This Row],[سعر الحبة المضافة]]</f>
        <v>6000</v>
      </c>
      <c r="Z397" s="101"/>
      <c r="AA397" s="102"/>
      <c r="AB397" s="103"/>
      <c r="AC397" s="103"/>
      <c r="AD397" s="103"/>
      <c r="AE397" s="103"/>
      <c r="AF397" s="103">
        <f>Table5101345411[[#This Row],[العدد]]*Table5101345411[[#This Row],[قيمة الشراء]]</f>
        <v>0</v>
      </c>
      <c r="AG397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97" s="190">
        <f>Table5101345411[[#This Row],[الكمية]]+Table5101345411[[#This Row],[عدد الإضافات]]-Table5101345411[[#This Row],[العدد]]</f>
        <v>10</v>
      </c>
      <c r="AI397" s="78">
        <f>Table5101345411[[#This Row],[الإجمالي]]+Table5101345411[[#This Row],[إجمالي الإضافات]]-Table5101345411[[#This Row],[إجمالي المستبعد]]</f>
        <v>6000</v>
      </c>
      <c r="AJ397" s="120">
        <v>0.125</v>
      </c>
      <c r="AK397" s="219"/>
      <c r="AL397" s="58"/>
      <c r="AM397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397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97" s="79">
        <f>Table5101345411[[#This Row],[اهلاك المستبعد
في 2018]]+Table5101345411[[#This Row],[مجمع إهلاك المستبعد 
01-01-2018]]</f>
        <v>0</v>
      </c>
      <c r="AP397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97" s="220"/>
      <c r="AR397" s="78">
        <f>IF(OR(Table5101345411[[#This Row],[تاريخ الشراء-الاستلام]]="",Table5101345411[[#This Row],[الإجمالي]]="",Table5101345411[[#This Row],[العمر الافتراضي]]=""),"",IF(((T397+AM397)-Table5101345411[[#This Row],[مجمع إهلاك المستبعد 
بتاريخ الأستبعاد]])&lt;=0,0,((T397+AM397)-Table5101345411[[#This Row],[مجمع إهلاك المستبعد 
بتاريخ الأستبعاد]])))</f>
        <v>0</v>
      </c>
      <c r="AS397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الشراء-الاستلام]]&gt;DATE(2018,12,31),0,AI397-AR397)))</f>
        <v>6000</v>
      </c>
    </row>
    <row r="398" spans="1:45" s="141" customFormat="1" ht="83.25" customHeight="1">
      <c r="A398" s="118">
        <f>IF(B398="","",SUBTOTAL(3,$B$6:B398))</f>
        <v>393</v>
      </c>
      <c r="B398" s="58" t="s">
        <v>451</v>
      </c>
      <c r="C398" s="59" t="s">
        <v>389</v>
      </c>
      <c r="D398" s="59" t="s">
        <v>522</v>
      </c>
      <c r="E398" s="59" t="s">
        <v>120</v>
      </c>
      <c r="F398" s="226" t="s">
        <v>120</v>
      </c>
      <c r="G398" s="226"/>
      <c r="H398" s="58" t="s">
        <v>57</v>
      </c>
      <c r="I398" s="58"/>
      <c r="J398" s="58"/>
      <c r="K398" s="58"/>
      <c r="L398" s="60"/>
      <c r="M398" s="77">
        <v>43465</v>
      </c>
      <c r="N398" s="77" t="s">
        <v>526</v>
      </c>
      <c r="O398" s="150" t="s">
        <v>529</v>
      </c>
      <c r="P398" s="122"/>
      <c r="Q398" s="123"/>
      <c r="R398" s="130"/>
      <c r="S398" s="130">
        <f t="shared" si="8"/>
        <v>0</v>
      </c>
      <c r="T398" s="130"/>
      <c r="U398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الشراء-الاستلام]]&lt;DATE(2018,1,1),S398-T398,0))</f>
        <v>0</v>
      </c>
      <c r="V398" s="169">
        <v>10</v>
      </c>
      <c r="W398" s="116">
        <v>303</v>
      </c>
      <c r="X398" s="116">
        <v>1400</v>
      </c>
      <c r="Y398" s="117">
        <f>Table5101345411[[#This Row],[عدد الإضافات]]*Table5101345411[[#This Row],[سعر الحبة المضافة]]</f>
        <v>14000</v>
      </c>
      <c r="Z398" s="101"/>
      <c r="AA398" s="102"/>
      <c r="AB398" s="103"/>
      <c r="AC398" s="103"/>
      <c r="AD398" s="103"/>
      <c r="AE398" s="103"/>
      <c r="AF398" s="103">
        <f>Table5101345411[[#This Row],[العدد]]*Table5101345411[[#This Row],[قيمة الشراء]]</f>
        <v>0</v>
      </c>
      <c r="AG398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98" s="190">
        <f>Table5101345411[[#This Row],[الكمية]]+Table5101345411[[#This Row],[عدد الإضافات]]-Table5101345411[[#This Row],[العدد]]</f>
        <v>10</v>
      </c>
      <c r="AI398" s="78">
        <f>Table5101345411[[#This Row],[الإجمالي]]+Table5101345411[[#This Row],[إجمالي الإضافات]]-Table5101345411[[#This Row],[إجمالي المستبعد]]</f>
        <v>14000</v>
      </c>
      <c r="AJ398" s="120">
        <v>0.125</v>
      </c>
      <c r="AK398" s="219"/>
      <c r="AL398" s="58"/>
      <c r="AM398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398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98" s="79">
        <f>Table5101345411[[#This Row],[اهلاك المستبعد
في 2018]]+Table5101345411[[#This Row],[مجمع إهلاك المستبعد 
01-01-2018]]</f>
        <v>0</v>
      </c>
      <c r="AP398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98" s="220"/>
      <c r="AR398" s="78">
        <f>IF(OR(Table5101345411[[#This Row],[تاريخ الشراء-الاستلام]]="",Table5101345411[[#This Row],[الإجمالي]]="",Table5101345411[[#This Row],[العمر الافتراضي]]=""),"",IF(((T398+AM398)-Table5101345411[[#This Row],[مجمع إهلاك المستبعد 
بتاريخ الأستبعاد]])&lt;=0,0,((T398+AM398)-Table5101345411[[#This Row],[مجمع إهلاك المستبعد 
بتاريخ الأستبعاد]])))</f>
        <v>0</v>
      </c>
      <c r="AS398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الشراء-الاستلام]]&gt;DATE(2018,12,31),0,AI398-AR398)))</f>
        <v>14000</v>
      </c>
    </row>
    <row r="399" spans="1:45" s="141" customFormat="1" ht="83.25" customHeight="1">
      <c r="A399" s="118">
        <f>IF(B399="","",SUBTOTAL(3,$B$6:B399))</f>
        <v>394</v>
      </c>
      <c r="B399" s="58" t="s">
        <v>451</v>
      </c>
      <c r="C399" s="59" t="s">
        <v>389</v>
      </c>
      <c r="D399" s="59" t="s">
        <v>522</v>
      </c>
      <c r="E399" s="59" t="s">
        <v>120</v>
      </c>
      <c r="F399" s="226" t="s">
        <v>120</v>
      </c>
      <c r="G399" s="226"/>
      <c r="H399" s="58" t="s">
        <v>57</v>
      </c>
      <c r="I399" s="58"/>
      <c r="J399" s="58"/>
      <c r="K399" s="58"/>
      <c r="L399" s="60"/>
      <c r="M399" s="77">
        <v>43465</v>
      </c>
      <c r="N399" s="77" t="s">
        <v>526</v>
      </c>
      <c r="O399" s="150" t="s">
        <v>529</v>
      </c>
      <c r="P399" s="122"/>
      <c r="Q399" s="123"/>
      <c r="R399" s="130"/>
      <c r="S399" s="130">
        <f t="shared" si="8"/>
        <v>0</v>
      </c>
      <c r="T399" s="130"/>
      <c r="U399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الشراء-الاستلام]]&lt;DATE(2018,1,1),S399-T399,0))</f>
        <v>0</v>
      </c>
      <c r="V399" s="169">
        <v>10</v>
      </c>
      <c r="W399" s="116">
        <v>297</v>
      </c>
      <c r="X399" s="116">
        <v>1400</v>
      </c>
      <c r="Y399" s="117">
        <f>Table5101345411[[#This Row],[عدد الإضافات]]*Table5101345411[[#This Row],[سعر الحبة المضافة]]</f>
        <v>14000</v>
      </c>
      <c r="Z399" s="101"/>
      <c r="AA399" s="102"/>
      <c r="AB399" s="103"/>
      <c r="AC399" s="103"/>
      <c r="AD399" s="103"/>
      <c r="AE399" s="103"/>
      <c r="AF399" s="103">
        <f>Table5101345411[[#This Row],[العدد]]*Table5101345411[[#This Row],[قيمة الشراء]]</f>
        <v>0</v>
      </c>
      <c r="AG399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399" s="190">
        <f>Table5101345411[[#This Row],[الكمية]]+Table5101345411[[#This Row],[عدد الإضافات]]-Table5101345411[[#This Row],[العدد]]</f>
        <v>10</v>
      </c>
      <c r="AI399" s="78">
        <f>Table5101345411[[#This Row],[الإجمالي]]+Table5101345411[[#This Row],[إجمالي الإضافات]]-Table5101345411[[#This Row],[إجمالي المستبعد]]</f>
        <v>14000</v>
      </c>
      <c r="AJ399" s="120">
        <v>0.125</v>
      </c>
      <c r="AK399" s="219"/>
      <c r="AL399" s="58"/>
      <c r="AM399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399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399" s="79">
        <f>Table5101345411[[#This Row],[اهلاك المستبعد
في 2018]]+Table5101345411[[#This Row],[مجمع إهلاك المستبعد 
01-01-2018]]</f>
        <v>0</v>
      </c>
      <c r="AP399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399" s="220"/>
      <c r="AR399" s="78">
        <f>IF(OR(Table5101345411[[#This Row],[تاريخ الشراء-الاستلام]]="",Table5101345411[[#This Row],[الإجمالي]]="",Table5101345411[[#This Row],[العمر الافتراضي]]=""),"",IF(((T399+AM399)-Table5101345411[[#This Row],[مجمع إهلاك المستبعد 
بتاريخ الأستبعاد]])&lt;=0,0,((T399+AM399)-Table5101345411[[#This Row],[مجمع إهلاك المستبعد 
بتاريخ الأستبعاد]])))</f>
        <v>0</v>
      </c>
      <c r="AS399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الشراء-الاستلام]]&gt;DATE(2018,12,31),0,AI399-AR399)))</f>
        <v>14000</v>
      </c>
    </row>
    <row r="400" spans="1:45" s="141" customFormat="1" ht="83.25" customHeight="1">
      <c r="A400" s="118">
        <f>IF(B400="","",SUBTOTAL(3,$B$6:B400))</f>
        <v>395</v>
      </c>
      <c r="B400" s="58" t="s">
        <v>449</v>
      </c>
      <c r="C400" s="59" t="s">
        <v>389</v>
      </c>
      <c r="D400" s="59" t="s">
        <v>522</v>
      </c>
      <c r="E400" s="59" t="s">
        <v>524</v>
      </c>
      <c r="F400" s="226" t="s">
        <v>524</v>
      </c>
      <c r="G400" s="226"/>
      <c r="H400" s="58" t="s">
        <v>57</v>
      </c>
      <c r="I400" s="58"/>
      <c r="J400" s="58"/>
      <c r="K400" s="58"/>
      <c r="L400" s="60"/>
      <c r="M400" s="77">
        <v>43465</v>
      </c>
      <c r="N400" s="77" t="s">
        <v>526</v>
      </c>
      <c r="O400" s="150" t="s">
        <v>528</v>
      </c>
      <c r="P400" s="122"/>
      <c r="Q400" s="123"/>
      <c r="R400" s="130"/>
      <c r="S400" s="130">
        <f t="shared" si="8"/>
        <v>0</v>
      </c>
      <c r="T400" s="130"/>
      <c r="U400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الشراء-الاستلام]]&lt;DATE(2018,1,1),S400-T400,0))</f>
        <v>0</v>
      </c>
      <c r="V400" s="169">
        <v>30</v>
      </c>
      <c r="W400" s="116">
        <v>216</v>
      </c>
      <c r="X400" s="116">
        <v>1300</v>
      </c>
      <c r="Y400" s="117">
        <f>Table5101345411[[#This Row],[عدد الإضافات]]*Table5101345411[[#This Row],[سعر الحبة المضافة]]</f>
        <v>39000</v>
      </c>
      <c r="Z400" s="101"/>
      <c r="AA400" s="102"/>
      <c r="AB400" s="103"/>
      <c r="AC400" s="103"/>
      <c r="AD400" s="103"/>
      <c r="AE400" s="103"/>
      <c r="AF400" s="103">
        <f>Table5101345411[[#This Row],[العدد]]*Table5101345411[[#This Row],[قيمة الشراء]]</f>
        <v>0</v>
      </c>
      <c r="AG400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00" s="190">
        <f>Table5101345411[[#This Row],[الكمية]]+Table5101345411[[#This Row],[عدد الإضافات]]-Table5101345411[[#This Row],[العدد]]</f>
        <v>30</v>
      </c>
      <c r="AI400" s="78">
        <f>Table5101345411[[#This Row],[الإجمالي]]+Table5101345411[[#This Row],[إجمالي الإضافات]]-Table5101345411[[#This Row],[إجمالي المستبعد]]</f>
        <v>39000</v>
      </c>
      <c r="AJ400" s="62">
        <v>0.125</v>
      </c>
      <c r="AK400" s="219"/>
      <c r="AL400" s="58"/>
      <c r="AM400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00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00" s="79">
        <f>Table5101345411[[#This Row],[اهلاك المستبعد
في 2018]]+Table5101345411[[#This Row],[مجمع إهلاك المستبعد 
01-01-2018]]</f>
        <v>0</v>
      </c>
      <c r="AP400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00" s="220"/>
      <c r="AR400" s="78">
        <f>IF(OR(Table5101345411[[#This Row],[تاريخ الشراء-الاستلام]]="",Table5101345411[[#This Row],[الإجمالي]]="",Table5101345411[[#This Row],[العمر الافتراضي]]=""),"",IF(((T400+AM400)-Table5101345411[[#This Row],[مجمع إهلاك المستبعد 
بتاريخ الأستبعاد]])&lt;=0,0,((T400+AM400)-Table5101345411[[#This Row],[مجمع إهلاك المستبعد 
بتاريخ الأستبعاد]])))</f>
        <v>0</v>
      </c>
      <c r="AS400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الشراء-الاستلام]]&gt;DATE(2018,12,31),0,AI400-AR400)))</f>
        <v>39000</v>
      </c>
    </row>
    <row r="401" spans="1:45" s="141" customFormat="1" ht="83.25" customHeight="1">
      <c r="A401" s="118">
        <f>IF(B401="","",SUBTOTAL(3,$B$6:B401))</f>
        <v>396</v>
      </c>
      <c r="B401" s="58" t="s">
        <v>535</v>
      </c>
      <c r="C401" s="59" t="s">
        <v>389</v>
      </c>
      <c r="D401" s="59" t="s">
        <v>522</v>
      </c>
      <c r="E401" s="59" t="s">
        <v>524</v>
      </c>
      <c r="F401" s="226" t="s">
        <v>524</v>
      </c>
      <c r="G401" s="226"/>
      <c r="H401" s="58" t="s">
        <v>57</v>
      </c>
      <c r="I401" s="58"/>
      <c r="J401" s="58"/>
      <c r="K401" s="58"/>
      <c r="L401" s="60"/>
      <c r="M401" s="77">
        <v>43465</v>
      </c>
      <c r="N401" s="77" t="s">
        <v>526</v>
      </c>
      <c r="O401" s="150" t="s">
        <v>521</v>
      </c>
      <c r="P401" s="122"/>
      <c r="Q401" s="123"/>
      <c r="R401" s="130"/>
      <c r="S401" s="130">
        <f t="shared" si="8"/>
        <v>0</v>
      </c>
      <c r="T401" s="130"/>
      <c r="U401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الشراء-الاستلام]]&lt;DATE(2018,1,1),S401-T401,0))</f>
        <v>0</v>
      </c>
      <c r="V401" s="169">
        <v>50</v>
      </c>
      <c r="W401" s="116">
        <v>180395</v>
      </c>
      <c r="X401" s="116">
        <v>1050</v>
      </c>
      <c r="Y401" s="117">
        <f>Table5101345411[[#This Row],[عدد الإضافات]]*Table5101345411[[#This Row],[سعر الحبة المضافة]]</f>
        <v>52500</v>
      </c>
      <c r="Z401" s="101"/>
      <c r="AA401" s="102"/>
      <c r="AB401" s="103"/>
      <c r="AC401" s="103"/>
      <c r="AD401" s="103"/>
      <c r="AE401" s="103"/>
      <c r="AF401" s="103">
        <f>Table5101345411[[#This Row],[العدد]]*Table5101345411[[#This Row],[قيمة الشراء]]</f>
        <v>0</v>
      </c>
      <c r="AG401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01" s="190">
        <f>Table5101345411[[#This Row],[الكمية]]+Table5101345411[[#This Row],[عدد الإضافات]]-Table5101345411[[#This Row],[العدد]]</f>
        <v>50</v>
      </c>
      <c r="AI401" s="78">
        <f>Table5101345411[[#This Row],[الإجمالي]]+Table5101345411[[#This Row],[إجمالي الإضافات]]-Table5101345411[[#This Row],[إجمالي المستبعد]]</f>
        <v>52500</v>
      </c>
      <c r="AJ401" s="62">
        <v>0.125</v>
      </c>
      <c r="AK401" s="219"/>
      <c r="AL401" s="58"/>
      <c r="AM401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01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01" s="79">
        <f>Table5101345411[[#This Row],[اهلاك المستبعد
في 2018]]+Table5101345411[[#This Row],[مجمع إهلاك المستبعد 
01-01-2018]]</f>
        <v>0</v>
      </c>
      <c r="AP401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01" s="220"/>
      <c r="AR401" s="78">
        <f>IF(OR(Table5101345411[[#This Row],[تاريخ الشراء-الاستلام]]="",Table5101345411[[#This Row],[الإجمالي]]="",Table5101345411[[#This Row],[العمر الافتراضي]]=""),"",IF(((T401+AM401)-Table5101345411[[#This Row],[مجمع إهلاك المستبعد 
بتاريخ الأستبعاد]])&lt;=0,0,((T401+AM401)-Table5101345411[[#This Row],[مجمع إهلاك المستبعد 
بتاريخ الأستبعاد]])))</f>
        <v>0</v>
      </c>
      <c r="AS401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الشراء-الاستلام]]&gt;DATE(2018,12,31),0,AI401-AR401)))</f>
        <v>52500</v>
      </c>
    </row>
    <row r="402" spans="1:45" s="141" customFormat="1" ht="83.25" customHeight="1">
      <c r="A402" s="118">
        <f>IF(B402="","",SUBTOTAL(3,$B$6:B402))</f>
        <v>397</v>
      </c>
      <c r="B402" s="58" t="s">
        <v>449</v>
      </c>
      <c r="C402" s="59" t="s">
        <v>389</v>
      </c>
      <c r="D402" s="59" t="s">
        <v>522</v>
      </c>
      <c r="E402" s="59" t="s">
        <v>524</v>
      </c>
      <c r="F402" s="226" t="s">
        <v>524</v>
      </c>
      <c r="G402" s="226"/>
      <c r="H402" s="58" t="s">
        <v>57</v>
      </c>
      <c r="I402" s="58"/>
      <c r="J402" s="58"/>
      <c r="K402" s="58"/>
      <c r="L402" s="60"/>
      <c r="M402" s="77">
        <v>43465</v>
      </c>
      <c r="N402" s="77" t="s">
        <v>526</v>
      </c>
      <c r="O402" s="150" t="s">
        <v>529</v>
      </c>
      <c r="P402" s="122"/>
      <c r="Q402" s="123"/>
      <c r="R402" s="130"/>
      <c r="S402" s="130">
        <f t="shared" si="8"/>
        <v>0</v>
      </c>
      <c r="T402" s="130"/>
      <c r="U402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الشراء-الاستلام]]&lt;DATE(2018,1,1),S402-T402,0))</f>
        <v>0</v>
      </c>
      <c r="V402" s="169">
        <v>15</v>
      </c>
      <c r="W402" s="116">
        <v>282</v>
      </c>
      <c r="X402" s="116">
        <v>1300</v>
      </c>
      <c r="Y402" s="117">
        <f>Table5101345411[[#This Row],[عدد الإضافات]]*Table5101345411[[#This Row],[سعر الحبة المضافة]]</f>
        <v>19500</v>
      </c>
      <c r="Z402" s="101"/>
      <c r="AA402" s="102"/>
      <c r="AB402" s="103"/>
      <c r="AC402" s="103"/>
      <c r="AD402" s="103"/>
      <c r="AE402" s="103"/>
      <c r="AF402" s="103">
        <f>Table5101345411[[#This Row],[العدد]]*Table5101345411[[#This Row],[قيمة الشراء]]</f>
        <v>0</v>
      </c>
      <c r="AG402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02" s="190">
        <f>Table5101345411[[#This Row],[الكمية]]+Table5101345411[[#This Row],[عدد الإضافات]]-Table5101345411[[#This Row],[العدد]]</f>
        <v>15</v>
      </c>
      <c r="AI402" s="78">
        <f>Table5101345411[[#This Row],[الإجمالي]]+Table5101345411[[#This Row],[إجمالي الإضافات]]-Table5101345411[[#This Row],[إجمالي المستبعد]]</f>
        <v>19500</v>
      </c>
      <c r="AJ402" s="62">
        <v>0.125</v>
      </c>
      <c r="AK402" s="219"/>
      <c r="AL402" s="58"/>
      <c r="AM402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02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02" s="79">
        <f>Table5101345411[[#This Row],[اهلاك المستبعد
في 2018]]+Table5101345411[[#This Row],[مجمع إهلاك المستبعد 
01-01-2018]]</f>
        <v>0</v>
      </c>
      <c r="AP402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02" s="220"/>
      <c r="AR402" s="78">
        <f>IF(OR(Table5101345411[[#This Row],[تاريخ الشراء-الاستلام]]="",Table5101345411[[#This Row],[الإجمالي]]="",Table5101345411[[#This Row],[العمر الافتراضي]]=""),"",IF(((T402+AM402)-Table5101345411[[#This Row],[مجمع إهلاك المستبعد 
بتاريخ الأستبعاد]])&lt;=0,0,((T402+AM402)-Table5101345411[[#This Row],[مجمع إهلاك المستبعد 
بتاريخ الأستبعاد]])))</f>
        <v>0</v>
      </c>
      <c r="AS402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الشراء-الاستلام]]&gt;DATE(2018,12,31),0,AI402-AR402)))</f>
        <v>19500</v>
      </c>
    </row>
    <row r="403" spans="1:45" s="141" customFormat="1" ht="83.25" customHeight="1">
      <c r="A403" s="118">
        <f>IF(B403="","",SUBTOTAL(3,$B$6:B403))</f>
        <v>398</v>
      </c>
      <c r="B403" s="58" t="s">
        <v>165</v>
      </c>
      <c r="C403" s="59" t="s">
        <v>389</v>
      </c>
      <c r="D403" s="59" t="s">
        <v>84</v>
      </c>
      <c r="E403" s="59" t="s">
        <v>84</v>
      </c>
      <c r="F403" s="226" t="s">
        <v>84</v>
      </c>
      <c r="G403" s="226"/>
      <c r="H403" s="58"/>
      <c r="I403" s="58"/>
      <c r="J403" s="58"/>
      <c r="K403" s="58"/>
      <c r="L403" s="60"/>
      <c r="M403" s="77">
        <v>43465</v>
      </c>
      <c r="N403" s="77"/>
      <c r="O403" s="150" t="s">
        <v>508</v>
      </c>
      <c r="P403" s="122"/>
      <c r="Q403" s="123"/>
      <c r="R403" s="130"/>
      <c r="S403" s="130">
        <f t="shared" si="8"/>
        <v>0</v>
      </c>
      <c r="T403" s="130"/>
      <c r="U403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الشراء-الاستلام]]&lt;DATE(2018,1,1),S403-T403,0))</f>
        <v>0</v>
      </c>
      <c r="V403" s="169">
        <v>4</v>
      </c>
      <c r="W403" s="116"/>
      <c r="X403" s="116">
        <v>322000</v>
      </c>
      <c r="Y403" s="117">
        <f>Table5101345411[[#This Row],[عدد الإضافات]]*Table5101345411[[#This Row],[سعر الحبة المضافة]]</f>
        <v>1288000</v>
      </c>
      <c r="Z403" s="101"/>
      <c r="AA403" s="102"/>
      <c r="AB403" s="103"/>
      <c r="AC403" s="103"/>
      <c r="AD403" s="103"/>
      <c r="AE403" s="103"/>
      <c r="AF403" s="103">
        <f>Table5101345411[[#This Row],[العدد]]*Table5101345411[[#This Row],[قيمة الشراء]]</f>
        <v>0</v>
      </c>
      <c r="AG403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03" s="190">
        <f>Table5101345411[[#This Row],[الكمية]]+Table5101345411[[#This Row],[عدد الإضافات]]-Table5101345411[[#This Row],[العدد]]</f>
        <v>4</v>
      </c>
      <c r="AI403" s="78">
        <f>Table5101345411[[#This Row],[الإجمالي]]+Table5101345411[[#This Row],[إجمالي الإضافات]]-Table5101345411[[#This Row],[إجمالي المستبعد]]</f>
        <v>1288000</v>
      </c>
      <c r="AJ403" s="120">
        <v>0.15</v>
      </c>
      <c r="AK403" s="219"/>
      <c r="AL403" s="58"/>
      <c r="AM403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03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03" s="79">
        <f>Table5101345411[[#This Row],[اهلاك المستبعد
في 2018]]+Table5101345411[[#This Row],[مجمع إهلاك المستبعد 
01-01-2018]]</f>
        <v>0</v>
      </c>
      <c r="AP403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03" s="220"/>
      <c r="AR403" s="78">
        <f>IF(OR(Table5101345411[[#This Row],[تاريخ الشراء-الاستلام]]="",Table5101345411[[#This Row],[الإجمالي]]="",Table5101345411[[#This Row],[العمر الافتراضي]]=""),"",IF(((T403+AM403)-Table5101345411[[#This Row],[مجمع إهلاك المستبعد 
بتاريخ الأستبعاد]])&lt;=0,0,((T403+AM403)-Table5101345411[[#This Row],[مجمع إهلاك المستبعد 
بتاريخ الأستبعاد]])))</f>
        <v>0</v>
      </c>
      <c r="AS403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الشراء-الاستلام]]&gt;DATE(2018,12,31),0,AI403-AR403)))</f>
        <v>1288000</v>
      </c>
    </row>
    <row r="404" spans="1:45" s="141" customFormat="1" ht="83.25" customHeight="1">
      <c r="A404" s="118">
        <f>IF(B404="","",SUBTOTAL(3,$B$6:B404))</f>
        <v>399</v>
      </c>
      <c r="B404" s="58" t="s">
        <v>273</v>
      </c>
      <c r="C404" s="59" t="s">
        <v>54</v>
      </c>
      <c r="D404" s="59" t="s">
        <v>80</v>
      </c>
      <c r="E404" s="59" t="s">
        <v>654</v>
      </c>
      <c r="F404" s="226" t="s">
        <v>655</v>
      </c>
      <c r="G404" s="226" t="s">
        <v>835</v>
      </c>
      <c r="H404" s="58" t="s">
        <v>57</v>
      </c>
      <c r="I404" s="58" t="s">
        <v>272</v>
      </c>
      <c r="J404" s="58" t="s">
        <v>272</v>
      </c>
      <c r="K404" s="58" t="s">
        <v>837</v>
      </c>
      <c r="L404" s="221" t="s">
        <v>836</v>
      </c>
      <c r="M404" s="77">
        <v>42795</v>
      </c>
      <c r="N404" s="77" t="s">
        <v>270</v>
      </c>
      <c r="O404" s="150" t="s">
        <v>274</v>
      </c>
      <c r="P404" s="122">
        <v>1</v>
      </c>
      <c r="Q404" s="123"/>
      <c r="R404" s="130">
        <v>61000</v>
      </c>
      <c r="S404" s="130">
        <f t="shared" si="8"/>
        <v>61000</v>
      </c>
      <c r="T404" s="130">
        <f>25486.301369863/2</f>
        <v>12743.150684931499</v>
      </c>
      <c r="U404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الشراء-الاستلام]]&lt;DATE(2018,1,1),S404-T404,0))</f>
        <v>48256.849315068503</v>
      </c>
      <c r="V404" s="169"/>
      <c r="W404" s="116"/>
      <c r="X404" s="116"/>
      <c r="Y404" s="117">
        <f>Table5101345411[[#This Row],[عدد الإضافات]]*Table5101345411[[#This Row],[سعر الحبة المضافة]]</f>
        <v>0</v>
      </c>
      <c r="Z404" s="101" t="s">
        <v>275</v>
      </c>
      <c r="AA404" s="102">
        <v>43101</v>
      </c>
      <c r="AB404" s="103">
        <v>1</v>
      </c>
      <c r="AC404" s="103" t="s">
        <v>276</v>
      </c>
      <c r="AD404" s="103">
        <v>50000</v>
      </c>
      <c r="AE404" s="103">
        <v>61000</v>
      </c>
      <c r="AF404" s="103">
        <f>Table5101345411[[#This Row],[العدد]]*Table5101345411[[#This Row],[قيمة الشراء]]</f>
        <v>61000</v>
      </c>
      <c r="AG404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04" s="190">
        <f>Table5101345411[[#This Row],[الكمية]]+Table5101345411[[#This Row],[عدد الإضافات]]-Table5101345411[[#This Row],[العدد]]</f>
        <v>0</v>
      </c>
      <c r="AI404" s="78">
        <f>Table5101345411[[#This Row],[الإجمالي]]+Table5101345411[[#This Row],[إجمالي الإضافات]]-Table5101345411[[#This Row],[إجمالي المستبعد]]</f>
        <v>0</v>
      </c>
      <c r="AJ404" s="120">
        <v>0.15</v>
      </c>
      <c r="AK404" s="219"/>
      <c r="AL404" s="58" t="s">
        <v>61</v>
      </c>
      <c r="AM404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04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12743.150684931499</v>
      </c>
      <c r="AO404" s="79">
        <f>Table5101345411[[#This Row],[اهلاك المستبعد
في 2018]]+Table5101345411[[#This Row],[مجمع إهلاك المستبعد 
01-01-2018]]</f>
        <v>12743.150684931499</v>
      </c>
      <c r="AP404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-23743.150684931497</v>
      </c>
      <c r="AQ404" s="220"/>
      <c r="AR404" s="78">
        <f>IF(OR(Table5101345411[[#This Row],[تاريخ الشراء-الاستلام]]="",Table5101345411[[#This Row],[الإجمالي]]="",Table5101345411[[#This Row],[العمر الافتراضي]]=""),"",IF(((T404+AM404)-Table5101345411[[#This Row],[مجمع إهلاك المستبعد 
بتاريخ الأستبعاد]])&lt;=0,0,((T404+AM404)-Table5101345411[[#This Row],[مجمع إهلاك المستبعد 
بتاريخ الأستبعاد]])))</f>
        <v>0</v>
      </c>
      <c r="AS404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الشراء-الاستلام]]&gt;DATE(2018,12,31),0,AI404-AR404)))</f>
        <v>0</v>
      </c>
    </row>
    <row r="405" spans="1:45" s="141" customFormat="1" ht="83.25" customHeight="1">
      <c r="A405" s="118">
        <f>IF(B405="","",SUBTOTAL(3,$B$6:B405))</f>
        <v>400</v>
      </c>
      <c r="B405" s="58" t="s">
        <v>79</v>
      </c>
      <c r="C405" s="59" t="s">
        <v>389</v>
      </c>
      <c r="D405" s="59" t="s">
        <v>80</v>
      </c>
      <c r="E405" s="59" t="s">
        <v>158</v>
      </c>
      <c r="F405" s="226" t="s">
        <v>682</v>
      </c>
      <c r="G405" s="223" t="s">
        <v>817</v>
      </c>
      <c r="H405" s="58" t="s">
        <v>111</v>
      </c>
      <c r="I405" s="58" t="s">
        <v>619</v>
      </c>
      <c r="J405" s="58" t="s">
        <v>64</v>
      </c>
      <c r="K405" s="58" t="s">
        <v>470</v>
      </c>
      <c r="L405" s="60" t="s">
        <v>471</v>
      </c>
      <c r="M405" s="77">
        <v>43465</v>
      </c>
      <c r="N405" s="77" t="s">
        <v>799</v>
      </c>
      <c r="O405" s="150" t="s">
        <v>472</v>
      </c>
      <c r="P405" s="122"/>
      <c r="Q405" s="123"/>
      <c r="R405" s="130"/>
      <c r="S405" s="130">
        <f t="shared" si="8"/>
        <v>0</v>
      </c>
      <c r="T405" s="130"/>
      <c r="U405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الشراء-الاستلام]]&lt;DATE(2018,1,1),S405-T405,0))</f>
        <v>0</v>
      </c>
      <c r="V405" s="169">
        <v>1</v>
      </c>
      <c r="W405" s="116"/>
      <c r="X405" s="116">
        <v>45948.1</v>
      </c>
      <c r="Y405" s="117">
        <f>Table5101345411[[#This Row],[عدد الإضافات]]*Table5101345411[[#This Row],[سعر الحبة المضافة]]</f>
        <v>45948.1</v>
      </c>
      <c r="Z405" s="101"/>
      <c r="AA405" s="102"/>
      <c r="AB405" s="103"/>
      <c r="AC405" s="103"/>
      <c r="AD405" s="103"/>
      <c r="AE405" s="103"/>
      <c r="AF405" s="103">
        <f>Table5101345411[[#This Row],[العدد]]*Table5101345411[[#This Row],[قيمة الشراء]]</f>
        <v>0</v>
      </c>
      <c r="AG405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05" s="190">
        <f>Table5101345411[[#This Row],[الكمية]]+Table5101345411[[#This Row],[عدد الإضافات]]-Table5101345411[[#This Row],[العدد]]</f>
        <v>1</v>
      </c>
      <c r="AI405" s="78">
        <f>Table5101345411[[#This Row],[الإجمالي]]+Table5101345411[[#This Row],[إجمالي الإضافات]]-Table5101345411[[#This Row],[إجمالي المستبعد]]</f>
        <v>45948.1</v>
      </c>
      <c r="AJ405" s="120">
        <v>0.15</v>
      </c>
      <c r="AK405" s="219"/>
      <c r="AL405" s="58"/>
      <c r="AM405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05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05" s="79">
        <f>Table5101345411[[#This Row],[اهلاك المستبعد
في 2018]]+Table5101345411[[#This Row],[مجمع إهلاك المستبعد 
01-01-2018]]</f>
        <v>0</v>
      </c>
      <c r="AP405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05" s="220"/>
      <c r="AR405" s="78">
        <f>IF(OR(Table5101345411[[#This Row],[تاريخ الشراء-الاستلام]]="",Table5101345411[[#This Row],[الإجمالي]]="",Table5101345411[[#This Row],[العمر الافتراضي]]=""),"",IF(((T405+AM405)-Table5101345411[[#This Row],[مجمع إهلاك المستبعد 
بتاريخ الأستبعاد]])&lt;=0,0,((T405+AM405)-Table5101345411[[#This Row],[مجمع إهلاك المستبعد 
بتاريخ الأستبعاد]])))</f>
        <v>0</v>
      </c>
      <c r="AS405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الشراء-الاستلام]]&gt;DATE(2018,12,31),0,AI405-AR405)))</f>
        <v>45948.1</v>
      </c>
    </row>
    <row r="406" spans="1:45" s="141" customFormat="1" ht="83.25" customHeight="1">
      <c r="A406" s="118">
        <f>IF(B406="","",SUBTOTAL(3,$B$6:B406))</f>
        <v>401</v>
      </c>
      <c r="B406" s="58" t="s">
        <v>79</v>
      </c>
      <c r="C406" s="59" t="s">
        <v>389</v>
      </c>
      <c r="D406" s="59" t="s">
        <v>80</v>
      </c>
      <c r="E406" s="59" t="s">
        <v>158</v>
      </c>
      <c r="F406" s="226" t="s">
        <v>683</v>
      </c>
      <c r="G406" s="223" t="s">
        <v>818</v>
      </c>
      <c r="H406" s="58" t="s">
        <v>154</v>
      </c>
      <c r="I406" s="58" t="s">
        <v>619</v>
      </c>
      <c r="J406" s="58" t="s">
        <v>64</v>
      </c>
      <c r="K406" s="58" t="s">
        <v>473</v>
      </c>
      <c r="L406" s="60" t="s">
        <v>474</v>
      </c>
      <c r="M406" s="77">
        <v>43465</v>
      </c>
      <c r="N406" s="77" t="s">
        <v>799</v>
      </c>
      <c r="O406" s="150" t="s">
        <v>472</v>
      </c>
      <c r="P406" s="122"/>
      <c r="Q406" s="123"/>
      <c r="R406" s="130"/>
      <c r="S406" s="130">
        <f t="shared" si="8"/>
        <v>0</v>
      </c>
      <c r="T406" s="130"/>
      <c r="U406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الشراء-الاستلام]]&lt;DATE(2018,1,1),S406-T406,0))</f>
        <v>0</v>
      </c>
      <c r="V406" s="169">
        <v>1</v>
      </c>
      <c r="W406" s="116"/>
      <c r="X406" s="116">
        <v>45948.1</v>
      </c>
      <c r="Y406" s="117">
        <f>Table5101345411[[#This Row],[عدد الإضافات]]*Table5101345411[[#This Row],[سعر الحبة المضافة]]</f>
        <v>45948.1</v>
      </c>
      <c r="Z406" s="101"/>
      <c r="AA406" s="102"/>
      <c r="AB406" s="103"/>
      <c r="AC406" s="103"/>
      <c r="AD406" s="103"/>
      <c r="AE406" s="103"/>
      <c r="AF406" s="103">
        <f>Table5101345411[[#This Row],[العدد]]*Table5101345411[[#This Row],[قيمة الشراء]]</f>
        <v>0</v>
      </c>
      <c r="AG406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06" s="190">
        <f>Table5101345411[[#This Row],[الكمية]]+Table5101345411[[#This Row],[عدد الإضافات]]-Table5101345411[[#This Row],[العدد]]</f>
        <v>1</v>
      </c>
      <c r="AI406" s="78">
        <f>Table5101345411[[#This Row],[الإجمالي]]+Table5101345411[[#This Row],[إجمالي الإضافات]]-Table5101345411[[#This Row],[إجمالي المستبعد]]</f>
        <v>45948.1</v>
      </c>
      <c r="AJ406" s="120">
        <v>0.15</v>
      </c>
      <c r="AK406" s="219"/>
      <c r="AL406" s="58"/>
      <c r="AM406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06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06" s="79">
        <f>Table5101345411[[#This Row],[اهلاك المستبعد
في 2018]]+Table5101345411[[#This Row],[مجمع إهلاك المستبعد 
01-01-2018]]</f>
        <v>0</v>
      </c>
      <c r="AP406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06" s="220"/>
      <c r="AR406" s="78">
        <f>IF(OR(Table5101345411[[#This Row],[تاريخ الشراء-الاستلام]]="",Table5101345411[[#This Row],[الإجمالي]]="",Table5101345411[[#This Row],[العمر الافتراضي]]=""),"",IF(((T406+AM406)-Table5101345411[[#This Row],[مجمع إهلاك المستبعد 
بتاريخ الأستبعاد]])&lt;=0,0,((T406+AM406)-Table5101345411[[#This Row],[مجمع إهلاك المستبعد 
بتاريخ الأستبعاد]])))</f>
        <v>0</v>
      </c>
      <c r="AS406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الشراء-الاستلام]]&gt;DATE(2018,12,31),0,AI406-AR406)))</f>
        <v>45948.1</v>
      </c>
    </row>
    <row r="407" spans="1:45" s="141" customFormat="1" ht="83.25" customHeight="1">
      <c r="A407" s="118">
        <f>IF(B407="","",SUBTOTAL(3,$B$6:B407))</f>
        <v>402</v>
      </c>
      <c r="B407" s="58" t="s">
        <v>79</v>
      </c>
      <c r="C407" s="59" t="s">
        <v>389</v>
      </c>
      <c r="D407" s="59" t="s">
        <v>80</v>
      </c>
      <c r="E407" s="59" t="s">
        <v>158</v>
      </c>
      <c r="F407" s="226" t="s">
        <v>684</v>
      </c>
      <c r="G407" s="223" t="s">
        <v>819</v>
      </c>
      <c r="H407" s="58" t="s">
        <v>111</v>
      </c>
      <c r="I407" s="58" t="s">
        <v>619</v>
      </c>
      <c r="J407" s="58" t="s">
        <v>64</v>
      </c>
      <c r="K407" s="58" t="s">
        <v>475</v>
      </c>
      <c r="L407" s="60" t="s">
        <v>476</v>
      </c>
      <c r="M407" s="77">
        <v>43465</v>
      </c>
      <c r="N407" s="77" t="s">
        <v>799</v>
      </c>
      <c r="O407" s="150" t="s">
        <v>472</v>
      </c>
      <c r="P407" s="122"/>
      <c r="Q407" s="123"/>
      <c r="R407" s="130"/>
      <c r="S407" s="130">
        <f t="shared" si="8"/>
        <v>0</v>
      </c>
      <c r="T407" s="130"/>
      <c r="U407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الشراء-الاستلام]]&lt;DATE(2018,1,1),S407-T407,0))</f>
        <v>0</v>
      </c>
      <c r="V407" s="169">
        <v>1</v>
      </c>
      <c r="W407" s="116"/>
      <c r="X407" s="116">
        <v>45948.1</v>
      </c>
      <c r="Y407" s="117">
        <f>Table5101345411[[#This Row],[عدد الإضافات]]*Table5101345411[[#This Row],[سعر الحبة المضافة]]</f>
        <v>45948.1</v>
      </c>
      <c r="Z407" s="101"/>
      <c r="AA407" s="102"/>
      <c r="AB407" s="103"/>
      <c r="AC407" s="103"/>
      <c r="AD407" s="103"/>
      <c r="AE407" s="103"/>
      <c r="AF407" s="103">
        <f>Table5101345411[[#This Row],[العدد]]*Table5101345411[[#This Row],[قيمة الشراء]]</f>
        <v>0</v>
      </c>
      <c r="AG407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07" s="190">
        <f>Table5101345411[[#This Row],[الكمية]]+Table5101345411[[#This Row],[عدد الإضافات]]-Table5101345411[[#This Row],[العدد]]</f>
        <v>1</v>
      </c>
      <c r="AI407" s="78">
        <f>Table5101345411[[#This Row],[الإجمالي]]+Table5101345411[[#This Row],[إجمالي الإضافات]]-Table5101345411[[#This Row],[إجمالي المستبعد]]</f>
        <v>45948.1</v>
      </c>
      <c r="AJ407" s="120">
        <v>0.15</v>
      </c>
      <c r="AK407" s="219"/>
      <c r="AL407" s="58"/>
      <c r="AM407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07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07" s="79">
        <f>Table5101345411[[#This Row],[اهلاك المستبعد
في 2018]]+Table5101345411[[#This Row],[مجمع إهلاك المستبعد 
01-01-2018]]</f>
        <v>0</v>
      </c>
      <c r="AP407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07" s="220"/>
      <c r="AR407" s="78">
        <f>IF(OR(Table5101345411[[#This Row],[تاريخ الشراء-الاستلام]]="",Table5101345411[[#This Row],[الإجمالي]]="",Table5101345411[[#This Row],[العمر الافتراضي]]=""),"",IF(((T407+AM407)-Table5101345411[[#This Row],[مجمع إهلاك المستبعد 
بتاريخ الأستبعاد]])&lt;=0,0,((T407+AM407)-Table5101345411[[#This Row],[مجمع إهلاك المستبعد 
بتاريخ الأستبعاد]])))</f>
        <v>0</v>
      </c>
      <c r="AS407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الشراء-الاستلام]]&gt;DATE(2018,12,31),0,AI407-AR407)))</f>
        <v>45948.1</v>
      </c>
    </row>
    <row r="408" spans="1:45" s="141" customFormat="1" ht="83.25" customHeight="1">
      <c r="A408" s="118">
        <f>IF(B408="","",SUBTOTAL(3,$B$6:B408))</f>
        <v>403</v>
      </c>
      <c r="B408" s="58" t="s">
        <v>79</v>
      </c>
      <c r="C408" s="59" t="s">
        <v>389</v>
      </c>
      <c r="D408" s="59" t="s">
        <v>80</v>
      </c>
      <c r="E408" s="59" t="s">
        <v>158</v>
      </c>
      <c r="F408" s="226" t="s">
        <v>685</v>
      </c>
      <c r="G408" s="223" t="s">
        <v>820</v>
      </c>
      <c r="H408" s="58" t="s">
        <v>111</v>
      </c>
      <c r="I408" s="58" t="s">
        <v>619</v>
      </c>
      <c r="J408" s="58" t="s">
        <v>64</v>
      </c>
      <c r="K408" s="58" t="s">
        <v>477</v>
      </c>
      <c r="L408" s="60" t="s">
        <v>478</v>
      </c>
      <c r="M408" s="77">
        <v>43465</v>
      </c>
      <c r="N408" s="77" t="s">
        <v>799</v>
      </c>
      <c r="O408" s="150" t="s">
        <v>472</v>
      </c>
      <c r="P408" s="122"/>
      <c r="Q408" s="123"/>
      <c r="R408" s="130"/>
      <c r="S408" s="130">
        <f t="shared" si="8"/>
        <v>0</v>
      </c>
      <c r="T408" s="130"/>
      <c r="U408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الشراء-الاستلام]]&lt;DATE(2018,1,1),S408-T408,0))</f>
        <v>0</v>
      </c>
      <c r="V408" s="169">
        <v>1</v>
      </c>
      <c r="W408" s="116"/>
      <c r="X408" s="116">
        <v>45948.1</v>
      </c>
      <c r="Y408" s="117">
        <f>Table5101345411[[#This Row],[عدد الإضافات]]*Table5101345411[[#This Row],[سعر الحبة المضافة]]</f>
        <v>45948.1</v>
      </c>
      <c r="Z408" s="101"/>
      <c r="AA408" s="102"/>
      <c r="AB408" s="103"/>
      <c r="AC408" s="103"/>
      <c r="AD408" s="103"/>
      <c r="AE408" s="103"/>
      <c r="AF408" s="103">
        <f>Table5101345411[[#This Row],[العدد]]*Table5101345411[[#This Row],[قيمة الشراء]]</f>
        <v>0</v>
      </c>
      <c r="AG408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08" s="190">
        <f>Table5101345411[[#This Row],[الكمية]]+Table5101345411[[#This Row],[عدد الإضافات]]-Table5101345411[[#This Row],[العدد]]</f>
        <v>1</v>
      </c>
      <c r="AI408" s="78">
        <f>Table5101345411[[#This Row],[الإجمالي]]+Table5101345411[[#This Row],[إجمالي الإضافات]]-Table5101345411[[#This Row],[إجمالي المستبعد]]</f>
        <v>45948.1</v>
      </c>
      <c r="AJ408" s="120">
        <v>0.15</v>
      </c>
      <c r="AK408" s="219"/>
      <c r="AL408" s="58"/>
      <c r="AM408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08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08" s="79">
        <f>Table5101345411[[#This Row],[اهلاك المستبعد
في 2018]]+Table5101345411[[#This Row],[مجمع إهلاك المستبعد 
01-01-2018]]</f>
        <v>0</v>
      </c>
      <c r="AP408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08" s="220"/>
      <c r="AR408" s="78">
        <f>IF(OR(Table5101345411[[#This Row],[تاريخ الشراء-الاستلام]]="",Table5101345411[[#This Row],[الإجمالي]]="",Table5101345411[[#This Row],[العمر الافتراضي]]=""),"",IF(((T408+AM408)-Table5101345411[[#This Row],[مجمع إهلاك المستبعد 
بتاريخ الأستبعاد]])&lt;=0,0,((T408+AM408)-Table5101345411[[#This Row],[مجمع إهلاك المستبعد 
بتاريخ الأستبعاد]])))</f>
        <v>0</v>
      </c>
      <c r="AS408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الشراء-الاستلام]]&gt;DATE(2018,12,31),0,AI408-AR408)))</f>
        <v>45948.1</v>
      </c>
    </row>
    <row r="409" spans="1:45" s="141" customFormat="1" ht="83.25" customHeight="1">
      <c r="A409" s="118">
        <f>IF(B409="","",SUBTOTAL(3,$B$6:B409))</f>
        <v>404</v>
      </c>
      <c r="B409" s="58" t="s">
        <v>79</v>
      </c>
      <c r="C409" s="59" t="s">
        <v>389</v>
      </c>
      <c r="D409" s="59" t="s">
        <v>80</v>
      </c>
      <c r="E409" s="59" t="s">
        <v>158</v>
      </c>
      <c r="F409" s="226" t="s">
        <v>686</v>
      </c>
      <c r="G409" s="223" t="s">
        <v>821</v>
      </c>
      <c r="H409" s="58" t="s">
        <v>111</v>
      </c>
      <c r="I409" s="58" t="s">
        <v>619</v>
      </c>
      <c r="J409" s="58" t="s">
        <v>64</v>
      </c>
      <c r="K409" s="58" t="s">
        <v>479</v>
      </c>
      <c r="L409" s="60" t="s">
        <v>480</v>
      </c>
      <c r="M409" s="77">
        <v>43465</v>
      </c>
      <c r="N409" s="77" t="s">
        <v>799</v>
      </c>
      <c r="O409" s="150" t="s">
        <v>472</v>
      </c>
      <c r="P409" s="122"/>
      <c r="Q409" s="123"/>
      <c r="R409" s="130"/>
      <c r="S409" s="130">
        <f t="shared" si="8"/>
        <v>0</v>
      </c>
      <c r="T409" s="130"/>
      <c r="U409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الشراء-الاستلام]]&lt;DATE(2018,1,1),S409-T409,0))</f>
        <v>0</v>
      </c>
      <c r="V409" s="169">
        <v>1</v>
      </c>
      <c r="W409" s="116"/>
      <c r="X409" s="116">
        <v>45948.1</v>
      </c>
      <c r="Y409" s="117">
        <f>Table5101345411[[#This Row],[عدد الإضافات]]*Table5101345411[[#This Row],[سعر الحبة المضافة]]</f>
        <v>45948.1</v>
      </c>
      <c r="Z409" s="101"/>
      <c r="AA409" s="102"/>
      <c r="AB409" s="103"/>
      <c r="AC409" s="103"/>
      <c r="AD409" s="103"/>
      <c r="AE409" s="103"/>
      <c r="AF409" s="103">
        <f>Table5101345411[[#This Row],[العدد]]*Table5101345411[[#This Row],[قيمة الشراء]]</f>
        <v>0</v>
      </c>
      <c r="AG409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09" s="190">
        <f>Table5101345411[[#This Row],[الكمية]]+Table5101345411[[#This Row],[عدد الإضافات]]-Table5101345411[[#This Row],[العدد]]</f>
        <v>1</v>
      </c>
      <c r="AI409" s="78">
        <f>Table5101345411[[#This Row],[الإجمالي]]+Table5101345411[[#This Row],[إجمالي الإضافات]]-Table5101345411[[#This Row],[إجمالي المستبعد]]</f>
        <v>45948.1</v>
      </c>
      <c r="AJ409" s="120">
        <v>0.15</v>
      </c>
      <c r="AK409" s="219"/>
      <c r="AL409" s="58"/>
      <c r="AM409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09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09" s="79">
        <f>Table5101345411[[#This Row],[اهلاك المستبعد
في 2018]]+Table5101345411[[#This Row],[مجمع إهلاك المستبعد 
01-01-2018]]</f>
        <v>0</v>
      </c>
      <c r="AP409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09" s="220"/>
      <c r="AR409" s="78">
        <f>IF(OR(Table5101345411[[#This Row],[تاريخ الشراء-الاستلام]]="",Table5101345411[[#This Row],[الإجمالي]]="",Table5101345411[[#This Row],[العمر الافتراضي]]=""),"",IF(((T409+AM409)-Table5101345411[[#This Row],[مجمع إهلاك المستبعد 
بتاريخ الأستبعاد]])&lt;=0,0,((T409+AM409)-Table5101345411[[#This Row],[مجمع إهلاك المستبعد 
بتاريخ الأستبعاد]])))</f>
        <v>0</v>
      </c>
      <c r="AS409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الشراء-الاستلام]]&gt;DATE(2018,12,31),0,AI409-AR409)))</f>
        <v>45948.1</v>
      </c>
    </row>
    <row r="410" spans="1:45" s="141" customFormat="1" ht="83.25" customHeight="1">
      <c r="A410" s="118">
        <f>IF(B410="","",SUBTOTAL(3,$B$6:B410))</f>
        <v>405</v>
      </c>
      <c r="B410" s="58" t="s">
        <v>79</v>
      </c>
      <c r="C410" s="59" t="s">
        <v>389</v>
      </c>
      <c r="D410" s="59" t="s">
        <v>80</v>
      </c>
      <c r="E410" s="59" t="s">
        <v>158</v>
      </c>
      <c r="F410" s="226" t="s">
        <v>670</v>
      </c>
      <c r="G410" s="223" t="s">
        <v>822</v>
      </c>
      <c r="H410" s="58" t="s">
        <v>481</v>
      </c>
      <c r="I410" s="58" t="s">
        <v>619</v>
      </c>
      <c r="J410" s="58" t="s">
        <v>64</v>
      </c>
      <c r="K410" s="58" t="s">
        <v>482</v>
      </c>
      <c r="L410" s="60" t="s">
        <v>483</v>
      </c>
      <c r="M410" s="77">
        <v>43465</v>
      </c>
      <c r="N410" s="77" t="s">
        <v>799</v>
      </c>
      <c r="O410" s="150" t="s">
        <v>472</v>
      </c>
      <c r="P410" s="122"/>
      <c r="Q410" s="123"/>
      <c r="R410" s="130"/>
      <c r="S410" s="130">
        <f t="shared" si="8"/>
        <v>0</v>
      </c>
      <c r="T410" s="130"/>
      <c r="U410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الشراء-الاستلام]]&lt;DATE(2018,1,1),S410-T410,0))</f>
        <v>0</v>
      </c>
      <c r="V410" s="169">
        <v>1</v>
      </c>
      <c r="W410" s="116"/>
      <c r="X410" s="116">
        <v>45948.1</v>
      </c>
      <c r="Y410" s="117">
        <f>Table5101345411[[#This Row],[عدد الإضافات]]*Table5101345411[[#This Row],[سعر الحبة المضافة]]</f>
        <v>45948.1</v>
      </c>
      <c r="Z410" s="101"/>
      <c r="AA410" s="102"/>
      <c r="AB410" s="103"/>
      <c r="AC410" s="103"/>
      <c r="AD410" s="103"/>
      <c r="AE410" s="103"/>
      <c r="AF410" s="103">
        <f>Table5101345411[[#This Row],[العدد]]*Table5101345411[[#This Row],[قيمة الشراء]]</f>
        <v>0</v>
      </c>
      <c r="AG410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10" s="190">
        <f>Table5101345411[[#This Row],[الكمية]]+Table5101345411[[#This Row],[عدد الإضافات]]-Table5101345411[[#This Row],[العدد]]</f>
        <v>1</v>
      </c>
      <c r="AI410" s="78">
        <f>Table5101345411[[#This Row],[الإجمالي]]+Table5101345411[[#This Row],[إجمالي الإضافات]]-Table5101345411[[#This Row],[إجمالي المستبعد]]</f>
        <v>45948.1</v>
      </c>
      <c r="AJ410" s="120">
        <v>0.15</v>
      </c>
      <c r="AK410" s="219"/>
      <c r="AL410" s="58"/>
      <c r="AM410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10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10" s="79">
        <f>Table5101345411[[#This Row],[اهلاك المستبعد
في 2018]]+Table5101345411[[#This Row],[مجمع إهلاك المستبعد 
01-01-2018]]</f>
        <v>0</v>
      </c>
      <c r="AP410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10" s="220"/>
      <c r="AR410" s="78">
        <f>IF(OR(Table5101345411[[#This Row],[تاريخ الشراء-الاستلام]]="",Table5101345411[[#This Row],[الإجمالي]]="",Table5101345411[[#This Row],[العمر الافتراضي]]=""),"",IF(((T410+AM410)-Table5101345411[[#This Row],[مجمع إهلاك المستبعد 
بتاريخ الأستبعاد]])&lt;=0,0,((T410+AM410)-Table5101345411[[#This Row],[مجمع إهلاك المستبعد 
بتاريخ الأستبعاد]])))</f>
        <v>0</v>
      </c>
      <c r="AS410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الشراء-الاستلام]]&gt;DATE(2018,12,31),0,AI410-AR410)))</f>
        <v>45948.1</v>
      </c>
    </row>
    <row r="411" spans="1:45" s="141" customFormat="1" ht="83.25" customHeight="1">
      <c r="A411" s="118">
        <f>IF(B411="","",SUBTOTAL(3,$B$6:B411))</f>
        <v>406</v>
      </c>
      <c r="B411" s="58" t="s">
        <v>79</v>
      </c>
      <c r="C411" s="59" t="s">
        <v>389</v>
      </c>
      <c r="D411" s="59" t="s">
        <v>80</v>
      </c>
      <c r="E411" s="59" t="s">
        <v>158</v>
      </c>
      <c r="F411" s="226" t="s">
        <v>687</v>
      </c>
      <c r="G411" s="223" t="s">
        <v>823</v>
      </c>
      <c r="H411" s="58" t="s">
        <v>111</v>
      </c>
      <c r="I411" s="58" t="s">
        <v>619</v>
      </c>
      <c r="J411" s="58" t="s">
        <v>64</v>
      </c>
      <c r="K411" s="58" t="s">
        <v>484</v>
      </c>
      <c r="L411" s="60" t="s">
        <v>485</v>
      </c>
      <c r="M411" s="77">
        <v>43465</v>
      </c>
      <c r="N411" s="77" t="s">
        <v>799</v>
      </c>
      <c r="O411" s="150" t="s">
        <v>472</v>
      </c>
      <c r="P411" s="122"/>
      <c r="Q411" s="123"/>
      <c r="R411" s="130"/>
      <c r="S411" s="130">
        <f t="shared" si="8"/>
        <v>0</v>
      </c>
      <c r="T411" s="130"/>
      <c r="U411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الشراء-الاستلام]]&lt;DATE(2018,1,1),S411-T411,0))</f>
        <v>0</v>
      </c>
      <c r="V411" s="169">
        <v>1</v>
      </c>
      <c r="W411" s="116"/>
      <c r="X411" s="116">
        <v>45948.1</v>
      </c>
      <c r="Y411" s="117">
        <f>Table5101345411[[#This Row],[عدد الإضافات]]*Table5101345411[[#This Row],[سعر الحبة المضافة]]</f>
        <v>45948.1</v>
      </c>
      <c r="Z411" s="101"/>
      <c r="AA411" s="102"/>
      <c r="AB411" s="103"/>
      <c r="AC411" s="103"/>
      <c r="AD411" s="103"/>
      <c r="AE411" s="103"/>
      <c r="AF411" s="103">
        <f>Table5101345411[[#This Row],[العدد]]*Table5101345411[[#This Row],[قيمة الشراء]]</f>
        <v>0</v>
      </c>
      <c r="AG411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11" s="190">
        <f>Table5101345411[[#This Row],[الكمية]]+Table5101345411[[#This Row],[عدد الإضافات]]-Table5101345411[[#This Row],[العدد]]</f>
        <v>1</v>
      </c>
      <c r="AI411" s="78">
        <f>Table5101345411[[#This Row],[الإجمالي]]+Table5101345411[[#This Row],[إجمالي الإضافات]]-Table5101345411[[#This Row],[إجمالي المستبعد]]</f>
        <v>45948.1</v>
      </c>
      <c r="AJ411" s="120">
        <v>0.15</v>
      </c>
      <c r="AK411" s="219"/>
      <c r="AL411" s="58"/>
      <c r="AM411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11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11" s="79">
        <f>Table5101345411[[#This Row],[اهلاك المستبعد
في 2018]]+Table5101345411[[#This Row],[مجمع إهلاك المستبعد 
01-01-2018]]</f>
        <v>0</v>
      </c>
      <c r="AP411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11" s="220"/>
      <c r="AR411" s="78">
        <f>IF(OR(Table5101345411[[#This Row],[تاريخ الشراء-الاستلام]]="",Table5101345411[[#This Row],[الإجمالي]]="",Table5101345411[[#This Row],[العمر الافتراضي]]=""),"",IF(((T411+AM411)-Table5101345411[[#This Row],[مجمع إهلاك المستبعد 
بتاريخ الأستبعاد]])&lt;=0,0,((T411+AM411)-Table5101345411[[#This Row],[مجمع إهلاك المستبعد 
بتاريخ الأستبعاد]])))</f>
        <v>0</v>
      </c>
      <c r="AS411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الشراء-الاستلام]]&gt;DATE(2018,12,31),0,AI411-AR411)))</f>
        <v>45948.1</v>
      </c>
    </row>
    <row r="412" spans="1:45" s="141" customFormat="1" ht="83.25" customHeight="1">
      <c r="A412" s="118">
        <f>IF(B412="","",SUBTOTAL(3,$B$6:B412))</f>
        <v>407</v>
      </c>
      <c r="B412" s="58" t="s">
        <v>79</v>
      </c>
      <c r="C412" s="59" t="s">
        <v>389</v>
      </c>
      <c r="D412" s="59" t="s">
        <v>80</v>
      </c>
      <c r="E412" s="59" t="s">
        <v>158</v>
      </c>
      <c r="F412" s="226" t="s">
        <v>669</v>
      </c>
      <c r="G412" s="223" t="s">
        <v>824</v>
      </c>
      <c r="H412" s="58" t="s">
        <v>481</v>
      </c>
      <c r="I412" s="58" t="s">
        <v>619</v>
      </c>
      <c r="J412" s="58" t="s">
        <v>64</v>
      </c>
      <c r="K412" s="58" t="s">
        <v>60</v>
      </c>
      <c r="L412" s="60" t="s">
        <v>486</v>
      </c>
      <c r="M412" s="77">
        <v>43465</v>
      </c>
      <c r="N412" s="77" t="s">
        <v>799</v>
      </c>
      <c r="O412" s="150" t="s">
        <v>472</v>
      </c>
      <c r="P412" s="122"/>
      <c r="Q412" s="123"/>
      <c r="R412" s="130"/>
      <c r="S412" s="130">
        <f t="shared" si="8"/>
        <v>0</v>
      </c>
      <c r="T412" s="130"/>
      <c r="U412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الشراء-الاستلام]]&lt;DATE(2018,1,1),S412-T412,0))</f>
        <v>0</v>
      </c>
      <c r="V412" s="169">
        <v>1</v>
      </c>
      <c r="W412" s="116"/>
      <c r="X412" s="116">
        <v>45948.1</v>
      </c>
      <c r="Y412" s="117">
        <f>Table5101345411[[#This Row],[عدد الإضافات]]*Table5101345411[[#This Row],[سعر الحبة المضافة]]</f>
        <v>45948.1</v>
      </c>
      <c r="Z412" s="101"/>
      <c r="AA412" s="102"/>
      <c r="AB412" s="103"/>
      <c r="AC412" s="103"/>
      <c r="AD412" s="103"/>
      <c r="AE412" s="103"/>
      <c r="AF412" s="103">
        <v>0</v>
      </c>
      <c r="AG412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12" s="190">
        <f>Table5101345411[[#This Row],[الكمية]]+Table5101345411[[#This Row],[عدد الإضافات]]-Table5101345411[[#This Row],[العدد]]</f>
        <v>1</v>
      </c>
      <c r="AI412" s="78">
        <f>Table5101345411[[#This Row],[الإجمالي]]+Table5101345411[[#This Row],[إجمالي الإضافات]]-Table5101345411[[#This Row],[إجمالي المستبعد]]</f>
        <v>45948.1</v>
      </c>
      <c r="AJ412" s="120">
        <v>0.15</v>
      </c>
      <c r="AK412" s="219"/>
      <c r="AL412" s="58"/>
      <c r="AM412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12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12" s="79">
        <f>Table5101345411[[#This Row],[اهلاك المستبعد
في 2018]]+Table5101345411[[#This Row],[مجمع إهلاك المستبعد 
01-01-2018]]</f>
        <v>0</v>
      </c>
      <c r="AP412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12" s="220"/>
      <c r="AR412" s="78">
        <f>IF(OR(Table5101345411[[#This Row],[تاريخ الشراء-الاستلام]]="",Table5101345411[[#This Row],[الإجمالي]]="",Table5101345411[[#This Row],[العمر الافتراضي]]=""),"",IF(((T412+AM412)-Table5101345411[[#This Row],[مجمع إهلاك المستبعد 
بتاريخ الأستبعاد]])&lt;=0,0,((T412+AM412)-Table5101345411[[#This Row],[مجمع إهلاك المستبعد 
بتاريخ الأستبعاد]])))</f>
        <v>0</v>
      </c>
      <c r="AS412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الشراء-الاستلام]]&gt;DATE(2018,12,31),0,AI412-AR412)))</f>
        <v>45948.1</v>
      </c>
    </row>
    <row r="413" spans="1:45" s="141" customFormat="1" ht="83.25" customHeight="1">
      <c r="A413" s="118">
        <f>IF(B413="","",SUBTOTAL(3,$B$6:B413))</f>
        <v>408</v>
      </c>
      <c r="B413" s="58" t="s">
        <v>79</v>
      </c>
      <c r="C413" s="59" t="s">
        <v>389</v>
      </c>
      <c r="D413" s="59" t="s">
        <v>80</v>
      </c>
      <c r="E413" s="59" t="s">
        <v>158</v>
      </c>
      <c r="F413" s="226" t="s">
        <v>688</v>
      </c>
      <c r="G413" s="223" t="s">
        <v>825</v>
      </c>
      <c r="H413" s="58" t="s">
        <v>154</v>
      </c>
      <c r="I413" s="58" t="s">
        <v>619</v>
      </c>
      <c r="J413" s="58" t="s">
        <v>64</v>
      </c>
      <c r="K413" s="58" t="s">
        <v>487</v>
      </c>
      <c r="L413" s="60" t="s">
        <v>488</v>
      </c>
      <c r="M413" s="77">
        <v>43465</v>
      </c>
      <c r="N413" s="77" t="s">
        <v>799</v>
      </c>
      <c r="O413" s="150" t="s">
        <v>472</v>
      </c>
      <c r="P413" s="122"/>
      <c r="Q413" s="123"/>
      <c r="R413" s="130"/>
      <c r="S413" s="130">
        <f t="shared" si="8"/>
        <v>0</v>
      </c>
      <c r="T413" s="130"/>
      <c r="U413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الشراء-الاستلام]]&lt;DATE(2018,1,1),S413-T413,0))</f>
        <v>0</v>
      </c>
      <c r="V413" s="169">
        <v>1</v>
      </c>
      <c r="W413" s="116"/>
      <c r="X413" s="116">
        <v>45948.1</v>
      </c>
      <c r="Y413" s="117">
        <f>Table5101345411[[#This Row],[عدد الإضافات]]*Table5101345411[[#This Row],[سعر الحبة المضافة]]</f>
        <v>45948.1</v>
      </c>
      <c r="Z413" s="101"/>
      <c r="AA413" s="102"/>
      <c r="AB413" s="103"/>
      <c r="AC413" s="103"/>
      <c r="AD413" s="103"/>
      <c r="AE413" s="103"/>
      <c r="AF413" s="103">
        <f>Table5101345411[[#This Row],[العدد]]*Table5101345411[[#This Row],[قيمة الشراء]]</f>
        <v>0</v>
      </c>
      <c r="AG413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13" s="190">
        <f>Table5101345411[[#This Row],[الكمية]]+Table5101345411[[#This Row],[عدد الإضافات]]-Table5101345411[[#This Row],[العدد]]</f>
        <v>1</v>
      </c>
      <c r="AI413" s="78">
        <f>Table5101345411[[#This Row],[الإجمالي]]+Table5101345411[[#This Row],[إجمالي الإضافات]]-Table5101345411[[#This Row],[إجمالي المستبعد]]</f>
        <v>45948.1</v>
      </c>
      <c r="AJ413" s="120">
        <v>0.15</v>
      </c>
      <c r="AK413" s="219"/>
      <c r="AL413" s="58"/>
      <c r="AM413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13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13" s="79">
        <f>Table5101345411[[#This Row],[اهلاك المستبعد
في 2018]]+Table5101345411[[#This Row],[مجمع إهلاك المستبعد 
01-01-2018]]</f>
        <v>0</v>
      </c>
      <c r="AP413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13" s="220"/>
      <c r="AR413" s="78">
        <f>IF(OR(Table5101345411[[#This Row],[تاريخ الشراء-الاستلام]]="",Table5101345411[[#This Row],[الإجمالي]]="",Table5101345411[[#This Row],[العمر الافتراضي]]=""),"",IF(((T413+AM413)-Table5101345411[[#This Row],[مجمع إهلاك المستبعد 
بتاريخ الأستبعاد]])&lt;=0,0,((T413+AM413)-Table5101345411[[#This Row],[مجمع إهلاك المستبعد 
بتاريخ الأستبعاد]])))</f>
        <v>0</v>
      </c>
      <c r="AS413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الشراء-الاستلام]]&gt;DATE(2018,12,31),0,AI413-AR413)))</f>
        <v>45948.1</v>
      </c>
    </row>
    <row r="414" spans="1:45" s="141" customFormat="1" ht="83.25" customHeight="1">
      <c r="A414" s="118">
        <f>IF(B414="","",SUBTOTAL(3,$B$6:B414))</f>
        <v>409</v>
      </c>
      <c r="B414" s="58" t="s">
        <v>79</v>
      </c>
      <c r="C414" s="59" t="s">
        <v>389</v>
      </c>
      <c r="D414" s="59" t="s">
        <v>80</v>
      </c>
      <c r="E414" s="59" t="s">
        <v>158</v>
      </c>
      <c r="F414" s="226" t="s">
        <v>689</v>
      </c>
      <c r="G414" s="223" t="s">
        <v>826</v>
      </c>
      <c r="H414" s="58" t="s">
        <v>111</v>
      </c>
      <c r="I414" s="58" t="s">
        <v>619</v>
      </c>
      <c r="J414" s="58" t="s">
        <v>64</v>
      </c>
      <c r="K414" s="58" t="s">
        <v>489</v>
      </c>
      <c r="L414" s="60" t="s">
        <v>490</v>
      </c>
      <c r="M414" s="77">
        <v>43465</v>
      </c>
      <c r="N414" s="77" t="s">
        <v>799</v>
      </c>
      <c r="O414" s="150" t="s">
        <v>472</v>
      </c>
      <c r="P414" s="122"/>
      <c r="Q414" s="123"/>
      <c r="R414" s="130"/>
      <c r="S414" s="130">
        <f t="shared" si="8"/>
        <v>0</v>
      </c>
      <c r="T414" s="130"/>
      <c r="U414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الشراء-الاستلام]]&lt;DATE(2018,1,1),S414-T414,0))</f>
        <v>0</v>
      </c>
      <c r="V414" s="169">
        <v>1</v>
      </c>
      <c r="W414" s="116"/>
      <c r="X414" s="116">
        <v>45948.1</v>
      </c>
      <c r="Y414" s="117">
        <f>Table5101345411[[#This Row],[عدد الإضافات]]*Table5101345411[[#This Row],[سعر الحبة المضافة]]</f>
        <v>45948.1</v>
      </c>
      <c r="Z414" s="101"/>
      <c r="AA414" s="102"/>
      <c r="AB414" s="103"/>
      <c r="AC414" s="103"/>
      <c r="AD414" s="103"/>
      <c r="AE414" s="103"/>
      <c r="AF414" s="103">
        <f>Table5101345411[[#This Row],[العدد]]*Table5101345411[[#This Row],[قيمة الشراء]]</f>
        <v>0</v>
      </c>
      <c r="AG414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14" s="190">
        <f>Table5101345411[[#This Row],[الكمية]]+Table5101345411[[#This Row],[عدد الإضافات]]-Table5101345411[[#This Row],[العدد]]</f>
        <v>1</v>
      </c>
      <c r="AI414" s="78">
        <f>Table5101345411[[#This Row],[الإجمالي]]+Table5101345411[[#This Row],[إجمالي الإضافات]]-Table5101345411[[#This Row],[إجمالي المستبعد]]</f>
        <v>45948.1</v>
      </c>
      <c r="AJ414" s="120">
        <v>0.15</v>
      </c>
      <c r="AK414" s="219"/>
      <c r="AL414" s="58" t="s">
        <v>61</v>
      </c>
      <c r="AM414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14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14" s="79">
        <f>Table5101345411[[#This Row],[اهلاك المستبعد
في 2018]]+Table5101345411[[#This Row],[مجمع إهلاك المستبعد 
01-01-2018]]</f>
        <v>0</v>
      </c>
      <c r="AP414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14" s="220"/>
      <c r="AR414" s="78">
        <f>IF(OR(Table5101345411[[#This Row],[تاريخ الشراء-الاستلام]]="",Table5101345411[[#This Row],[الإجمالي]]="",Table5101345411[[#This Row],[العمر الافتراضي]]=""),"",IF(((T414+AM414)-Table5101345411[[#This Row],[مجمع إهلاك المستبعد 
بتاريخ الأستبعاد]])&lt;=0,0,((T414+AM414)-Table5101345411[[#This Row],[مجمع إهلاك المستبعد 
بتاريخ الأستبعاد]])))</f>
        <v>0</v>
      </c>
      <c r="AS414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الشراء-الاستلام]]&gt;DATE(2018,12,31),0,AI414-AR414)))</f>
        <v>45948.1</v>
      </c>
    </row>
    <row r="415" spans="1:45" s="141" customFormat="1" ht="83.25" customHeight="1">
      <c r="A415" s="118">
        <f>IF(B415="","",SUBTOTAL(3,$B$6:B415))</f>
        <v>410</v>
      </c>
      <c r="B415" s="58" t="s">
        <v>550</v>
      </c>
      <c r="C415" s="59" t="s">
        <v>389</v>
      </c>
      <c r="D415" s="59" t="s">
        <v>367</v>
      </c>
      <c r="E415" s="59" t="s">
        <v>399</v>
      </c>
      <c r="F415" s="226" t="s">
        <v>399</v>
      </c>
      <c r="G415" s="226"/>
      <c r="H415" s="58" t="s">
        <v>57</v>
      </c>
      <c r="I415" s="58"/>
      <c r="J415" s="58"/>
      <c r="K415" s="58"/>
      <c r="L415" s="60"/>
      <c r="M415" s="77">
        <v>43465</v>
      </c>
      <c r="N415" s="77" t="s">
        <v>551</v>
      </c>
      <c r="O415" s="150" t="s">
        <v>552</v>
      </c>
      <c r="P415" s="122"/>
      <c r="Q415" s="123"/>
      <c r="R415" s="130"/>
      <c r="S415" s="130">
        <f t="shared" si="8"/>
        <v>0</v>
      </c>
      <c r="T415" s="130"/>
      <c r="U415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الشراء-الاستلام]]&lt;DATE(2018,1,1),S415-T415,0))</f>
        <v>0</v>
      </c>
      <c r="V415" s="169">
        <v>1</v>
      </c>
      <c r="W415" s="116">
        <v>30716</v>
      </c>
      <c r="X415" s="116">
        <v>2010</v>
      </c>
      <c r="Y415" s="117">
        <f>Table5101345411[[#This Row],[عدد الإضافات]]*Table5101345411[[#This Row],[سعر الحبة المضافة]]</f>
        <v>2010</v>
      </c>
      <c r="Z415" s="101"/>
      <c r="AA415" s="102"/>
      <c r="AB415" s="103"/>
      <c r="AC415" s="103"/>
      <c r="AD415" s="103"/>
      <c r="AE415" s="103"/>
      <c r="AF415" s="103">
        <f>Table5101345411[[#This Row],[العدد]]*Table5101345411[[#This Row],[قيمة الشراء]]</f>
        <v>0</v>
      </c>
      <c r="AG415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15" s="190">
        <f>Table5101345411[[#This Row],[الكمية]]+Table5101345411[[#This Row],[عدد الإضافات]]-Table5101345411[[#This Row],[العدد]]</f>
        <v>1</v>
      </c>
      <c r="AI415" s="78">
        <f>Table5101345411[[#This Row],[الإجمالي]]+Table5101345411[[#This Row],[إجمالي الإضافات]]-Table5101345411[[#This Row],[إجمالي المستبعد]]</f>
        <v>2010</v>
      </c>
      <c r="AJ415" s="120">
        <v>0.125</v>
      </c>
      <c r="AK415" s="219"/>
      <c r="AL415" s="58"/>
      <c r="AM415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15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15" s="79">
        <f>Table5101345411[[#This Row],[اهلاك المستبعد
في 2018]]+Table5101345411[[#This Row],[مجمع إهلاك المستبعد 
01-01-2018]]</f>
        <v>0</v>
      </c>
      <c r="AP415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15" s="220"/>
      <c r="AR415" s="78">
        <f>IF(OR(Table5101345411[[#This Row],[تاريخ الشراء-الاستلام]]="",Table5101345411[[#This Row],[الإجمالي]]="",Table5101345411[[#This Row],[العمر الافتراضي]]=""),"",IF(((T415+AM415)-Table5101345411[[#This Row],[مجمع إهلاك المستبعد 
بتاريخ الأستبعاد]])&lt;=0,0,((T415+AM415)-Table5101345411[[#This Row],[مجمع إهلاك المستبعد 
بتاريخ الأستبعاد]])))</f>
        <v>0</v>
      </c>
      <c r="AS415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الشراء-الاستلام]]&gt;DATE(2018,12,31),0,AI415-AR415)))</f>
        <v>2010</v>
      </c>
    </row>
    <row r="416" spans="1:45" s="141" customFormat="1" ht="83.25" customHeight="1">
      <c r="A416" s="118">
        <f>IF(B416="","",SUBTOTAL(3,$B$6:B416))</f>
        <v>411</v>
      </c>
      <c r="B416" s="58" t="s">
        <v>388</v>
      </c>
      <c r="C416" s="59" t="s">
        <v>389</v>
      </c>
      <c r="D416" s="59" t="s">
        <v>367</v>
      </c>
      <c r="E416" s="59" t="s">
        <v>403</v>
      </c>
      <c r="F416" s="226" t="s">
        <v>403</v>
      </c>
      <c r="G416" s="226"/>
      <c r="H416" s="58" t="s">
        <v>93</v>
      </c>
      <c r="I416" s="58"/>
      <c r="J416" s="58"/>
      <c r="K416" s="58"/>
      <c r="L416" s="60"/>
      <c r="M416" s="77">
        <v>43465</v>
      </c>
      <c r="N416" s="77" t="s">
        <v>555</v>
      </c>
      <c r="O416" s="150" t="s">
        <v>556</v>
      </c>
      <c r="P416" s="122"/>
      <c r="Q416" s="123"/>
      <c r="R416" s="130"/>
      <c r="S416" s="130">
        <f t="shared" si="8"/>
        <v>0</v>
      </c>
      <c r="T416" s="130"/>
      <c r="U416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الشراء-الاستلام]]&lt;DATE(2018,1,1),S416-T416,0))</f>
        <v>0</v>
      </c>
      <c r="V416" s="169">
        <v>1</v>
      </c>
      <c r="W416" s="116">
        <v>6474</v>
      </c>
      <c r="X416" s="116">
        <v>2300</v>
      </c>
      <c r="Y416" s="117">
        <f>Table5101345411[[#This Row],[عدد الإضافات]]*Table5101345411[[#This Row],[سعر الحبة المضافة]]</f>
        <v>2300</v>
      </c>
      <c r="Z416" s="101"/>
      <c r="AA416" s="102"/>
      <c r="AB416" s="103"/>
      <c r="AC416" s="103"/>
      <c r="AD416" s="103"/>
      <c r="AE416" s="103"/>
      <c r="AF416" s="103">
        <f>Table5101345411[[#This Row],[العدد]]*Table5101345411[[#This Row],[قيمة الشراء]]</f>
        <v>0</v>
      </c>
      <c r="AG416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16" s="190">
        <f>Table5101345411[[#This Row],[الكمية]]+Table5101345411[[#This Row],[عدد الإضافات]]-Table5101345411[[#This Row],[العدد]]</f>
        <v>1</v>
      </c>
      <c r="AI416" s="78">
        <f>Table5101345411[[#This Row],[الإجمالي]]+Table5101345411[[#This Row],[إجمالي الإضافات]]-Table5101345411[[#This Row],[إجمالي المستبعد]]</f>
        <v>2300</v>
      </c>
      <c r="AJ416" s="120">
        <v>0.125</v>
      </c>
      <c r="AK416" s="219"/>
      <c r="AL416" s="58"/>
      <c r="AM416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16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16" s="79">
        <f>Table5101345411[[#This Row],[اهلاك المستبعد
في 2018]]+Table5101345411[[#This Row],[مجمع إهلاك المستبعد 
01-01-2018]]</f>
        <v>0</v>
      </c>
      <c r="AP416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16" s="220"/>
      <c r="AR416" s="78">
        <f>IF(OR(Table5101345411[[#This Row],[تاريخ الشراء-الاستلام]]="",Table5101345411[[#This Row],[الإجمالي]]="",Table5101345411[[#This Row],[العمر الافتراضي]]=""),"",IF(((T416+AM416)-Table5101345411[[#This Row],[مجمع إهلاك المستبعد 
بتاريخ الأستبعاد]])&lt;=0,0,((T416+AM416)-Table5101345411[[#This Row],[مجمع إهلاك المستبعد 
بتاريخ الأستبعاد]])))</f>
        <v>0</v>
      </c>
      <c r="AS416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الشراء-الاستلام]]&gt;DATE(2018,12,31),0,AI416-AR416)))</f>
        <v>2300</v>
      </c>
    </row>
    <row r="417" spans="1:45" s="141" customFormat="1" ht="83.25" customHeight="1">
      <c r="A417" s="118">
        <f>IF(B417="","",SUBTOTAL(3,$B$6:B417))</f>
        <v>412</v>
      </c>
      <c r="B417" s="58" t="s">
        <v>553</v>
      </c>
      <c r="C417" s="59" t="s">
        <v>389</v>
      </c>
      <c r="D417" s="59" t="s">
        <v>367</v>
      </c>
      <c r="E417" s="59" t="s">
        <v>517</v>
      </c>
      <c r="F417" s="226" t="s">
        <v>517</v>
      </c>
      <c r="G417" s="226"/>
      <c r="H417" s="58" t="s">
        <v>57</v>
      </c>
      <c r="I417" s="58"/>
      <c r="J417" s="58"/>
      <c r="K417" s="58"/>
      <c r="L417" s="60"/>
      <c r="M417" s="77">
        <v>43465</v>
      </c>
      <c r="N417" s="77" t="s">
        <v>554</v>
      </c>
      <c r="O417" s="150" t="s">
        <v>549</v>
      </c>
      <c r="P417" s="122"/>
      <c r="Q417" s="123"/>
      <c r="R417" s="130"/>
      <c r="S417" s="130">
        <f t="shared" si="8"/>
        <v>0</v>
      </c>
      <c r="T417" s="130"/>
      <c r="U417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الشراء-الاستلام]]&lt;DATE(2018,1,1),S417-T417,0))</f>
        <v>0</v>
      </c>
      <c r="V417" s="169">
        <v>1</v>
      </c>
      <c r="W417" s="116">
        <v>40</v>
      </c>
      <c r="X417" s="116">
        <v>430</v>
      </c>
      <c r="Y417" s="117">
        <f>Table5101345411[[#This Row],[عدد الإضافات]]*Table5101345411[[#This Row],[سعر الحبة المضافة]]</f>
        <v>430</v>
      </c>
      <c r="Z417" s="101"/>
      <c r="AA417" s="102"/>
      <c r="AB417" s="103"/>
      <c r="AC417" s="103"/>
      <c r="AD417" s="103"/>
      <c r="AE417" s="103"/>
      <c r="AF417" s="103">
        <f>Table5101345411[[#This Row],[العدد]]*Table5101345411[[#This Row],[قيمة الشراء]]</f>
        <v>0</v>
      </c>
      <c r="AG417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17" s="190">
        <f>Table5101345411[[#This Row],[الكمية]]+Table5101345411[[#This Row],[عدد الإضافات]]-Table5101345411[[#This Row],[العدد]]</f>
        <v>1</v>
      </c>
      <c r="AI417" s="78">
        <f>Table5101345411[[#This Row],[الإجمالي]]+Table5101345411[[#This Row],[إجمالي الإضافات]]-Table5101345411[[#This Row],[إجمالي المستبعد]]</f>
        <v>430</v>
      </c>
      <c r="AJ417" s="120">
        <v>0.125</v>
      </c>
      <c r="AK417" s="219"/>
      <c r="AL417" s="58"/>
      <c r="AM417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17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17" s="79">
        <f>Table5101345411[[#This Row],[اهلاك المستبعد
في 2018]]+Table5101345411[[#This Row],[مجمع إهلاك المستبعد 
01-01-2018]]</f>
        <v>0</v>
      </c>
      <c r="AP417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17" s="220"/>
      <c r="AR417" s="78">
        <f>IF(OR(Table5101345411[[#This Row],[تاريخ الشراء-الاستلام]]="",Table5101345411[[#This Row],[الإجمالي]]="",Table5101345411[[#This Row],[العمر الافتراضي]]=""),"",IF(((T417+AM417)-Table5101345411[[#This Row],[مجمع إهلاك المستبعد 
بتاريخ الأستبعاد]])&lt;=0,0,((T417+AM417)-Table5101345411[[#This Row],[مجمع إهلاك المستبعد 
بتاريخ الأستبعاد]])))</f>
        <v>0</v>
      </c>
      <c r="AS417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الشراء-الاستلام]]&gt;DATE(2018,12,31),0,AI417-AR417)))</f>
        <v>430</v>
      </c>
    </row>
    <row r="418" spans="1:45" s="141" customFormat="1" ht="83.25" customHeight="1">
      <c r="A418" s="118">
        <f>IF(B418="","",SUBTOTAL(3,$B$6:B418))</f>
        <v>413</v>
      </c>
      <c r="B418" s="58" t="s">
        <v>491</v>
      </c>
      <c r="C418" s="59" t="s">
        <v>389</v>
      </c>
      <c r="D418" s="59" t="s">
        <v>56</v>
      </c>
      <c r="E418" s="59" t="s">
        <v>349</v>
      </c>
      <c r="F418" s="226" t="s">
        <v>349</v>
      </c>
      <c r="G418" s="226"/>
      <c r="H418" s="58"/>
      <c r="I418" s="58"/>
      <c r="J418" s="58"/>
      <c r="K418" s="58"/>
      <c r="L418" s="60"/>
      <c r="M418" s="77">
        <v>43465</v>
      </c>
      <c r="N418" s="77"/>
      <c r="O418" s="150" t="s">
        <v>521</v>
      </c>
      <c r="P418" s="122"/>
      <c r="Q418" s="123"/>
      <c r="R418" s="130"/>
      <c r="S418" s="130">
        <f t="shared" si="8"/>
        <v>0</v>
      </c>
      <c r="T418" s="130"/>
      <c r="U418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الشراء-الاستلام]]&lt;DATE(2018,1,1),S418-T418,0))</f>
        <v>0</v>
      </c>
      <c r="V418" s="169">
        <v>1</v>
      </c>
      <c r="W418" s="116"/>
      <c r="X418" s="116">
        <v>16000</v>
      </c>
      <c r="Y418" s="117">
        <f>Table5101345411[[#This Row],[عدد الإضافات]]*Table5101345411[[#This Row],[سعر الحبة المضافة]]</f>
        <v>16000</v>
      </c>
      <c r="Z418" s="101"/>
      <c r="AA418" s="102"/>
      <c r="AB418" s="103"/>
      <c r="AC418" s="103"/>
      <c r="AD418" s="103"/>
      <c r="AE418" s="103"/>
      <c r="AF418" s="103">
        <f>Table5101345411[[#This Row],[العدد]]*Table5101345411[[#This Row],[قيمة الشراء]]</f>
        <v>0</v>
      </c>
      <c r="AG418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18" s="190">
        <f>Table5101345411[[#This Row],[الكمية]]+Table5101345411[[#This Row],[عدد الإضافات]]-Table5101345411[[#This Row],[العدد]]</f>
        <v>1</v>
      </c>
      <c r="AI418" s="78">
        <f>Table5101345411[[#This Row],[الإجمالي]]+Table5101345411[[#This Row],[إجمالي الإضافات]]-Table5101345411[[#This Row],[إجمالي المستبعد]]</f>
        <v>16000</v>
      </c>
      <c r="AJ418" s="62">
        <v>0.125</v>
      </c>
      <c r="AK418" s="219"/>
      <c r="AL418" s="58"/>
      <c r="AM418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18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18" s="79">
        <f>Table5101345411[[#This Row],[اهلاك المستبعد
في 2018]]+Table5101345411[[#This Row],[مجمع إهلاك المستبعد 
01-01-2018]]</f>
        <v>0</v>
      </c>
      <c r="AP418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18" s="220"/>
      <c r="AR418" s="78">
        <f>IF(OR(Table5101345411[[#This Row],[تاريخ الشراء-الاستلام]]="",Table5101345411[[#This Row],[الإجمالي]]="",Table5101345411[[#This Row],[العمر الافتراضي]]=""),"",IF(((T418+AM418)-Table5101345411[[#This Row],[مجمع إهلاك المستبعد 
بتاريخ الأستبعاد]])&lt;=0,0,((T418+AM418)-Table5101345411[[#This Row],[مجمع إهلاك المستبعد 
بتاريخ الأستبعاد]])))</f>
        <v>0</v>
      </c>
      <c r="AS418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الشراء-الاستلام]]&gt;DATE(2018,12,31),0,AI418-AR418)))</f>
        <v>16000</v>
      </c>
    </row>
    <row r="419" spans="1:45" s="141" customFormat="1" ht="83.25" customHeight="1">
      <c r="A419" s="118">
        <f>IF(B419="","",SUBTOTAL(3,$B$6:B419))</f>
        <v>414</v>
      </c>
      <c r="B419" s="58" t="s">
        <v>584</v>
      </c>
      <c r="C419" s="59" t="s">
        <v>54</v>
      </c>
      <c r="D419" s="59" t="s">
        <v>84</v>
      </c>
      <c r="E419" s="59" t="s">
        <v>207</v>
      </c>
      <c r="F419" s="226" t="s">
        <v>601</v>
      </c>
      <c r="G419" s="226"/>
      <c r="H419" s="58" t="s">
        <v>57</v>
      </c>
      <c r="I419" s="58" t="s">
        <v>619</v>
      </c>
      <c r="J419" s="58" t="s">
        <v>64</v>
      </c>
      <c r="K419" s="58" t="s">
        <v>86</v>
      </c>
      <c r="L419" s="60" t="s">
        <v>92</v>
      </c>
      <c r="M419" s="77">
        <v>42916</v>
      </c>
      <c r="N419" s="77" t="s">
        <v>65</v>
      </c>
      <c r="O419" s="150" t="s">
        <v>267</v>
      </c>
      <c r="P419" s="122">
        <v>1</v>
      </c>
      <c r="Q419" s="123">
        <v>10317</v>
      </c>
      <c r="R419" s="130">
        <v>87000</v>
      </c>
      <c r="S419" s="130">
        <f t="shared" si="8"/>
        <v>87000</v>
      </c>
      <c r="T419" s="130">
        <v>10964.384</v>
      </c>
      <c r="U419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الشراء-الاستلام]]&lt;DATE(2018,1,1),S419-T419,0))</f>
        <v>76035.615999999995</v>
      </c>
      <c r="V419" s="169"/>
      <c r="W419" s="116"/>
      <c r="X419" s="116"/>
      <c r="Y419" s="117">
        <f>Table5101345411[[#This Row],[عدد الإضافات]]*Table5101345411[[#This Row],[سعر الحبة المضافة]]</f>
        <v>0</v>
      </c>
      <c r="Z419" s="101"/>
      <c r="AA419" s="102"/>
      <c r="AB419" s="103"/>
      <c r="AC419" s="103"/>
      <c r="AD419" s="103"/>
      <c r="AE419" s="103"/>
      <c r="AF419" s="103">
        <f>Table5101345411[[#This Row],[العدد]]*Table5101345411[[#This Row],[قيمة الشراء]]</f>
        <v>0</v>
      </c>
      <c r="AG419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19" s="190">
        <f>Table5101345411[[#This Row],[الكمية]]+Table5101345411[[#This Row],[عدد الإضافات]]-Table5101345411[[#This Row],[العدد]]</f>
        <v>1</v>
      </c>
      <c r="AI419" s="78">
        <f>Table5101345411[[#This Row],[الإجمالي]]+Table5101345411[[#This Row],[إجمالي الإضافات]]-Table5101345411[[#This Row],[إجمالي المستبعد]]</f>
        <v>87000</v>
      </c>
      <c r="AJ419" s="120">
        <v>0.15</v>
      </c>
      <c r="AK419" s="219"/>
      <c r="AL419" s="58" t="s">
        <v>61</v>
      </c>
      <c r="AM419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13050</v>
      </c>
      <c r="AN419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19" s="79">
        <f>Table5101345411[[#This Row],[اهلاك المستبعد
في 2018]]+Table5101345411[[#This Row],[مجمع إهلاك المستبعد 
01-01-2018]]</f>
        <v>0</v>
      </c>
      <c r="AP419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19" s="220"/>
      <c r="AR419" s="78">
        <f>IF(OR(Table5101345411[[#This Row],[تاريخ الشراء-الاستلام]]="",Table5101345411[[#This Row],[الإجمالي]]="",Table5101345411[[#This Row],[العمر الافتراضي]]=""),"",IF(((T419+AM419)-Table5101345411[[#This Row],[مجمع إهلاك المستبعد 
بتاريخ الأستبعاد]])&lt;=0,0,((T419+AM419)-Table5101345411[[#This Row],[مجمع إهلاك المستبعد 
بتاريخ الأستبعاد]])))</f>
        <v>24014.383999999998</v>
      </c>
      <c r="AS419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الشراء-الاستلام]]&gt;DATE(2018,12,31),0,AI419-AR419)))</f>
        <v>62985.616000000002</v>
      </c>
    </row>
    <row r="420" spans="1:45" s="141" customFormat="1" ht="83.25" customHeight="1">
      <c r="A420" s="118">
        <f>IF(B420="","",SUBTOTAL(3,$B$6:B420))</f>
        <v>415</v>
      </c>
      <c r="B420" s="58" t="s">
        <v>207</v>
      </c>
      <c r="C420" s="59" t="s">
        <v>54</v>
      </c>
      <c r="D420" s="59" t="s">
        <v>84</v>
      </c>
      <c r="E420" s="59" t="s">
        <v>207</v>
      </c>
      <c r="F420" s="226" t="s">
        <v>596</v>
      </c>
      <c r="G420" s="226"/>
      <c r="H420" s="58" t="s">
        <v>57</v>
      </c>
      <c r="I420" s="58" t="s">
        <v>619</v>
      </c>
      <c r="J420" s="58" t="s">
        <v>64</v>
      </c>
      <c r="K420" s="58" t="s">
        <v>86</v>
      </c>
      <c r="L420" s="60" t="s">
        <v>87</v>
      </c>
      <c r="M420" s="77">
        <v>42916</v>
      </c>
      <c r="N420" s="77" t="s">
        <v>65</v>
      </c>
      <c r="O420" s="150" t="s">
        <v>267</v>
      </c>
      <c r="P420" s="122">
        <v>1</v>
      </c>
      <c r="Q420" s="123">
        <v>10317</v>
      </c>
      <c r="R420" s="130">
        <v>87000</v>
      </c>
      <c r="S420" s="130">
        <f t="shared" si="8"/>
        <v>87000</v>
      </c>
      <c r="T420" s="130">
        <v>10964.384</v>
      </c>
      <c r="U420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الشراء-الاستلام]]&lt;DATE(2018,1,1),S420-T420,0))</f>
        <v>76035.615999999995</v>
      </c>
      <c r="V420" s="169"/>
      <c r="W420" s="116"/>
      <c r="X420" s="116"/>
      <c r="Y420" s="117">
        <f>Table5101345411[[#This Row],[عدد الإضافات]]*Table5101345411[[#This Row],[سعر الحبة المضافة]]</f>
        <v>0</v>
      </c>
      <c r="Z420" s="101"/>
      <c r="AA420" s="102"/>
      <c r="AB420" s="103"/>
      <c r="AC420" s="103"/>
      <c r="AD420" s="103"/>
      <c r="AE420" s="103"/>
      <c r="AF420" s="103">
        <f>Table5101345411[[#This Row],[العدد]]*Table5101345411[[#This Row],[قيمة الشراء]]</f>
        <v>0</v>
      </c>
      <c r="AG420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20" s="190">
        <f>Table5101345411[[#This Row],[الكمية]]+Table5101345411[[#This Row],[عدد الإضافات]]-Table5101345411[[#This Row],[العدد]]</f>
        <v>1</v>
      </c>
      <c r="AI420" s="78">
        <f>Table5101345411[[#This Row],[الإجمالي]]+Table5101345411[[#This Row],[إجمالي الإضافات]]-Table5101345411[[#This Row],[إجمالي المستبعد]]</f>
        <v>87000</v>
      </c>
      <c r="AJ420" s="120">
        <v>0.15</v>
      </c>
      <c r="AK420" s="219"/>
      <c r="AL420" s="58" t="s">
        <v>61</v>
      </c>
      <c r="AM420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13050</v>
      </c>
      <c r="AN420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20" s="79">
        <f>Table5101345411[[#This Row],[اهلاك المستبعد
في 2018]]+Table5101345411[[#This Row],[مجمع إهلاك المستبعد 
01-01-2018]]</f>
        <v>0</v>
      </c>
      <c r="AP420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20" s="220"/>
      <c r="AR420" s="78">
        <f>IF(OR(Table5101345411[[#This Row],[تاريخ الشراء-الاستلام]]="",Table5101345411[[#This Row],[الإجمالي]]="",Table5101345411[[#This Row],[العمر الافتراضي]]=""),"",IF(((T420+AM420)-Table5101345411[[#This Row],[مجمع إهلاك المستبعد 
بتاريخ الأستبعاد]])&lt;=0,0,((T420+AM420)-Table5101345411[[#This Row],[مجمع إهلاك المستبعد 
بتاريخ الأستبعاد]])))</f>
        <v>24014.383999999998</v>
      </c>
      <c r="AS420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الشراء-الاستلام]]&gt;DATE(2018,12,31),0,AI420-AR420)))</f>
        <v>62985.616000000002</v>
      </c>
    </row>
    <row r="421" spans="1:45" s="141" customFormat="1" ht="83.25" customHeight="1">
      <c r="A421" s="118">
        <f>IF(B421="","",SUBTOTAL(3,$B$6:B421))</f>
        <v>416</v>
      </c>
      <c r="B421" s="58" t="s">
        <v>584</v>
      </c>
      <c r="C421" s="59" t="s">
        <v>54</v>
      </c>
      <c r="D421" s="59" t="s">
        <v>84</v>
      </c>
      <c r="E421" s="59" t="s">
        <v>207</v>
      </c>
      <c r="F421" s="226" t="s">
        <v>599</v>
      </c>
      <c r="G421" s="226"/>
      <c r="H421" s="58" t="s">
        <v>57</v>
      </c>
      <c r="I421" s="58" t="s">
        <v>619</v>
      </c>
      <c r="J421" s="58" t="s">
        <v>64</v>
      </c>
      <c r="K421" s="58" t="s">
        <v>86</v>
      </c>
      <c r="L421" s="60" t="s">
        <v>90</v>
      </c>
      <c r="M421" s="77">
        <v>42916</v>
      </c>
      <c r="N421" s="77" t="s">
        <v>65</v>
      </c>
      <c r="O421" s="150" t="s">
        <v>267</v>
      </c>
      <c r="P421" s="122">
        <v>1</v>
      </c>
      <c r="Q421" s="123">
        <v>10317</v>
      </c>
      <c r="R421" s="130">
        <v>87000</v>
      </c>
      <c r="S421" s="130">
        <f t="shared" si="8"/>
        <v>87000</v>
      </c>
      <c r="T421" s="130">
        <v>10964.384</v>
      </c>
      <c r="U421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الشراء-الاستلام]]&lt;DATE(2018,1,1),S421-T421,0))</f>
        <v>76035.615999999995</v>
      </c>
      <c r="V421" s="169"/>
      <c r="W421" s="116"/>
      <c r="X421" s="116"/>
      <c r="Y421" s="117">
        <f>Table5101345411[[#This Row],[عدد الإضافات]]*Table5101345411[[#This Row],[سعر الحبة المضافة]]</f>
        <v>0</v>
      </c>
      <c r="Z421" s="101"/>
      <c r="AA421" s="102"/>
      <c r="AB421" s="103"/>
      <c r="AC421" s="103"/>
      <c r="AD421" s="103"/>
      <c r="AE421" s="103"/>
      <c r="AF421" s="103">
        <f>Table5101345411[[#This Row],[العدد]]*Table5101345411[[#This Row],[قيمة الشراء]]</f>
        <v>0</v>
      </c>
      <c r="AG421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21" s="190">
        <f>Table5101345411[[#This Row],[الكمية]]+Table5101345411[[#This Row],[عدد الإضافات]]-Table5101345411[[#This Row],[العدد]]</f>
        <v>1</v>
      </c>
      <c r="AI421" s="78">
        <f>Table5101345411[[#This Row],[الإجمالي]]+Table5101345411[[#This Row],[إجمالي الإضافات]]-Table5101345411[[#This Row],[إجمالي المستبعد]]</f>
        <v>87000</v>
      </c>
      <c r="AJ421" s="120">
        <v>0.15</v>
      </c>
      <c r="AK421" s="219"/>
      <c r="AL421" s="58" t="s">
        <v>61</v>
      </c>
      <c r="AM421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13050</v>
      </c>
      <c r="AN421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21" s="79">
        <f>Table5101345411[[#This Row],[اهلاك المستبعد
في 2018]]+Table5101345411[[#This Row],[مجمع إهلاك المستبعد 
01-01-2018]]</f>
        <v>0</v>
      </c>
      <c r="AP421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21" s="220"/>
      <c r="AR421" s="78">
        <f>IF(OR(Table5101345411[[#This Row],[تاريخ الشراء-الاستلام]]="",Table5101345411[[#This Row],[الإجمالي]]="",Table5101345411[[#This Row],[العمر الافتراضي]]=""),"",IF(((T421+AM421)-Table5101345411[[#This Row],[مجمع إهلاك المستبعد 
بتاريخ الأستبعاد]])&lt;=0,0,((T421+AM421)-Table5101345411[[#This Row],[مجمع إهلاك المستبعد 
بتاريخ الأستبعاد]])))</f>
        <v>24014.383999999998</v>
      </c>
      <c r="AS421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الشراء-الاستلام]]&gt;DATE(2018,12,31),0,AI421-AR421)))</f>
        <v>62985.616000000002</v>
      </c>
    </row>
    <row r="422" spans="1:45" s="141" customFormat="1" ht="83.25" customHeight="1">
      <c r="A422" s="118">
        <f>IF(B422="","",SUBTOTAL(3,$B$6:B422))</f>
        <v>417</v>
      </c>
      <c r="B422" s="58" t="s">
        <v>584</v>
      </c>
      <c r="C422" s="59" t="s">
        <v>54</v>
      </c>
      <c r="D422" s="59" t="s">
        <v>84</v>
      </c>
      <c r="E422" s="59" t="s">
        <v>207</v>
      </c>
      <c r="F422" s="226" t="s">
        <v>600</v>
      </c>
      <c r="G422" s="226"/>
      <c r="H422" s="58" t="s">
        <v>57</v>
      </c>
      <c r="I422" s="58" t="s">
        <v>619</v>
      </c>
      <c r="J422" s="58" t="s">
        <v>64</v>
      </c>
      <c r="K422" s="58" t="s">
        <v>86</v>
      </c>
      <c r="L422" s="60" t="s">
        <v>91</v>
      </c>
      <c r="M422" s="77">
        <v>42916</v>
      </c>
      <c r="N422" s="77" t="s">
        <v>65</v>
      </c>
      <c r="O422" s="150" t="s">
        <v>267</v>
      </c>
      <c r="P422" s="122">
        <v>1</v>
      </c>
      <c r="Q422" s="123">
        <v>10317</v>
      </c>
      <c r="R422" s="130">
        <v>87000</v>
      </c>
      <c r="S422" s="130">
        <f t="shared" si="8"/>
        <v>87000</v>
      </c>
      <c r="T422" s="130">
        <v>10964.384</v>
      </c>
      <c r="U422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الشراء-الاستلام]]&lt;DATE(2018,1,1),S422-T422,0))</f>
        <v>76035.615999999995</v>
      </c>
      <c r="V422" s="169"/>
      <c r="W422" s="116"/>
      <c r="X422" s="116"/>
      <c r="Y422" s="117">
        <f>Table5101345411[[#This Row],[عدد الإضافات]]*Table5101345411[[#This Row],[سعر الحبة المضافة]]</f>
        <v>0</v>
      </c>
      <c r="Z422" s="101"/>
      <c r="AA422" s="102"/>
      <c r="AB422" s="103"/>
      <c r="AC422" s="103"/>
      <c r="AD422" s="103"/>
      <c r="AE422" s="103"/>
      <c r="AF422" s="103">
        <f>Table5101345411[[#This Row],[العدد]]*Table5101345411[[#This Row],[قيمة الشراء]]</f>
        <v>0</v>
      </c>
      <c r="AG422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22" s="190">
        <f>Table5101345411[[#This Row],[الكمية]]+Table5101345411[[#This Row],[عدد الإضافات]]-Table5101345411[[#This Row],[العدد]]</f>
        <v>1</v>
      </c>
      <c r="AI422" s="78">
        <f>Table5101345411[[#This Row],[الإجمالي]]+Table5101345411[[#This Row],[إجمالي الإضافات]]-Table5101345411[[#This Row],[إجمالي المستبعد]]</f>
        <v>87000</v>
      </c>
      <c r="AJ422" s="120">
        <v>0.15</v>
      </c>
      <c r="AK422" s="219"/>
      <c r="AL422" s="58" t="s">
        <v>61</v>
      </c>
      <c r="AM422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13050</v>
      </c>
      <c r="AN422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22" s="79">
        <f>Table5101345411[[#This Row],[اهلاك المستبعد
في 2018]]+Table5101345411[[#This Row],[مجمع إهلاك المستبعد 
01-01-2018]]</f>
        <v>0</v>
      </c>
      <c r="AP422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22" s="220"/>
      <c r="AR422" s="78">
        <f>IF(OR(Table5101345411[[#This Row],[تاريخ الشراء-الاستلام]]="",Table5101345411[[#This Row],[الإجمالي]]="",Table5101345411[[#This Row],[العمر الافتراضي]]=""),"",IF(((T422+AM422)-Table5101345411[[#This Row],[مجمع إهلاك المستبعد 
بتاريخ الأستبعاد]])&lt;=0,0,((T422+AM422)-Table5101345411[[#This Row],[مجمع إهلاك المستبعد 
بتاريخ الأستبعاد]])))</f>
        <v>24014.383999999998</v>
      </c>
      <c r="AS422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الشراء-الاستلام]]&gt;DATE(2018,12,31),0,AI422-AR422)))</f>
        <v>62985.616000000002</v>
      </c>
    </row>
    <row r="423" spans="1:45" s="141" customFormat="1" ht="83.25" customHeight="1">
      <c r="A423" s="118">
        <f>IF(B423="","",SUBTOTAL(3,$B$6:B423))</f>
        <v>418</v>
      </c>
      <c r="B423" s="58" t="s">
        <v>509</v>
      </c>
      <c r="C423" s="59" t="s">
        <v>389</v>
      </c>
      <c r="D423" s="59" t="s">
        <v>84</v>
      </c>
      <c r="E423" s="59" t="s">
        <v>207</v>
      </c>
      <c r="F423" s="226" t="s">
        <v>597</v>
      </c>
      <c r="G423" s="226"/>
      <c r="H423" s="58" t="s">
        <v>57</v>
      </c>
      <c r="I423" s="58" t="s">
        <v>619</v>
      </c>
      <c r="J423" s="58" t="s">
        <v>64</v>
      </c>
      <c r="K423" s="58"/>
      <c r="L423" s="60" t="s">
        <v>89</v>
      </c>
      <c r="M423" s="77">
        <v>43465</v>
      </c>
      <c r="N423" s="77"/>
      <c r="O423" s="150" t="s">
        <v>510</v>
      </c>
      <c r="P423" s="122"/>
      <c r="Q423" s="123"/>
      <c r="R423" s="130"/>
      <c r="S423" s="130">
        <f t="shared" si="8"/>
        <v>0</v>
      </c>
      <c r="T423" s="130"/>
      <c r="U423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الشراء-الاستلام]]&lt;DATE(2018,1,1),S423-T423,0))</f>
        <v>0</v>
      </c>
      <c r="V423" s="169">
        <v>1</v>
      </c>
      <c r="W423" s="116"/>
      <c r="X423" s="116">
        <v>9000</v>
      </c>
      <c r="Y423" s="117">
        <f>Table5101345411[[#This Row],[عدد الإضافات]]*Table5101345411[[#This Row],[سعر الحبة المضافة]]</f>
        <v>9000</v>
      </c>
      <c r="Z423" s="101"/>
      <c r="AA423" s="102"/>
      <c r="AB423" s="103"/>
      <c r="AC423" s="103"/>
      <c r="AD423" s="103"/>
      <c r="AE423" s="103"/>
      <c r="AF423" s="103">
        <f>Table5101345411[[#This Row],[العدد]]*Table5101345411[[#This Row],[قيمة الشراء]]</f>
        <v>0</v>
      </c>
      <c r="AG423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23" s="190">
        <f>Table5101345411[[#This Row],[الكمية]]+Table5101345411[[#This Row],[عدد الإضافات]]-Table5101345411[[#This Row],[العدد]]</f>
        <v>1</v>
      </c>
      <c r="AI423" s="78">
        <f>Table5101345411[[#This Row],[الإجمالي]]+Table5101345411[[#This Row],[إجمالي الإضافات]]-Table5101345411[[#This Row],[إجمالي المستبعد]]</f>
        <v>9000</v>
      </c>
      <c r="AJ423" s="120">
        <v>0.15</v>
      </c>
      <c r="AK423" s="219"/>
      <c r="AL423" s="58"/>
      <c r="AM423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23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23" s="79">
        <f>Table5101345411[[#This Row],[اهلاك المستبعد
في 2018]]+Table5101345411[[#This Row],[مجمع إهلاك المستبعد 
01-01-2018]]</f>
        <v>0</v>
      </c>
      <c r="AP423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23" s="220"/>
      <c r="AR423" s="78">
        <f>IF(OR(Table5101345411[[#This Row],[تاريخ الشراء-الاستلام]]="",Table5101345411[[#This Row],[الإجمالي]]="",Table5101345411[[#This Row],[العمر الافتراضي]]=""),"",IF(((T423+AM423)-Table5101345411[[#This Row],[مجمع إهلاك المستبعد 
بتاريخ الأستبعاد]])&lt;=0,0,((T423+AM423)-Table5101345411[[#This Row],[مجمع إهلاك المستبعد 
بتاريخ الأستبعاد]])))</f>
        <v>0</v>
      </c>
      <c r="AS423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الشراء-الاستلام]]&gt;DATE(2018,12,31),0,AI423-AR423)))</f>
        <v>9000</v>
      </c>
    </row>
    <row r="424" spans="1:45" s="141" customFormat="1" ht="83.25" customHeight="1">
      <c r="A424" s="118">
        <f>IF(B424="","",SUBTOTAL(3,$B$6:B424))</f>
        <v>419</v>
      </c>
      <c r="B424" s="58" t="s">
        <v>509</v>
      </c>
      <c r="C424" s="59" t="s">
        <v>389</v>
      </c>
      <c r="D424" s="59" t="s">
        <v>84</v>
      </c>
      <c r="E424" s="59" t="s">
        <v>207</v>
      </c>
      <c r="F424" s="226" t="s">
        <v>599</v>
      </c>
      <c r="G424" s="226"/>
      <c r="H424" s="58" t="s">
        <v>57</v>
      </c>
      <c r="I424" s="58" t="s">
        <v>619</v>
      </c>
      <c r="J424" s="58" t="s">
        <v>64</v>
      </c>
      <c r="K424" s="58"/>
      <c r="L424" s="60" t="s">
        <v>90</v>
      </c>
      <c r="M424" s="77">
        <v>43465</v>
      </c>
      <c r="N424" s="77"/>
      <c r="O424" s="150" t="s">
        <v>510</v>
      </c>
      <c r="P424" s="122"/>
      <c r="Q424" s="123"/>
      <c r="R424" s="130"/>
      <c r="S424" s="130">
        <f t="shared" si="8"/>
        <v>0</v>
      </c>
      <c r="T424" s="130"/>
      <c r="U424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الشراء-الاستلام]]&lt;DATE(2018,1,1),S424-T424,0))</f>
        <v>0</v>
      </c>
      <c r="V424" s="169">
        <v>1</v>
      </c>
      <c r="W424" s="116"/>
      <c r="X424" s="116">
        <v>9000</v>
      </c>
      <c r="Y424" s="117">
        <f>Table5101345411[[#This Row],[عدد الإضافات]]*Table5101345411[[#This Row],[سعر الحبة المضافة]]</f>
        <v>9000</v>
      </c>
      <c r="Z424" s="101"/>
      <c r="AA424" s="102"/>
      <c r="AB424" s="103"/>
      <c r="AC424" s="103"/>
      <c r="AD424" s="103"/>
      <c r="AE424" s="103"/>
      <c r="AF424" s="103">
        <f>Table5101345411[[#This Row],[العدد]]*Table5101345411[[#This Row],[قيمة الشراء]]</f>
        <v>0</v>
      </c>
      <c r="AG424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24" s="190">
        <f>Table5101345411[[#This Row],[الكمية]]+Table5101345411[[#This Row],[عدد الإضافات]]-Table5101345411[[#This Row],[العدد]]</f>
        <v>1</v>
      </c>
      <c r="AI424" s="78">
        <f>Table5101345411[[#This Row],[الإجمالي]]+Table5101345411[[#This Row],[إجمالي الإضافات]]-Table5101345411[[#This Row],[إجمالي المستبعد]]</f>
        <v>9000</v>
      </c>
      <c r="AJ424" s="120">
        <v>0.15</v>
      </c>
      <c r="AK424" s="219"/>
      <c r="AL424" s="58"/>
      <c r="AM424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24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24" s="79">
        <f>Table5101345411[[#This Row],[اهلاك المستبعد
في 2018]]+Table5101345411[[#This Row],[مجمع إهلاك المستبعد 
01-01-2018]]</f>
        <v>0</v>
      </c>
      <c r="AP424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24" s="220"/>
      <c r="AR424" s="78">
        <f>IF(OR(Table5101345411[[#This Row],[تاريخ الشراء-الاستلام]]="",Table5101345411[[#This Row],[الإجمالي]]="",Table5101345411[[#This Row],[العمر الافتراضي]]=""),"",IF(((T424+AM424)-Table5101345411[[#This Row],[مجمع إهلاك المستبعد 
بتاريخ الأستبعاد]])&lt;=0,0,((T424+AM424)-Table5101345411[[#This Row],[مجمع إهلاك المستبعد 
بتاريخ الأستبعاد]])))</f>
        <v>0</v>
      </c>
      <c r="AS424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الشراء-الاستلام]]&gt;DATE(2018,12,31),0,AI424-AR424)))</f>
        <v>9000</v>
      </c>
    </row>
    <row r="425" spans="1:45" s="141" customFormat="1" ht="83.25" customHeight="1">
      <c r="A425" s="118">
        <f>IF(B425="","",SUBTOTAL(3,$B$6:B425))</f>
        <v>420</v>
      </c>
      <c r="B425" s="58" t="s">
        <v>509</v>
      </c>
      <c r="C425" s="59" t="s">
        <v>389</v>
      </c>
      <c r="D425" s="59" t="s">
        <v>84</v>
      </c>
      <c r="E425" s="59" t="s">
        <v>84</v>
      </c>
      <c r="F425" s="226" t="s">
        <v>84</v>
      </c>
      <c r="G425" s="226"/>
      <c r="H425" s="58"/>
      <c r="I425" s="58"/>
      <c r="J425" s="58"/>
      <c r="K425" s="58"/>
      <c r="L425" s="60" t="s">
        <v>511</v>
      </c>
      <c r="M425" s="77">
        <v>43465</v>
      </c>
      <c r="N425" s="77"/>
      <c r="O425" s="150" t="s">
        <v>510</v>
      </c>
      <c r="P425" s="122"/>
      <c r="Q425" s="123"/>
      <c r="R425" s="130"/>
      <c r="S425" s="130">
        <f t="shared" si="8"/>
        <v>0</v>
      </c>
      <c r="T425" s="130"/>
      <c r="U425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الشراء-الاستلام]]&lt;DATE(2018,1,1),S425-T425,0))</f>
        <v>0</v>
      </c>
      <c r="V425" s="169">
        <v>3</v>
      </c>
      <c r="W425" s="116"/>
      <c r="X425" s="116">
        <v>9000</v>
      </c>
      <c r="Y425" s="117">
        <f>Table5101345411[[#This Row],[عدد الإضافات]]*Table5101345411[[#This Row],[سعر الحبة المضافة]]</f>
        <v>27000</v>
      </c>
      <c r="Z425" s="101"/>
      <c r="AA425" s="102"/>
      <c r="AB425" s="103"/>
      <c r="AC425" s="103"/>
      <c r="AD425" s="103"/>
      <c r="AE425" s="103"/>
      <c r="AF425" s="103">
        <f>Table5101345411[[#This Row],[العدد]]*Table5101345411[[#This Row],[قيمة الشراء]]</f>
        <v>0</v>
      </c>
      <c r="AG425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25" s="190">
        <f>Table5101345411[[#This Row],[الكمية]]+Table5101345411[[#This Row],[عدد الإضافات]]-Table5101345411[[#This Row],[العدد]]</f>
        <v>3</v>
      </c>
      <c r="AI425" s="78">
        <f>Table5101345411[[#This Row],[الإجمالي]]+Table5101345411[[#This Row],[إجمالي الإضافات]]-Table5101345411[[#This Row],[إجمالي المستبعد]]</f>
        <v>27000</v>
      </c>
      <c r="AJ425" s="120">
        <v>0.15</v>
      </c>
      <c r="AK425" s="219"/>
      <c r="AL425" s="58"/>
      <c r="AM425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25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25" s="79">
        <f>Table5101345411[[#This Row],[اهلاك المستبعد
في 2018]]+Table5101345411[[#This Row],[مجمع إهلاك المستبعد 
01-01-2018]]</f>
        <v>0</v>
      </c>
      <c r="AP425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25" s="220"/>
      <c r="AR425" s="78">
        <f>IF(OR(Table5101345411[[#This Row],[تاريخ الشراء-الاستلام]]="",Table5101345411[[#This Row],[الإجمالي]]="",Table5101345411[[#This Row],[العمر الافتراضي]]=""),"",IF(((T425+AM425)-Table5101345411[[#This Row],[مجمع إهلاك المستبعد 
بتاريخ الأستبعاد]])&lt;=0,0,((T425+AM425)-Table5101345411[[#This Row],[مجمع إهلاك المستبعد 
بتاريخ الأستبعاد]])))</f>
        <v>0</v>
      </c>
      <c r="AS425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الشراء-الاستلام]]&gt;DATE(2018,12,31),0,AI425-AR425)))</f>
        <v>27000</v>
      </c>
    </row>
    <row r="426" spans="1:45" s="141" customFormat="1" ht="83.25" customHeight="1">
      <c r="A426" s="118">
        <f>IF(B426="","",SUBTOTAL(3,$B$6:B426))</f>
        <v>421</v>
      </c>
      <c r="B426" s="58" t="s">
        <v>520</v>
      </c>
      <c r="C426" s="59" t="s">
        <v>389</v>
      </c>
      <c r="D426" s="59" t="s">
        <v>84</v>
      </c>
      <c r="E426" s="59" t="s">
        <v>84</v>
      </c>
      <c r="F426" s="226" t="s">
        <v>84</v>
      </c>
      <c r="G426" s="226"/>
      <c r="H426" s="58"/>
      <c r="I426" s="58"/>
      <c r="J426" s="58"/>
      <c r="K426" s="58"/>
      <c r="L426" s="60"/>
      <c r="M426" s="77">
        <v>43465</v>
      </c>
      <c r="N426" s="77"/>
      <c r="O426" s="150" t="s">
        <v>521</v>
      </c>
      <c r="P426" s="122"/>
      <c r="Q426" s="123"/>
      <c r="R426" s="130"/>
      <c r="S426" s="130">
        <f t="shared" si="8"/>
        <v>0</v>
      </c>
      <c r="T426" s="130"/>
      <c r="U426" s="21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الشراء-الاستلام]]&lt;DATE(2018,1,1),S426-T426,0))</f>
        <v>0</v>
      </c>
      <c r="V426" s="169">
        <v>1</v>
      </c>
      <c r="W426" s="116"/>
      <c r="X426" s="116">
        <v>107000</v>
      </c>
      <c r="Y426" s="117">
        <f>Table5101345411[[#This Row],[عدد الإضافات]]*Table5101345411[[#This Row],[سعر الحبة المضافة]]</f>
        <v>107000</v>
      </c>
      <c r="Z426" s="101"/>
      <c r="AA426" s="102"/>
      <c r="AB426" s="103"/>
      <c r="AC426" s="103"/>
      <c r="AD426" s="103"/>
      <c r="AE426" s="103"/>
      <c r="AF426" s="103">
        <f>Table5101345411[[#This Row],[العدد]]*Table5101345411[[#This Row],[قيمة الشراء]]</f>
        <v>0</v>
      </c>
      <c r="AG426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26" s="190">
        <f>Table5101345411[[#This Row],[الكمية]]+Table5101345411[[#This Row],[عدد الإضافات]]-Table5101345411[[#This Row],[العدد]]</f>
        <v>1</v>
      </c>
      <c r="AI426" s="78">
        <f>Table5101345411[[#This Row],[الإجمالي]]+Table5101345411[[#This Row],[إجمالي الإضافات]]-Table5101345411[[#This Row],[إجمالي المستبعد]]</f>
        <v>107000</v>
      </c>
      <c r="AJ426" s="120">
        <v>0.15</v>
      </c>
      <c r="AK426" s="219"/>
      <c r="AL426" s="58"/>
      <c r="AM426" s="79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26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26" s="79">
        <f>Table5101345411[[#This Row],[اهلاك المستبعد
في 2018]]+Table5101345411[[#This Row],[مجمع إهلاك المستبعد 
01-01-2018]]</f>
        <v>0</v>
      </c>
      <c r="AP426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26" s="220"/>
      <c r="AR426" s="78">
        <f>IF(OR(Table5101345411[[#This Row],[تاريخ الشراء-الاستلام]]="",Table5101345411[[#This Row],[الإجمالي]]="",Table5101345411[[#This Row],[العمر الافتراضي]]=""),"",IF(((T426+AM426)-Table5101345411[[#This Row],[مجمع إهلاك المستبعد 
بتاريخ الأستبعاد]])&lt;=0,0,((T426+AM426)-Table5101345411[[#This Row],[مجمع إهلاك المستبعد 
بتاريخ الأستبعاد]])))</f>
        <v>0</v>
      </c>
      <c r="AS426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الشراء-الاستلام]]&gt;DATE(2018,12,31),0,AI426-AR426)))</f>
        <v>107000</v>
      </c>
    </row>
    <row r="427" spans="1:45" s="141" customFormat="1" ht="83.25" customHeight="1">
      <c r="A427" s="57">
        <f>IF(B427="","",SUBTOTAL(3,$B$6:B427))</f>
        <v>422</v>
      </c>
      <c r="B427" s="58" t="s">
        <v>512</v>
      </c>
      <c r="C427" s="66" t="s">
        <v>389</v>
      </c>
      <c r="D427" s="66" t="s">
        <v>84</v>
      </c>
      <c r="E427" s="66" t="s">
        <v>84</v>
      </c>
      <c r="F427" s="223" t="s">
        <v>84</v>
      </c>
      <c r="G427" s="223"/>
      <c r="H427" s="58"/>
      <c r="I427" s="58"/>
      <c r="J427" s="58"/>
      <c r="K427" s="58"/>
      <c r="L427" s="60"/>
      <c r="M427" s="73">
        <v>43465</v>
      </c>
      <c r="N427" s="87"/>
      <c r="O427" s="150" t="s">
        <v>513</v>
      </c>
      <c r="P427" s="122"/>
      <c r="Q427" s="123"/>
      <c r="R427" s="130"/>
      <c r="S427" s="130">
        <f t="shared" si="8"/>
        <v>0</v>
      </c>
      <c r="T427" s="130"/>
      <c r="U427" s="158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الشراء-الاستلام]]&lt;DATE(2018,1,1),S427-T427,0))</f>
        <v>0</v>
      </c>
      <c r="V427" s="169">
        <v>1</v>
      </c>
      <c r="W427" s="116"/>
      <c r="X427" s="116">
        <v>120000</v>
      </c>
      <c r="Y427" s="117">
        <f>Table5101345411[[#This Row],[عدد الإضافات]]*Table5101345411[[#This Row],[سعر الحبة المضافة]]</f>
        <v>120000</v>
      </c>
      <c r="Z427" s="101"/>
      <c r="AA427" s="102"/>
      <c r="AB427" s="103"/>
      <c r="AC427" s="103"/>
      <c r="AD427" s="103"/>
      <c r="AE427" s="103"/>
      <c r="AF427" s="103">
        <f>Table5101345411[[#This Row],[العدد]]*Table5101345411[[#This Row],[قيمة الشراء]]</f>
        <v>0</v>
      </c>
      <c r="AG427" s="17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27" s="190">
        <f>Table5101345411[[#This Row],[الكمية]]+Table5101345411[[#This Row],[عدد الإضافات]]-Table5101345411[[#This Row],[العدد]]</f>
        <v>1</v>
      </c>
      <c r="AI427" s="78">
        <f>Table5101345411[[#This Row],[الإجمالي]]+Table5101345411[[#This Row],[إجمالي الإضافات]]-Table5101345411[[#This Row],[إجمالي المستبعد]]</f>
        <v>120000</v>
      </c>
      <c r="AJ427" s="71">
        <v>0.15</v>
      </c>
      <c r="AK427" s="186"/>
      <c r="AL427" s="107"/>
      <c r="AM427" s="197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27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27" s="79">
        <f>Table5101345411[[#This Row],[اهلاك المستبعد
في 2018]]+Table5101345411[[#This Row],[مجمع إهلاك المستبعد 
01-01-2018]]</f>
        <v>0</v>
      </c>
      <c r="AP427" s="213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27" s="202"/>
      <c r="AR427" s="78">
        <f>IF(OR(Table5101345411[[#This Row],[تاريخ الشراء-الاستلام]]="",Table5101345411[[#This Row],[الإجمالي]]="",Table5101345411[[#This Row],[العمر الافتراضي]]=""),"",IF(((T427+AM427)-Table5101345411[[#This Row],[مجمع إهلاك المستبعد 
بتاريخ الأستبعاد]])&lt;=0,0,((T427+AM427)-Table5101345411[[#This Row],[مجمع إهلاك المستبعد 
بتاريخ الأستبعاد]])))</f>
        <v>0</v>
      </c>
      <c r="AS427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الشراء-الاستلام]]&gt;DATE(2018,12,31),0,AI427-AR427)))</f>
        <v>120000</v>
      </c>
    </row>
    <row r="428" spans="1:45" s="141" customFormat="1" ht="83.25" customHeight="1">
      <c r="A428" s="57">
        <f>IF(B428="","",SUBTOTAL(3,$B$6:B428))</f>
        <v>423</v>
      </c>
      <c r="B428" s="58" t="s">
        <v>514</v>
      </c>
      <c r="C428" s="66" t="s">
        <v>389</v>
      </c>
      <c r="D428" s="66" t="s">
        <v>84</v>
      </c>
      <c r="E428" s="66" t="s">
        <v>84</v>
      </c>
      <c r="F428" s="223" t="s">
        <v>84</v>
      </c>
      <c r="G428" s="223"/>
      <c r="H428" s="58"/>
      <c r="I428" s="58"/>
      <c r="J428" s="58"/>
      <c r="K428" s="58"/>
      <c r="L428" s="60"/>
      <c r="M428" s="73">
        <v>43465</v>
      </c>
      <c r="N428" s="87"/>
      <c r="O428" s="150" t="s">
        <v>515</v>
      </c>
      <c r="P428" s="122"/>
      <c r="Q428" s="123"/>
      <c r="R428" s="130"/>
      <c r="S428" s="130">
        <f t="shared" si="8"/>
        <v>0</v>
      </c>
      <c r="T428" s="130"/>
      <c r="U428" s="158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الشراء-الاستلام]]&lt;DATE(2018,1,1),S428-T428,0))</f>
        <v>0</v>
      </c>
      <c r="V428" s="169">
        <v>1</v>
      </c>
      <c r="W428" s="116"/>
      <c r="X428" s="116">
        <v>16000</v>
      </c>
      <c r="Y428" s="117">
        <f>Table5101345411[[#This Row],[عدد الإضافات]]*Table5101345411[[#This Row],[سعر الحبة المضافة]]</f>
        <v>16000</v>
      </c>
      <c r="Z428" s="101"/>
      <c r="AA428" s="102"/>
      <c r="AB428" s="103"/>
      <c r="AC428" s="103"/>
      <c r="AD428" s="103"/>
      <c r="AE428" s="103"/>
      <c r="AF428" s="103">
        <f>Table5101345411[[#This Row],[العدد]]*Table5101345411[[#This Row],[قيمة الشراء]]</f>
        <v>0</v>
      </c>
      <c r="AG428" s="17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28" s="190">
        <f>Table5101345411[[#This Row],[الكمية]]+Table5101345411[[#This Row],[عدد الإضافات]]-Table5101345411[[#This Row],[العدد]]</f>
        <v>1</v>
      </c>
      <c r="AI428" s="78">
        <f>Table5101345411[[#This Row],[الإجمالي]]+Table5101345411[[#This Row],[إجمالي الإضافات]]-Table5101345411[[#This Row],[إجمالي المستبعد]]</f>
        <v>16000</v>
      </c>
      <c r="AJ428" s="71">
        <v>0.15</v>
      </c>
      <c r="AK428" s="186"/>
      <c r="AL428" s="107"/>
      <c r="AM428" s="197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28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28" s="79">
        <f>Table5101345411[[#This Row],[اهلاك المستبعد
في 2018]]+Table5101345411[[#This Row],[مجمع إهلاك المستبعد 
01-01-2018]]</f>
        <v>0</v>
      </c>
      <c r="AP428" s="213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28" s="202"/>
      <c r="AR428" s="78">
        <f>IF(OR(Table5101345411[[#This Row],[تاريخ الشراء-الاستلام]]="",Table5101345411[[#This Row],[الإجمالي]]="",Table5101345411[[#This Row],[العمر الافتراضي]]=""),"",IF(((T428+AM428)-Table5101345411[[#This Row],[مجمع إهلاك المستبعد 
بتاريخ الأستبعاد]])&lt;=0,0,((T428+AM428)-Table5101345411[[#This Row],[مجمع إهلاك المستبعد 
بتاريخ الأستبعاد]])))</f>
        <v>0</v>
      </c>
      <c r="AS428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الشراء-الاستلام]]&gt;DATE(2018,12,31),0,AI428-AR428)))</f>
        <v>16000</v>
      </c>
    </row>
    <row r="429" spans="1:45" s="141" customFormat="1" ht="83.25" customHeight="1">
      <c r="A429" s="64">
        <f>IF(B429="","",SUBTOTAL(3,$B$6:B429))</f>
        <v>424</v>
      </c>
      <c r="B429" s="65" t="s">
        <v>256</v>
      </c>
      <c r="C429" s="66" t="s">
        <v>389</v>
      </c>
      <c r="D429" s="66" t="s">
        <v>84</v>
      </c>
      <c r="E429" s="66" t="s">
        <v>84</v>
      </c>
      <c r="F429" s="223" t="s">
        <v>84</v>
      </c>
      <c r="G429" s="223"/>
      <c r="H429" s="65"/>
      <c r="I429" s="65"/>
      <c r="J429" s="65"/>
      <c r="K429" s="65"/>
      <c r="L429" s="67"/>
      <c r="M429" s="73">
        <v>43465</v>
      </c>
      <c r="N429" s="86"/>
      <c r="O429" s="156" t="s">
        <v>507</v>
      </c>
      <c r="P429" s="125"/>
      <c r="Q429" s="126"/>
      <c r="R429" s="129"/>
      <c r="S429" s="128">
        <f t="shared" si="8"/>
        <v>0</v>
      </c>
      <c r="T429" s="129"/>
      <c r="U429" s="15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الشراء-الاستلام]]&lt;DATE(2018,1,1),S429-T429,0))</f>
        <v>0</v>
      </c>
      <c r="V429" s="168">
        <v>1</v>
      </c>
      <c r="W429" s="113"/>
      <c r="X429" s="114">
        <v>27095.24</v>
      </c>
      <c r="Y429" s="115">
        <f>Table5101345411[[#This Row],[عدد الإضافات]]*Table5101345411[[#This Row],[سعر الحبة المضافة]]</f>
        <v>27095.24</v>
      </c>
      <c r="Z429" s="98"/>
      <c r="AA429" s="99"/>
      <c r="AB429" s="100"/>
      <c r="AC429" s="100"/>
      <c r="AD429" s="100"/>
      <c r="AE429" s="100"/>
      <c r="AF429" s="100">
        <f>Table5101345411[[#This Row],[العدد]]*Table5101345411[[#This Row],[قيمة الشراء]]</f>
        <v>0</v>
      </c>
      <c r="AG429" s="177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29" s="189">
        <f>Table5101345411[[#This Row],[الكمية]]+Table5101345411[[#This Row],[عدد الإضافات]]-Table5101345411[[#This Row],[العدد]]</f>
        <v>1</v>
      </c>
      <c r="AI429" s="74">
        <f>Table5101345411[[#This Row],[الإجمالي]]+Table5101345411[[#This Row],[إجمالي الإضافات]]-Table5101345411[[#This Row],[إجمالي المستبعد]]</f>
        <v>27095.24</v>
      </c>
      <c r="AJ429" s="71">
        <v>0.15</v>
      </c>
      <c r="AK429" s="188"/>
      <c r="AL429" s="108"/>
      <c r="AM429" s="196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29" s="210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29" s="75">
        <f>Table5101345411[[#This Row],[اهلاك المستبعد
في 2018]]+Table5101345411[[#This Row],[مجمع إهلاك المستبعد 
01-01-2018]]</f>
        <v>0</v>
      </c>
      <c r="AP429" s="211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29" s="201"/>
      <c r="AR429" s="74">
        <f>IF(OR(Table5101345411[[#This Row],[تاريخ الشراء-الاستلام]]="",Table5101345411[[#This Row],[الإجمالي]]="",Table5101345411[[#This Row],[العمر الافتراضي]]=""),"",IF(((T429+AM429)-Table5101345411[[#This Row],[مجمع إهلاك المستبعد 
بتاريخ الأستبعاد]])&lt;=0,0,((T429+AM429)-Table5101345411[[#This Row],[مجمع إهلاك المستبعد 
بتاريخ الأستبعاد]])))</f>
        <v>0</v>
      </c>
      <c r="AS429" s="135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الشراء-الاستلام]]&gt;DATE(2018,12,31),0,AI429-AR429)))</f>
        <v>27095.24</v>
      </c>
    </row>
    <row r="430" spans="1:45" s="141" customFormat="1" ht="83.25" customHeight="1">
      <c r="A430" s="64">
        <f>IF(B430="","",SUBTOTAL(3,$B$6:B430))</f>
        <v>425</v>
      </c>
      <c r="B430" s="65" t="s">
        <v>121</v>
      </c>
      <c r="C430" s="66" t="s">
        <v>389</v>
      </c>
      <c r="D430" s="65" t="s">
        <v>68</v>
      </c>
      <c r="E430" s="59" t="s">
        <v>795</v>
      </c>
      <c r="F430" s="226" t="s">
        <v>780</v>
      </c>
      <c r="G430" s="226" t="s">
        <v>762</v>
      </c>
      <c r="H430" s="65" t="s">
        <v>57</v>
      </c>
      <c r="I430" s="65" t="s">
        <v>69</v>
      </c>
      <c r="J430" s="65" t="s">
        <v>64</v>
      </c>
      <c r="K430" s="65"/>
      <c r="L430" s="67"/>
      <c r="M430" s="73">
        <v>43465</v>
      </c>
      <c r="N430" s="227" t="s">
        <v>690</v>
      </c>
      <c r="O430" s="152" t="s">
        <v>691</v>
      </c>
      <c r="P430" s="125"/>
      <c r="Q430" s="126"/>
      <c r="R430" s="129"/>
      <c r="S430" s="128">
        <f t="shared" si="8"/>
        <v>0</v>
      </c>
      <c r="T430" s="129"/>
      <c r="U430" s="15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الشراء-الاستلام]]&lt;DATE(2018,1,1),S430-T430,0))</f>
        <v>0</v>
      </c>
      <c r="V430" s="168">
        <v>1</v>
      </c>
      <c r="W430" s="126">
        <v>6201664</v>
      </c>
      <c r="X430" s="114">
        <v>70494</v>
      </c>
      <c r="Y430" s="115">
        <f>Table5101345411[[#This Row],[عدد الإضافات]]*Table5101345411[[#This Row],[سعر الحبة المضافة]]</f>
        <v>70494</v>
      </c>
      <c r="Z430" s="98"/>
      <c r="AA430" s="99"/>
      <c r="AB430" s="100"/>
      <c r="AC430" s="100"/>
      <c r="AD430" s="100"/>
      <c r="AE430" s="100"/>
      <c r="AF430" s="100">
        <f>Table5101345411[[#This Row],[العدد]]*Table5101345411[[#This Row],[قيمة الشراء]]</f>
        <v>0</v>
      </c>
      <c r="AG430" s="177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30" s="189">
        <f>Table5101345411[[#This Row],[الكمية]]+Table5101345411[[#This Row],[عدد الإضافات]]-Table5101345411[[#This Row],[العدد]]</f>
        <v>1</v>
      </c>
      <c r="AI430" s="74">
        <f>Table5101345411[[#This Row],[الإجمالي]]+Table5101345411[[#This Row],[إجمالي الإضافات]]-Table5101345411[[#This Row],[إجمالي المستبعد]]</f>
        <v>70494</v>
      </c>
      <c r="AJ430" s="71">
        <v>0.15</v>
      </c>
      <c r="AK430" s="188"/>
      <c r="AL430" s="108"/>
      <c r="AM430" s="196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30" s="210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30" s="75">
        <f>Table5101345411[[#This Row],[اهلاك المستبعد
في 2018]]+Table5101345411[[#This Row],[مجمع إهلاك المستبعد 
01-01-2018]]</f>
        <v>0</v>
      </c>
      <c r="AP430" s="211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30" s="201"/>
      <c r="AR430" s="74">
        <f>IF(OR(Table5101345411[[#This Row],[تاريخ الشراء-الاستلام]]="",Table5101345411[[#This Row],[الإجمالي]]="",Table5101345411[[#This Row],[العمر الافتراضي]]=""),"",IF(((T430+AM430)-Table5101345411[[#This Row],[مجمع إهلاك المستبعد 
بتاريخ الأستبعاد]])&lt;=0,0,((T430+AM430)-Table5101345411[[#This Row],[مجمع إهلاك المستبعد 
بتاريخ الأستبعاد]])))</f>
        <v>0</v>
      </c>
      <c r="AS430" s="135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الشراء-الاستلام]]&gt;DATE(2018,12,31),0,AI430-AR430)))</f>
        <v>70494</v>
      </c>
    </row>
    <row r="431" spans="1:45" s="141" customFormat="1" ht="83.25" customHeight="1">
      <c r="A431" s="64">
        <f>IF(B431="","",SUBTOTAL(3,$B$6:B431))</f>
        <v>426</v>
      </c>
      <c r="B431" s="65" t="s">
        <v>121</v>
      </c>
      <c r="C431" s="66" t="s">
        <v>389</v>
      </c>
      <c r="D431" s="65" t="s">
        <v>68</v>
      </c>
      <c r="E431" s="59" t="s">
        <v>795</v>
      </c>
      <c r="F431" s="226" t="s">
        <v>781</v>
      </c>
      <c r="G431" s="226" t="s">
        <v>763</v>
      </c>
      <c r="H431" s="65" t="s">
        <v>57</v>
      </c>
      <c r="I431" s="65" t="s">
        <v>69</v>
      </c>
      <c r="J431" s="65" t="s">
        <v>64</v>
      </c>
      <c r="K431" s="65"/>
      <c r="L431" s="67"/>
      <c r="M431" s="73">
        <v>43465</v>
      </c>
      <c r="N431" s="227" t="s">
        <v>690</v>
      </c>
      <c r="O431" s="152" t="s">
        <v>691</v>
      </c>
      <c r="P431" s="125"/>
      <c r="Q431" s="126"/>
      <c r="R431" s="129"/>
      <c r="S431" s="128">
        <f t="shared" si="8"/>
        <v>0</v>
      </c>
      <c r="T431" s="129"/>
      <c r="U431" s="15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الشراء-الاستلام]]&lt;DATE(2018,1,1),S431-T431,0))</f>
        <v>0</v>
      </c>
      <c r="V431" s="168">
        <v>1</v>
      </c>
      <c r="W431" s="126">
        <v>6201664</v>
      </c>
      <c r="X431" s="114">
        <v>70494</v>
      </c>
      <c r="Y431" s="115">
        <f>Table5101345411[[#This Row],[عدد الإضافات]]*Table5101345411[[#This Row],[سعر الحبة المضافة]]</f>
        <v>70494</v>
      </c>
      <c r="Z431" s="98"/>
      <c r="AA431" s="99"/>
      <c r="AB431" s="100"/>
      <c r="AC431" s="100"/>
      <c r="AD431" s="100"/>
      <c r="AE431" s="100"/>
      <c r="AF431" s="100">
        <f>Table5101345411[[#This Row],[العدد]]*Table5101345411[[#This Row],[قيمة الشراء]]</f>
        <v>0</v>
      </c>
      <c r="AG431" s="177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31" s="189">
        <f>Table5101345411[[#This Row],[الكمية]]+Table5101345411[[#This Row],[عدد الإضافات]]-Table5101345411[[#This Row],[العدد]]</f>
        <v>1</v>
      </c>
      <c r="AI431" s="74">
        <f>Table5101345411[[#This Row],[الإجمالي]]+Table5101345411[[#This Row],[إجمالي الإضافات]]-Table5101345411[[#This Row],[إجمالي المستبعد]]</f>
        <v>70494</v>
      </c>
      <c r="AJ431" s="71">
        <v>0.15</v>
      </c>
      <c r="AK431" s="188"/>
      <c r="AL431" s="108"/>
      <c r="AM431" s="196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31" s="210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31" s="75">
        <f>Table5101345411[[#This Row],[اهلاك المستبعد
في 2018]]+Table5101345411[[#This Row],[مجمع إهلاك المستبعد 
01-01-2018]]</f>
        <v>0</v>
      </c>
      <c r="AP431" s="211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31" s="201"/>
      <c r="AR431" s="74">
        <f>IF(OR(Table5101345411[[#This Row],[تاريخ الشراء-الاستلام]]="",Table5101345411[[#This Row],[الإجمالي]]="",Table5101345411[[#This Row],[العمر الافتراضي]]=""),"",IF(((T431+AM431)-Table5101345411[[#This Row],[مجمع إهلاك المستبعد 
بتاريخ الأستبعاد]])&lt;=0,0,((T431+AM431)-Table5101345411[[#This Row],[مجمع إهلاك المستبعد 
بتاريخ الأستبعاد]])))</f>
        <v>0</v>
      </c>
      <c r="AS431" s="135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الشراء-الاستلام]]&gt;DATE(2018,12,31),0,AI431-AR431)))</f>
        <v>70494</v>
      </c>
    </row>
    <row r="432" spans="1:45" s="141" customFormat="1" ht="83.25" customHeight="1">
      <c r="A432" s="64">
        <f>IF(B432="","",SUBTOTAL(3,$B$6:B432))</f>
        <v>427</v>
      </c>
      <c r="B432" s="65" t="s">
        <v>121</v>
      </c>
      <c r="C432" s="66" t="s">
        <v>389</v>
      </c>
      <c r="D432" s="65" t="s">
        <v>68</v>
      </c>
      <c r="E432" s="59" t="s">
        <v>795</v>
      </c>
      <c r="F432" s="226" t="s">
        <v>782</v>
      </c>
      <c r="G432" s="226" t="s">
        <v>764</v>
      </c>
      <c r="H432" s="65" t="s">
        <v>57</v>
      </c>
      <c r="I432" s="65" t="s">
        <v>69</v>
      </c>
      <c r="J432" s="65" t="s">
        <v>64</v>
      </c>
      <c r="K432" s="65"/>
      <c r="L432" s="67"/>
      <c r="M432" s="73">
        <v>43465</v>
      </c>
      <c r="N432" s="227" t="s">
        <v>690</v>
      </c>
      <c r="O432" s="152" t="s">
        <v>691</v>
      </c>
      <c r="P432" s="125"/>
      <c r="Q432" s="126"/>
      <c r="R432" s="129"/>
      <c r="S432" s="128">
        <f t="shared" si="8"/>
        <v>0</v>
      </c>
      <c r="T432" s="129"/>
      <c r="U432" s="15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الشراء-الاستلام]]&lt;DATE(2018,1,1),S432-T432,0))</f>
        <v>0</v>
      </c>
      <c r="V432" s="168">
        <v>1</v>
      </c>
      <c r="W432" s="126">
        <v>6201664</v>
      </c>
      <c r="X432" s="114">
        <v>70494</v>
      </c>
      <c r="Y432" s="115">
        <f>Table5101345411[[#This Row],[عدد الإضافات]]*Table5101345411[[#This Row],[سعر الحبة المضافة]]</f>
        <v>70494</v>
      </c>
      <c r="Z432" s="98"/>
      <c r="AA432" s="99"/>
      <c r="AB432" s="100"/>
      <c r="AC432" s="100"/>
      <c r="AD432" s="100"/>
      <c r="AE432" s="100"/>
      <c r="AF432" s="100">
        <f>Table5101345411[[#This Row],[العدد]]*Table5101345411[[#This Row],[قيمة الشراء]]</f>
        <v>0</v>
      </c>
      <c r="AG432" s="177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32" s="189">
        <f>Table5101345411[[#This Row],[الكمية]]+Table5101345411[[#This Row],[عدد الإضافات]]-Table5101345411[[#This Row],[العدد]]</f>
        <v>1</v>
      </c>
      <c r="AI432" s="74">
        <f>Table5101345411[[#This Row],[الإجمالي]]+Table5101345411[[#This Row],[إجمالي الإضافات]]-Table5101345411[[#This Row],[إجمالي المستبعد]]</f>
        <v>70494</v>
      </c>
      <c r="AJ432" s="71">
        <v>0.15</v>
      </c>
      <c r="AK432" s="188"/>
      <c r="AL432" s="108"/>
      <c r="AM432" s="196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32" s="210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32" s="75">
        <f>Table5101345411[[#This Row],[اهلاك المستبعد
في 2018]]+Table5101345411[[#This Row],[مجمع إهلاك المستبعد 
01-01-2018]]</f>
        <v>0</v>
      </c>
      <c r="AP432" s="211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32" s="201"/>
      <c r="AR432" s="74">
        <f>IF(OR(Table5101345411[[#This Row],[تاريخ الشراء-الاستلام]]="",Table5101345411[[#This Row],[الإجمالي]]="",Table5101345411[[#This Row],[العمر الافتراضي]]=""),"",IF(((T432+AM432)-Table5101345411[[#This Row],[مجمع إهلاك المستبعد 
بتاريخ الأستبعاد]])&lt;=0,0,((T432+AM432)-Table5101345411[[#This Row],[مجمع إهلاك المستبعد 
بتاريخ الأستبعاد]])))</f>
        <v>0</v>
      </c>
      <c r="AS432" s="135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الشراء-الاستلام]]&gt;DATE(2018,12,31),0,AI432-AR432)))</f>
        <v>70494</v>
      </c>
    </row>
    <row r="433" spans="1:45" s="141" customFormat="1" ht="83.25" customHeight="1">
      <c r="A433" s="64">
        <f>IF(B433="","",SUBTOTAL(3,$B$6:B433))</f>
        <v>428</v>
      </c>
      <c r="B433" s="65" t="s">
        <v>121</v>
      </c>
      <c r="C433" s="66" t="s">
        <v>389</v>
      </c>
      <c r="D433" s="65" t="s">
        <v>68</v>
      </c>
      <c r="E433" s="59" t="s">
        <v>795</v>
      </c>
      <c r="F433" s="226" t="s">
        <v>783</v>
      </c>
      <c r="G433" s="226" t="s">
        <v>765</v>
      </c>
      <c r="H433" s="65" t="s">
        <v>57</v>
      </c>
      <c r="I433" s="65" t="s">
        <v>69</v>
      </c>
      <c r="J433" s="65" t="s">
        <v>64</v>
      </c>
      <c r="K433" s="65"/>
      <c r="L433" s="67"/>
      <c r="M433" s="73">
        <v>43465</v>
      </c>
      <c r="N433" s="227" t="s">
        <v>690</v>
      </c>
      <c r="O433" s="152" t="s">
        <v>691</v>
      </c>
      <c r="P433" s="125"/>
      <c r="Q433" s="126"/>
      <c r="R433" s="129"/>
      <c r="S433" s="128">
        <f t="shared" si="8"/>
        <v>0</v>
      </c>
      <c r="T433" s="129"/>
      <c r="U433" s="15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الشراء-الاستلام]]&lt;DATE(2018,1,1),S433-T433,0))</f>
        <v>0</v>
      </c>
      <c r="V433" s="168">
        <v>1</v>
      </c>
      <c r="W433" s="126">
        <v>6201664</v>
      </c>
      <c r="X433" s="114">
        <v>70494</v>
      </c>
      <c r="Y433" s="115">
        <f>Table5101345411[[#This Row],[عدد الإضافات]]*Table5101345411[[#This Row],[سعر الحبة المضافة]]</f>
        <v>70494</v>
      </c>
      <c r="Z433" s="98"/>
      <c r="AA433" s="99"/>
      <c r="AB433" s="100"/>
      <c r="AC433" s="100"/>
      <c r="AD433" s="100"/>
      <c r="AE433" s="100"/>
      <c r="AF433" s="100">
        <f>Table5101345411[[#This Row],[العدد]]*Table5101345411[[#This Row],[قيمة الشراء]]</f>
        <v>0</v>
      </c>
      <c r="AG433" s="177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33" s="189">
        <f>Table5101345411[[#This Row],[الكمية]]+Table5101345411[[#This Row],[عدد الإضافات]]-Table5101345411[[#This Row],[العدد]]</f>
        <v>1</v>
      </c>
      <c r="AI433" s="74">
        <f>Table5101345411[[#This Row],[الإجمالي]]+Table5101345411[[#This Row],[إجمالي الإضافات]]-Table5101345411[[#This Row],[إجمالي المستبعد]]</f>
        <v>70494</v>
      </c>
      <c r="AJ433" s="71">
        <v>0.15</v>
      </c>
      <c r="AK433" s="188"/>
      <c r="AL433" s="108"/>
      <c r="AM433" s="196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33" s="210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33" s="75">
        <f>Table5101345411[[#This Row],[اهلاك المستبعد
في 2018]]+Table5101345411[[#This Row],[مجمع إهلاك المستبعد 
01-01-2018]]</f>
        <v>0</v>
      </c>
      <c r="AP433" s="211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33" s="201"/>
      <c r="AR433" s="74">
        <f>IF(OR(Table5101345411[[#This Row],[تاريخ الشراء-الاستلام]]="",Table5101345411[[#This Row],[الإجمالي]]="",Table5101345411[[#This Row],[العمر الافتراضي]]=""),"",IF(((T433+AM433)-Table5101345411[[#This Row],[مجمع إهلاك المستبعد 
بتاريخ الأستبعاد]])&lt;=0,0,((T433+AM433)-Table5101345411[[#This Row],[مجمع إهلاك المستبعد 
بتاريخ الأستبعاد]])))</f>
        <v>0</v>
      </c>
      <c r="AS433" s="135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الشراء-الاستلام]]&gt;DATE(2018,12,31),0,AI433-AR433)))</f>
        <v>70494</v>
      </c>
    </row>
    <row r="434" spans="1:45" s="141" customFormat="1" ht="83.25" customHeight="1">
      <c r="A434" s="64">
        <f>IF(B434="","",SUBTOTAL(3,$B$6:B434))</f>
        <v>429</v>
      </c>
      <c r="B434" s="65" t="s">
        <v>121</v>
      </c>
      <c r="C434" s="66" t="s">
        <v>389</v>
      </c>
      <c r="D434" s="65" t="s">
        <v>68</v>
      </c>
      <c r="E434" s="59" t="s">
        <v>795</v>
      </c>
      <c r="F434" s="226" t="s">
        <v>784</v>
      </c>
      <c r="G434" s="226" t="s">
        <v>766</v>
      </c>
      <c r="H434" s="65" t="s">
        <v>57</v>
      </c>
      <c r="I434" s="65" t="s">
        <v>69</v>
      </c>
      <c r="J434" s="65" t="s">
        <v>64</v>
      </c>
      <c r="K434" s="65"/>
      <c r="L434" s="67"/>
      <c r="M434" s="73">
        <v>43465</v>
      </c>
      <c r="N434" s="227" t="s">
        <v>690</v>
      </c>
      <c r="O434" s="152" t="s">
        <v>691</v>
      </c>
      <c r="P434" s="125"/>
      <c r="Q434" s="126"/>
      <c r="R434" s="129"/>
      <c r="S434" s="128">
        <f t="shared" si="8"/>
        <v>0</v>
      </c>
      <c r="T434" s="129"/>
      <c r="U434" s="15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الشراء-الاستلام]]&lt;DATE(2018,1,1),S434-T434,0))</f>
        <v>0</v>
      </c>
      <c r="V434" s="168">
        <v>1</v>
      </c>
      <c r="W434" s="126">
        <v>6201664</v>
      </c>
      <c r="X434" s="114">
        <v>70494</v>
      </c>
      <c r="Y434" s="115">
        <f>Table5101345411[[#This Row],[عدد الإضافات]]*Table5101345411[[#This Row],[سعر الحبة المضافة]]</f>
        <v>70494</v>
      </c>
      <c r="Z434" s="98"/>
      <c r="AA434" s="99"/>
      <c r="AB434" s="100"/>
      <c r="AC434" s="100"/>
      <c r="AD434" s="100"/>
      <c r="AE434" s="100"/>
      <c r="AF434" s="100">
        <f>Table5101345411[[#This Row],[العدد]]*Table5101345411[[#This Row],[قيمة الشراء]]</f>
        <v>0</v>
      </c>
      <c r="AG434" s="177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34" s="189">
        <f>Table5101345411[[#This Row],[الكمية]]+Table5101345411[[#This Row],[عدد الإضافات]]-Table5101345411[[#This Row],[العدد]]</f>
        <v>1</v>
      </c>
      <c r="AI434" s="74">
        <f>Table5101345411[[#This Row],[الإجمالي]]+Table5101345411[[#This Row],[إجمالي الإضافات]]-Table5101345411[[#This Row],[إجمالي المستبعد]]</f>
        <v>70494</v>
      </c>
      <c r="AJ434" s="71">
        <v>0.15</v>
      </c>
      <c r="AK434" s="188"/>
      <c r="AL434" s="108"/>
      <c r="AM434" s="196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34" s="210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34" s="75">
        <f>Table5101345411[[#This Row],[اهلاك المستبعد
في 2018]]+Table5101345411[[#This Row],[مجمع إهلاك المستبعد 
01-01-2018]]</f>
        <v>0</v>
      </c>
      <c r="AP434" s="211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34" s="201"/>
      <c r="AR434" s="74">
        <f>IF(OR(Table5101345411[[#This Row],[تاريخ الشراء-الاستلام]]="",Table5101345411[[#This Row],[الإجمالي]]="",Table5101345411[[#This Row],[العمر الافتراضي]]=""),"",IF(((T434+AM434)-Table5101345411[[#This Row],[مجمع إهلاك المستبعد 
بتاريخ الأستبعاد]])&lt;=0,0,((T434+AM434)-Table5101345411[[#This Row],[مجمع إهلاك المستبعد 
بتاريخ الأستبعاد]])))</f>
        <v>0</v>
      </c>
      <c r="AS434" s="135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الشراء-الاستلام]]&gt;DATE(2018,12,31),0,AI434-AR434)))</f>
        <v>70494</v>
      </c>
    </row>
    <row r="435" spans="1:45" s="141" customFormat="1" ht="83.25" customHeight="1">
      <c r="A435" s="64">
        <f>IF(B435="","",SUBTOTAL(3,$B$6:B435))</f>
        <v>430</v>
      </c>
      <c r="B435" s="65" t="s">
        <v>121</v>
      </c>
      <c r="C435" s="66" t="s">
        <v>389</v>
      </c>
      <c r="D435" s="65" t="s">
        <v>68</v>
      </c>
      <c r="E435" s="59" t="s">
        <v>795</v>
      </c>
      <c r="F435" s="226" t="s">
        <v>785</v>
      </c>
      <c r="G435" s="226" t="s">
        <v>767</v>
      </c>
      <c r="H435" s="65" t="s">
        <v>57</v>
      </c>
      <c r="I435" s="65" t="s">
        <v>69</v>
      </c>
      <c r="J435" s="65" t="s">
        <v>64</v>
      </c>
      <c r="K435" s="65"/>
      <c r="L435" s="67"/>
      <c r="M435" s="73">
        <v>43465</v>
      </c>
      <c r="N435" s="227" t="s">
        <v>690</v>
      </c>
      <c r="O435" s="152" t="s">
        <v>691</v>
      </c>
      <c r="P435" s="125"/>
      <c r="Q435" s="126"/>
      <c r="R435" s="129"/>
      <c r="S435" s="128">
        <f t="shared" si="8"/>
        <v>0</v>
      </c>
      <c r="T435" s="129"/>
      <c r="U435" s="15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الشراء-الاستلام]]&lt;DATE(2018,1,1),S435-T435,0))</f>
        <v>0</v>
      </c>
      <c r="V435" s="168">
        <v>1</v>
      </c>
      <c r="W435" s="126">
        <v>6201664</v>
      </c>
      <c r="X435" s="114">
        <v>70494</v>
      </c>
      <c r="Y435" s="115">
        <f>Table5101345411[[#This Row],[عدد الإضافات]]*Table5101345411[[#This Row],[سعر الحبة المضافة]]</f>
        <v>70494</v>
      </c>
      <c r="Z435" s="98"/>
      <c r="AA435" s="99"/>
      <c r="AB435" s="100"/>
      <c r="AC435" s="100"/>
      <c r="AD435" s="100"/>
      <c r="AE435" s="100"/>
      <c r="AF435" s="100">
        <f>Table5101345411[[#This Row],[العدد]]*Table5101345411[[#This Row],[قيمة الشراء]]</f>
        <v>0</v>
      </c>
      <c r="AG435" s="177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35" s="189">
        <f>Table5101345411[[#This Row],[الكمية]]+Table5101345411[[#This Row],[عدد الإضافات]]-Table5101345411[[#This Row],[العدد]]</f>
        <v>1</v>
      </c>
      <c r="AI435" s="74">
        <f>Table5101345411[[#This Row],[الإجمالي]]+Table5101345411[[#This Row],[إجمالي الإضافات]]-Table5101345411[[#This Row],[إجمالي المستبعد]]</f>
        <v>70494</v>
      </c>
      <c r="AJ435" s="71">
        <v>0.15</v>
      </c>
      <c r="AK435" s="188"/>
      <c r="AL435" s="108"/>
      <c r="AM435" s="196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35" s="210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35" s="75">
        <f>Table5101345411[[#This Row],[اهلاك المستبعد
في 2018]]+Table5101345411[[#This Row],[مجمع إهلاك المستبعد 
01-01-2018]]</f>
        <v>0</v>
      </c>
      <c r="AP435" s="211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35" s="201"/>
      <c r="AR435" s="74">
        <f>IF(OR(Table5101345411[[#This Row],[تاريخ الشراء-الاستلام]]="",Table5101345411[[#This Row],[الإجمالي]]="",Table5101345411[[#This Row],[العمر الافتراضي]]=""),"",IF(((T435+AM435)-Table5101345411[[#This Row],[مجمع إهلاك المستبعد 
بتاريخ الأستبعاد]])&lt;=0,0,((T435+AM435)-Table5101345411[[#This Row],[مجمع إهلاك المستبعد 
بتاريخ الأستبعاد]])))</f>
        <v>0</v>
      </c>
      <c r="AS435" s="135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الشراء-الاستلام]]&gt;DATE(2018,12,31),0,AI435-AR435)))</f>
        <v>70494</v>
      </c>
    </row>
    <row r="436" spans="1:45" s="141" customFormat="1" ht="83.25" customHeight="1">
      <c r="A436" s="64">
        <f>IF(B436="","",SUBTOTAL(3,$B$6:B436))</f>
        <v>431</v>
      </c>
      <c r="B436" s="65" t="s">
        <v>121</v>
      </c>
      <c r="C436" s="66" t="s">
        <v>389</v>
      </c>
      <c r="D436" s="65" t="s">
        <v>68</v>
      </c>
      <c r="E436" s="59" t="s">
        <v>795</v>
      </c>
      <c r="F436" s="226" t="s">
        <v>786</v>
      </c>
      <c r="G436" s="226" t="s">
        <v>768</v>
      </c>
      <c r="H436" s="65" t="s">
        <v>57</v>
      </c>
      <c r="I436" s="65" t="s">
        <v>69</v>
      </c>
      <c r="J436" s="65" t="s">
        <v>64</v>
      </c>
      <c r="K436" s="65"/>
      <c r="L436" s="67"/>
      <c r="M436" s="73">
        <v>43465</v>
      </c>
      <c r="N436" s="227" t="s">
        <v>690</v>
      </c>
      <c r="O436" s="152" t="s">
        <v>691</v>
      </c>
      <c r="P436" s="125"/>
      <c r="Q436" s="126"/>
      <c r="R436" s="129"/>
      <c r="S436" s="128">
        <f t="shared" si="8"/>
        <v>0</v>
      </c>
      <c r="T436" s="129"/>
      <c r="U436" s="15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الشراء-الاستلام]]&lt;DATE(2018,1,1),S436-T436,0))</f>
        <v>0</v>
      </c>
      <c r="V436" s="168">
        <v>1</v>
      </c>
      <c r="W436" s="126">
        <v>6201664</v>
      </c>
      <c r="X436" s="114">
        <v>70494</v>
      </c>
      <c r="Y436" s="115">
        <f>Table5101345411[[#This Row],[عدد الإضافات]]*Table5101345411[[#This Row],[سعر الحبة المضافة]]</f>
        <v>70494</v>
      </c>
      <c r="Z436" s="98"/>
      <c r="AA436" s="99"/>
      <c r="AB436" s="100"/>
      <c r="AC436" s="100"/>
      <c r="AD436" s="100"/>
      <c r="AE436" s="100"/>
      <c r="AF436" s="100">
        <f>Table5101345411[[#This Row],[العدد]]*Table5101345411[[#This Row],[قيمة الشراء]]</f>
        <v>0</v>
      </c>
      <c r="AG436" s="177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36" s="189">
        <f>Table5101345411[[#This Row],[الكمية]]+Table5101345411[[#This Row],[عدد الإضافات]]-Table5101345411[[#This Row],[العدد]]</f>
        <v>1</v>
      </c>
      <c r="AI436" s="74">
        <f>Table5101345411[[#This Row],[الإجمالي]]+Table5101345411[[#This Row],[إجمالي الإضافات]]-Table5101345411[[#This Row],[إجمالي المستبعد]]</f>
        <v>70494</v>
      </c>
      <c r="AJ436" s="71">
        <v>0.15</v>
      </c>
      <c r="AK436" s="188"/>
      <c r="AL436" s="108"/>
      <c r="AM436" s="196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36" s="210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36" s="75">
        <f>Table5101345411[[#This Row],[اهلاك المستبعد
في 2018]]+Table5101345411[[#This Row],[مجمع إهلاك المستبعد 
01-01-2018]]</f>
        <v>0</v>
      </c>
      <c r="AP436" s="211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36" s="201"/>
      <c r="AR436" s="74">
        <f>IF(OR(Table5101345411[[#This Row],[تاريخ الشراء-الاستلام]]="",Table5101345411[[#This Row],[الإجمالي]]="",Table5101345411[[#This Row],[العمر الافتراضي]]=""),"",IF(((T436+AM436)-Table5101345411[[#This Row],[مجمع إهلاك المستبعد 
بتاريخ الأستبعاد]])&lt;=0,0,((T436+AM436)-Table5101345411[[#This Row],[مجمع إهلاك المستبعد 
بتاريخ الأستبعاد]])))</f>
        <v>0</v>
      </c>
      <c r="AS436" s="135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الشراء-الاستلام]]&gt;DATE(2018,12,31),0,AI436-AR436)))</f>
        <v>70494</v>
      </c>
    </row>
    <row r="437" spans="1:45" s="141" customFormat="1" ht="83.25" customHeight="1">
      <c r="A437" s="64">
        <f>IF(B437="","",SUBTOTAL(3,$B$6:B437))</f>
        <v>432</v>
      </c>
      <c r="B437" s="65" t="s">
        <v>121</v>
      </c>
      <c r="C437" s="66" t="s">
        <v>389</v>
      </c>
      <c r="D437" s="65" t="s">
        <v>68</v>
      </c>
      <c r="E437" s="59" t="s">
        <v>795</v>
      </c>
      <c r="F437" s="226" t="s">
        <v>787</v>
      </c>
      <c r="G437" s="226" t="s">
        <v>769</v>
      </c>
      <c r="H437" s="65" t="s">
        <v>57</v>
      </c>
      <c r="I437" s="65" t="s">
        <v>69</v>
      </c>
      <c r="J437" s="65" t="s">
        <v>64</v>
      </c>
      <c r="K437" s="65"/>
      <c r="L437" s="67"/>
      <c r="M437" s="73">
        <v>43465</v>
      </c>
      <c r="N437" s="227" t="s">
        <v>690</v>
      </c>
      <c r="O437" s="152" t="s">
        <v>691</v>
      </c>
      <c r="P437" s="125"/>
      <c r="Q437" s="126"/>
      <c r="R437" s="129"/>
      <c r="S437" s="128">
        <f t="shared" si="8"/>
        <v>0</v>
      </c>
      <c r="T437" s="129"/>
      <c r="U437" s="15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الشراء-الاستلام]]&lt;DATE(2018,1,1),S437-T437,0))</f>
        <v>0</v>
      </c>
      <c r="V437" s="168">
        <v>1</v>
      </c>
      <c r="W437" s="126">
        <v>6201664</v>
      </c>
      <c r="X437" s="114">
        <v>70494</v>
      </c>
      <c r="Y437" s="115">
        <f>Table5101345411[[#This Row],[عدد الإضافات]]*Table5101345411[[#This Row],[سعر الحبة المضافة]]</f>
        <v>70494</v>
      </c>
      <c r="Z437" s="98"/>
      <c r="AA437" s="99"/>
      <c r="AB437" s="100"/>
      <c r="AC437" s="100"/>
      <c r="AD437" s="100"/>
      <c r="AE437" s="100"/>
      <c r="AF437" s="100">
        <f>Table5101345411[[#This Row],[العدد]]*Table5101345411[[#This Row],[قيمة الشراء]]</f>
        <v>0</v>
      </c>
      <c r="AG437" s="177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37" s="189">
        <f>Table5101345411[[#This Row],[الكمية]]+Table5101345411[[#This Row],[عدد الإضافات]]-Table5101345411[[#This Row],[العدد]]</f>
        <v>1</v>
      </c>
      <c r="AI437" s="74">
        <f>Table5101345411[[#This Row],[الإجمالي]]+Table5101345411[[#This Row],[إجمالي الإضافات]]-Table5101345411[[#This Row],[إجمالي المستبعد]]</f>
        <v>70494</v>
      </c>
      <c r="AJ437" s="71">
        <v>0.15</v>
      </c>
      <c r="AK437" s="188"/>
      <c r="AL437" s="108"/>
      <c r="AM437" s="196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37" s="210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37" s="75">
        <f>Table5101345411[[#This Row],[اهلاك المستبعد
في 2018]]+Table5101345411[[#This Row],[مجمع إهلاك المستبعد 
01-01-2018]]</f>
        <v>0</v>
      </c>
      <c r="AP437" s="211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37" s="201"/>
      <c r="AR437" s="74">
        <f>IF(OR(Table5101345411[[#This Row],[تاريخ الشراء-الاستلام]]="",Table5101345411[[#This Row],[الإجمالي]]="",Table5101345411[[#This Row],[العمر الافتراضي]]=""),"",IF(((T437+AM437)-Table5101345411[[#This Row],[مجمع إهلاك المستبعد 
بتاريخ الأستبعاد]])&lt;=0,0,((T437+AM437)-Table5101345411[[#This Row],[مجمع إهلاك المستبعد 
بتاريخ الأستبعاد]])))</f>
        <v>0</v>
      </c>
      <c r="AS437" s="135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الشراء-الاستلام]]&gt;DATE(2018,12,31),0,AI437-AR437)))</f>
        <v>70494</v>
      </c>
    </row>
    <row r="438" spans="1:45" s="141" customFormat="1" ht="83.25" customHeight="1">
      <c r="A438" s="64">
        <f>IF(B438="","",SUBTOTAL(3,$B$6:B438))</f>
        <v>433</v>
      </c>
      <c r="B438" s="65" t="s">
        <v>121</v>
      </c>
      <c r="C438" s="66" t="s">
        <v>389</v>
      </c>
      <c r="D438" s="65" t="s">
        <v>68</v>
      </c>
      <c r="E438" s="59" t="s">
        <v>795</v>
      </c>
      <c r="F438" s="226" t="s">
        <v>788</v>
      </c>
      <c r="G438" s="226" t="s">
        <v>770</v>
      </c>
      <c r="H438" s="65" t="s">
        <v>57</v>
      </c>
      <c r="I438" s="65" t="s">
        <v>69</v>
      </c>
      <c r="J438" s="65" t="s">
        <v>64</v>
      </c>
      <c r="K438" s="65"/>
      <c r="L438" s="67"/>
      <c r="M438" s="73">
        <v>43465</v>
      </c>
      <c r="N438" s="227" t="s">
        <v>690</v>
      </c>
      <c r="O438" s="152" t="s">
        <v>691</v>
      </c>
      <c r="P438" s="125"/>
      <c r="Q438" s="126"/>
      <c r="R438" s="129"/>
      <c r="S438" s="128">
        <f t="shared" si="8"/>
        <v>0</v>
      </c>
      <c r="T438" s="129"/>
      <c r="U438" s="15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الشراء-الاستلام]]&lt;DATE(2018,1,1),S438-T438,0))</f>
        <v>0</v>
      </c>
      <c r="V438" s="168">
        <v>1</v>
      </c>
      <c r="W438" s="126">
        <v>6201664</v>
      </c>
      <c r="X438" s="114">
        <v>70494</v>
      </c>
      <c r="Y438" s="115">
        <f>Table5101345411[[#This Row],[عدد الإضافات]]*Table5101345411[[#This Row],[سعر الحبة المضافة]]</f>
        <v>70494</v>
      </c>
      <c r="Z438" s="98"/>
      <c r="AA438" s="99"/>
      <c r="AB438" s="100"/>
      <c r="AC438" s="100"/>
      <c r="AD438" s="100"/>
      <c r="AE438" s="100"/>
      <c r="AF438" s="100">
        <f>Table5101345411[[#This Row],[العدد]]*Table5101345411[[#This Row],[قيمة الشراء]]</f>
        <v>0</v>
      </c>
      <c r="AG438" s="177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38" s="189">
        <f>Table5101345411[[#This Row],[الكمية]]+Table5101345411[[#This Row],[عدد الإضافات]]-Table5101345411[[#This Row],[العدد]]</f>
        <v>1</v>
      </c>
      <c r="AI438" s="74">
        <f>Table5101345411[[#This Row],[الإجمالي]]+Table5101345411[[#This Row],[إجمالي الإضافات]]-Table5101345411[[#This Row],[إجمالي المستبعد]]</f>
        <v>70494</v>
      </c>
      <c r="AJ438" s="71">
        <v>0.15</v>
      </c>
      <c r="AK438" s="188"/>
      <c r="AL438" s="108"/>
      <c r="AM438" s="196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38" s="210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38" s="75">
        <f>Table5101345411[[#This Row],[اهلاك المستبعد
في 2018]]+Table5101345411[[#This Row],[مجمع إهلاك المستبعد 
01-01-2018]]</f>
        <v>0</v>
      </c>
      <c r="AP438" s="211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38" s="201"/>
      <c r="AR438" s="74">
        <f>IF(OR(Table5101345411[[#This Row],[تاريخ الشراء-الاستلام]]="",Table5101345411[[#This Row],[الإجمالي]]="",Table5101345411[[#This Row],[العمر الافتراضي]]=""),"",IF(((T438+AM438)-Table5101345411[[#This Row],[مجمع إهلاك المستبعد 
بتاريخ الأستبعاد]])&lt;=0,0,((T438+AM438)-Table5101345411[[#This Row],[مجمع إهلاك المستبعد 
بتاريخ الأستبعاد]])))</f>
        <v>0</v>
      </c>
      <c r="AS438" s="135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الشراء-الاستلام]]&gt;DATE(2018,12,31),0,AI438-AR438)))</f>
        <v>70494</v>
      </c>
    </row>
    <row r="439" spans="1:45" s="141" customFormat="1" ht="83.25" customHeight="1">
      <c r="A439" s="64">
        <f>IF(B439="","",SUBTOTAL(3,$B$6:B439))</f>
        <v>434</v>
      </c>
      <c r="B439" s="65" t="s">
        <v>121</v>
      </c>
      <c r="C439" s="66" t="s">
        <v>389</v>
      </c>
      <c r="D439" s="65" t="s">
        <v>68</v>
      </c>
      <c r="E439" s="59" t="s">
        <v>795</v>
      </c>
      <c r="F439" s="226" t="s">
        <v>789</v>
      </c>
      <c r="G439" s="226" t="s">
        <v>771</v>
      </c>
      <c r="H439" s="65" t="s">
        <v>57</v>
      </c>
      <c r="I439" s="65" t="s">
        <v>69</v>
      </c>
      <c r="J439" s="65" t="s">
        <v>64</v>
      </c>
      <c r="K439" s="65"/>
      <c r="L439" s="67"/>
      <c r="M439" s="73">
        <v>43465</v>
      </c>
      <c r="N439" s="227" t="s">
        <v>690</v>
      </c>
      <c r="O439" s="152" t="s">
        <v>691</v>
      </c>
      <c r="P439" s="125"/>
      <c r="Q439" s="126"/>
      <c r="R439" s="129"/>
      <c r="S439" s="128">
        <f t="shared" si="8"/>
        <v>0</v>
      </c>
      <c r="T439" s="129"/>
      <c r="U439" s="15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الشراء-الاستلام]]&lt;DATE(2018,1,1),S439-T439,0))</f>
        <v>0</v>
      </c>
      <c r="V439" s="168">
        <v>1</v>
      </c>
      <c r="W439" s="126">
        <v>6201664</v>
      </c>
      <c r="X439" s="114">
        <v>70494</v>
      </c>
      <c r="Y439" s="115">
        <f>Table5101345411[[#This Row],[عدد الإضافات]]*Table5101345411[[#This Row],[سعر الحبة المضافة]]</f>
        <v>70494</v>
      </c>
      <c r="Z439" s="98"/>
      <c r="AA439" s="99"/>
      <c r="AB439" s="100"/>
      <c r="AC439" s="100"/>
      <c r="AD439" s="100"/>
      <c r="AE439" s="100"/>
      <c r="AF439" s="100">
        <f>Table5101345411[[#This Row],[العدد]]*Table5101345411[[#This Row],[قيمة الشراء]]</f>
        <v>0</v>
      </c>
      <c r="AG439" s="177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39" s="189">
        <f>Table5101345411[[#This Row],[الكمية]]+Table5101345411[[#This Row],[عدد الإضافات]]-Table5101345411[[#This Row],[العدد]]</f>
        <v>1</v>
      </c>
      <c r="AI439" s="74">
        <f>Table5101345411[[#This Row],[الإجمالي]]+Table5101345411[[#This Row],[إجمالي الإضافات]]-Table5101345411[[#This Row],[إجمالي المستبعد]]</f>
        <v>70494</v>
      </c>
      <c r="AJ439" s="71">
        <v>0.15</v>
      </c>
      <c r="AK439" s="188"/>
      <c r="AL439" s="108"/>
      <c r="AM439" s="196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39" s="210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39" s="75">
        <f>Table5101345411[[#This Row],[اهلاك المستبعد
في 2018]]+Table5101345411[[#This Row],[مجمع إهلاك المستبعد 
01-01-2018]]</f>
        <v>0</v>
      </c>
      <c r="AP439" s="211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39" s="201"/>
      <c r="AR439" s="74">
        <f>IF(OR(Table5101345411[[#This Row],[تاريخ الشراء-الاستلام]]="",Table5101345411[[#This Row],[الإجمالي]]="",Table5101345411[[#This Row],[العمر الافتراضي]]=""),"",IF(((T439+AM439)-Table5101345411[[#This Row],[مجمع إهلاك المستبعد 
بتاريخ الأستبعاد]])&lt;=0,0,((T439+AM439)-Table5101345411[[#This Row],[مجمع إهلاك المستبعد 
بتاريخ الأستبعاد]])))</f>
        <v>0</v>
      </c>
      <c r="AS439" s="135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الشراء-الاستلام]]&gt;DATE(2018,12,31),0,AI439-AR439)))</f>
        <v>70494</v>
      </c>
    </row>
    <row r="440" spans="1:45" s="141" customFormat="1" ht="83.25" customHeight="1">
      <c r="A440" s="64">
        <f>IF(B440="","",SUBTOTAL(3,$B$6:B440))</f>
        <v>435</v>
      </c>
      <c r="B440" s="65" t="s">
        <v>121</v>
      </c>
      <c r="C440" s="66" t="s">
        <v>389</v>
      </c>
      <c r="D440" s="65" t="s">
        <v>68</v>
      </c>
      <c r="E440" s="59" t="s">
        <v>795</v>
      </c>
      <c r="F440" s="226" t="s">
        <v>790</v>
      </c>
      <c r="G440" s="226" t="s">
        <v>772</v>
      </c>
      <c r="H440" s="65" t="s">
        <v>57</v>
      </c>
      <c r="I440" s="65" t="s">
        <v>69</v>
      </c>
      <c r="J440" s="65" t="s">
        <v>64</v>
      </c>
      <c r="K440" s="65"/>
      <c r="L440" s="67"/>
      <c r="M440" s="73">
        <v>43465</v>
      </c>
      <c r="N440" s="227" t="s">
        <v>690</v>
      </c>
      <c r="O440" s="152" t="s">
        <v>691</v>
      </c>
      <c r="P440" s="125"/>
      <c r="Q440" s="126"/>
      <c r="R440" s="129"/>
      <c r="S440" s="128">
        <f t="shared" si="8"/>
        <v>0</v>
      </c>
      <c r="T440" s="129"/>
      <c r="U440" s="15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الشراء-الاستلام]]&lt;DATE(2018,1,1),S440-T440,0))</f>
        <v>0</v>
      </c>
      <c r="V440" s="168">
        <v>1</v>
      </c>
      <c r="W440" s="126">
        <v>6201664</v>
      </c>
      <c r="X440" s="114">
        <v>70494</v>
      </c>
      <c r="Y440" s="115">
        <f>Table5101345411[[#This Row],[عدد الإضافات]]*Table5101345411[[#This Row],[سعر الحبة المضافة]]</f>
        <v>70494</v>
      </c>
      <c r="Z440" s="98"/>
      <c r="AA440" s="99"/>
      <c r="AB440" s="100"/>
      <c r="AC440" s="100"/>
      <c r="AD440" s="100"/>
      <c r="AE440" s="100"/>
      <c r="AF440" s="100">
        <f>Table5101345411[[#This Row],[العدد]]*Table5101345411[[#This Row],[قيمة الشراء]]</f>
        <v>0</v>
      </c>
      <c r="AG440" s="177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40" s="189">
        <f>Table5101345411[[#This Row],[الكمية]]+Table5101345411[[#This Row],[عدد الإضافات]]-Table5101345411[[#This Row],[العدد]]</f>
        <v>1</v>
      </c>
      <c r="AI440" s="74">
        <f>Table5101345411[[#This Row],[الإجمالي]]+Table5101345411[[#This Row],[إجمالي الإضافات]]-Table5101345411[[#This Row],[إجمالي المستبعد]]</f>
        <v>70494</v>
      </c>
      <c r="AJ440" s="71">
        <v>0.15</v>
      </c>
      <c r="AK440" s="188"/>
      <c r="AL440" s="108"/>
      <c r="AM440" s="196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40" s="210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40" s="75">
        <f>Table5101345411[[#This Row],[اهلاك المستبعد
في 2018]]+Table5101345411[[#This Row],[مجمع إهلاك المستبعد 
01-01-2018]]</f>
        <v>0</v>
      </c>
      <c r="AP440" s="211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40" s="201"/>
      <c r="AR440" s="74">
        <f>IF(OR(Table5101345411[[#This Row],[تاريخ الشراء-الاستلام]]="",Table5101345411[[#This Row],[الإجمالي]]="",Table5101345411[[#This Row],[العمر الافتراضي]]=""),"",IF(((T440+AM440)-Table5101345411[[#This Row],[مجمع إهلاك المستبعد 
بتاريخ الأستبعاد]])&lt;=0,0,((T440+AM440)-Table5101345411[[#This Row],[مجمع إهلاك المستبعد 
بتاريخ الأستبعاد]])))</f>
        <v>0</v>
      </c>
      <c r="AS440" s="135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الشراء-الاستلام]]&gt;DATE(2018,12,31),0,AI440-AR440)))</f>
        <v>70494</v>
      </c>
    </row>
    <row r="441" spans="1:45" s="141" customFormat="1" ht="83.25" customHeight="1">
      <c r="A441" s="64">
        <f>IF(B441="","",SUBTOTAL(3,$B$6:B441))</f>
        <v>436</v>
      </c>
      <c r="B441" s="65" t="s">
        <v>121</v>
      </c>
      <c r="C441" s="66" t="s">
        <v>389</v>
      </c>
      <c r="D441" s="65" t="s">
        <v>68</v>
      </c>
      <c r="E441" s="59" t="s">
        <v>795</v>
      </c>
      <c r="F441" s="226" t="s">
        <v>791</v>
      </c>
      <c r="G441" s="226" t="s">
        <v>773</v>
      </c>
      <c r="H441" s="65" t="s">
        <v>57</v>
      </c>
      <c r="I441" s="65" t="s">
        <v>69</v>
      </c>
      <c r="J441" s="65" t="s">
        <v>64</v>
      </c>
      <c r="K441" s="65"/>
      <c r="L441" s="67"/>
      <c r="M441" s="73">
        <v>43465</v>
      </c>
      <c r="N441" s="227" t="s">
        <v>690</v>
      </c>
      <c r="O441" s="152" t="s">
        <v>691</v>
      </c>
      <c r="P441" s="125"/>
      <c r="Q441" s="126"/>
      <c r="R441" s="129"/>
      <c r="S441" s="128">
        <f t="shared" si="8"/>
        <v>0</v>
      </c>
      <c r="T441" s="129"/>
      <c r="U441" s="15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الشراء-الاستلام]]&lt;DATE(2018,1,1),S441-T441,0))</f>
        <v>0</v>
      </c>
      <c r="V441" s="168">
        <v>1</v>
      </c>
      <c r="W441" s="126">
        <v>6201664</v>
      </c>
      <c r="X441" s="114">
        <v>70494</v>
      </c>
      <c r="Y441" s="115">
        <f>Table5101345411[[#This Row],[عدد الإضافات]]*Table5101345411[[#This Row],[سعر الحبة المضافة]]</f>
        <v>70494</v>
      </c>
      <c r="Z441" s="98"/>
      <c r="AA441" s="99"/>
      <c r="AB441" s="100"/>
      <c r="AC441" s="100"/>
      <c r="AD441" s="100"/>
      <c r="AE441" s="100"/>
      <c r="AF441" s="100">
        <f>Table5101345411[[#This Row],[العدد]]*Table5101345411[[#This Row],[قيمة الشراء]]</f>
        <v>0</v>
      </c>
      <c r="AG441" s="177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41" s="189">
        <f>Table5101345411[[#This Row],[الكمية]]+Table5101345411[[#This Row],[عدد الإضافات]]-Table5101345411[[#This Row],[العدد]]</f>
        <v>1</v>
      </c>
      <c r="AI441" s="74">
        <f>Table5101345411[[#This Row],[الإجمالي]]+Table5101345411[[#This Row],[إجمالي الإضافات]]-Table5101345411[[#This Row],[إجمالي المستبعد]]</f>
        <v>70494</v>
      </c>
      <c r="AJ441" s="71">
        <v>0.15</v>
      </c>
      <c r="AK441" s="188"/>
      <c r="AL441" s="108"/>
      <c r="AM441" s="196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41" s="210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41" s="75">
        <f>Table5101345411[[#This Row],[اهلاك المستبعد
في 2018]]+Table5101345411[[#This Row],[مجمع إهلاك المستبعد 
01-01-2018]]</f>
        <v>0</v>
      </c>
      <c r="AP441" s="211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41" s="201"/>
      <c r="AR441" s="74">
        <f>IF(OR(Table5101345411[[#This Row],[تاريخ الشراء-الاستلام]]="",Table5101345411[[#This Row],[الإجمالي]]="",Table5101345411[[#This Row],[العمر الافتراضي]]=""),"",IF(((T441+AM441)-Table5101345411[[#This Row],[مجمع إهلاك المستبعد 
بتاريخ الأستبعاد]])&lt;=0,0,((T441+AM441)-Table5101345411[[#This Row],[مجمع إهلاك المستبعد 
بتاريخ الأستبعاد]])))</f>
        <v>0</v>
      </c>
      <c r="AS441" s="135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الشراء-الاستلام]]&gt;DATE(2018,12,31),0,AI441-AR441)))</f>
        <v>70494</v>
      </c>
    </row>
    <row r="442" spans="1:45" s="141" customFormat="1" ht="83.25" customHeight="1">
      <c r="A442" s="64">
        <f>IF(B442="","",SUBTOTAL(3,$B$6:B442))</f>
        <v>437</v>
      </c>
      <c r="B442" s="65" t="s">
        <v>121</v>
      </c>
      <c r="C442" s="66" t="s">
        <v>389</v>
      </c>
      <c r="D442" s="65" t="s">
        <v>68</v>
      </c>
      <c r="E442" s="59" t="s">
        <v>795</v>
      </c>
      <c r="F442" s="226" t="s">
        <v>792</v>
      </c>
      <c r="G442" s="226" t="s">
        <v>774</v>
      </c>
      <c r="H442" s="65" t="s">
        <v>57</v>
      </c>
      <c r="I442" s="65" t="s">
        <v>69</v>
      </c>
      <c r="J442" s="65" t="s">
        <v>64</v>
      </c>
      <c r="K442" s="65"/>
      <c r="L442" s="67"/>
      <c r="M442" s="73">
        <v>43465</v>
      </c>
      <c r="N442" s="227" t="s">
        <v>690</v>
      </c>
      <c r="O442" s="152" t="s">
        <v>691</v>
      </c>
      <c r="P442" s="125"/>
      <c r="Q442" s="126"/>
      <c r="R442" s="129"/>
      <c r="S442" s="128">
        <f t="shared" si="8"/>
        <v>0</v>
      </c>
      <c r="T442" s="129"/>
      <c r="U442" s="15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الشراء-الاستلام]]&lt;DATE(2018,1,1),S442-T442,0))</f>
        <v>0</v>
      </c>
      <c r="V442" s="168">
        <v>1</v>
      </c>
      <c r="W442" s="126">
        <v>6201664</v>
      </c>
      <c r="X442" s="114">
        <v>70494</v>
      </c>
      <c r="Y442" s="115">
        <f>Table5101345411[[#This Row],[عدد الإضافات]]*Table5101345411[[#This Row],[سعر الحبة المضافة]]</f>
        <v>70494</v>
      </c>
      <c r="Z442" s="98"/>
      <c r="AA442" s="99"/>
      <c r="AB442" s="100"/>
      <c r="AC442" s="100"/>
      <c r="AD442" s="100"/>
      <c r="AE442" s="100"/>
      <c r="AF442" s="100">
        <f>Table5101345411[[#This Row],[العدد]]*Table5101345411[[#This Row],[قيمة الشراء]]</f>
        <v>0</v>
      </c>
      <c r="AG442" s="177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42" s="189">
        <f>Table5101345411[[#This Row],[الكمية]]+Table5101345411[[#This Row],[عدد الإضافات]]-Table5101345411[[#This Row],[العدد]]</f>
        <v>1</v>
      </c>
      <c r="AI442" s="74">
        <f>Table5101345411[[#This Row],[الإجمالي]]+Table5101345411[[#This Row],[إجمالي الإضافات]]-Table5101345411[[#This Row],[إجمالي المستبعد]]</f>
        <v>70494</v>
      </c>
      <c r="AJ442" s="71">
        <v>0.15</v>
      </c>
      <c r="AK442" s="188"/>
      <c r="AL442" s="108"/>
      <c r="AM442" s="196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42" s="210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42" s="75">
        <f>Table5101345411[[#This Row],[اهلاك المستبعد
في 2018]]+Table5101345411[[#This Row],[مجمع إهلاك المستبعد 
01-01-2018]]</f>
        <v>0</v>
      </c>
      <c r="AP442" s="211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42" s="201"/>
      <c r="AR442" s="74">
        <f>IF(OR(Table5101345411[[#This Row],[تاريخ الشراء-الاستلام]]="",Table5101345411[[#This Row],[الإجمالي]]="",Table5101345411[[#This Row],[العمر الافتراضي]]=""),"",IF(((T442+AM442)-Table5101345411[[#This Row],[مجمع إهلاك المستبعد 
بتاريخ الأستبعاد]])&lt;=0,0,((T442+AM442)-Table5101345411[[#This Row],[مجمع إهلاك المستبعد 
بتاريخ الأستبعاد]])))</f>
        <v>0</v>
      </c>
      <c r="AS442" s="135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الشراء-الاستلام]]&gt;DATE(2018,12,31),0,AI442-AR442)))</f>
        <v>70494</v>
      </c>
    </row>
    <row r="443" spans="1:45" s="141" customFormat="1" ht="83.25" customHeight="1">
      <c r="A443" s="57">
        <f>IF(B443="","",SUBTOTAL(3,$B$6:B443))</f>
        <v>438</v>
      </c>
      <c r="B443" s="58" t="s">
        <v>121</v>
      </c>
      <c r="C443" s="59" t="s">
        <v>54</v>
      </c>
      <c r="D443" s="59" t="s">
        <v>68</v>
      </c>
      <c r="E443" s="59" t="s">
        <v>795</v>
      </c>
      <c r="F443" s="226" t="s">
        <v>793</v>
      </c>
      <c r="G443" s="226" t="s">
        <v>775</v>
      </c>
      <c r="H443" s="58" t="s">
        <v>93</v>
      </c>
      <c r="I443" s="58" t="s">
        <v>69</v>
      </c>
      <c r="J443" s="58" t="s">
        <v>64</v>
      </c>
      <c r="K443" s="58"/>
      <c r="L443" s="60"/>
      <c r="M443" s="77">
        <v>42998</v>
      </c>
      <c r="N443" s="87" t="s">
        <v>243</v>
      </c>
      <c r="O443" s="150" t="s">
        <v>244</v>
      </c>
      <c r="P443" s="122">
        <v>1</v>
      </c>
      <c r="Q443" s="123"/>
      <c r="R443" s="130">
        <v>65000</v>
      </c>
      <c r="S443" s="130">
        <f t="shared" si="8"/>
        <v>65000</v>
      </c>
      <c r="T443" s="130">
        <f>5449.31506849315/2</f>
        <v>2724.6575342465749</v>
      </c>
      <c r="U443" s="158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الشراء-الاستلام]]&lt;DATE(2018,1,1),S443-T443,0))</f>
        <v>62275.342465753427</v>
      </c>
      <c r="V443" s="169"/>
      <c r="W443" s="116"/>
      <c r="X443" s="116"/>
      <c r="Y443" s="117">
        <f>Table5101345411[[#This Row],[عدد الإضافات]]*Table5101345411[[#This Row],[سعر الحبة المضافة]]</f>
        <v>0</v>
      </c>
      <c r="Z443" s="101"/>
      <c r="AA443" s="102"/>
      <c r="AB443" s="103"/>
      <c r="AC443" s="103"/>
      <c r="AD443" s="103"/>
      <c r="AE443" s="103"/>
      <c r="AF443" s="103">
        <f>Table5101345411[[#This Row],[العدد]]*Table5101345411[[#This Row],[قيمة الشراء]]</f>
        <v>0</v>
      </c>
      <c r="AG443" s="17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43" s="190">
        <f>Table5101345411[[#This Row],[الكمية]]+Table5101345411[[#This Row],[عدد الإضافات]]-Table5101345411[[#This Row],[العدد]]</f>
        <v>1</v>
      </c>
      <c r="AI443" s="78">
        <f>Table5101345411[[#This Row],[الإجمالي]]+Table5101345411[[#This Row],[إجمالي الإضافات]]-Table5101345411[[#This Row],[إجمالي المستبعد]]</f>
        <v>65000</v>
      </c>
      <c r="AJ443" s="120">
        <v>0.15</v>
      </c>
      <c r="AK443" s="186"/>
      <c r="AL443" s="107" t="s">
        <v>61</v>
      </c>
      <c r="AM443" s="197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9750</v>
      </c>
      <c r="AN443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43" s="79">
        <f>Table5101345411[[#This Row],[اهلاك المستبعد
في 2018]]+Table5101345411[[#This Row],[مجمع إهلاك المستبعد 
01-01-2018]]</f>
        <v>0</v>
      </c>
      <c r="AP443" s="213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43" s="202"/>
      <c r="AR443" s="78">
        <f>IF(OR(Table5101345411[[#This Row],[تاريخ الشراء-الاستلام]]="",Table5101345411[[#This Row],[الإجمالي]]="",Table5101345411[[#This Row],[العمر الافتراضي]]=""),"",IF(((T443+AM443)-Table5101345411[[#This Row],[مجمع إهلاك المستبعد 
بتاريخ الأستبعاد]])&lt;=0,0,((T443+AM443)-Table5101345411[[#This Row],[مجمع إهلاك المستبعد 
بتاريخ الأستبعاد]])))</f>
        <v>12474.657534246575</v>
      </c>
      <c r="AS443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الشراء-الاستلام]]&gt;DATE(2018,12,31),0,AI443-AR443)))</f>
        <v>52525.342465753427</v>
      </c>
    </row>
    <row r="444" spans="1:45" s="141" customFormat="1" ht="83.25" customHeight="1">
      <c r="A444" s="57">
        <f>IF(B444="","",SUBTOTAL(3,$B$6:B444))</f>
        <v>439</v>
      </c>
      <c r="B444" s="58" t="s">
        <v>121</v>
      </c>
      <c r="C444" s="59" t="s">
        <v>54</v>
      </c>
      <c r="D444" s="59" t="s">
        <v>68</v>
      </c>
      <c r="E444" s="59" t="s">
        <v>795</v>
      </c>
      <c r="F444" s="226" t="s">
        <v>794</v>
      </c>
      <c r="G444" s="226" t="s">
        <v>776</v>
      </c>
      <c r="H444" s="58" t="s">
        <v>93</v>
      </c>
      <c r="I444" s="58" t="s">
        <v>69</v>
      </c>
      <c r="J444" s="58" t="s">
        <v>64</v>
      </c>
      <c r="K444" s="58"/>
      <c r="L444" s="60"/>
      <c r="M444" s="77">
        <v>42998</v>
      </c>
      <c r="N444" s="87" t="s">
        <v>243</v>
      </c>
      <c r="O444" s="150" t="s">
        <v>244</v>
      </c>
      <c r="P444" s="122">
        <v>1</v>
      </c>
      <c r="Q444" s="123"/>
      <c r="R444" s="130">
        <v>65000</v>
      </c>
      <c r="S444" s="130">
        <f t="shared" si="8"/>
        <v>65000</v>
      </c>
      <c r="T444" s="130">
        <f>5449.31506849315/2</f>
        <v>2724.6575342465749</v>
      </c>
      <c r="U444" s="158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الشراء-الاستلام]]&lt;DATE(2018,1,1),S444-T444,0))</f>
        <v>62275.342465753427</v>
      </c>
      <c r="V444" s="169"/>
      <c r="W444" s="116"/>
      <c r="X444" s="116"/>
      <c r="Y444" s="117">
        <f>Table5101345411[[#This Row],[عدد الإضافات]]*Table5101345411[[#This Row],[سعر الحبة المضافة]]</f>
        <v>0</v>
      </c>
      <c r="Z444" s="101"/>
      <c r="AA444" s="102"/>
      <c r="AB444" s="103"/>
      <c r="AC444" s="103"/>
      <c r="AD444" s="103"/>
      <c r="AE444" s="103"/>
      <c r="AF444" s="103">
        <f>Table5101345411[[#This Row],[العدد]]*Table5101345411[[#This Row],[قيمة الشراء]]</f>
        <v>0</v>
      </c>
      <c r="AG444" s="17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44" s="190">
        <f>Table5101345411[[#This Row],[الكمية]]+Table5101345411[[#This Row],[عدد الإضافات]]-Table5101345411[[#This Row],[العدد]]</f>
        <v>1</v>
      </c>
      <c r="AI444" s="78">
        <f>Table5101345411[[#This Row],[الإجمالي]]+Table5101345411[[#This Row],[إجمالي الإضافات]]-Table5101345411[[#This Row],[إجمالي المستبعد]]</f>
        <v>65000</v>
      </c>
      <c r="AJ444" s="120">
        <v>0.15</v>
      </c>
      <c r="AK444" s="186"/>
      <c r="AL444" s="107" t="s">
        <v>61</v>
      </c>
      <c r="AM444" s="197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9750</v>
      </c>
      <c r="AN444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44" s="79">
        <f>Table5101345411[[#This Row],[اهلاك المستبعد
في 2018]]+Table5101345411[[#This Row],[مجمع إهلاك المستبعد 
01-01-2018]]</f>
        <v>0</v>
      </c>
      <c r="AP444" s="213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44" s="202"/>
      <c r="AR444" s="78">
        <f>IF(OR(Table5101345411[[#This Row],[تاريخ الشراء-الاستلام]]="",Table5101345411[[#This Row],[الإجمالي]]="",Table5101345411[[#This Row],[العمر الافتراضي]]=""),"",IF(((T444+AM444)-Table5101345411[[#This Row],[مجمع إهلاك المستبعد 
بتاريخ الأستبعاد]])&lt;=0,0,((T444+AM444)-Table5101345411[[#This Row],[مجمع إهلاك المستبعد 
بتاريخ الأستبعاد]])))</f>
        <v>12474.657534246575</v>
      </c>
      <c r="AS444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الشراء-الاستلام]]&gt;DATE(2018,12,31),0,AI444-AR444)))</f>
        <v>52525.342465753427</v>
      </c>
    </row>
    <row r="445" spans="1:45" s="141" customFormat="1" ht="83.25" customHeight="1">
      <c r="A445" s="118">
        <f>IF(B445="","",SUBTOTAL(3,$B$6:B445))</f>
        <v>440</v>
      </c>
      <c r="B445" s="58" t="s">
        <v>557</v>
      </c>
      <c r="C445" s="66" t="s">
        <v>389</v>
      </c>
      <c r="D445" s="59" t="s">
        <v>56</v>
      </c>
      <c r="E445" s="59" t="s">
        <v>352</v>
      </c>
      <c r="F445" s="222" t="s">
        <v>352</v>
      </c>
      <c r="G445" s="222"/>
      <c r="H445" s="58" t="s">
        <v>57</v>
      </c>
      <c r="I445" s="58"/>
      <c r="J445" s="58"/>
      <c r="K445" s="58"/>
      <c r="L445" s="60"/>
      <c r="M445" s="77">
        <v>43465</v>
      </c>
      <c r="N445" s="87"/>
      <c r="O445" s="150" t="s">
        <v>558</v>
      </c>
      <c r="P445" s="122"/>
      <c r="Q445" s="123"/>
      <c r="R445" s="130"/>
      <c r="S445" s="130">
        <f t="shared" ref="S445:S454" si="9">R445*P445</f>
        <v>0</v>
      </c>
      <c r="T445" s="130"/>
      <c r="U445" s="158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الشراء-الاستلام]]&lt;DATE(2018,1,1),S445-T445,0))</f>
        <v>0</v>
      </c>
      <c r="V445" s="169">
        <v>1</v>
      </c>
      <c r="W445" s="116"/>
      <c r="X445" s="116">
        <v>449</v>
      </c>
      <c r="Y445" s="117">
        <f>Table5101345411[[#This Row],[عدد الإضافات]]*Table5101345411[[#This Row],[سعر الحبة المضافة]]</f>
        <v>449</v>
      </c>
      <c r="Z445" s="101"/>
      <c r="AA445" s="102"/>
      <c r="AB445" s="103"/>
      <c r="AC445" s="103"/>
      <c r="AD445" s="103"/>
      <c r="AE445" s="103"/>
      <c r="AF445" s="103">
        <f>Table5101345411[[#This Row],[العدد]]*Table5101345411[[#This Row],[قيمة الشراء]]</f>
        <v>0</v>
      </c>
      <c r="AG445" s="17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45" s="190">
        <f>Table5101345411[[#This Row],[الكمية]]+Table5101345411[[#This Row],[عدد الإضافات]]-Table5101345411[[#This Row],[العدد]]</f>
        <v>1</v>
      </c>
      <c r="AI445" s="78">
        <f>Table5101345411[[#This Row],[الإجمالي]]+Table5101345411[[#This Row],[إجمالي الإضافات]]-Table5101345411[[#This Row],[إجمالي المستبعد]]</f>
        <v>449</v>
      </c>
      <c r="AJ445" s="120">
        <v>0.125</v>
      </c>
      <c r="AK445" s="186"/>
      <c r="AL445" s="107"/>
      <c r="AM445" s="197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45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45" s="79">
        <f>Table5101345411[[#This Row],[اهلاك المستبعد
في 2018]]+Table5101345411[[#This Row],[مجمع إهلاك المستبعد 
01-01-2018]]</f>
        <v>0</v>
      </c>
      <c r="AP445" s="213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45" s="202"/>
      <c r="AR445" s="78">
        <f>IF(OR(Table5101345411[[#This Row],[تاريخ الشراء-الاستلام]]="",Table5101345411[[#This Row],[الإجمالي]]="",Table5101345411[[#This Row],[العمر الافتراضي]]=""),"",IF(((T445+AM445)-Table5101345411[[#This Row],[مجمع إهلاك المستبعد 
بتاريخ الأستبعاد]])&lt;=0,0,((T445+AM445)-Table5101345411[[#This Row],[مجمع إهلاك المستبعد 
بتاريخ الأستبعاد]])))</f>
        <v>0</v>
      </c>
      <c r="AS445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الشراء-الاستلام]]&gt;DATE(2018,12,31),0,AI445-AR445)))</f>
        <v>449</v>
      </c>
    </row>
    <row r="446" spans="1:45" s="141" customFormat="1" ht="83.25" customHeight="1">
      <c r="A446" s="118">
        <f>IF(B446="","",SUBTOTAL(3,$B$6:B446))</f>
        <v>441</v>
      </c>
      <c r="B446" s="58" t="s">
        <v>557</v>
      </c>
      <c r="C446" s="66" t="s">
        <v>389</v>
      </c>
      <c r="D446" s="59" t="s">
        <v>56</v>
      </c>
      <c r="E446" s="59" t="s">
        <v>352</v>
      </c>
      <c r="F446" s="222" t="s">
        <v>352</v>
      </c>
      <c r="G446" s="222"/>
      <c r="H446" s="58" t="s">
        <v>57</v>
      </c>
      <c r="I446" s="58"/>
      <c r="J446" s="58"/>
      <c r="K446" s="58"/>
      <c r="L446" s="60"/>
      <c r="M446" s="77">
        <v>43465</v>
      </c>
      <c r="N446" s="87" t="s">
        <v>564</v>
      </c>
      <c r="O446" s="150" t="s">
        <v>563</v>
      </c>
      <c r="P446" s="122"/>
      <c r="Q446" s="123"/>
      <c r="R446" s="130"/>
      <c r="S446" s="130">
        <f t="shared" si="9"/>
        <v>0</v>
      </c>
      <c r="T446" s="130"/>
      <c r="U446" s="158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الشراء-الاستلام]]&lt;DATE(2018,1,1),S446-T446,0))</f>
        <v>0</v>
      </c>
      <c r="V446" s="169">
        <v>1</v>
      </c>
      <c r="W446" s="116"/>
      <c r="X446" s="116">
        <v>550</v>
      </c>
      <c r="Y446" s="117">
        <f>Table5101345411[[#This Row],[عدد الإضافات]]*Table5101345411[[#This Row],[سعر الحبة المضافة]]</f>
        <v>550</v>
      </c>
      <c r="Z446" s="101"/>
      <c r="AA446" s="102"/>
      <c r="AB446" s="103"/>
      <c r="AC446" s="103"/>
      <c r="AD446" s="103"/>
      <c r="AE446" s="103"/>
      <c r="AF446" s="103">
        <f>Table5101345411[[#This Row],[العدد]]*Table5101345411[[#This Row],[قيمة الشراء]]</f>
        <v>0</v>
      </c>
      <c r="AG446" s="17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46" s="190">
        <f>Table5101345411[[#This Row],[الكمية]]+Table5101345411[[#This Row],[عدد الإضافات]]-Table5101345411[[#This Row],[العدد]]</f>
        <v>1</v>
      </c>
      <c r="AI446" s="78">
        <f>Table5101345411[[#This Row],[الإجمالي]]+Table5101345411[[#This Row],[إجمالي الإضافات]]-Table5101345411[[#This Row],[إجمالي المستبعد]]</f>
        <v>550</v>
      </c>
      <c r="AJ446" s="120">
        <v>0.125</v>
      </c>
      <c r="AK446" s="186"/>
      <c r="AL446" s="107"/>
      <c r="AM446" s="197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46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46" s="79">
        <f>Table5101345411[[#This Row],[اهلاك المستبعد
في 2018]]+Table5101345411[[#This Row],[مجمع إهلاك المستبعد 
01-01-2018]]</f>
        <v>0</v>
      </c>
      <c r="AP446" s="213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46" s="202"/>
      <c r="AR446" s="78">
        <f>IF(OR(Table5101345411[[#This Row],[تاريخ الشراء-الاستلام]]="",Table5101345411[[#This Row],[الإجمالي]]="",Table5101345411[[#This Row],[العمر الافتراضي]]=""),"",IF(((T446+AM446)-Table5101345411[[#This Row],[مجمع إهلاك المستبعد 
بتاريخ الأستبعاد]])&lt;=0,0,((T446+AM446)-Table5101345411[[#This Row],[مجمع إهلاك المستبعد 
بتاريخ الأستبعاد]])))</f>
        <v>0</v>
      </c>
      <c r="AS446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الشراء-الاستلام]]&gt;DATE(2018,12,31),0,AI446-AR446)))</f>
        <v>550</v>
      </c>
    </row>
    <row r="447" spans="1:45" s="141" customFormat="1" ht="83.25" customHeight="1">
      <c r="A447" s="118">
        <f>IF(B447="","",SUBTOTAL(3,$B$6:B447))</f>
        <v>442</v>
      </c>
      <c r="B447" s="58" t="s">
        <v>565</v>
      </c>
      <c r="C447" s="66" t="s">
        <v>389</v>
      </c>
      <c r="D447" s="59" t="s">
        <v>56</v>
      </c>
      <c r="E447" s="59" t="s">
        <v>55</v>
      </c>
      <c r="F447" s="222" t="s">
        <v>55</v>
      </c>
      <c r="G447" s="222"/>
      <c r="H447" s="58" t="s">
        <v>57</v>
      </c>
      <c r="I447" s="58"/>
      <c r="J447" s="58" t="s">
        <v>566</v>
      </c>
      <c r="K447" s="58"/>
      <c r="L447" s="60"/>
      <c r="M447" s="77">
        <v>43465</v>
      </c>
      <c r="N447" s="87" t="s">
        <v>567</v>
      </c>
      <c r="O447" s="150" t="s">
        <v>568</v>
      </c>
      <c r="P447" s="122"/>
      <c r="Q447" s="123"/>
      <c r="R447" s="130"/>
      <c r="S447" s="130">
        <f t="shared" si="9"/>
        <v>0</v>
      </c>
      <c r="T447" s="130"/>
      <c r="U447" s="158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الشراء-الاستلام]]&lt;DATE(2018,1,1),S447-T447,0))</f>
        <v>0</v>
      </c>
      <c r="V447" s="169">
        <v>1</v>
      </c>
      <c r="W447" s="116">
        <v>1575</v>
      </c>
      <c r="X447" s="116">
        <v>400</v>
      </c>
      <c r="Y447" s="117">
        <f>Table5101345411[[#This Row],[عدد الإضافات]]*Table5101345411[[#This Row],[سعر الحبة المضافة]]</f>
        <v>400</v>
      </c>
      <c r="Z447" s="101"/>
      <c r="AA447" s="102"/>
      <c r="AB447" s="103"/>
      <c r="AC447" s="103"/>
      <c r="AD447" s="103"/>
      <c r="AE447" s="103"/>
      <c r="AF447" s="103">
        <f>Table5101345411[[#This Row],[العدد]]*Table5101345411[[#This Row],[قيمة الشراء]]</f>
        <v>0</v>
      </c>
      <c r="AG447" s="17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47" s="190">
        <f>Table5101345411[[#This Row],[الكمية]]+Table5101345411[[#This Row],[عدد الإضافات]]-Table5101345411[[#This Row],[العدد]]</f>
        <v>1</v>
      </c>
      <c r="AI447" s="78">
        <f>Table5101345411[[#This Row],[الإجمالي]]+Table5101345411[[#This Row],[إجمالي الإضافات]]-Table5101345411[[#This Row],[إجمالي المستبعد]]</f>
        <v>400</v>
      </c>
      <c r="AJ447" s="120">
        <v>0.125</v>
      </c>
      <c r="AK447" s="186"/>
      <c r="AL447" s="107"/>
      <c r="AM447" s="197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47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47" s="79">
        <f>Table5101345411[[#This Row],[اهلاك المستبعد
في 2018]]+Table5101345411[[#This Row],[مجمع إهلاك المستبعد 
01-01-2018]]</f>
        <v>0</v>
      </c>
      <c r="AP447" s="213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47" s="202"/>
      <c r="AR447" s="78">
        <f>IF(OR(Table5101345411[[#This Row],[تاريخ الشراء-الاستلام]]="",Table5101345411[[#This Row],[الإجمالي]]="",Table5101345411[[#This Row],[العمر الافتراضي]]=""),"",IF(((T447+AM447)-Table5101345411[[#This Row],[مجمع إهلاك المستبعد 
بتاريخ الأستبعاد]])&lt;=0,0,((T447+AM447)-Table5101345411[[#This Row],[مجمع إهلاك المستبعد 
بتاريخ الأستبعاد]])))</f>
        <v>0</v>
      </c>
      <c r="AS447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الشراء-الاستلام]]&gt;DATE(2018,12,31),0,AI447-AR447)))</f>
        <v>400</v>
      </c>
    </row>
    <row r="448" spans="1:45" s="141" customFormat="1" ht="83.25" customHeight="1">
      <c r="A448" s="118">
        <f>IF(B448="","",SUBTOTAL(3,$B$6:B448))</f>
        <v>443</v>
      </c>
      <c r="B448" s="58" t="s">
        <v>576</v>
      </c>
      <c r="C448" s="66" t="s">
        <v>389</v>
      </c>
      <c r="D448" s="59" t="s">
        <v>367</v>
      </c>
      <c r="E448" s="59" t="s">
        <v>577</v>
      </c>
      <c r="F448" s="222" t="s">
        <v>577</v>
      </c>
      <c r="G448" s="222"/>
      <c r="H448" s="58" t="s">
        <v>57</v>
      </c>
      <c r="I448" s="58"/>
      <c r="J448" s="58" t="s">
        <v>578</v>
      </c>
      <c r="K448" s="58"/>
      <c r="L448" s="60"/>
      <c r="M448" s="77">
        <v>43465</v>
      </c>
      <c r="N448" s="87"/>
      <c r="O448" s="159" t="s">
        <v>579</v>
      </c>
      <c r="P448" s="122"/>
      <c r="Q448" s="123"/>
      <c r="R448" s="130"/>
      <c r="S448" s="130">
        <f t="shared" si="9"/>
        <v>0</v>
      </c>
      <c r="T448" s="130"/>
      <c r="U448" s="158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الشراء-الاستلام]]&lt;DATE(2018,1,1),S448-T448,0))</f>
        <v>0</v>
      </c>
      <c r="V448" s="169">
        <v>2</v>
      </c>
      <c r="W448" s="116"/>
      <c r="X448" s="116">
        <v>610</v>
      </c>
      <c r="Y448" s="117">
        <f>Table5101345411[[#This Row],[عدد الإضافات]]*Table5101345411[[#This Row],[سعر الحبة المضافة]]</f>
        <v>1220</v>
      </c>
      <c r="Z448" s="101"/>
      <c r="AA448" s="102"/>
      <c r="AB448" s="103"/>
      <c r="AC448" s="103"/>
      <c r="AD448" s="103"/>
      <c r="AE448" s="103"/>
      <c r="AF448" s="103">
        <f>Table5101345411[[#This Row],[العدد]]*Table5101345411[[#This Row],[قيمة الشراء]]</f>
        <v>0</v>
      </c>
      <c r="AG448" s="17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48" s="190">
        <f>Table5101345411[[#This Row],[الكمية]]+Table5101345411[[#This Row],[عدد الإضافات]]-Table5101345411[[#This Row],[العدد]]</f>
        <v>2</v>
      </c>
      <c r="AI448" s="78">
        <f>Table5101345411[[#This Row],[الإجمالي]]+Table5101345411[[#This Row],[إجمالي الإضافات]]-Table5101345411[[#This Row],[إجمالي المستبعد]]</f>
        <v>1220</v>
      </c>
      <c r="AJ448" s="120">
        <v>0.125</v>
      </c>
      <c r="AK448" s="186"/>
      <c r="AL448" s="107"/>
      <c r="AM448" s="197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48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48" s="79">
        <f>Table5101345411[[#This Row],[اهلاك المستبعد
في 2018]]+Table5101345411[[#This Row],[مجمع إهلاك المستبعد 
01-01-2018]]</f>
        <v>0</v>
      </c>
      <c r="AP448" s="213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48" s="202"/>
      <c r="AR448" s="78">
        <f>IF(OR(Table5101345411[[#This Row],[تاريخ الشراء-الاستلام]]="",Table5101345411[[#This Row],[الإجمالي]]="",Table5101345411[[#This Row],[العمر الافتراضي]]=""),"",IF(((T448+AM448)-Table5101345411[[#This Row],[مجمع إهلاك المستبعد 
بتاريخ الأستبعاد]])&lt;=0,0,((T448+AM448)-Table5101345411[[#This Row],[مجمع إهلاك المستبعد 
بتاريخ الأستبعاد]])))</f>
        <v>0</v>
      </c>
      <c r="AS448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الشراء-الاستلام]]&gt;DATE(2018,12,31),0,AI448-AR448)))</f>
        <v>1220</v>
      </c>
    </row>
    <row r="449" spans="1:45" s="141" customFormat="1" ht="83.25" customHeight="1">
      <c r="A449" s="118">
        <f>IF(B449="","",SUBTOTAL(3,$B$6:B449))</f>
        <v>444</v>
      </c>
      <c r="B449" s="58" t="s">
        <v>574</v>
      </c>
      <c r="C449" s="66" t="s">
        <v>389</v>
      </c>
      <c r="D449" s="59" t="s">
        <v>56</v>
      </c>
      <c r="E449" s="59" t="s">
        <v>352</v>
      </c>
      <c r="F449" s="222" t="s">
        <v>352</v>
      </c>
      <c r="G449" s="222"/>
      <c r="H449" s="58" t="s">
        <v>57</v>
      </c>
      <c r="I449" s="58"/>
      <c r="J449" s="58"/>
      <c r="K449" s="58"/>
      <c r="L449" s="60"/>
      <c r="M449" s="77">
        <v>43465</v>
      </c>
      <c r="N449" s="87" t="s">
        <v>567</v>
      </c>
      <c r="O449" s="150" t="s">
        <v>575</v>
      </c>
      <c r="P449" s="122"/>
      <c r="Q449" s="123"/>
      <c r="R449" s="130"/>
      <c r="S449" s="130">
        <f t="shared" si="9"/>
        <v>0</v>
      </c>
      <c r="T449" s="130"/>
      <c r="U449" s="158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الشراء-الاستلام]]&lt;DATE(2018,1,1),S449-T449,0))</f>
        <v>0</v>
      </c>
      <c r="V449" s="169">
        <v>1</v>
      </c>
      <c r="W449" s="116">
        <v>1593</v>
      </c>
      <c r="X449" s="116">
        <v>600</v>
      </c>
      <c r="Y449" s="117">
        <f>Table5101345411[[#This Row],[عدد الإضافات]]*Table5101345411[[#This Row],[سعر الحبة المضافة]]</f>
        <v>600</v>
      </c>
      <c r="Z449" s="101"/>
      <c r="AA449" s="102"/>
      <c r="AB449" s="103"/>
      <c r="AC449" s="103"/>
      <c r="AD449" s="103"/>
      <c r="AE449" s="103"/>
      <c r="AF449" s="103">
        <f>Table5101345411[[#This Row],[العدد]]*Table5101345411[[#This Row],[قيمة الشراء]]</f>
        <v>0</v>
      </c>
      <c r="AG449" s="17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49" s="190">
        <f>Table5101345411[[#This Row],[الكمية]]+Table5101345411[[#This Row],[عدد الإضافات]]-Table5101345411[[#This Row],[العدد]]</f>
        <v>1</v>
      </c>
      <c r="AI449" s="78">
        <f>Table5101345411[[#This Row],[الإجمالي]]+Table5101345411[[#This Row],[إجمالي الإضافات]]-Table5101345411[[#This Row],[إجمالي المستبعد]]</f>
        <v>600</v>
      </c>
      <c r="AJ449" s="120">
        <v>0.125</v>
      </c>
      <c r="AK449" s="186"/>
      <c r="AL449" s="107"/>
      <c r="AM449" s="197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49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49" s="79">
        <f>Table5101345411[[#This Row],[اهلاك المستبعد
في 2018]]+Table5101345411[[#This Row],[مجمع إهلاك المستبعد 
01-01-2018]]</f>
        <v>0</v>
      </c>
      <c r="AP449" s="213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49" s="202"/>
      <c r="AR449" s="78">
        <f>IF(OR(Table5101345411[[#This Row],[تاريخ الشراء-الاستلام]]="",Table5101345411[[#This Row],[الإجمالي]]="",Table5101345411[[#This Row],[العمر الافتراضي]]=""),"",IF(((T449+AM449)-Table5101345411[[#This Row],[مجمع إهلاك المستبعد 
بتاريخ الأستبعاد]])&lt;=0,0,((T449+AM449)-Table5101345411[[#This Row],[مجمع إهلاك المستبعد 
بتاريخ الأستبعاد]])))</f>
        <v>0</v>
      </c>
      <c r="AS449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الشراء-الاستلام]]&gt;DATE(2018,12,31),0,AI449-AR449)))</f>
        <v>600</v>
      </c>
    </row>
    <row r="450" spans="1:45" s="141" customFormat="1" ht="83.25" customHeight="1">
      <c r="A450" s="118">
        <f>IF(B450="","",SUBTOTAL(3,$B$6:B450))</f>
        <v>445</v>
      </c>
      <c r="B450" s="58" t="s">
        <v>572</v>
      </c>
      <c r="C450" s="66" t="s">
        <v>389</v>
      </c>
      <c r="D450" s="59" t="s">
        <v>56</v>
      </c>
      <c r="E450" s="59" t="s">
        <v>55</v>
      </c>
      <c r="F450" s="222" t="s">
        <v>55</v>
      </c>
      <c r="G450" s="222"/>
      <c r="H450" s="58" t="s">
        <v>154</v>
      </c>
      <c r="I450" s="58"/>
      <c r="J450" s="58"/>
      <c r="K450" s="58"/>
      <c r="L450" s="60"/>
      <c r="M450" s="77">
        <v>43465</v>
      </c>
      <c r="N450" s="87"/>
      <c r="O450" s="150" t="s">
        <v>573</v>
      </c>
      <c r="P450" s="122"/>
      <c r="Q450" s="123"/>
      <c r="R450" s="130"/>
      <c r="S450" s="130">
        <f t="shared" si="9"/>
        <v>0</v>
      </c>
      <c r="T450" s="130"/>
      <c r="U450" s="158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الشراء-الاستلام]]&lt;DATE(2018,1,1),S450-T450,0))</f>
        <v>0</v>
      </c>
      <c r="V450" s="169">
        <v>1</v>
      </c>
      <c r="W450" s="116"/>
      <c r="X450" s="116">
        <v>150</v>
      </c>
      <c r="Y450" s="117">
        <f>Table5101345411[[#This Row],[عدد الإضافات]]*Table5101345411[[#This Row],[سعر الحبة المضافة]]</f>
        <v>150</v>
      </c>
      <c r="Z450" s="101"/>
      <c r="AA450" s="102"/>
      <c r="AB450" s="103"/>
      <c r="AC450" s="103"/>
      <c r="AD450" s="103"/>
      <c r="AE450" s="103"/>
      <c r="AF450" s="103">
        <f>Table5101345411[[#This Row],[العدد]]*Table5101345411[[#This Row],[قيمة الشراء]]</f>
        <v>0</v>
      </c>
      <c r="AG450" s="17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50" s="190">
        <f>Table5101345411[[#This Row],[الكمية]]+Table5101345411[[#This Row],[عدد الإضافات]]-Table5101345411[[#This Row],[العدد]]</f>
        <v>1</v>
      </c>
      <c r="AI450" s="78">
        <f>Table5101345411[[#This Row],[الإجمالي]]+Table5101345411[[#This Row],[إجمالي الإضافات]]-Table5101345411[[#This Row],[إجمالي المستبعد]]</f>
        <v>150</v>
      </c>
      <c r="AJ450" s="120">
        <v>0.125</v>
      </c>
      <c r="AK450" s="186"/>
      <c r="AL450" s="107"/>
      <c r="AM450" s="197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50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50" s="79">
        <f>Table5101345411[[#This Row],[اهلاك المستبعد
في 2018]]+Table5101345411[[#This Row],[مجمع إهلاك المستبعد 
01-01-2018]]</f>
        <v>0</v>
      </c>
      <c r="AP450" s="213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50" s="202"/>
      <c r="AR450" s="78">
        <f>IF(OR(Table5101345411[[#This Row],[تاريخ الشراء-الاستلام]]="",Table5101345411[[#This Row],[الإجمالي]]="",Table5101345411[[#This Row],[العمر الافتراضي]]=""),"",IF(((T450+AM450)-Table5101345411[[#This Row],[مجمع إهلاك المستبعد 
بتاريخ الأستبعاد]])&lt;=0,0,((T450+AM450)-Table5101345411[[#This Row],[مجمع إهلاك المستبعد 
بتاريخ الأستبعاد]])))</f>
        <v>0</v>
      </c>
      <c r="AS450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الشراء-الاستلام]]&gt;DATE(2018,12,31),0,AI450-AR450)))</f>
        <v>150</v>
      </c>
    </row>
    <row r="451" spans="1:45" s="141" customFormat="1" ht="83.25" customHeight="1">
      <c r="A451" s="118">
        <f>IF(B451="","",SUBTOTAL(3,$B$6:B451))</f>
        <v>446</v>
      </c>
      <c r="B451" s="58" t="s">
        <v>569</v>
      </c>
      <c r="C451" s="66" t="s">
        <v>389</v>
      </c>
      <c r="D451" s="59" t="s">
        <v>56</v>
      </c>
      <c r="E451" s="59" t="s">
        <v>55</v>
      </c>
      <c r="F451" s="222" t="s">
        <v>55</v>
      </c>
      <c r="G451" s="222"/>
      <c r="H451" s="58" t="s">
        <v>57</v>
      </c>
      <c r="I451" s="58"/>
      <c r="J451" s="58" t="s">
        <v>570</v>
      </c>
      <c r="K451" s="58"/>
      <c r="L451" s="60"/>
      <c r="M451" s="77">
        <v>43465</v>
      </c>
      <c r="N451" s="87" t="s">
        <v>571</v>
      </c>
      <c r="O451" s="150" t="s">
        <v>568</v>
      </c>
      <c r="P451" s="122"/>
      <c r="Q451" s="123"/>
      <c r="R451" s="130"/>
      <c r="S451" s="130">
        <f t="shared" si="9"/>
        <v>0</v>
      </c>
      <c r="T451" s="130"/>
      <c r="U451" s="158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الشراء-الاستلام]]&lt;DATE(2018,1,1),S451-T451,0))</f>
        <v>0</v>
      </c>
      <c r="V451" s="169">
        <v>1</v>
      </c>
      <c r="W451" s="116">
        <v>472</v>
      </c>
      <c r="X451" s="116">
        <v>1100</v>
      </c>
      <c r="Y451" s="117">
        <f>Table5101345411[[#This Row],[عدد الإضافات]]*Table5101345411[[#This Row],[سعر الحبة المضافة]]</f>
        <v>1100</v>
      </c>
      <c r="Z451" s="101"/>
      <c r="AA451" s="102"/>
      <c r="AB451" s="103"/>
      <c r="AC451" s="103"/>
      <c r="AD451" s="103"/>
      <c r="AE451" s="103"/>
      <c r="AF451" s="103">
        <f>Table5101345411[[#This Row],[العدد]]*Table5101345411[[#This Row],[قيمة الشراء]]</f>
        <v>0</v>
      </c>
      <c r="AG451" s="17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51" s="190">
        <f>Table5101345411[[#This Row],[الكمية]]+Table5101345411[[#This Row],[عدد الإضافات]]-Table5101345411[[#This Row],[العدد]]</f>
        <v>1</v>
      </c>
      <c r="AI451" s="78">
        <f>Table5101345411[[#This Row],[الإجمالي]]+Table5101345411[[#This Row],[إجمالي الإضافات]]-Table5101345411[[#This Row],[إجمالي المستبعد]]</f>
        <v>1100</v>
      </c>
      <c r="AJ451" s="120">
        <v>0.125</v>
      </c>
      <c r="AK451" s="186"/>
      <c r="AL451" s="107"/>
      <c r="AM451" s="197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51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51" s="79">
        <f>Table5101345411[[#This Row],[اهلاك المستبعد
في 2018]]+Table5101345411[[#This Row],[مجمع إهلاك المستبعد 
01-01-2018]]</f>
        <v>0</v>
      </c>
      <c r="AP451" s="213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51" s="202"/>
      <c r="AR451" s="78">
        <f>IF(OR(Table5101345411[[#This Row],[تاريخ الشراء-الاستلام]]="",Table5101345411[[#This Row],[الإجمالي]]="",Table5101345411[[#This Row],[العمر الافتراضي]]=""),"",IF(((T451+AM451)-Table5101345411[[#This Row],[مجمع إهلاك المستبعد 
بتاريخ الأستبعاد]])&lt;=0,0,((T451+AM451)-Table5101345411[[#This Row],[مجمع إهلاك المستبعد 
بتاريخ الأستبعاد]])))</f>
        <v>0</v>
      </c>
      <c r="AS451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الشراء-الاستلام]]&gt;DATE(2018,12,31),0,AI451-AR451)))</f>
        <v>1100</v>
      </c>
    </row>
    <row r="452" spans="1:45" s="141" customFormat="1" ht="83.25" customHeight="1">
      <c r="A452" s="118">
        <f>IF(B452="","",SUBTOTAL(3,$B$6:B452))</f>
        <v>447</v>
      </c>
      <c r="B452" s="58" t="s">
        <v>559</v>
      </c>
      <c r="C452" s="66" t="s">
        <v>389</v>
      </c>
      <c r="D452" s="59" t="s">
        <v>56</v>
      </c>
      <c r="E452" s="59" t="s">
        <v>55</v>
      </c>
      <c r="F452" s="222" t="s">
        <v>55</v>
      </c>
      <c r="G452" s="222"/>
      <c r="H452" s="58" t="s">
        <v>57</v>
      </c>
      <c r="I452" s="58"/>
      <c r="J452" s="58" t="s">
        <v>560</v>
      </c>
      <c r="K452" s="58"/>
      <c r="L452" s="60"/>
      <c r="M452" s="77">
        <v>43465</v>
      </c>
      <c r="N452" s="87"/>
      <c r="O452" s="150" t="s">
        <v>561</v>
      </c>
      <c r="P452" s="122"/>
      <c r="Q452" s="123"/>
      <c r="R452" s="130"/>
      <c r="S452" s="130">
        <f t="shared" si="9"/>
        <v>0</v>
      </c>
      <c r="T452" s="130"/>
      <c r="U452" s="158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الشراء-الاستلام]]&lt;DATE(2018,1,1),S452-T452,0))</f>
        <v>0</v>
      </c>
      <c r="V452" s="169">
        <v>1</v>
      </c>
      <c r="W452" s="116"/>
      <c r="X452" s="116">
        <v>1852</v>
      </c>
      <c r="Y452" s="117">
        <f>Table5101345411[[#This Row],[عدد الإضافات]]*Table5101345411[[#This Row],[سعر الحبة المضافة]]</f>
        <v>1852</v>
      </c>
      <c r="Z452" s="101"/>
      <c r="AA452" s="102"/>
      <c r="AB452" s="103"/>
      <c r="AC452" s="103"/>
      <c r="AD452" s="103"/>
      <c r="AE452" s="103"/>
      <c r="AF452" s="103">
        <f>Table5101345411[[#This Row],[العدد]]*Table5101345411[[#This Row],[قيمة الشراء]]</f>
        <v>0</v>
      </c>
      <c r="AG452" s="17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52" s="190">
        <f>Table5101345411[[#This Row],[الكمية]]+Table5101345411[[#This Row],[عدد الإضافات]]-Table5101345411[[#This Row],[العدد]]</f>
        <v>1</v>
      </c>
      <c r="AI452" s="78">
        <f>Table5101345411[[#This Row],[الإجمالي]]+Table5101345411[[#This Row],[إجمالي الإضافات]]-Table5101345411[[#This Row],[إجمالي المستبعد]]</f>
        <v>1852</v>
      </c>
      <c r="AJ452" s="120">
        <v>0.125</v>
      </c>
      <c r="AK452" s="186"/>
      <c r="AL452" s="107"/>
      <c r="AM452" s="197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52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52" s="79">
        <f>Table5101345411[[#This Row],[اهلاك المستبعد
في 2018]]+Table5101345411[[#This Row],[مجمع إهلاك المستبعد 
01-01-2018]]</f>
        <v>0</v>
      </c>
      <c r="AP452" s="213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52" s="202"/>
      <c r="AR452" s="78">
        <f>IF(OR(Table5101345411[[#This Row],[تاريخ الشراء-الاستلام]]="",Table5101345411[[#This Row],[الإجمالي]]="",Table5101345411[[#This Row],[العمر الافتراضي]]=""),"",IF(((T452+AM452)-Table5101345411[[#This Row],[مجمع إهلاك المستبعد 
بتاريخ الأستبعاد]])&lt;=0,0,((T452+AM452)-Table5101345411[[#This Row],[مجمع إهلاك المستبعد 
بتاريخ الأستبعاد]])))</f>
        <v>0</v>
      </c>
      <c r="AS452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الشراء-الاستلام]]&gt;DATE(2018,12,31),0,AI452-AR452)))</f>
        <v>1852</v>
      </c>
    </row>
    <row r="453" spans="1:45" s="141" customFormat="1" ht="83.25" customHeight="1">
      <c r="A453" s="118">
        <f>IF(B453="","",SUBTOTAL(3,$B$6:B453))</f>
        <v>448</v>
      </c>
      <c r="B453" s="58" t="s">
        <v>562</v>
      </c>
      <c r="C453" s="66" t="s">
        <v>389</v>
      </c>
      <c r="D453" s="59" t="s">
        <v>367</v>
      </c>
      <c r="E453" s="59" t="s">
        <v>580</v>
      </c>
      <c r="F453" s="222" t="s">
        <v>580</v>
      </c>
      <c r="G453" s="222"/>
      <c r="H453" s="58" t="s">
        <v>57</v>
      </c>
      <c r="I453" s="58"/>
      <c r="J453" s="58" t="s">
        <v>560</v>
      </c>
      <c r="K453" s="58"/>
      <c r="L453" s="60"/>
      <c r="M453" s="77">
        <v>43465</v>
      </c>
      <c r="N453" s="87"/>
      <c r="O453" s="150" t="s">
        <v>561</v>
      </c>
      <c r="P453" s="122"/>
      <c r="Q453" s="123"/>
      <c r="R453" s="130"/>
      <c r="S453" s="130">
        <f t="shared" si="9"/>
        <v>0</v>
      </c>
      <c r="T453" s="130"/>
      <c r="U453" s="158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الشراء-الاستلام]]&lt;DATE(2018,1,1),S453-T453,0))</f>
        <v>0</v>
      </c>
      <c r="V453" s="169">
        <v>1</v>
      </c>
      <c r="W453" s="116"/>
      <c r="X453" s="116">
        <v>1399</v>
      </c>
      <c r="Y453" s="117">
        <f>Table5101345411[[#This Row],[عدد الإضافات]]*Table5101345411[[#This Row],[سعر الحبة المضافة]]</f>
        <v>1399</v>
      </c>
      <c r="Z453" s="101"/>
      <c r="AA453" s="102"/>
      <c r="AB453" s="103"/>
      <c r="AC453" s="103"/>
      <c r="AD453" s="103"/>
      <c r="AE453" s="103"/>
      <c r="AF453" s="103">
        <f>Table5101345411[[#This Row],[العدد]]*Table5101345411[[#This Row],[قيمة الشراء]]</f>
        <v>0</v>
      </c>
      <c r="AG453" s="17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53" s="190">
        <f>Table5101345411[[#This Row],[الكمية]]+Table5101345411[[#This Row],[عدد الإضافات]]-Table5101345411[[#This Row],[العدد]]</f>
        <v>1</v>
      </c>
      <c r="AI453" s="78">
        <f>Table5101345411[[#This Row],[الإجمالي]]+Table5101345411[[#This Row],[إجمالي الإضافات]]-Table5101345411[[#This Row],[إجمالي المستبعد]]</f>
        <v>1399</v>
      </c>
      <c r="AJ453" s="120">
        <v>0.125</v>
      </c>
      <c r="AK453" s="186"/>
      <c r="AL453" s="107"/>
      <c r="AM453" s="197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53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53" s="79">
        <f>Table5101345411[[#This Row],[اهلاك المستبعد
في 2018]]+Table5101345411[[#This Row],[مجمع إهلاك المستبعد 
01-01-2018]]</f>
        <v>0</v>
      </c>
      <c r="AP453" s="213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53" s="202"/>
      <c r="AR453" s="78">
        <f>IF(OR(Table5101345411[[#This Row],[تاريخ الشراء-الاستلام]]="",Table5101345411[[#This Row],[الإجمالي]]="",Table5101345411[[#This Row],[العمر الافتراضي]]=""),"",IF(((T453+AM453)-Table5101345411[[#This Row],[مجمع إهلاك المستبعد 
بتاريخ الأستبعاد]])&lt;=0,0,((T453+AM453)-Table5101345411[[#This Row],[مجمع إهلاك المستبعد 
بتاريخ الأستبعاد]])))</f>
        <v>0</v>
      </c>
      <c r="AS453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الشراء-الاستلام]]&gt;DATE(2018,12,31),0,AI453-AR453)))</f>
        <v>1399</v>
      </c>
    </row>
    <row r="454" spans="1:45" s="141" customFormat="1" ht="83.25" customHeight="1">
      <c r="A454" s="121">
        <f>IF(B454="","",SUBTOTAL(3,$B$6:B467))</f>
        <v>461</v>
      </c>
      <c r="B454" s="58" t="s">
        <v>503</v>
      </c>
      <c r="C454" s="66" t="s">
        <v>389</v>
      </c>
      <c r="D454" s="58" t="s">
        <v>84</v>
      </c>
      <c r="E454" s="59" t="s">
        <v>84</v>
      </c>
      <c r="F454" s="222" t="s">
        <v>84</v>
      </c>
      <c r="G454" s="222"/>
      <c r="H454" s="58"/>
      <c r="I454" s="58"/>
      <c r="J454" s="58"/>
      <c r="K454" s="58"/>
      <c r="L454" s="60"/>
      <c r="M454" s="77">
        <v>43465</v>
      </c>
      <c r="N454" s="87"/>
      <c r="O454" s="150" t="s">
        <v>506</v>
      </c>
      <c r="P454" s="122"/>
      <c r="Q454" s="123"/>
      <c r="R454" s="130"/>
      <c r="S454" s="130">
        <f t="shared" si="9"/>
        <v>0</v>
      </c>
      <c r="T454" s="130"/>
      <c r="U454" s="15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الشراء-الاستلام]]&lt;DATE(2018,1,1),S454-T454,0))</f>
        <v>0</v>
      </c>
      <c r="V454" s="169">
        <v>1</v>
      </c>
      <c r="W454" s="116"/>
      <c r="X454" s="116">
        <v>106644</v>
      </c>
      <c r="Y454" s="117">
        <f>Table5101345411[[#This Row],[عدد الإضافات]]*Table5101345411[[#This Row],[سعر الحبة المضافة]]</f>
        <v>106644</v>
      </c>
      <c r="Z454" s="104"/>
      <c r="AA454" s="105"/>
      <c r="AB454" s="106"/>
      <c r="AC454" s="106"/>
      <c r="AD454" s="106"/>
      <c r="AE454" s="106"/>
      <c r="AF454" s="106">
        <f>Table5101345411[[#This Row],[العدد]]*Table5101345411[[#This Row],[قيمة الشراء]]</f>
        <v>0</v>
      </c>
      <c r="AG454" s="179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54" s="190">
        <f>Table5101345411[[#This Row],[الكمية]]+Table5101345411[[#This Row],[عدد الإضافات]]-Table5101345411[[#This Row],[العدد]]</f>
        <v>1</v>
      </c>
      <c r="AI454" s="78">
        <f>Table5101345411[[#This Row],[الإجمالي]]+Table5101345411[[#This Row],[إجمالي الإضافات]]-Table5101345411[[#This Row],[إجمالي المستبعد]]</f>
        <v>106644</v>
      </c>
      <c r="AJ454" s="71">
        <v>0.15</v>
      </c>
      <c r="AK454" s="186"/>
      <c r="AL454" s="107"/>
      <c r="AM454" s="197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54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54" s="79">
        <f>Table5101345411[[#This Row],[اهلاك المستبعد
في 2018]]+Table5101345411[[#This Row],[مجمع إهلاك المستبعد 
01-01-2018]]</f>
        <v>0</v>
      </c>
      <c r="AP454" s="213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54" s="202"/>
      <c r="AR454" s="78">
        <f>IF(OR(Table5101345411[[#This Row],[تاريخ الشراء-الاستلام]]="",Table5101345411[[#This Row],[الإجمالي]]="",Table5101345411[[#This Row],[العمر الافتراضي]]=""),"",IF(((T454+AM454)-Table5101345411[[#This Row],[مجمع إهلاك المستبعد 
بتاريخ الأستبعاد]])&lt;=0,0,((T454+AM454)-Table5101345411[[#This Row],[مجمع إهلاك المستبعد 
بتاريخ الأستبعاد]])))</f>
        <v>0</v>
      </c>
      <c r="AS454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الشراء-الاستلام]]&gt;DATE(2018,12,31),0,AI454-AR454)))</f>
        <v>106644</v>
      </c>
    </row>
    <row r="455" spans="1:45" s="141" customFormat="1" ht="83.25" customHeight="1">
      <c r="A455" s="64">
        <f>IF(B455="","",SUBTOTAL(3,$B$6:B455))</f>
        <v>450</v>
      </c>
      <c r="B455" s="65" t="s">
        <v>450</v>
      </c>
      <c r="C455" s="66" t="s">
        <v>389</v>
      </c>
      <c r="D455" s="65" t="s">
        <v>522</v>
      </c>
      <c r="E455" s="66" t="s">
        <v>523</v>
      </c>
      <c r="F455" s="223" t="s">
        <v>523</v>
      </c>
      <c r="G455" s="223"/>
      <c r="H455" s="65" t="s">
        <v>57</v>
      </c>
      <c r="I455" s="65"/>
      <c r="J455" s="65"/>
      <c r="K455" s="65"/>
      <c r="L455" s="67"/>
      <c r="M455" s="73">
        <v>43465</v>
      </c>
      <c r="N455" s="86" t="s">
        <v>412</v>
      </c>
      <c r="O455" s="152" t="s">
        <v>527</v>
      </c>
      <c r="P455" s="125"/>
      <c r="Q455" s="126"/>
      <c r="R455" s="129"/>
      <c r="S455" s="128">
        <f t="shared" ref="S455" si="10">R455*P455</f>
        <v>0</v>
      </c>
      <c r="T455" s="129"/>
      <c r="U455" s="15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الشراء-الاستلام]]&lt;DATE(2018,1,1),S455-T455,0))</f>
        <v>0</v>
      </c>
      <c r="V455" s="168">
        <v>10</v>
      </c>
      <c r="W455" s="113">
        <v>176</v>
      </c>
      <c r="X455" s="114">
        <v>1000</v>
      </c>
      <c r="Y455" s="115">
        <f>Table5101345411[[#This Row],[عدد الإضافات]]*Table5101345411[[#This Row],[سعر الحبة المضافة]]</f>
        <v>10000</v>
      </c>
      <c r="Z455" s="98"/>
      <c r="AA455" s="99"/>
      <c r="AB455" s="100"/>
      <c r="AC455" s="100"/>
      <c r="AD455" s="100"/>
      <c r="AE455" s="100"/>
      <c r="AF455" s="100">
        <f>Table5101345411[[#This Row],[العدد]]*Table5101345411[[#This Row],[قيمة الشراء]]</f>
        <v>0</v>
      </c>
      <c r="AG455" s="177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55" s="189">
        <f>Table5101345411[[#This Row],[الكمية]]+Table5101345411[[#This Row],[عدد الإضافات]]-Table5101345411[[#This Row],[العدد]]</f>
        <v>10</v>
      </c>
      <c r="AI455" s="74">
        <f>Table5101345411[[#This Row],[الإجمالي]]+Table5101345411[[#This Row],[إجمالي الإضافات]]-Table5101345411[[#This Row],[إجمالي المستبعد]]</f>
        <v>10000</v>
      </c>
      <c r="AJ455" s="69">
        <v>0.125</v>
      </c>
      <c r="AK455" s="188"/>
      <c r="AL455" s="108"/>
      <c r="AM455" s="196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55" s="210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55" s="75">
        <f>Table5101345411[[#This Row],[اهلاك المستبعد
في 2018]]+Table5101345411[[#This Row],[مجمع إهلاك المستبعد 
01-01-2018]]</f>
        <v>0</v>
      </c>
      <c r="AP455" s="211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55" s="201"/>
      <c r="AR455" s="74">
        <f>IF(OR(Table5101345411[[#This Row],[تاريخ الشراء-الاستلام]]="",Table5101345411[[#This Row],[الإجمالي]]="",Table5101345411[[#This Row],[العمر الافتراضي]]=""),"",IF(((T455+AM455)-Table5101345411[[#This Row],[مجمع إهلاك المستبعد 
بتاريخ الأستبعاد]])&lt;=0,0,((T455+AM455)-Table5101345411[[#This Row],[مجمع إهلاك المستبعد 
بتاريخ الأستبعاد]])))</f>
        <v>0</v>
      </c>
      <c r="AS455" s="135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الشراء-الاستلام]]&gt;DATE(2018,12,31),0,AI455-AR455)))</f>
        <v>10000</v>
      </c>
    </row>
    <row r="456" spans="1:45" s="141" customFormat="1" ht="83.25" customHeight="1">
      <c r="A456" s="64">
        <f>IF(B456="","",SUBTOTAL(3,$B$6:B456))</f>
        <v>451</v>
      </c>
      <c r="B456" s="65" t="s">
        <v>450</v>
      </c>
      <c r="C456" s="66" t="s">
        <v>389</v>
      </c>
      <c r="D456" s="65" t="s">
        <v>522</v>
      </c>
      <c r="E456" s="66" t="s">
        <v>523</v>
      </c>
      <c r="F456" s="223" t="s">
        <v>523</v>
      </c>
      <c r="G456" s="223"/>
      <c r="H456" s="65" t="s">
        <v>57</v>
      </c>
      <c r="I456" s="65"/>
      <c r="J456" s="65"/>
      <c r="K456" s="65"/>
      <c r="L456" s="67"/>
      <c r="M456" s="73">
        <v>43465</v>
      </c>
      <c r="N456" s="86" t="s">
        <v>412</v>
      </c>
      <c r="O456" s="152" t="s">
        <v>527</v>
      </c>
      <c r="P456" s="125"/>
      <c r="Q456" s="126"/>
      <c r="R456" s="129"/>
      <c r="S456" s="128">
        <f t="shared" ref="S456" si="11">R456*P456</f>
        <v>0</v>
      </c>
      <c r="T456" s="129"/>
      <c r="U456" s="15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الشراء-الاستلام]]&lt;DATE(2018,1,1),S456-T456,0))</f>
        <v>0</v>
      </c>
      <c r="V456" s="168">
        <v>30</v>
      </c>
      <c r="W456" s="113">
        <v>177</v>
      </c>
      <c r="X456" s="114">
        <v>700</v>
      </c>
      <c r="Y456" s="115">
        <f>Table5101345411[[#This Row],[عدد الإضافات]]*Table5101345411[[#This Row],[سعر الحبة المضافة]]</f>
        <v>21000</v>
      </c>
      <c r="Z456" s="98"/>
      <c r="AA456" s="99"/>
      <c r="AB456" s="100"/>
      <c r="AC456" s="100"/>
      <c r="AD456" s="100"/>
      <c r="AE456" s="100"/>
      <c r="AF456" s="100">
        <f>Table5101345411[[#This Row],[العدد]]*Table5101345411[[#This Row],[قيمة الشراء]]</f>
        <v>0</v>
      </c>
      <c r="AG456" s="177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56" s="189">
        <f>Table5101345411[[#This Row],[الكمية]]+Table5101345411[[#This Row],[عدد الإضافات]]-Table5101345411[[#This Row],[العدد]]</f>
        <v>30</v>
      </c>
      <c r="AI456" s="74">
        <f>Table5101345411[[#This Row],[الإجمالي]]+Table5101345411[[#This Row],[إجمالي الإضافات]]-Table5101345411[[#This Row],[إجمالي المستبعد]]</f>
        <v>21000</v>
      </c>
      <c r="AJ456" s="69">
        <v>0.125</v>
      </c>
      <c r="AK456" s="188"/>
      <c r="AL456" s="108"/>
      <c r="AM456" s="196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56" s="210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56" s="75">
        <f>Table5101345411[[#This Row],[اهلاك المستبعد
في 2018]]+Table5101345411[[#This Row],[مجمع إهلاك المستبعد 
01-01-2018]]</f>
        <v>0</v>
      </c>
      <c r="AP456" s="211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56" s="201"/>
      <c r="AR456" s="74">
        <f>IF(OR(Table5101345411[[#This Row],[تاريخ الشراء-الاستلام]]="",Table5101345411[[#This Row],[الإجمالي]]="",Table5101345411[[#This Row],[العمر الافتراضي]]=""),"",IF(((T456+AM456)-Table5101345411[[#This Row],[مجمع إهلاك المستبعد 
بتاريخ الأستبعاد]])&lt;=0,0,((T456+AM456)-Table5101345411[[#This Row],[مجمع إهلاك المستبعد 
بتاريخ الأستبعاد]])))</f>
        <v>0</v>
      </c>
      <c r="AS456" s="135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الشراء-الاستلام]]&gt;DATE(2018,12,31),0,AI456-AR456)))</f>
        <v>21000</v>
      </c>
    </row>
    <row r="457" spans="1:45" s="141" customFormat="1" ht="83.25" customHeight="1">
      <c r="A457" s="64">
        <f>IF(B457="","",SUBTOTAL(3,$B$6:B457))</f>
        <v>452</v>
      </c>
      <c r="B457" s="65" t="s">
        <v>450</v>
      </c>
      <c r="C457" s="66" t="s">
        <v>389</v>
      </c>
      <c r="D457" s="65" t="s">
        <v>522</v>
      </c>
      <c r="E457" s="66" t="s">
        <v>523</v>
      </c>
      <c r="F457" s="223" t="s">
        <v>523</v>
      </c>
      <c r="G457" s="223"/>
      <c r="H457" s="65" t="s">
        <v>57</v>
      </c>
      <c r="I457" s="65"/>
      <c r="J457" s="65"/>
      <c r="K457" s="65"/>
      <c r="L457" s="67"/>
      <c r="M457" s="73">
        <v>43465</v>
      </c>
      <c r="N457" s="86" t="s">
        <v>412</v>
      </c>
      <c r="O457" s="152" t="s">
        <v>528</v>
      </c>
      <c r="P457" s="125"/>
      <c r="Q457" s="126"/>
      <c r="R457" s="129"/>
      <c r="S457" s="128">
        <f t="shared" ref="S457" si="12">R457*P457</f>
        <v>0</v>
      </c>
      <c r="T457" s="129"/>
      <c r="U457" s="15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الشراء-الاستلام]]&lt;DATE(2018,1,1),S457-T457,0))</f>
        <v>0</v>
      </c>
      <c r="V457" s="168">
        <v>40</v>
      </c>
      <c r="W457" s="113">
        <v>216</v>
      </c>
      <c r="X457" s="114">
        <v>700</v>
      </c>
      <c r="Y457" s="115">
        <f>Table5101345411[[#This Row],[عدد الإضافات]]*Table5101345411[[#This Row],[سعر الحبة المضافة]]</f>
        <v>28000</v>
      </c>
      <c r="Z457" s="98"/>
      <c r="AA457" s="99"/>
      <c r="AB457" s="100"/>
      <c r="AC457" s="100"/>
      <c r="AD457" s="100"/>
      <c r="AE457" s="100"/>
      <c r="AF457" s="100">
        <f>Table5101345411[[#This Row],[العدد]]*Table5101345411[[#This Row],[قيمة الشراء]]</f>
        <v>0</v>
      </c>
      <c r="AG457" s="177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57" s="189">
        <f>Table5101345411[[#This Row],[الكمية]]+Table5101345411[[#This Row],[عدد الإضافات]]-Table5101345411[[#This Row],[العدد]]</f>
        <v>40</v>
      </c>
      <c r="AI457" s="74">
        <f>Table5101345411[[#This Row],[الإجمالي]]+Table5101345411[[#This Row],[إجمالي الإضافات]]-Table5101345411[[#This Row],[إجمالي المستبعد]]</f>
        <v>28000</v>
      </c>
      <c r="AJ457" s="69">
        <v>0.125</v>
      </c>
      <c r="AK457" s="188"/>
      <c r="AL457" s="108"/>
      <c r="AM457" s="196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57" s="210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57" s="75">
        <f>Table5101345411[[#This Row],[اهلاك المستبعد
في 2018]]+Table5101345411[[#This Row],[مجمع إهلاك المستبعد 
01-01-2018]]</f>
        <v>0</v>
      </c>
      <c r="AP457" s="211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57" s="201"/>
      <c r="AR457" s="74">
        <f>IF(OR(Table5101345411[[#This Row],[تاريخ الشراء-الاستلام]]="",Table5101345411[[#This Row],[الإجمالي]]="",Table5101345411[[#This Row],[العمر الافتراضي]]=""),"",IF(((T457+AM457)-Table5101345411[[#This Row],[مجمع إهلاك المستبعد 
بتاريخ الأستبعاد]])&lt;=0,0,((T457+AM457)-Table5101345411[[#This Row],[مجمع إهلاك المستبعد 
بتاريخ الأستبعاد]])))</f>
        <v>0</v>
      </c>
      <c r="AS457" s="135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الشراء-الاستلام]]&gt;DATE(2018,12,31),0,AI457-AR457)))</f>
        <v>28000</v>
      </c>
    </row>
    <row r="458" spans="1:45" s="141" customFormat="1" ht="83.25" customHeight="1">
      <c r="A458" s="64">
        <f>IF(B458="","",SUBTOTAL(3,$B$6:B458))</f>
        <v>453</v>
      </c>
      <c r="B458" s="65" t="s">
        <v>450</v>
      </c>
      <c r="C458" s="66" t="s">
        <v>389</v>
      </c>
      <c r="D458" s="65" t="s">
        <v>522</v>
      </c>
      <c r="E458" s="66" t="s">
        <v>523</v>
      </c>
      <c r="F458" s="223" t="s">
        <v>523</v>
      </c>
      <c r="G458" s="223"/>
      <c r="H458" s="65" t="s">
        <v>57</v>
      </c>
      <c r="I458" s="65"/>
      <c r="J458" s="65"/>
      <c r="K458" s="65"/>
      <c r="L458" s="67"/>
      <c r="M458" s="73">
        <v>43465</v>
      </c>
      <c r="N458" s="86" t="s">
        <v>533</v>
      </c>
      <c r="O458" s="152" t="s">
        <v>532</v>
      </c>
      <c r="P458" s="125"/>
      <c r="Q458" s="126"/>
      <c r="R458" s="129"/>
      <c r="S458" s="128">
        <f t="shared" ref="S458" si="13">R458*P458</f>
        <v>0</v>
      </c>
      <c r="T458" s="129"/>
      <c r="U458" s="15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الشراء-الاستلام]]&lt;DATE(2018,1,1),S458-T458,0))</f>
        <v>0</v>
      </c>
      <c r="V458" s="168">
        <v>80</v>
      </c>
      <c r="W458" s="113"/>
      <c r="X458" s="114">
        <v>640</v>
      </c>
      <c r="Y458" s="115">
        <f>Table5101345411[[#This Row],[عدد الإضافات]]*Table5101345411[[#This Row],[سعر الحبة المضافة]]</f>
        <v>51200</v>
      </c>
      <c r="Z458" s="98"/>
      <c r="AA458" s="99"/>
      <c r="AB458" s="100"/>
      <c r="AC458" s="100"/>
      <c r="AD458" s="100"/>
      <c r="AE458" s="100"/>
      <c r="AF458" s="100">
        <f>Table5101345411[[#This Row],[العدد]]*Table5101345411[[#This Row],[قيمة الشراء]]</f>
        <v>0</v>
      </c>
      <c r="AG458" s="177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58" s="189">
        <f>Table5101345411[[#This Row],[الكمية]]+Table5101345411[[#This Row],[عدد الإضافات]]-Table5101345411[[#This Row],[العدد]]</f>
        <v>80</v>
      </c>
      <c r="AI458" s="74">
        <f>Table5101345411[[#This Row],[الإجمالي]]+Table5101345411[[#This Row],[إجمالي الإضافات]]-Table5101345411[[#This Row],[إجمالي المستبعد]]</f>
        <v>51200</v>
      </c>
      <c r="AJ458" s="69">
        <v>0.125</v>
      </c>
      <c r="AK458" s="188"/>
      <c r="AL458" s="108"/>
      <c r="AM458" s="196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58" s="210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58" s="75">
        <f>Table5101345411[[#This Row],[اهلاك المستبعد
في 2018]]+Table5101345411[[#This Row],[مجمع إهلاك المستبعد 
01-01-2018]]</f>
        <v>0</v>
      </c>
      <c r="AP458" s="211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58" s="201"/>
      <c r="AR458" s="74">
        <f>IF(OR(Table5101345411[[#This Row],[تاريخ الشراء-الاستلام]]="",Table5101345411[[#This Row],[الإجمالي]]="",Table5101345411[[#This Row],[العمر الافتراضي]]=""),"",IF(((T458+AM458)-Table5101345411[[#This Row],[مجمع إهلاك المستبعد 
بتاريخ الأستبعاد]])&lt;=0,0,((T458+AM458)-Table5101345411[[#This Row],[مجمع إهلاك المستبعد 
بتاريخ الأستبعاد]])))</f>
        <v>0</v>
      </c>
      <c r="AS458" s="135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الشراء-الاستلام]]&gt;DATE(2018,12,31),0,AI458-AR458)))</f>
        <v>51200</v>
      </c>
    </row>
    <row r="459" spans="1:45" s="141" customFormat="1" ht="83.25" customHeight="1">
      <c r="A459" s="64">
        <f>IF(B459="","",SUBTOTAL(3,$B$6:B459))</f>
        <v>454</v>
      </c>
      <c r="B459" s="65" t="s">
        <v>450</v>
      </c>
      <c r="C459" s="66" t="s">
        <v>389</v>
      </c>
      <c r="D459" s="65" t="s">
        <v>522</v>
      </c>
      <c r="E459" s="66" t="s">
        <v>523</v>
      </c>
      <c r="F459" s="223" t="s">
        <v>523</v>
      </c>
      <c r="G459" s="223"/>
      <c r="H459" s="65" t="s">
        <v>57</v>
      </c>
      <c r="I459" s="65"/>
      <c r="J459" s="65"/>
      <c r="K459" s="65"/>
      <c r="L459" s="67"/>
      <c r="M459" s="73">
        <v>43465</v>
      </c>
      <c r="N459" s="86" t="s">
        <v>534</v>
      </c>
      <c r="O459" s="152" t="s">
        <v>521</v>
      </c>
      <c r="P459" s="125"/>
      <c r="Q459" s="126"/>
      <c r="R459" s="129"/>
      <c r="S459" s="128">
        <f t="shared" ref="S459" si="14">R459*P459</f>
        <v>0</v>
      </c>
      <c r="T459" s="129"/>
      <c r="U459" s="15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الشراء-الاستلام]]&lt;DATE(2018,1,1),S459-T459,0))</f>
        <v>0</v>
      </c>
      <c r="V459" s="168">
        <v>250</v>
      </c>
      <c r="W459" s="113">
        <v>180349</v>
      </c>
      <c r="X459" s="114">
        <v>690</v>
      </c>
      <c r="Y459" s="115">
        <f>Table5101345411[[#This Row],[عدد الإضافات]]*Table5101345411[[#This Row],[سعر الحبة المضافة]]</f>
        <v>172500</v>
      </c>
      <c r="Z459" s="98"/>
      <c r="AA459" s="99"/>
      <c r="AB459" s="100"/>
      <c r="AC459" s="100"/>
      <c r="AD459" s="100"/>
      <c r="AE459" s="100"/>
      <c r="AF459" s="100">
        <f>Table5101345411[[#This Row],[العدد]]*Table5101345411[[#This Row],[قيمة الشراء]]</f>
        <v>0</v>
      </c>
      <c r="AG459" s="177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59" s="189">
        <f>Table5101345411[[#This Row],[الكمية]]+Table5101345411[[#This Row],[عدد الإضافات]]-Table5101345411[[#This Row],[العدد]]</f>
        <v>250</v>
      </c>
      <c r="AI459" s="74">
        <f>Table5101345411[[#This Row],[الإجمالي]]+Table5101345411[[#This Row],[إجمالي الإضافات]]-Table5101345411[[#This Row],[إجمالي المستبعد]]</f>
        <v>172500</v>
      </c>
      <c r="AJ459" s="69">
        <v>0.125</v>
      </c>
      <c r="AK459" s="188"/>
      <c r="AL459" s="108"/>
      <c r="AM459" s="196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59" s="210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59" s="75">
        <f>Table5101345411[[#This Row],[اهلاك المستبعد
في 2018]]+Table5101345411[[#This Row],[مجمع إهلاك المستبعد 
01-01-2018]]</f>
        <v>0</v>
      </c>
      <c r="AP459" s="211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59" s="201"/>
      <c r="AR459" s="74">
        <f>IF(OR(Table5101345411[[#This Row],[تاريخ الشراء-الاستلام]]="",Table5101345411[[#This Row],[الإجمالي]]="",Table5101345411[[#This Row],[العمر الافتراضي]]=""),"",IF(((T459+AM459)-Table5101345411[[#This Row],[مجمع إهلاك المستبعد 
بتاريخ الأستبعاد]])&lt;=0,0,((T459+AM459)-Table5101345411[[#This Row],[مجمع إهلاك المستبعد 
بتاريخ الأستبعاد]])))</f>
        <v>0</v>
      </c>
      <c r="AS459" s="135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الشراء-الاستلام]]&gt;DATE(2018,12,31),0,AI459-AR459)))</f>
        <v>172500</v>
      </c>
    </row>
    <row r="460" spans="1:45" s="141" customFormat="1" ht="83.25" customHeight="1">
      <c r="A460" s="64">
        <f>IF(B460="","",SUBTOTAL(3,$B$6:B460))</f>
        <v>455</v>
      </c>
      <c r="B460" s="65" t="s">
        <v>450</v>
      </c>
      <c r="C460" s="66" t="s">
        <v>389</v>
      </c>
      <c r="D460" s="65" t="s">
        <v>522</v>
      </c>
      <c r="E460" s="66" t="s">
        <v>523</v>
      </c>
      <c r="F460" s="223" t="s">
        <v>523</v>
      </c>
      <c r="G460" s="223"/>
      <c r="H460" s="65" t="s">
        <v>57</v>
      </c>
      <c r="I460" s="65"/>
      <c r="J460" s="65"/>
      <c r="K460" s="65"/>
      <c r="L460" s="67"/>
      <c r="M460" s="73">
        <v>43465</v>
      </c>
      <c r="N460" s="86" t="s">
        <v>412</v>
      </c>
      <c r="O460" s="152" t="s">
        <v>529</v>
      </c>
      <c r="P460" s="125"/>
      <c r="Q460" s="126"/>
      <c r="R460" s="129"/>
      <c r="S460" s="128">
        <f t="shared" ref="S460" si="15">R460*P460</f>
        <v>0</v>
      </c>
      <c r="T460" s="129"/>
      <c r="U460" s="15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الشراء-الاستلام]]&lt;DATE(2018,1,1),S460-T460,0))</f>
        <v>0</v>
      </c>
      <c r="V460" s="168">
        <v>50</v>
      </c>
      <c r="W460" s="113">
        <v>282</v>
      </c>
      <c r="X460" s="114">
        <v>700</v>
      </c>
      <c r="Y460" s="115">
        <f>Table5101345411[[#This Row],[عدد الإضافات]]*Table5101345411[[#This Row],[سعر الحبة المضافة]]</f>
        <v>35000</v>
      </c>
      <c r="Z460" s="98"/>
      <c r="AA460" s="99"/>
      <c r="AB460" s="100"/>
      <c r="AC460" s="100"/>
      <c r="AD460" s="100"/>
      <c r="AE460" s="100"/>
      <c r="AF460" s="100">
        <f>Table5101345411[[#This Row],[العدد]]*Table5101345411[[#This Row],[قيمة الشراء]]</f>
        <v>0</v>
      </c>
      <c r="AG460" s="177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60" s="189">
        <f>Table5101345411[[#This Row],[الكمية]]+Table5101345411[[#This Row],[عدد الإضافات]]-Table5101345411[[#This Row],[العدد]]</f>
        <v>50</v>
      </c>
      <c r="AI460" s="74">
        <f>Table5101345411[[#This Row],[الإجمالي]]+Table5101345411[[#This Row],[إجمالي الإضافات]]-Table5101345411[[#This Row],[إجمالي المستبعد]]</f>
        <v>35000</v>
      </c>
      <c r="AJ460" s="69">
        <v>0.125</v>
      </c>
      <c r="AK460" s="188"/>
      <c r="AL460" s="108"/>
      <c r="AM460" s="196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60" s="210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60" s="75">
        <f>Table5101345411[[#This Row],[اهلاك المستبعد
في 2018]]+Table5101345411[[#This Row],[مجمع إهلاك المستبعد 
01-01-2018]]</f>
        <v>0</v>
      </c>
      <c r="AP460" s="211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60" s="201"/>
      <c r="AR460" s="74">
        <f>IF(OR(Table5101345411[[#This Row],[تاريخ الشراء-الاستلام]]="",Table5101345411[[#This Row],[الإجمالي]]="",Table5101345411[[#This Row],[العمر الافتراضي]]=""),"",IF(((T460+AM460)-Table5101345411[[#This Row],[مجمع إهلاك المستبعد 
بتاريخ الأستبعاد]])&lt;=0,0,((T460+AM460)-Table5101345411[[#This Row],[مجمع إهلاك المستبعد 
بتاريخ الأستبعاد]])))</f>
        <v>0</v>
      </c>
      <c r="AS460" s="135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الشراء-الاستلام]]&gt;DATE(2018,12,31),0,AI460-AR460)))</f>
        <v>35000</v>
      </c>
    </row>
    <row r="461" spans="1:45" s="141" customFormat="1" ht="83.25" customHeight="1">
      <c r="A461" s="64">
        <f>IF(B461="","",SUBTOTAL(3,$B$6:B461))</f>
        <v>456</v>
      </c>
      <c r="B461" s="65" t="s">
        <v>531</v>
      </c>
      <c r="C461" s="66" t="s">
        <v>389</v>
      </c>
      <c r="D461" s="65" t="s">
        <v>522</v>
      </c>
      <c r="E461" s="66" t="s">
        <v>523</v>
      </c>
      <c r="F461" s="223" t="s">
        <v>523</v>
      </c>
      <c r="G461" s="223"/>
      <c r="H461" s="65" t="s">
        <v>57</v>
      </c>
      <c r="I461" s="65"/>
      <c r="J461" s="65"/>
      <c r="K461" s="65"/>
      <c r="L461" s="67"/>
      <c r="M461" s="73">
        <v>43465</v>
      </c>
      <c r="N461" s="86" t="s">
        <v>412</v>
      </c>
      <c r="O461" s="152" t="s">
        <v>527</v>
      </c>
      <c r="P461" s="125"/>
      <c r="Q461" s="126"/>
      <c r="R461" s="129"/>
      <c r="S461" s="128">
        <f t="shared" ref="S461" si="16">R461*P461</f>
        <v>0</v>
      </c>
      <c r="T461" s="129"/>
      <c r="U461" s="15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الشراء-الاستلام]]&lt;DATE(2018,1,1),S461-T461,0))</f>
        <v>0</v>
      </c>
      <c r="V461" s="168">
        <v>9</v>
      </c>
      <c r="W461" s="113">
        <v>177</v>
      </c>
      <c r="X461" s="114">
        <v>1000</v>
      </c>
      <c r="Y461" s="115">
        <f>Table5101345411[[#This Row],[عدد الإضافات]]*Table5101345411[[#This Row],[سعر الحبة المضافة]]</f>
        <v>9000</v>
      </c>
      <c r="Z461" s="98"/>
      <c r="AA461" s="99"/>
      <c r="AB461" s="100"/>
      <c r="AC461" s="100"/>
      <c r="AD461" s="100"/>
      <c r="AE461" s="100"/>
      <c r="AF461" s="100">
        <f>Table5101345411[[#This Row],[العدد]]*Table5101345411[[#This Row],[قيمة الشراء]]</f>
        <v>0</v>
      </c>
      <c r="AG461" s="177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61" s="189">
        <f>Table5101345411[[#This Row],[الكمية]]+Table5101345411[[#This Row],[عدد الإضافات]]-Table5101345411[[#This Row],[العدد]]</f>
        <v>9</v>
      </c>
      <c r="AI461" s="74">
        <f>Table5101345411[[#This Row],[الإجمالي]]+Table5101345411[[#This Row],[إجمالي الإضافات]]-Table5101345411[[#This Row],[إجمالي المستبعد]]</f>
        <v>9000</v>
      </c>
      <c r="AJ461" s="69">
        <v>0.125</v>
      </c>
      <c r="AK461" s="188"/>
      <c r="AL461" s="108"/>
      <c r="AM461" s="196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61" s="210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61" s="75">
        <f>Table5101345411[[#This Row],[اهلاك المستبعد
في 2018]]+Table5101345411[[#This Row],[مجمع إهلاك المستبعد 
01-01-2018]]</f>
        <v>0</v>
      </c>
      <c r="AP461" s="211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61" s="201"/>
      <c r="AR461" s="74">
        <f>IF(OR(Table5101345411[[#This Row],[تاريخ الشراء-الاستلام]]="",Table5101345411[[#This Row],[الإجمالي]]="",Table5101345411[[#This Row],[العمر الافتراضي]]=""),"",IF(((T461+AM461)-Table5101345411[[#This Row],[مجمع إهلاك المستبعد 
بتاريخ الأستبعاد]])&lt;=0,0,((T461+AM461)-Table5101345411[[#This Row],[مجمع إهلاك المستبعد 
بتاريخ الأستبعاد]])))</f>
        <v>0</v>
      </c>
      <c r="AS461" s="135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الشراء-الاستلام]]&gt;DATE(2018,12,31),0,AI461-AR461)))</f>
        <v>9000</v>
      </c>
    </row>
    <row r="462" spans="1:45" s="141" customFormat="1" ht="83.25" customHeight="1">
      <c r="A462" s="64">
        <f>IF(B462="","",SUBTOTAL(3,$B$6:B462))</f>
        <v>457</v>
      </c>
      <c r="B462" s="65" t="s">
        <v>531</v>
      </c>
      <c r="C462" s="66" t="s">
        <v>389</v>
      </c>
      <c r="D462" s="65" t="s">
        <v>522</v>
      </c>
      <c r="E462" s="66" t="s">
        <v>523</v>
      </c>
      <c r="F462" s="223" t="s">
        <v>523</v>
      </c>
      <c r="G462" s="223"/>
      <c r="H462" s="65" t="s">
        <v>57</v>
      </c>
      <c r="I462" s="65"/>
      <c r="J462" s="65"/>
      <c r="K462" s="65"/>
      <c r="L462" s="67"/>
      <c r="M462" s="73">
        <v>43465</v>
      </c>
      <c r="N462" s="86" t="s">
        <v>412</v>
      </c>
      <c r="O462" s="152" t="s">
        <v>528</v>
      </c>
      <c r="P462" s="125"/>
      <c r="Q462" s="126"/>
      <c r="R462" s="129"/>
      <c r="S462" s="128">
        <f t="shared" ref="S462" si="17">R462*P462</f>
        <v>0</v>
      </c>
      <c r="T462" s="129"/>
      <c r="U462" s="15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الشراء-الاستلام]]&lt;DATE(2018,1,1),S462-T462,0))</f>
        <v>0</v>
      </c>
      <c r="V462" s="168">
        <v>5</v>
      </c>
      <c r="W462" s="113">
        <v>216</v>
      </c>
      <c r="X462" s="114">
        <v>1000</v>
      </c>
      <c r="Y462" s="115">
        <f>Table5101345411[[#This Row],[عدد الإضافات]]*Table5101345411[[#This Row],[سعر الحبة المضافة]]</f>
        <v>5000</v>
      </c>
      <c r="Z462" s="98"/>
      <c r="AA462" s="99"/>
      <c r="AB462" s="100"/>
      <c r="AC462" s="100"/>
      <c r="AD462" s="100"/>
      <c r="AE462" s="100"/>
      <c r="AF462" s="100">
        <f>Table5101345411[[#This Row],[العدد]]*Table5101345411[[#This Row],[قيمة الشراء]]</f>
        <v>0</v>
      </c>
      <c r="AG462" s="177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62" s="189">
        <f>Table5101345411[[#This Row],[الكمية]]+Table5101345411[[#This Row],[عدد الإضافات]]-Table5101345411[[#This Row],[العدد]]</f>
        <v>5</v>
      </c>
      <c r="AI462" s="74">
        <f>Table5101345411[[#This Row],[الإجمالي]]+Table5101345411[[#This Row],[إجمالي الإضافات]]-Table5101345411[[#This Row],[إجمالي المستبعد]]</f>
        <v>5000</v>
      </c>
      <c r="AJ462" s="69">
        <v>0.125</v>
      </c>
      <c r="AK462" s="188"/>
      <c r="AL462" s="108"/>
      <c r="AM462" s="196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62" s="210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62" s="75">
        <f>Table5101345411[[#This Row],[اهلاك المستبعد
في 2018]]+Table5101345411[[#This Row],[مجمع إهلاك المستبعد 
01-01-2018]]</f>
        <v>0</v>
      </c>
      <c r="AP462" s="211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62" s="201"/>
      <c r="AR462" s="74">
        <f>IF(OR(Table5101345411[[#This Row],[تاريخ الشراء-الاستلام]]="",Table5101345411[[#This Row],[الإجمالي]]="",Table5101345411[[#This Row],[العمر الافتراضي]]=""),"",IF(((T462+AM462)-Table5101345411[[#This Row],[مجمع إهلاك المستبعد 
بتاريخ الأستبعاد]])&lt;=0,0,((T462+AM462)-Table5101345411[[#This Row],[مجمع إهلاك المستبعد 
بتاريخ الأستبعاد]])))</f>
        <v>0</v>
      </c>
      <c r="AS462" s="135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الشراء-الاستلام]]&gt;DATE(2018,12,31),0,AI462-AR462)))</f>
        <v>5000</v>
      </c>
    </row>
    <row r="463" spans="1:45" s="141" customFormat="1" ht="83.25" customHeight="1">
      <c r="A463" s="64">
        <f>IF(B463="","",SUBTOTAL(3,$B$6:B463))</f>
        <v>458</v>
      </c>
      <c r="B463" s="65" t="s">
        <v>531</v>
      </c>
      <c r="C463" s="66" t="s">
        <v>389</v>
      </c>
      <c r="D463" s="65" t="s">
        <v>522</v>
      </c>
      <c r="E463" s="66" t="s">
        <v>523</v>
      </c>
      <c r="F463" s="223" t="s">
        <v>523</v>
      </c>
      <c r="G463" s="223"/>
      <c r="H463" s="65" t="s">
        <v>57</v>
      </c>
      <c r="I463" s="65"/>
      <c r="J463" s="65"/>
      <c r="K463" s="65"/>
      <c r="L463" s="67"/>
      <c r="M463" s="73">
        <v>43465</v>
      </c>
      <c r="N463" s="86" t="s">
        <v>412</v>
      </c>
      <c r="O463" s="152" t="s">
        <v>528</v>
      </c>
      <c r="P463" s="125"/>
      <c r="Q463" s="126"/>
      <c r="R463" s="129"/>
      <c r="S463" s="128">
        <f t="shared" ref="S463" si="18">R463*P463</f>
        <v>0</v>
      </c>
      <c r="T463" s="129"/>
      <c r="U463" s="157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الشراء-الاستلام]]&lt;DATE(2018,1,1),S463-T463,0))</f>
        <v>0</v>
      </c>
      <c r="V463" s="168">
        <v>8</v>
      </c>
      <c r="W463" s="113">
        <v>221</v>
      </c>
      <c r="X463" s="114">
        <v>1000</v>
      </c>
      <c r="Y463" s="115">
        <f>Table5101345411[[#This Row],[عدد الإضافات]]*Table5101345411[[#This Row],[سعر الحبة المضافة]]</f>
        <v>8000</v>
      </c>
      <c r="Z463" s="98"/>
      <c r="AA463" s="99"/>
      <c r="AB463" s="100"/>
      <c r="AC463" s="100"/>
      <c r="AD463" s="100"/>
      <c r="AE463" s="100"/>
      <c r="AF463" s="100">
        <f>Table5101345411[[#This Row],[العدد]]*Table5101345411[[#This Row],[قيمة الشراء]]</f>
        <v>0</v>
      </c>
      <c r="AG463" s="177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63" s="189">
        <f>Table5101345411[[#This Row],[الكمية]]+Table5101345411[[#This Row],[عدد الإضافات]]-Table5101345411[[#This Row],[العدد]]</f>
        <v>8</v>
      </c>
      <c r="AI463" s="74">
        <f>Table5101345411[[#This Row],[الإجمالي]]+Table5101345411[[#This Row],[إجمالي الإضافات]]-Table5101345411[[#This Row],[إجمالي المستبعد]]</f>
        <v>8000</v>
      </c>
      <c r="AJ463" s="69">
        <v>0.125</v>
      </c>
      <c r="AK463" s="188"/>
      <c r="AL463" s="108"/>
      <c r="AM463" s="196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63" s="210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63" s="75">
        <f>Table5101345411[[#This Row],[اهلاك المستبعد
في 2018]]+Table5101345411[[#This Row],[مجمع إهلاك المستبعد 
01-01-2018]]</f>
        <v>0</v>
      </c>
      <c r="AP463" s="211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63" s="201"/>
      <c r="AR463" s="74">
        <f>IF(OR(Table5101345411[[#This Row],[تاريخ الشراء-الاستلام]]="",Table5101345411[[#This Row],[الإجمالي]]="",Table5101345411[[#This Row],[العمر الافتراضي]]=""),"",IF(((T463+AM463)-Table5101345411[[#This Row],[مجمع إهلاك المستبعد 
بتاريخ الأستبعاد]])&lt;=0,0,((T463+AM463)-Table5101345411[[#This Row],[مجمع إهلاك المستبعد 
بتاريخ الأستبعاد]])))</f>
        <v>0</v>
      </c>
      <c r="AS463" s="135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الشراء-الاستلام]]&gt;DATE(2018,12,31),0,AI463-AR463)))</f>
        <v>8000</v>
      </c>
    </row>
    <row r="464" spans="1:45" s="141" customFormat="1" ht="83.25" customHeight="1">
      <c r="A464" s="144">
        <f>IF(B464="","",SUBTOTAL(3,$B$6:B467))</f>
        <v>461</v>
      </c>
      <c r="B464" s="65" t="s">
        <v>450</v>
      </c>
      <c r="C464" s="66" t="s">
        <v>389</v>
      </c>
      <c r="D464" s="65" t="s">
        <v>522</v>
      </c>
      <c r="E464" s="66" t="s">
        <v>523</v>
      </c>
      <c r="F464" s="223" t="s">
        <v>523</v>
      </c>
      <c r="G464" s="223"/>
      <c r="H464" s="58" t="s">
        <v>57</v>
      </c>
      <c r="I464" s="58"/>
      <c r="J464" s="58"/>
      <c r="K464" s="58"/>
      <c r="L464" s="60"/>
      <c r="M464" s="77">
        <v>43465</v>
      </c>
      <c r="N464" s="87" t="s">
        <v>526</v>
      </c>
      <c r="O464" s="150" t="s">
        <v>527</v>
      </c>
      <c r="P464" s="122"/>
      <c r="Q464" s="123"/>
      <c r="R464" s="130"/>
      <c r="S464" s="130">
        <f>R464*P464</f>
        <v>0</v>
      </c>
      <c r="T464" s="130"/>
      <c r="U464" s="158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الشراء-الاستلام]]&lt;DATE(2018,1,1),S464-T464,0))</f>
        <v>0</v>
      </c>
      <c r="V464" s="169">
        <v>100</v>
      </c>
      <c r="W464" s="116">
        <v>148</v>
      </c>
      <c r="X464" s="116">
        <v>700</v>
      </c>
      <c r="Y464" s="117">
        <f>Table5101345411[[#This Row],[عدد الإضافات]]*Table5101345411[[#This Row],[سعر الحبة المضافة]]</f>
        <v>70000</v>
      </c>
      <c r="Z464" s="101"/>
      <c r="AA464" s="102"/>
      <c r="AB464" s="103"/>
      <c r="AC464" s="103"/>
      <c r="AD464" s="103"/>
      <c r="AE464" s="103"/>
      <c r="AF464" s="103">
        <f>Table5101345411[[#This Row],[العدد]]*Table5101345411[[#This Row],[قيمة الشراء]]</f>
        <v>0</v>
      </c>
      <c r="AG464" s="17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64" s="190">
        <f>Table5101345411[[#This Row],[الكمية]]+Table5101345411[[#This Row],[عدد الإضافات]]-Table5101345411[[#This Row],[العدد]]</f>
        <v>100</v>
      </c>
      <c r="AI464" s="78">
        <f>Table5101345411[[#This Row],[الإجمالي]]+Table5101345411[[#This Row],[إجمالي الإضافات]]-Table5101345411[[#This Row],[إجمالي المستبعد]]</f>
        <v>70000</v>
      </c>
      <c r="AJ464" s="71">
        <v>0.125</v>
      </c>
      <c r="AK464" s="186"/>
      <c r="AL464" s="107"/>
      <c r="AM464" s="197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0</v>
      </c>
      <c r="AN464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64" s="79">
        <f>Table5101345411[[#This Row],[اهلاك المستبعد
في 2018]]+Table5101345411[[#This Row],[مجمع إهلاك المستبعد 
01-01-2018]]</f>
        <v>0</v>
      </c>
      <c r="AP464" s="213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64" s="202"/>
      <c r="AR464" s="78">
        <f>IF(OR(Table5101345411[[#This Row],[تاريخ الشراء-الاستلام]]="",Table5101345411[[#This Row],[الإجمالي]]="",Table5101345411[[#This Row],[العمر الافتراضي]]=""),"",IF(((T464+AM464)-Table5101345411[[#This Row],[مجمع إهلاك المستبعد 
بتاريخ الأستبعاد]])&lt;=0,0,((T464+AM464)-Table5101345411[[#This Row],[مجمع إهلاك المستبعد 
بتاريخ الأستبعاد]])))</f>
        <v>0</v>
      </c>
      <c r="AS464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الشراء-الاستلام]]&gt;DATE(2018,12,31),0,AI464-AR464)))</f>
        <v>70000</v>
      </c>
    </row>
    <row r="465" spans="1:45" s="141" customFormat="1" ht="83.25" customHeight="1">
      <c r="A465" s="144">
        <f>IF(B465="","",SUBTOTAL(3,$B$6:B467))</f>
        <v>461</v>
      </c>
      <c r="B465" s="58" t="s">
        <v>546</v>
      </c>
      <c r="C465" s="66" t="s">
        <v>389</v>
      </c>
      <c r="D465" s="59" t="s">
        <v>546</v>
      </c>
      <c r="E465" s="59" t="s">
        <v>547</v>
      </c>
      <c r="F465" s="222" t="s">
        <v>547</v>
      </c>
      <c r="G465" s="222"/>
      <c r="H465" s="58" t="s">
        <v>57</v>
      </c>
      <c r="I465" s="58"/>
      <c r="J465" s="58"/>
      <c r="K465" s="58"/>
      <c r="L465" s="60"/>
      <c r="M465" s="77">
        <v>43101</v>
      </c>
      <c r="N465" s="87"/>
      <c r="O465" s="150" t="s">
        <v>548</v>
      </c>
      <c r="P465" s="122"/>
      <c r="Q465" s="123"/>
      <c r="R465" s="130"/>
      <c r="S465" s="130">
        <f>R465*P465</f>
        <v>0</v>
      </c>
      <c r="T465" s="130"/>
      <c r="U465" s="158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الشراء-الاستلام]]&lt;DATE(2018,1,1),S465-T465,0))</f>
        <v>0</v>
      </c>
      <c r="V465" s="169">
        <v>1</v>
      </c>
      <c r="W465" s="116"/>
      <c r="X465" s="116">
        <v>24868</v>
      </c>
      <c r="Y465" s="117">
        <f>Table5101345411[[#This Row],[عدد الإضافات]]*Table5101345411[[#This Row],[سعر الحبة المضافة]]</f>
        <v>24868</v>
      </c>
      <c r="Z465" s="101"/>
      <c r="AA465" s="102"/>
      <c r="AB465" s="103"/>
      <c r="AC465" s="103"/>
      <c r="AD465" s="103"/>
      <c r="AE465" s="103"/>
      <c r="AF465" s="103">
        <f>Table5101345411[[#This Row],[العدد]]*Table5101345411[[#This Row],[قيمة الشراء]]</f>
        <v>0</v>
      </c>
      <c r="AG465" s="17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65" s="190">
        <f>Table5101345411[[#This Row],[الكمية]]+Table5101345411[[#This Row],[عدد الإضافات]]-Table5101345411[[#This Row],[العدد]]</f>
        <v>1</v>
      </c>
      <c r="AI465" s="78">
        <f>Table5101345411[[#This Row],[الإجمالي]]+Table5101345411[[#This Row],[إجمالي الإضافات]]-Table5101345411[[#This Row],[إجمالي المستبعد]]</f>
        <v>24868</v>
      </c>
      <c r="AJ465" s="120">
        <v>0.1</v>
      </c>
      <c r="AK465" s="186"/>
      <c r="AL465" s="107"/>
      <c r="AM465" s="197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2479.9868493150689</v>
      </c>
      <c r="AN465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65" s="79">
        <f>Table5101345411[[#This Row],[اهلاك المستبعد
في 2018]]+Table5101345411[[#This Row],[مجمع إهلاك المستبعد 
01-01-2018]]</f>
        <v>0</v>
      </c>
      <c r="AP465" s="213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65" s="202"/>
      <c r="AR465" s="78">
        <f>IF(OR(Table5101345411[[#This Row],[تاريخ الشراء-الاستلام]]="",Table5101345411[[#This Row],[الإجمالي]]="",Table5101345411[[#This Row],[العمر الافتراضي]]=""),"",IF(((T465+AM465)-Table5101345411[[#This Row],[مجمع إهلاك المستبعد 
بتاريخ الأستبعاد]])&lt;=0,0,((T465+AM465)-Table5101345411[[#This Row],[مجمع إهلاك المستبعد 
بتاريخ الأستبعاد]])))</f>
        <v>2479.9868493150689</v>
      </c>
      <c r="AS465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الشراء-الاستلام]]&gt;DATE(2018,12,31),0,AI465-AR465)))</f>
        <v>22388.013150684932</v>
      </c>
    </row>
    <row r="466" spans="1:45" s="141" customFormat="1" ht="83.25" customHeight="1">
      <c r="A466" s="144">
        <f>IF(B466="","",SUBTOTAL(3,$B$6:B468))</f>
        <v>461</v>
      </c>
      <c r="B466" s="58" t="s">
        <v>546</v>
      </c>
      <c r="C466" s="66" t="s">
        <v>389</v>
      </c>
      <c r="D466" s="59" t="s">
        <v>546</v>
      </c>
      <c r="E466" s="59" t="s">
        <v>547</v>
      </c>
      <c r="F466" s="222" t="s">
        <v>547</v>
      </c>
      <c r="G466" s="222"/>
      <c r="H466" s="58" t="s">
        <v>57</v>
      </c>
      <c r="I466" s="58"/>
      <c r="J466" s="58"/>
      <c r="K466" s="58"/>
      <c r="L466" s="60"/>
      <c r="M466" s="77">
        <v>43101</v>
      </c>
      <c r="N466" s="87"/>
      <c r="O466" s="150" t="s">
        <v>549</v>
      </c>
      <c r="P466" s="122"/>
      <c r="Q466" s="123"/>
      <c r="R466" s="130"/>
      <c r="S466" s="130">
        <f>R466*P466</f>
        <v>0</v>
      </c>
      <c r="T466" s="130"/>
      <c r="U466" s="158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الشراء-الاستلام]]&lt;DATE(2018,1,1),S466-T466,0))</f>
        <v>0</v>
      </c>
      <c r="V466" s="169">
        <v>1</v>
      </c>
      <c r="W466" s="116"/>
      <c r="X466" s="116">
        <v>62150</v>
      </c>
      <c r="Y466" s="117">
        <f>Table5101345411[[#This Row],[عدد الإضافات]]*Table5101345411[[#This Row],[سعر الحبة المضافة]]</f>
        <v>62150</v>
      </c>
      <c r="Z466" s="101"/>
      <c r="AA466" s="102"/>
      <c r="AB466" s="103"/>
      <c r="AC466" s="103"/>
      <c r="AD466" s="103"/>
      <c r="AE466" s="103"/>
      <c r="AF466" s="103">
        <f>Table5101345411[[#This Row],[العدد]]*Table5101345411[[#This Row],[قيمة الشراء]]</f>
        <v>0</v>
      </c>
      <c r="AG466" s="17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66" s="190">
        <f>Table5101345411[[#This Row],[الكمية]]+Table5101345411[[#This Row],[عدد الإضافات]]-Table5101345411[[#This Row],[العدد]]</f>
        <v>1</v>
      </c>
      <c r="AI466" s="78">
        <f>Table5101345411[[#This Row],[الإجمالي]]+Table5101345411[[#This Row],[إجمالي الإضافات]]-Table5101345411[[#This Row],[إجمالي المستبعد]]</f>
        <v>62150</v>
      </c>
      <c r="AJ466" s="120">
        <v>0.1</v>
      </c>
      <c r="AK466" s="186"/>
      <c r="AL466" s="107"/>
      <c r="AM466" s="197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6197.9726027397255</v>
      </c>
      <c r="AN466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66" s="79">
        <f>Table5101345411[[#This Row],[اهلاك المستبعد
في 2018]]+Table5101345411[[#This Row],[مجمع إهلاك المستبعد 
01-01-2018]]</f>
        <v>0</v>
      </c>
      <c r="AP466" s="213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66" s="202"/>
      <c r="AR466" s="78">
        <f>IF(OR(Table5101345411[[#This Row],[تاريخ الشراء-الاستلام]]="",Table5101345411[[#This Row],[الإجمالي]]="",Table5101345411[[#This Row],[العمر الافتراضي]]=""),"",IF(((T466+AM466)-Table5101345411[[#This Row],[مجمع إهلاك المستبعد 
بتاريخ الأستبعاد]])&lt;=0,0,((T466+AM466)-Table5101345411[[#This Row],[مجمع إهلاك المستبعد 
بتاريخ الأستبعاد]])))</f>
        <v>6197.9726027397255</v>
      </c>
      <c r="AS466" s="119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الشراء-الاستلام]]&gt;DATE(2018,12,31),0,AI466-AR466)))</f>
        <v>55952.027397260274</v>
      </c>
    </row>
    <row r="467" spans="1:45" s="140" customFormat="1" ht="47.25" customHeight="1">
      <c r="A467" s="118" t="str">
        <f>IF(B467="","",SUBTOTAL(3,$B$6:B467))</f>
        <v/>
      </c>
      <c r="B467" s="58"/>
      <c r="C467" s="59"/>
      <c r="D467" s="59"/>
      <c r="E467" s="59"/>
      <c r="F467" s="226"/>
      <c r="G467" s="226"/>
      <c r="H467" s="58"/>
      <c r="I467" s="58"/>
      <c r="J467" s="58"/>
      <c r="K467" s="58"/>
      <c r="L467" s="60"/>
      <c r="M467" s="77"/>
      <c r="N467" s="77"/>
      <c r="O467" s="150"/>
      <c r="P467" s="125"/>
      <c r="Q467" s="123"/>
      <c r="R467" s="130"/>
      <c r="S467" s="130">
        <f>R467*P467</f>
        <v>0</v>
      </c>
      <c r="T467" s="130"/>
      <c r="U467" s="217" t="str">
        <f>IF(OR(Table5101345411[[#This Row],[تاريخ الشراء-الاستلام]]="",Table5101345411[[#This Row],[الإجمالي]]="",Table5101345411[[#This Row],[العمر الافتراضي]]=""),"",IF(Table5101345411[[#This Row],[تاريخ الشراء-الاستلام]]&lt;DATE(2018,1,1),S467-T467,0))</f>
        <v/>
      </c>
      <c r="V467" s="169"/>
      <c r="W467" s="116"/>
      <c r="X467" s="116"/>
      <c r="Y467" s="117">
        <f>Table5101345411[[#This Row],[عدد الإضافات]]*Table5101345411[[#This Row],[سعر الحبة المضافة]]</f>
        <v>0</v>
      </c>
      <c r="Z467" s="101"/>
      <c r="AA467" s="102"/>
      <c r="AB467" s="103"/>
      <c r="AC467" s="103"/>
      <c r="AD467" s="103"/>
      <c r="AE467" s="103"/>
      <c r="AF467" s="103">
        <f>Table5101345411[[#This Row],[العدد]]*Table5101345411[[#This Row],[قيمة الشراء]]</f>
        <v>0</v>
      </c>
      <c r="AG467" s="218">
        <f>IF(Table5101345411[[#This Row],[التاريخ]]="",0,IF(AND(Table5101345411[[#This Row],[تاريخ الشراء-الاستلام]]&lt;=DATE(2018,12,31),Table5101345411[[#This Row],[القيمة الدفترية 
في 01-01-2018]]&gt;(Table5101345411[[#This Row],[إجمالي المستبعد]]*Table5101345411[[#This Row],[العمر الافتراضي]])),(Table5101345411[[#This Row],[التاريخ]]-DATE(2018,1,1))*((Table5101345411[[#This Row],[إجمالي المستبعد]]*Table5101345411[[#This Row],[العمر الافتراضي]])/365),IF(AND(Table5101345411[[#This Row],[تاريخ الشراء-الاستلام]]&gt;=DATE(2018,1,1),Table5101345411[[#This Row],[التاريخ]]&lt;=DATE(2018,12,31)),(Table5101345411[[#This Row],[التاريخ]]-Table5101345411[[#This Row],[تاريخ الشراء-الاستلام]])*((Table5101345411[[#This Row],[إجمالي المستبعد]]*Table5101345411[[#This Row],[العمر الافتراضي]])/365),0)))</f>
        <v>0</v>
      </c>
      <c r="AH467" s="190">
        <f>Table5101345411[[#This Row],[الكمية]]+Table5101345411[[#This Row],[عدد الإضافات]]-Table5101345411[[#This Row],[العدد]]</f>
        <v>0</v>
      </c>
      <c r="AI467" s="78">
        <f>Table5101345411[[#This Row],[الإجمالي]]+Table5101345411[[#This Row],[إجمالي الإضافات]]-Table5101345411[[#This Row],[إجمالي المستبعد]]</f>
        <v>0</v>
      </c>
      <c r="AJ467" s="120"/>
      <c r="AK467" s="219"/>
      <c r="AL467" s="58"/>
      <c r="AM467" s="79" t="e">
        <f>IF(OR(Table5101345411[[#This Row],[تاريخ الشراء-الاستلام]]="",Table5101345411[[#This Row],[الإجمالي]]="",Table5101345411[[#This Row],[العمر الافتراضي]]=""),"",IF(AND(Table5101345411[[#This Row],[مجمع الاهلاك 
في 01-01-2018]]&lt;Table5101345411[[#This Row],[الإجمالي الصافي]],Table5101345411[[#This Row],[القيمة الدفترية 
في 01-01-2018]]&gt;(Table5101345411[[#This Row],[الإجمالي الصافي]]*Table5101345411[[#This Row],[العمر الافتراضي]]),DATE(2018,12,31)&gt;Table5101345411[[#This Row],[تاريخ الشراء-الاستلام]]),Table5101345411[[#This Row],[الإجمالي الصافي]]*Table5101345411[[#This Row],[العمر الافتراضي]],IF(AND(Table5101345411[[#This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01-01-2018]]&gt;(Table5101345411[[#This Row],[الإجمالي الصافي]]*Table5101345411[[#This Row],[العمر الافتراضي]])),(DATE(2018,12,31)-Table5101345411[[#This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01-01-2018]]=0),(DATE(2018,12,31)-Table5101345411[[#This Row],[تاريخ الشراء-الاستلام]])*((Table5101345411[[#This Row],[الإجمالي الصافي]]*Table5101345411[[#This Row],[العمر الافتراضي]])/365),IF(AND(Table5101345411[[#This Row],[مجمع الاهلاك 
في 01-01-2018]]&lt;Table5101345411[[#This Row],[الإجمالي الصافي]],DATE(2018,12,31)&gt;Table5101345411[[#This Row],[تاريخ الشراء-الاستلام]],Table5101345411[[#This Row],[القيمة الدفترية 
في 01-01-2018]]&lt;(Table5101345411[[#This Row],[الإجمالي الصافي]]*Table5101345411[[#This Row],[العمر الافتراضي]])),Table5101345411[[#This Row],[القيمة الدفترية 
في 01-01-2018]],0)))))+Table5101345411[[#This Row],[اهلاك المستبعد
في 2018]]</f>
        <v>#VALUE!</v>
      </c>
      <c r="AN467" s="212">
        <f>IF(Table5101345411[[#This Row],[مجمع الاهلاك 
في 01-01-2018]]=0,0,IF(Table5101345411[[#This Row],[العدد]]=0,0,(Table5101345411[[#This Row],[مجمع الاهلاك 
في 01-01-2018]]/Table5101345411[[#This Row],[الكمية]])*Table5101345411[[#This Row],[العدد]]))</f>
        <v>0</v>
      </c>
      <c r="AO467" s="79">
        <f>Table5101345411[[#This Row],[اهلاك المستبعد
في 2018]]+Table5101345411[[#This Row],[مجمع إهلاك المستبعد 
01-01-2018]]</f>
        <v>0</v>
      </c>
      <c r="AP467" s="79">
        <f>((Table5101345411[[#This Row],[مبلغ البيع]]*Table5101345411[[#This Row],[العدد]])-(Table5101345411[[#This Row],[قيمة الشراء]]*Table5101345411[[#This Row],[العدد]])-Table5101345411[[#This Row],[مجمع إهلاك المستبعد 
بتاريخ الأستبعاد]])</f>
        <v>0</v>
      </c>
      <c r="AQ467" s="220"/>
      <c r="AR467" s="78" t="str">
        <f>IF(OR(Table5101345411[[#This Row],[تاريخ الشراء-الاستلام]]="",Table5101345411[[#This Row],[الإجمالي]]="",Table5101345411[[#This Row],[العمر الافتراضي]]=""),"",IF(((T467+AM467)-Table5101345411[[#This Row],[مجمع إهلاك المستبعد 
بتاريخ الأستبعاد]])&lt;=0,0,((T467+AM467)-Table5101345411[[#This Row],[مجمع إهلاك المستبعد 
بتاريخ الأستبعاد]])))</f>
        <v/>
      </c>
      <c r="AS467" s="119" t="str">
        <f>IF(Table5101345411[[#This Row],[مجموعة الاصول]]="أراضي",Table5101345411[[#This Row],[الإجمالي]],IF(OR(Table5101345411[[#This Row],[تاريخ الشراء-الاستلام]]="",Table5101345411[[#This Row],[الإجمالي]]="",Table5101345411[[#This Row],[العمر الافتراضي]]=""),"",IF(Table5101345411[[#This Row],[تاريخ الشراء-الاستلام]]&gt;DATE(2018,12,31),0,AI467-AR467)))</f>
        <v/>
      </c>
    </row>
    <row r="468" spans="1:45" ht="48" customHeight="1" thickBot="1">
      <c r="A468" s="80" t="s">
        <v>492</v>
      </c>
      <c r="B468" s="81"/>
      <c r="C468" s="82"/>
      <c r="D468" s="81"/>
      <c r="E468" s="82"/>
      <c r="F468" s="82"/>
      <c r="G468" s="82"/>
      <c r="H468" s="81"/>
      <c r="I468" s="81"/>
      <c r="J468" s="81"/>
      <c r="K468" s="81"/>
      <c r="L468" s="81"/>
      <c r="M468" s="81"/>
      <c r="N468" s="146"/>
      <c r="O468" s="160"/>
      <c r="P468" s="161"/>
      <c r="Q468" s="161"/>
      <c r="R468" s="161"/>
      <c r="S468" s="161"/>
      <c r="T468" s="161"/>
      <c r="U468" s="162"/>
      <c r="V468" s="170"/>
      <c r="W468" s="171"/>
      <c r="X468" s="171"/>
      <c r="Y468" s="172"/>
      <c r="Z468" s="180"/>
      <c r="AA468" s="181"/>
      <c r="AB468" s="181"/>
      <c r="AC468" s="181"/>
      <c r="AD468" s="181"/>
      <c r="AE468" s="181"/>
      <c r="AF468" s="181"/>
      <c r="AG468" s="182"/>
      <c r="AH468" s="191"/>
      <c r="AI468" s="192"/>
      <c r="AJ468" s="192"/>
      <c r="AK468" s="193"/>
      <c r="AL468" s="147"/>
      <c r="AM468" s="198"/>
      <c r="AN468" s="214"/>
      <c r="AO468" s="215"/>
      <c r="AP468" s="216"/>
      <c r="AQ468" s="203"/>
      <c r="AR468" s="81"/>
      <c r="AS468" s="136">
        <f>SUBTOTAL(103,Table5101345411[القيمة الدفترية 
في 31-12-2018])</f>
        <v>462</v>
      </c>
    </row>
    <row r="483" spans="37:38">
      <c r="AK483" s="38"/>
      <c r="AL483" s="39"/>
    </row>
    <row r="484" spans="37:38">
      <c r="AK484" s="38"/>
      <c r="AL484" s="39"/>
    </row>
    <row r="485" spans="37:38">
      <c r="AK485" s="38"/>
      <c r="AL485" s="39"/>
    </row>
    <row r="486" spans="37:38">
      <c r="AK486" s="38"/>
      <c r="AL486" s="39"/>
    </row>
    <row r="487" spans="37:38">
      <c r="AK487" s="38"/>
      <c r="AL487" s="39"/>
    </row>
    <row r="488" spans="37:38">
      <c r="AK488" s="38"/>
      <c r="AL488" s="39"/>
    </row>
    <row r="489" spans="37:38">
      <c r="AK489" s="38"/>
      <c r="AL489" s="39"/>
    </row>
    <row r="490" spans="37:38">
      <c r="AK490" s="38"/>
      <c r="AL490" s="39"/>
    </row>
    <row r="491" spans="37:38">
      <c r="AK491" s="38"/>
      <c r="AL491" s="39"/>
    </row>
    <row r="492" spans="37:38">
      <c r="AK492" s="38"/>
      <c r="AL492" s="39"/>
    </row>
    <row r="493" spans="37:38">
      <c r="AK493" s="38"/>
      <c r="AL493" s="39"/>
    </row>
    <row r="494" spans="37:38">
      <c r="AK494" s="38"/>
      <c r="AL494" s="39"/>
    </row>
    <row r="495" spans="37:38">
      <c r="AK495" s="38"/>
      <c r="AL495" s="39"/>
    </row>
    <row r="496" spans="37:38">
      <c r="AK496" s="38"/>
      <c r="AL496" s="39"/>
    </row>
    <row r="497" spans="37:38">
      <c r="AK497" s="38"/>
      <c r="AL497" s="39"/>
    </row>
    <row r="498" spans="37:38">
      <c r="AK498" s="38"/>
      <c r="AL498" s="39"/>
    </row>
    <row r="499" spans="37:38">
      <c r="AK499" s="38"/>
      <c r="AL499" s="39"/>
    </row>
    <row r="500" spans="37:38">
      <c r="AK500" s="38"/>
      <c r="AL500" s="39"/>
    </row>
    <row r="501" spans="37:38">
      <c r="AK501" s="38"/>
      <c r="AL501" s="39"/>
    </row>
    <row r="502" spans="37:38">
      <c r="AK502" s="38"/>
      <c r="AL502" s="39"/>
    </row>
    <row r="503" spans="37:38">
      <c r="AK503" s="38"/>
      <c r="AL503" s="39"/>
    </row>
    <row r="504" spans="37:38">
      <c r="AK504" s="38"/>
      <c r="AL504" s="39"/>
    </row>
    <row r="505" spans="37:38">
      <c r="AK505" s="38"/>
      <c r="AL505" s="39"/>
    </row>
    <row r="506" spans="37:38">
      <c r="AK506" s="38"/>
      <c r="AL506" s="39"/>
    </row>
    <row r="507" spans="37:38">
      <c r="AK507" s="38"/>
      <c r="AL507" s="39"/>
    </row>
    <row r="508" spans="37:38">
      <c r="AK508" s="38"/>
      <c r="AL508" s="39"/>
    </row>
    <row r="509" spans="37:38">
      <c r="AK509" s="38"/>
      <c r="AL509" s="39"/>
    </row>
    <row r="510" spans="37:38">
      <c r="AK510" s="38"/>
      <c r="AL510" s="39"/>
    </row>
    <row r="511" spans="37:38">
      <c r="AK511" s="38"/>
      <c r="AL511" s="39"/>
    </row>
    <row r="512" spans="37:38">
      <c r="AK512" s="38"/>
      <c r="AL512" s="39"/>
    </row>
    <row r="513" spans="37:38">
      <c r="AK513" s="38"/>
      <c r="AL513" s="39"/>
    </row>
    <row r="514" spans="37:38">
      <c r="AK514" s="38"/>
      <c r="AL514" s="39"/>
    </row>
    <row r="515" spans="37:38">
      <c r="AK515" s="38"/>
      <c r="AL515" s="39"/>
    </row>
    <row r="516" spans="37:38">
      <c r="AK516" s="38"/>
      <c r="AL516" s="39"/>
    </row>
    <row r="517" spans="37:38">
      <c r="AK517" s="38"/>
      <c r="AL517" s="39"/>
    </row>
    <row r="518" spans="37:38">
      <c r="AK518" s="38"/>
      <c r="AL518" s="39"/>
    </row>
    <row r="519" spans="37:38">
      <c r="AK519" s="38"/>
      <c r="AL519" s="39"/>
    </row>
    <row r="520" spans="37:38">
      <c r="AK520" s="38"/>
      <c r="AL520" s="39"/>
    </row>
    <row r="521" spans="37:38">
      <c r="AK521" s="38"/>
      <c r="AL521" s="39"/>
    </row>
    <row r="522" spans="37:38">
      <c r="AK522" s="38"/>
      <c r="AL522" s="39"/>
    </row>
    <row r="523" spans="37:38">
      <c r="AK523" s="38"/>
      <c r="AL523" s="39"/>
    </row>
    <row r="524" spans="37:38">
      <c r="AK524" s="38"/>
      <c r="AL524" s="39"/>
    </row>
    <row r="525" spans="37:38">
      <c r="AK525" s="38"/>
      <c r="AL525" s="39"/>
    </row>
    <row r="526" spans="37:38">
      <c r="AK526" s="38"/>
      <c r="AL526" s="39"/>
    </row>
    <row r="527" spans="37:38">
      <c r="AK527" s="38"/>
      <c r="AL527" s="39"/>
    </row>
    <row r="528" spans="37:38">
      <c r="AK528" s="38"/>
      <c r="AL528" s="39"/>
    </row>
    <row r="529" spans="37:38">
      <c r="AK529" s="38"/>
      <c r="AL529" s="39"/>
    </row>
    <row r="530" spans="37:38">
      <c r="AK530" s="38"/>
      <c r="AL530" s="39"/>
    </row>
    <row r="531" spans="37:38">
      <c r="AK531" s="38"/>
      <c r="AL531" s="39"/>
    </row>
    <row r="532" spans="37:38">
      <c r="AK532" s="38"/>
      <c r="AL532" s="39"/>
    </row>
    <row r="533" spans="37:38">
      <c r="AK533" s="38"/>
      <c r="AL533" s="39"/>
    </row>
    <row r="534" spans="37:38">
      <c r="AK534" s="38"/>
      <c r="AL534" s="39"/>
    </row>
    <row r="535" spans="37:38">
      <c r="AK535" s="38"/>
      <c r="AL535" s="39"/>
    </row>
    <row r="536" spans="37:38">
      <c r="AK536" s="38"/>
      <c r="AL536" s="39"/>
    </row>
    <row r="537" spans="37:38">
      <c r="AK537" s="38"/>
      <c r="AL537" s="39"/>
    </row>
    <row r="538" spans="37:38">
      <c r="AK538" s="38"/>
      <c r="AL538" s="39"/>
    </row>
    <row r="539" spans="37:38">
      <c r="AK539" s="38"/>
      <c r="AL539" s="39"/>
    </row>
    <row r="540" spans="37:38">
      <c r="AK540" s="38"/>
      <c r="AL540" s="39"/>
    </row>
    <row r="541" spans="37:38">
      <c r="AK541" s="38"/>
      <c r="AL541" s="39"/>
    </row>
    <row r="542" spans="37:38">
      <c r="AK542" s="38"/>
      <c r="AL542" s="39"/>
    </row>
    <row r="543" spans="37:38">
      <c r="AK543" s="38"/>
      <c r="AL543" s="39"/>
    </row>
    <row r="544" spans="37:38">
      <c r="AK544" s="38"/>
      <c r="AL544" s="39"/>
    </row>
    <row r="545" spans="37:38">
      <c r="AK545" s="38"/>
      <c r="AL545" s="39"/>
    </row>
    <row r="546" spans="37:38">
      <c r="AK546" s="38"/>
      <c r="AL546" s="39"/>
    </row>
    <row r="547" spans="37:38">
      <c r="AK547" s="38"/>
      <c r="AL547" s="39"/>
    </row>
    <row r="548" spans="37:38">
      <c r="AK548" s="38"/>
      <c r="AL548" s="39"/>
    </row>
    <row r="549" spans="37:38">
      <c r="AK549" s="38"/>
      <c r="AL549" s="39"/>
    </row>
    <row r="550" spans="37:38">
      <c r="AK550" s="38"/>
      <c r="AL550" s="39"/>
    </row>
    <row r="551" spans="37:38">
      <c r="AK551" s="38"/>
      <c r="AL551" s="39"/>
    </row>
    <row r="552" spans="37:38">
      <c r="AK552" s="38"/>
      <c r="AL552" s="39"/>
    </row>
    <row r="553" spans="37:38">
      <c r="AK553" s="38"/>
      <c r="AL553" s="39"/>
    </row>
    <row r="554" spans="37:38">
      <c r="AK554" s="38"/>
      <c r="AL554" s="39"/>
    </row>
    <row r="555" spans="37:38">
      <c r="AK555" s="38"/>
      <c r="AL555" s="39"/>
    </row>
    <row r="556" spans="37:38">
      <c r="AK556" s="38"/>
      <c r="AL556" s="39"/>
    </row>
    <row r="557" spans="37:38">
      <c r="AK557" s="38"/>
      <c r="AL557" s="39"/>
    </row>
    <row r="558" spans="37:38">
      <c r="AK558" s="38"/>
      <c r="AL558" s="39"/>
    </row>
    <row r="559" spans="37:38">
      <c r="AK559" s="38"/>
      <c r="AL559" s="39"/>
    </row>
    <row r="560" spans="37:38">
      <c r="AK560" s="38"/>
      <c r="AL560" s="39"/>
    </row>
    <row r="561" spans="37:38">
      <c r="AK561" s="38"/>
      <c r="AL561" s="39"/>
    </row>
    <row r="562" spans="37:38">
      <c r="AK562" s="38"/>
      <c r="AL562" s="39"/>
    </row>
    <row r="563" spans="37:38">
      <c r="AK563" s="38"/>
      <c r="AL563" s="39"/>
    </row>
    <row r="564" spans="37:38">
      <c r="AK564" s="38"/>
      <c r="AL564" s="39"/>
    </row>
    <row r="565" spans="37:38">
      <c r="AK565" s="38"/>
      <c r="AL565" s="39"/>
    </row>
    <row r="566" spans="37:38">
      <c r="AK566" s="38"/>
      <c r="AL566" s="39"/>
    </row>
    <row r="567" spans="37:38">
      <c r="AK567" s="38"/>
      <c r="AL567" s="39"/>
    </row>
    <row r="568" spans="37:38">
      <c r="AK568" s="38"/>
      <c r="AL568" s="39"/>
    </row>
    <row r="569" spans="37:38">
      <c r="AK569" s="38"/>
      <c r="AL569" s="39"/>
    </row>
    <row r="570" spans="37:38">
      <c r="AK570" s="38"/>
      <c r="AL570" s="39"/>
    </row>
    <row r="571" spans="37:38">
      <c r="AK571" s="38"/>
      <c r="AL571" s="39"/>
    </row>
    <row r="572" spans="37:38">
      <c r="AK572" s="38"/>
      <c r="AL572" s="39"/>
    </row>
    <row r="573" spans="37:38">
      <c r="AK573" s="38"/>
      <c r="AL573" s="39"/>
    </row>
    <row r="574" spans="37:38">
      <c r="AK574" s="38"/>
      <c r="AL574" s="39"/>
    </row>
    <row r="575" spans="37:38">
      <c r="AK575" s="38"/>
      <c r="AL575" s="39"/>
    </row>
    <row r="576" spans="37:38">
      <c r="AK576" s="38"/>
      <c r="AL576" s="39"/>
    </row>
    <row r="577" spans="37:38">
      <c r="AK577" s="38"/>
      <c r="AL577" s="39"/>
    </row>
    <row r="578" spans="37:38">
      <c r="AK578" s="38"/>
      <c r="AL578" s="39"/>
    </row>
    <row r="579" spans="37:38">
      <c r="AK579" s="38"/>
      <c r="AL579" s="39"/>
    </row>
    <row r="580" spans="37:38">
      <c r="AK580" s="38"/>
      <c r="AL580" s="39"/>
    </row>
    <row r="581" spans="37:38">
      <c r="AK581" s="38"/>
      <c r="AL581" s="39"/>
    </row>
    <row r="582" spans="37:38">
      <c r="AK582" s="38"/>
      <c r="AL582" s="39"/>
    </row>
    <row r="583" spans="37:38">
      <c r="AK583" s="38"/>
      <c r="AL583" s="39"/>
    </row>
    <row r="584" spans="37:38">
      <c r="AK584" s="38"/>
      <c r="AL584" s="39"/>
    </row>
    <row r="585" spans="37:38">
      <c r="AK585" s="38"/>
      <c r="AL585" s="39"/>
    </row>
    <row r="586" spans="37:38">
      <c r="AK586" s="38"/>
      <c r="AL586" s="39"/>
    </row>
    <row r="587" spans="37:38">
      <c r="AK587" s="38"/>
      <c r="AL587" s="39"/>
    </row>
    <row r="588" spans="37:38">
      <c r="AK588" s="38"/>
      <c r="AL588" s="39"/>
    </row>
    <row r="589" spans="37:38">
      <c r="AK589" s="38"/>
      <c r="AL589" s="39"/>
    </row>
    <row r="590" spans="37:38">
      <c r="AK590" s="38"/>
      <c r="AL590" s="39"/>
    </row>
    <row r="591" spans="37:38">
      <c r="AK591" s="38"/>
      <c r="AL591" s="39"/>
    </row>
    <row r="592" spans="37:38">
      <c r="AK592" s="38"/>
      <c r="AL592" s="39"/>
    </row>
    <row r="593" spans="37:38">
      <c r="AK593" s="38"/>
      <c r="AL593" s="39"/>
    </row>
    <row r="594" spans="37:38">
      <c r="AK594" s="38"/>
      <c r="AL594" s="39"/>
    </row>
    <row r="595" spans="37:38">
      <c r="AK595" s="38"/>
      <c r="AL595" s="39"/>
    </row>
    <row r="596" spans="37:38">
      <c r="AK596" s="38"/>
      <c r="AL596" s="39"/>
    </row>
    <row r="597" spans="37:38">
      <c r="AK597" s="38"/>
      <c r="AL597" s="39"/>
    </row>
    <row r="598" spans="37:38">
      <c r="AK598" s="38"/>
      <c r="AL598" s="39"/>
    </row>
    <row r="599" spans="37:38">
      <c r="AK599" s="38"/>
      <c r="AL599" s="39"/>
    </row>
    <row r="600" spans="37:38">
      <c r="AK600" s="38"/>
      <c r="AL600" s="39"/>
    </row>
    <row r="601" spans="37:38">
      <c r="AK601" s="38"/>
      <c r="AL601" s="39"/>
    </row>
    <row r="602" spans="37:38">
      <c r="AK602" s="38"/>
      <c r="AL602" s="39"/>
    </row>
    <row r="603" spans="37:38">
      <c r="AK603" s="38"/>
      <c r="AL603" s="39"/>
    </row>
    <row r="604" spans="37:38">
      <c r="AK604" s="38"/>
      <c r="AL604" s="39"/>
    </row>
    <row r="605" spans="37:38">
      <c r="AK605" s="38"/>
      <c r="AL605" s="39"/>
    </row>
    <row r="606" spans="37:38">
      <c r="AK606" s="38"/>
      <c r="AL606" s="39"/>
    </row>
    <row r="607" spans="37:38">
      <c r="AK607" s="38"/>
      <c r="AL607" s="39"/>
    </row>
    <row r="608" spans="37:38">
      <c r="AK608" s="38"/>
      <c r="AL608" s="39"/>
    </row>
    <row r="609" spans="37:38">
      <c r="AK609" s="38"/>
      <c r="AL609" s="39"/>
    </row>
    <row r="610" spans="37:38">
      <c r="AK610" s="38"/>
      <c r="AL610" s="39"/>
    </row>
    <row r="611" spans="37:38">
      <c r="AK611" s="38"/>
      <c r="AL611" s="39"/>
    </row>
    <row r="612" spans="37:38">
      <c r="AK612" s="38"/>
      <c r="AL612" s="39"/>
    </row>
    <row r="613" spans="37:38">
      <c r="AK613" s="38"/>
      <c r="AL613" s="39"/>
    </row>
    <row r="614" spans="37:38">
      <c r="AK614" s="38"/>
      <c r="AL614" s="39"/>
    </row>
    <row r="615" spans="37:38">
      <c r="AK615" s="38"/>
      <c r="AL615" s="39"/>
    </row>
    <row r="616" spans="37:38">
      <c r="AK616" s="38"/>
      <c r="AL616" s="39"/>
    </row>
    <row r="617" spans="37:38">
      <c r="AK617" s="38"/>
      <c r="AL617" s="39"/>
    </row>
    <row r="618" spans="37:38">
      <c r="AK618" s="38"/>
      <c r="AL618" s="39"/>
    </row>
    <row r="619" spans="37:38">
      <c r="AK619" s="38"/>
      <c r="AL619" s="39"/>
    </row>
    <row r="620" spans="37:38">
      <c r="AK620" s="38"/>
      <c r="AL620" s="39"/>
    </row>
    <row r="621" spans="37:38">
      <c r="AK621" s="38"/>
      <c r="AL621" s="39"/>
    </row>
    <row r="622" spans="37:38">
      <c r="AK622" s="38"/>
      <c r="AL622" s="39"/>
    </row>
    <row r="623" spans="37:38">
      <c r="AK623" s="38"/>
      <c r="AL623" s="39"/>
    </row>
    <row r="624" spans="37:38">
      <c r="AK624" s="38"/>
      <c r="AL624" s="39"/>
    </row>
    <row r="625" spans="37:38">
      <c r="AK625" s="38"/>
      <c r="AL625" s="39"/>
    </row>
    <row r="626" spans="37:38">
      <c r="AK626" s="38"/>
      <c r="AL626" s="39"/>
    </row>
    <row r="627" spans="37:38">
      <c r="AK627" s="38"/>
      <c r="AL627" s="39"/>
    </row>
    <row r="628" spans="37:38">
      <c r="AK628" s="38"/>
      <c r="AL628" s="39"/>
    </row>
    <row r="629" spans="37:38">
      <c r="AK629" s="38"/>
      <c r="AL629" s="39"/>
    </row>
    <row r="630" spans="37:38">
      <c r="AK630" s="38"/>
      <c r="AL630" s="39"/>
    </row>
    <row r="631" spans="37:38">
      <c r="AK631" s="38"/>
      <c r="AL631" s="39"/>
    </row>
    <row r="632" spans="37:38">
      <c r="AK632" s="38"/>
      <c r="AL632" s="39"/>
    </row>
    <row r="633" spans="37:38">
      <c r="AK633" s="38"/>
      <c r="AL633" s="39"/>
    </row>
    <row r="634" spans="37:38">
      <c r="AK634" s="38"/>
      <c r="AL634" s="39"/>
    </row>
    <row r="635" spans="37:38">
      <c r="AK635" s="38"/>
      <c r="AL635" s="39"/>
    </row>
    <row r="636" spans="37:38">
      <c r="AK636" s="38"/>
      <c r="AL636" s="39"/>
    </row>
    <row r="637" spans="37:38">
      <c r="AK637" s="38"/>
      <c r="AL637" s="39"/>
    </row>
    <row r="638" spans="37:38">
      <c r="AK638" s="38"/>
      <c r="AL638" s="39"/>
    </row>
    <row r="639" spans="37:38">
      <c r="AK639" s="38"/>
      <c r="AL639" s="39"/>
    </row>
    <row r="640" spans="37:38">
      <c r="AK640" s="38"/>
      <c r="AL640" s="39"/>
    </row>
    <row r="641" spans="37:38">
      <c r="AK641" s="38"/>
      <c r="AL641" s="39"/>
    </row>
    <row r="642" spans="37:38">
      <c r="AK642" s="38"/>
      <c r="AL642" s="39"/>
    </row>
    <row r="643" spans="37:38">
      <c r="AK643" s="38"/>
      <c r="AL643" s="39"/>
    </row>
    <row r="644" spans="37:38">
      <c r="AK644" s="38"/>
      <c r="AL644" s="39"/>
    </row>
    <row r="645" spans="37:38">
      <c r="AK645" s="38"/>
      <c r="AL645" s="39"/>
    </row>
    <row r="646" spans="37:38">
      <c r="AK646" s="38"/>
      <c r="AL646" s="39"/>
    </row>
    <row r="647" spans="37:38">
      <c r="AK647" s="38"/>
      <c r="AL647" s="39"/>
    </row>
    <row r="648" spans="37:38">
      <c r="AK648" s="38"/>
      <c r="AL648" s="39"/>
    </row>
    <row r="649" spans="37:38">
      <c r="AK649" s="38"/>
      <c r="AL649" s="39"/>
    </row>
    <row r="650" spans="37:38">
      <c r="AK650" s="38"/>
      <c r="AL650" s="39"/>
    </row>
    <row r="651" spans="37:38">
      <c r="AK651" s="38"/>
      <c r="AL651" s="39"/>
    </row>
    <row r="652" spans="37:38">
      <c r="AK652" s="38"/>
      <c r="AL652" s="39"/>
    </row>
    <row r="653" spans="37:38">
      <c r="AK653" s="38"/>
      <c r="AL653" s="39"/>
    </row>
    <row r="654" spans="37:38">
      <c r="AK654" s="38"/>
      <c r="AL654" s="39"/>
    </row>
    <row r="655" spans="37:38">
      <c r="AK655" s="38"/>
      <c r="AL655" s="39"/>
    </row>
    <row r="656" spans="37:38">
      <c r="AK656" s="38"/>
      <c r="AL656" s="39"/>
    </row>
    <row r="657" spans="37:38">
      <c r="AK657" s="38"/>
      <c r="AL657" s="39"/>
    </row>
    <row r="658" spans="37:38">
      <c r="AK658" s="38"/>
      <c r="AL658" s="39"/>
    </row>
    <row r="659" spans="37:38">
      <c r="AK659" s="38"/>
      <c r="AL659" s="39"/>
    </row>
    <row r="660" spans="37:38">
      <c r="AK660" s="38"/>
      <c r="AL660" s="39"/>
    </row>
    <row r="661" spans="37:38">
      <c r="AK661" s="38"/>
      <c r="AL661" s="39"/>
    </row>
    <row r="662" spans="37:38">
      <c r="AK662" s="38"/>
      <c r="AL662" s="39"/>
    </row>
    <row r="663" spans="37:38">
      <c r="AK663" s="38"/>
      <c r="AL663" s="39"/>
    </row>
    <row r="664" spans="37:38">
      <c r="AK664" s="38"/>
      <c r="AL664" s="39"/>
    </row>
    <row r="665" spans="37:38">
      <c r="AK665" s="38"/>
      <c r="AL665" s="39"/>
    </row>
    <row r="666" spans="37:38">
      <c r="AK666" s="38"/>
      <c r="AL666" s="39"/>
    </row>
    <row r="667" spans="37:38">
      <c r="AK667" s="38"/>
      <c r="AL667" s="39"/>
    </row>
    <row r="668" spans="37:38">
      <c r="AK668" s="38"/>
      <c r="AL668" s="39"/>
    </row>
    <row r="669" spans="37:38">
      <c r="AK669" s="38"/>
      <c r="AL669" s="39"/>
    </row>
    <row r="670" spans="37:38">
      <c r="AK670" s="38"/>
      <c r="AL670" s="39"/>
    </row>
    <row r="671" spans="37:38">
      <c r="AK671" s="38"/>
      <c r="AL671" s="39"/>
    </row>
    <row r="672" spans="37:38">
      <c r="AK672" s="38"/>
      <c r="AL672" s="39"/>
    </row>
    <row r="673" spans="37:38">
      <c r="AK673" s="38"/>
      <c r="AL673" s="39"/>
    </row>
    <row r="674" spans="37:38">
      <c r="AK674" s="38"/>
      <c r="AL674" s="39"/>
    </row>
    <row r="675" spans="37:38">
      <c r="AK675" s="38"/>
      <c r="AL675" s="39"/>
    </row>
    <row r="676" spans="37:38">
      <c r="AK676" s="38"/>
      <c r="AL676" s="39"/>
    </row>
    <row r="677" spans="37:38">
      <c r="AK677" s="38"/>
      <c r="AL677" s="39"/>
    </row>
    <row r="678" spans="37:38">
      <c r="AK678" s="38"/>
      <c r="AL678" s="39"/>
    </row>
    <row r="679" spans="37:38">
      <c r="AK679" s="38"/>
      <c r="AL679" s="39"/>
    </row>
    <row r="680" spans="37:38">
      <c r="AK680" s="38"/>
      <c r="AL680" s="39"/>
    </row>
    <row r="681" spans="37:38">
      <c r="AK681" s="38"/>
      <c r="AL681" s="39"/>
    </row>
    <row r="682" spans="37:38">
      <c r="AK682" s="38"/>
      <c r="AL682" s="39"/>
    </row>
    <row r="683" spans="37:38">
      <c r="AK683" s="38"/>
      <c r="AL683" s="39"/>
    </row>
    <row r="684" spans="37:38">
      <c r="AK684" s="38"/>
      <c r="AL684" s="39"/>
    </row>
    <row r="685" spans="37:38">
      <c r="AK685" s="38"/>
      <c r="AL685" s="39"/>
    </row>
    <row r="686" spans="37:38">
      <c r="AK686" s="38"/>
      <c r="AL686" s="39"/>
    </row>
    <row r="687" spans="37:38">
      <c r="AK687" s="38"/>
      <c r="AL687" s="39"/>
    </row>
    <row r="688" spans="37:38">
      <c r="AL688" s="39"/>
    </row>
    <row r="689" spans="38:38">
      <c r="AL689" s="39"/>
    </row>
    <row r="690" spans="38:38">
      <c r="AL690" s="39"/>
    </row>
    <row r="691" spans="38:38">
      <c r="AL691" s="39"/>
    </row>
    <row r="692" spans="38:38">
      <c r="AL692" s="39"/>
    </row>
    <row r="693" spans="38:38">
      <c r="AL693" s="39"/>
    </row>
    <row r="694" spans="38:38">
      <c r="AL694" s="39"/>
    </row>
    <row r="695" spans="38:38">
      <c r="AL695" s="39"/>
    </row>
    <row r="696" spans="38:38">
      <c r="AL696" s="39"/>
    </row>
    <row r="697" spans="38:38">
      <c r="AL697" s="39"/>
    </row>
    <row r="698" spans="38:38">
      <c r="AL698" s="39"/>
    </row>
    <row r="699" spans="38:38">
      <c r="AL699" s="39"/>
    </row>
    <row r="700" spans="38:38">
      <c r="AL700" s="39"/>
    </row>
  </sheetData>
  <sheetProtection formatCells="0" formatColumns="0" formatRows="0" insertColumns="0" insertRows="0" insertHyperlinks="0" deleteColumns="0" deleteRows="0" sort="0" autoFilter="0" pivotTables="0"/>
  <protectedRanges>
    <protectedRange sqref="AC5:AD5 Q184:Q315 W316:W403 W423:W429 Q419:Q422 R469:R1399 W445:W466 Q5:Q182 W405:W418 Q404" name="Range6"/>
    <protectedRange sqref="AK469:AL1409 AK6:AL466" name="Range4"/>
    <protectedRange sqref="AJ469:AJ1409 AJ6:AJ466" name="Range3"/>
    <protectedRange sqref="P145:Q147 P149:Q150 L183 P148:R148 O9:O32 D183 B6:R7 B469:G1409 B468:O468 V316:X403 V423:X429 P419:R422 P8:R32 H178:O182 B178:D182 B33:R35 O36:O40 P215:R315 B184:D215 M215:O215 M214:R214 P405:P409 P411 P413:P414 I469:S1409 P467 E178:G215 V445:X466 X430:X444 V430:V444 P151:R182 P36:R144 B8:N32 H184:R213 H214:L215 B36:N177 B216:O403 V405:X418 B405:O466 B404:R404" name="Range2"/>
    <protectedRange sqref="E68:G68 E142:G147 E149:G150 D11 D25:D28 D44 D120:D121 D131:D132 D183:G183 B5:C13 B161:C162 E161:G162 E5:G7 E156:G156 E275:G285 E287:G287 E319:G319 E321:G322 E324:G326 E455:G466 E38:G38 E73:G73 E78:G81 E86:G86 E187:G188 E222:G225 E229:G229 E236:G236 E245:G245 E247:G247 E249:G249 E251:G251 E256:G257 E260:G260 E268:G272 E352:G353 E367:G367 E369:G369 E9:G9 E131:G131 E116:E117 E140 E196:G196 E419:G424 E133 F134:G134 F359:G359 F389:G389 F122:G130 E176:G178 E32:E36 D118 E120:G120 D216:G216 D87:D88 E11:G22 D212:D215 E405:E414 F405:F409 B82:C84 E25:G30 G88 E199:G215 G405:G414 G132 G121 D404:G404" name="Range1"/>
    <protectedRange sqref="R145:R147 R149:R150" name="Range2_1"/>
    <protectedRange sqref="H183:K183 B183:C183" name="Range2_5"/>
    <protectedRange sqref="Q183" name="Range6_2"/>
    <protectedRange sqref="M183:R183" name="Range2_6"/>
  </protectedRanges>
  <mergeCells count="6">
    <mergeCell ref="AN4:AP4"/>
    <mergeCell ref="S1:U1"/>
    <mergeCell ref="O4:U4"/>
    <mergeCell ref="V4:Y4"/>
    <mergeCell ref="Z4:AG4"/>
    <mergeCell ref="AH4:AK4"/>
  </mergeCells>
  <conditionalFormatting sqref="AK483:AL700">
    <cfRule type="duplicateValues" dxfId="443" priority="3"/>
  </conditionalFormatting>
  <conditionalFormatting sqref="S1:Y1">
    <cfRule type="containsText" dxfId="442" priority="1" operator="containsText" text="N">
      <formula>NOT(ISERROR(SEARCH("N",S1)))</formula>
    </cfRule>
    <cfRule type="containsText" dxfId="441" priority="2" operator="containsText" text="OK">
      <formula>NOT(ISERROR(SEARCH("OK",S1)))</formula>
    </cfRule>
  </conditionalFormatting>
  <dataValidations count="4">
    <dataValidation type="list" allowBlank="1" showInputMessage="1" showErrorMessage="1" sqref="D430:D453 D390:D402 D360:D383 D324:D330 D119 D6:D10 E24:G24 D217:D322 D29:D43 D122:D130 D419:D422 D12:D24 D415:G417 D455:D464 E10:G10 D184:D211 D385:D388 E286:G286 E310:G310 E320:G320 E361:G361 D332:D358 E264:G267 D89:D117 D133:D182 D45:D86" xr:uid="{45CD9EB7-CC7A-4FD2-A6A3-9A3F877B373A}">
      <formula1>مجموعة_الاصول</formula1>
    </dataValidation>
    <dataValidation type="list" allowBlank="1" showInputMessage="1" showErrorMessage="1" sqref="I183 J430:J444 J193:J194 J6:J182" xr:uid="{8DD73EB1-173B-48A0-8C22-6323C4E1CF57}">
      <formula1>الإدارة</formula1>
    </dataValidation>
    <dataValidation type="list" allowBlank="1" showInputMessage="1" showErrorMessage="1" sqref="J183:K183 K419:K422 K196:K211 K6:K182" xr:uid="{9FEEE4F8-A01E-4748-83A9-976553BD5B0D}">
      <formula1>المستخدم</formula1>
    </dataValidation>
    <dataValidation type="list" allowBlank="1" showInputMessage="1" showErrorMessage="1" sqref="H6:H467" xr:uid="{CDC6264C-2546-4D1C-AC0E-288D674D42AD}">
      <formula1>المشروع</formula1>
    </dataValidation>
  </dataValidations>
  <hyperlinks>
    <hyperlink ref="O1" location="'الأصول الثابتة (2)'!Print_Area" display="'الأصول الثابتة (2)'!Print_Area" xr:uid="{26999E29-E96C-487A-AAAD-0675B68E82D2}"/>
  </hyperlinks>
  <printOptions horizontalCentered="1"/>
  <pageMargins left="0" right="0" top="0.15748031496062992" bottom="0.15748031496062992" header="0.31496062992125984" footer="0.31496062992125984"/>
  <pageSetup scale="30" orientation="landscape" r:id="rId1"/>
  <rowBreaks count="1" manualBreakCount="1">
    <brk id="96" max="16383" man="1"/>
  </rowBreaks>
  <colBreaks count="1" manualBreakCount="1">
    <brk id="18" max="1048575" man="1"/>
  </colBreaks>
  <drawing r:id="rId2"/>
  <legacyDrawing r:id="rId3"/>
  <controls>
    <mc:AlternateContent xmlns:mc="http://schemas.openxmlformats.org/markup-compatibility/2006">
      <mc:Choice Requires="x14">
        <control shapeId="1031" r:id="rId4" name="CommandButton3">
          <controlPr defaultSize="0" autoLine="0" r:id="rId5">
            <anchor moveWithCells="1">
              <from>
                <xdr:col>45</xdr:col>
                <xdr:colOff>0</xdr:colOff>
                <xdr:row>0</xdr:row>
                <xdr:rowOff>9525</xdr:rowOff>
              </from>
              <to>
                <xdr:col>45</xdr:col>
                <xdr:colOff>38100</xdr:colOff>
                <xdr:row>0</xdr:row>
                <xdr:rowOff>28575</xdr:rowOff>
              </to>
            </anchor>
          </controlPr>
        </control>
      </mc:Choice>
      <mc:Fallback>
        <control shapeId="1031" r:id="rId4" name="CommandButton3"/>
      </mc:Fallback>
    </mc:AlternateContent>
    <mc:AlternateContent xmlns:mc="http://schemas.openxmlformats.org/markup-compatibility/2006">
      <mc:Choice Requires="x14">
        <control shapeId="1030" r:id="rId6" name="Image4">
          <controlPr defaultSize="0" autoLine="0" r:id="rId7">
            <anchor moveWithCells="1">
              <from>
                <xdr:col>45</xdr:col>
                <xdr:colOff>0</xdr:colOff>
                <xdr:row>0</xdr:row>
                <xdr:rowOff>0</xdr:rowOff>
              </from>
              <to>
                <xdr:col>45</xdr:col>
                <xdr:colOff>57150</xdr:colOff>
                <xdr:row>0</xdr:row>
                <xdr:rowOff>47625</xdr:rowOff>
              </to>
            </anchor>
          </controlPr>
        </control>
      </mc:Choice>
      <mc:Fallback>
        <control shapeId="1030" r:id="rId6" name="Image4"/>
      </mc:Fallback>
    </mc:AlternateContent>
    <mc:AlternateContent xmlns:mc="http://schemas.openxmlformats.org/markup-compatibility/2006">
      <mc:Choice Requires="x14">
        <control shapeId="1029" r:id="rId8" name="Image3">
          <controlPr defaultSize="0" autoLine="0" r:id="rId9">
            <anchor moveWithCells="1">
              <from>
                <xdr:col>45</xdr:col>
                <xdr:colOff>0</xdr:colOff>
                <xdr:row>0</xdr:row>
                <xdr:rowOff>0</xdr:rowOff>
              </from>
              <to>
                <xdr:col>45</xdr:col>
                <xdr:colOff>28575</xdr:colOff>
                <xdr:row>0</xdr:row>
                <xdr:rowOff>19050</xdr:rowOff>
              </to>
            </anchor>
          </controlPr>
        </control>
      </mc:Choice>
      <mc:Fallback>
        <control shapeId="1029" r:id="rId8" name="Image3"/>
      </mc:Fallback>
    </mc:AlternateContent>
    <mc:AlternateContent xmlns:mc="http://schemas.openxmlformats.org/markup-compatibility/2006">
      <mc:Choice Requires="x14">
        <control shapeId="1028" r:id="rId10" name="CommandButton2">
          <controlPr defaultSize="0" autoLine="0" r:id="rId11">
            <anchor moveWithCells="1">
              <from>
                <xdr:col>45</xdr:col>
                <xdr:colOff>0</xdr:colOff>
                <xdr:row>0</xdr:row>
                <xdr:rowOff>9525</xdr:rowOff>
              </from>
              <to>
                <xdr:col>45</xdr:col>
                <xdr:colOff>9525</xdr:colOff>
                <xdr:row>0</xdr:row>
                <xdr:rowOff>19050</xdr:rowOff>
              </to>
            </anchor>
          </controlPr>
        </control>
      </mc:Choice>
      <mc:Fallback>
        <control shapeId="1028" r:id="rId10" name="CommandButton2"/>
      </mc:Fallback>
    </mc:AlternateContent>
    <mc:AlternateContent xmlns:mc="http://schemas.openxmlformats.org/markup-compatibility/2006">
      <mc:Choice Requires="x14">
        <control shapeId="1027" r:id="rId12" name="Image2">
          <controlPr defaultSize="0" autoLine="0" r:id="rId13">
            <anchor moveWithCells="1">
              <from>
                <xdr:col>45</xdr:col>
                <xdr:colOff>0</xdr:colOff>
                <xdr:row>0</xdr:row>
                <xdr:rowOff>0</xdr:rowOff>
              </from>
              <to>
                <xdr:col>45</xdr:col>
                <xdr:colOff>19050</xdr:colOff>
                <xdr:row>0</xdr:row>
                <xdr:rowOff>19050</xdr:rowOff>
              </to>
            </anchor>
          </controlPr>
        </control>
      </mc:Choice>
      <mc:Fallback>
        <control shapeId="1027" r:id="rId12" name="Image2"/>
      </mc:Fallback>
    </mc:AlternateContent>
    <mc:AlternateContent xmlns:mc="http://schemas.openxmlformats.org/markup-compatibility/2006">
      <mc:Choice Requires="x14">
        <control shapeId="1026" r:id="rId14" name="CommandButton1">
          <controlPr defaultSize="0" autoFill="0" autoLine="0" r:id="rId15">
            <anchor moveWithCells="1">
              <from>
                <xdr:col>45</xdr:col>
                <xdr:colOff>0</xdr:colOff>
                <xdr:row>0</xdr:row>
                <xdr:rowOff>0</xdr:rowOff>
              </from>
              <to>
                <xdr:col>45</xdr:col>
                <xdr:colOff>19050</xdr:colOff>
                <xdr:row>0</xdr:row>
                <xdr:rowOff>9525</xdr:rowOff>
              </to>
            </anchor>
          </controlPr>
        </control>
      </mc:Choice>
      <mc:Fallback>
        <control shapeId="1026" r:id="rId14" name="CommandButton1"/>
      </mc:Fallback>
    </mc:AlternateContent>
    <mc:AlternateContent xmlns:mc="http://schemas.openxmlformats.org/markup-compatibility/2006">
      <mc:Choice Requires="x14">
        <control shapeId="1025" r:id="rId16" name="Image1">
          <controlPr defaultSize="0" autoLine="0" r:id="rId13">
            <anchor moveWithCells="1">
              <from>
                <xdr:col>45</xdr:col>
                <xdr:colOff>0</xdr:colOff>
                <xdr:row>0</xdr:row>
                <xdr:rowOff>0</xdr:rowOff>
              </from>
              <to>
                <xdr:col>45</xdr:col>
                <xdr:colOff>19050</xdr:colOff>
                <xdr:row>0</xdr:row>
                <xdr:rowOff>19050</xdr:rowOff>
              </to>
            </anchor>
          </controlPr>
        </control>
      </mc:Choice>
      <mc:Fallback>
        <control shapeId="1025" r:id="rId16" name="Image1"/>
      </mc:Fallback>
    </mc:AlternateContent>
  </controls>
  <tableParts count="1"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ملخص الأصول</vt:lpstr>
      <vt:lpstr>أصول 2018</vt:lpstr>
      <vt:lpstr>'أصول 2018'!Print_Area</vt:lpstr>
      <vt:lpstr>'ملخص الأصول'!Print_Area</vt:lpstr>
      <vt:lpstr>'أصول 2018'!Print_Titles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M07AMED MAHDI</dc:creator>
  <cp:lastModifiedBy>M07AMED MAHDI</cp:lastModifiedBy>
  <cp:lastPrinted>2019-04-11T08:41:56Z</cp:lastPrinted>
  <dcterms:created xsi:type="dcterms:W3CDTF">2019-04-08T12:39:31Z</dcterms:created>
  <dcterms:modified xsi:type="dcterms:W3CDTF">2019-04-17T16:11:04Z</dcterms:modified>
</cp:coreProperties>
</file>